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70" windowWidth="13020" windowHeight="6270"/>
  </bookViews>
  <sheets>
    <sheet name="12-2017" sheetId="1" r:id="rId1"/>
    <sheet name="so sanh" sheetId="2" r:id="rId2"/>
    <sheet name="dv dk" sheetId="3" r:id="rId3"/>
    <sheet name="Sheet1" sheetId="4" r:id="rId4"/>
  </sheets>
  <definedNames>
    <definedName name="_xlnm.Print_Area" localSheetId="0">'12-2017'!$A$1:$N$2065</definedName>
    <definedName name="_xlnm.Print_Area" localSheetId="2">'dv dk'!$A$1:$F$147</definedName>
    <definedName name="_xlnm.Print_Area" localSheetId="1">'so sanh'!$A$1:$F$1967</definedName>
    <definedName name="_xlnm.Print_Titles" localSheetId="0">'12-2017'!$13:$15</definedName>
  </definedNames>
  <calcPr calcId="125725" fullCalcOnLoad="1"/>
</workbook>
</file>

<file path=xl/calcChain.xml><?xml version="1.0" encoding="utf-8"?>
<calcChain xmlns="http://schemas.openxmlformats.org/spreadsheetml/2006/main">
  <c r="L336" i="1"/>
  <c r="L335"/>
  <c r="L334"/>
  <c r="L333"/>
  <c r="L332"/>
  <c r="B990" i="2"/>
  <c r="B979"/>
  <c r="J1694"/>
  <c r="I1694"/>
  <c r="H1694"/>
  <c r="E1694"/>
  <c r="F1694" s="1"/>
  <c r="D1694"/>
  <c r="C1694"/>
  <c r="B1694"/>
  <c r="A1694"/>
  <c r="J1693"/>
  <c r="I1693"/>
  <c r="H1693"/>
  <c r="E1693"/>
  <c r="D1693"/>
  <c r="F1693" s="1"/>
  <c r="C1693"/>
  <c r="B1693"/>
  <c r="A1693"/>
  <c r="J1692"/>
  <c r="I1692"/>
  <c r="H1692"/>
  <c r="E1692"/>
  <c r="D1692"/>
  <c r="F1692" s="1"/>
  <c r="C1692"/>
  <c r="B1692"/>
  <c r="A1692"/>
  <c r="J1691"/>
  <c r="I1691"/>
  <c r="H1691"/>
  <c r="E1691"/>
  <c r="D1691"/>
  <c r="C1691"/>
  <c r="B1691"/>
  <c r="A1691"/>
  <c r="J1690"/>
  <c r="I1690"/>
  <c r="H1690"/>
  <c r="E1690"/>
  <c r="D1690"/>
  <c r="C1690"/>
  <c r="B1690"/>
  <c r="A1690"/>
  <c r="J1689"/>
  <c r="I1689"/>
  <c r="H1689"/>
  <c r="E1689"/>
  <c r="D1689"/>
  <c r="C1689"/>
  <c r="B1689"/>
  <c r="A1689"/>
  <c r="J1688"/>
  <c r="I1688"/>
  <c r="H1688"/>
  <c r="E1688"/>
  <c r="F1688" s="1"/>
  <c r="D1688"/>
  <c r="C1688"/>
  <c r="B1688"/>
  <c r="A1688"/>
  <c r="J1687"/>
  <c r="I1687"/>
  <c r="H1687"/>
  <c r="E1687"/>
  <c r="D1687"/>
  <c r="C1687"/>
  <c r="B1687"/>
  <c r="A1687"/>
  <c r="J1686"/>
  <c r="I1686"/>
  <c r="H1686"/>
  <c r="E1686"/>
  <c r="D1686"/>
  <c r="C1686"/>
  <c r="B1686"/>
  <c r="A1686"/>
  <c r="J1685"/>
  <c r="I1685"/>
  <c r="H1685"/>
  <c r="E1685"/>
  <c r="D1685"/>
  <c r="C1685"/>
  <c r="B1685"/>
  <c r="A1685"/>
  <c r="J1684"/>
  <c r="I1684"/>
  <c r="H1684"/>
  <c r="E1684"/>
  <c r="D1684"/>
  <c r="C1684"/>
  <c r="B1684"/>
  <c r="A1684"/>
  <c r="J1683"/>
  <c r="I1683"/>
  <c r="H1683"/>
  <c r="E1683"/>
  <c r="D1683"/>
  <c r="C1683"/>
  <c r="B1683"/>
  <c r="A1683"/>
  <c r="J1682"/>
  <c r="I1682"/>
  <c r="H1682"/>
  <c r="E1682"/>
  <c r="D1682"/>
  <c r="C1682"/>
  <c r="B1682"/>
  <c r="A1682"/>
  <c r="J1681"/>
  <c r="I1681"/>
  <c r="H1681"/>
  <c r="E1681"/>
  <c r="D1681"/>
  <c r="C1681"/>
  <c r="B1681"/>
  <c r="A1681"/>
  <c r="J1680"/>
  <c r="I1680"/>
  <c r="H1680"/>
  <c r="E1680"/>
  <c r="D1680"/>
  <c r="C1680"/>
  <c r="B1680"/>
  <c r="A1680"/>
  <c r="J1679"/>
  <c r="I1679"/>
  <c r="H1679"/>
  <c r="E1679"/>
  <c r="D1679"/>
  <c r="C1679"/>
  <c r="B1679"/>
  <c r="A1679"/>
  <c r="J1678"/>
  <c r="I1678"/>
  <c r="H1678"/>
  <c r="E1678"/>
  <c r="D1678"/>
  <c r="C1678"/>
  <c r="B1678"/>
  <c r="A1678"/>
  <c r="J1677"/>
  <c r="I1677"/>
  <c r="H1677"/>
  <c r="E1677"/>
  <c r="D1677"/>
  <c r="C1677"/>
  <c r="B1677"/>
  <c r="A1677"/>
  <c r="J1676"/>
  <c r="I1676"/>
  <c r="H1676"/>
  <c r="E1676"/>
  <c r="D1676"/>
  <c r="C1676"/>
  <c r="B1676"/>
  <c r="A1676"/>
  <c r="J1675"/>
  <c r="I1675"/>
  <c r="H1675"/>
  <c r="E1675"/>
  <c r="D1675"/>
  <c r="C1675"/>
  <c r="B1675"/>
  <c r="A1675"/>
  <c r="J1674"/>
  <c r="I1674"/>
  <c r="H1674"/>
  <c r="E1674"/>
  <c r="D1674"/>
  <c r="C1674"/>
  <c r="B1674"/>
  <c r="A1674"/>
  <c r="J1673"/>
  <c r="I1673"/>
  <c r="H1673"/>
  <c r="E1673"/>
  <c r="D1673"/>
  <c r="C1673"/>
  <c r="B1673"/>
  <c r="A1673"/>
  <c r="J1672"/>
  <c r="I1672"/>
  <c r="H1672"/>
  <c r="E1672"/>
  <c r="D1672"/>
  <c r="C1672"/>
  <c r="B1672"/>
  <c r="A1672"/>
  <c r="J1671"/>
  <c r="I1671"/>
  <c r="H1671"/>
  <c r="E1671"/>
  <c r="D1671"/>
  <c r="C1671"/>
  <c r="B1671"/>
  <c r="A1671"/>
  <c r="P1784" i="1"/>
  <c r="O1784"/>
  <c r="P1783"/>
  <c r="O1783"/>
  <c r="P1782"/>
  <c r="O1782"/>
  <c r="P1781"/>
  <c r="O1781"/>
  <c r="P1780"/>
  <c r="O1780"/>
  <c r="P1779"/>
  <c r="O1779"/>
  <c r="P1778"/>
  <c r="O1778"/>
  <c r="P1777"/>
  <c r="O1777"/>
  <c r="P1776"/>
  <c r="O1776"/>
  <c r="P1775"/>
  <c r="O1775"/>
  <c r="P1774"/>
  <c r="O1774"/>
  <c r="P1773"/>
  <c r="O1773"/>
  <c r="P1772"/>
  <c r="O1772"/>
  <c r="P1771"/>
  <c r="O1771"/>
  <c r="P1770"/>
  <c r="O1770"/>
  <c r="P1769"/>
  <c r="O1769"/>
  <c r="P1768"/>
  <c r="O1768"/>
  <c r="P1767"/>
  <c r="O1767"/>
  <c r="P1766"/>
  <c r="O1766"/>
  <c r="P1765"/>
  <c r="O1765"/>
  <c r="P1764"/>
  <c r="O1764"/>
  <c r="P1763"/>
  <c r="O1763"/>
  <c r="P1762"/>
  <c r="O1762"/>
  <c r="P1761"/>
  <c r="O1761"/>
  <c r="P1760"/>
  <c r="O1760"/>
  <c r="P1759"/>
  <c r="O1759"/>
  <c r="P1758"/>
  <c r="E1668" i="2"/>
  <c r="O1758" i="1"/>
  <c r="P1757"/>
  <c r="O1757"/>
  <c r="P1756"/>
  <c r="O1756"/>
  <c r="P1755"/>
  <c r="O1755"/>
  <c r="P1754"/>
  <c r="E1664" i="2"/>
  <c r="O1754" i="1"/>
  <c r="P1753"/>
  <c r="O1753"/>
  <c r="P1752"/>
  <c r="O1752"/>
  <c r="P1751"/>
  <c r="O1751"/>
  <c r="P1750"/>
  <c r="O1750"/>
  <c r="P1749"/>
  <c r="O1749"/>
  <c r="P1748"/>
  <c r="E1658" i="2"/>
  <c r="O1748" i="1"/>
  <c r="P1747"/>
  <c r="O1747"/>
  <c r="P1746"/>
  <c r="O1746"/>
  <c r="P1745"/>
  <c r="O1745"/>
  <c r="P1744"/>
  <c r="E1654" i="2"/>
  <c r="O1744" i="1"/>
  <c r="P1743"/>
  <c r="O1743"/>
  <c r="P1742"/>
  <c r="O1742"/>
  <c r="P1741"/>
  <c r="O1741"/>
  <c r="P1740"/>
  <c r="E1650" i="2"/>
  <c r="O1740" i="1"/>
  <c r="P1739"/>
  <c r="O1739"/>
  <c r="P1738"/>
  <c r="O1738"/>
  <c r="P1737"/>
  <c r="O1737"/>
  <c r="P1736"/>
  <c r="O1736"/>
  <c r="P1735"/>
  <c r="O1735"/>
  <c r="P1734"/>
  <c r="O1734"/>
  <c r="P1733"/>
  <c r="O1733"/>
  <c r="P1732"/>
  <c r="O1732"/>
  <c r="P1731"/>
  <c r="O1731"/>
  <c r="P1730"/>
  <c r="E1640" i="2"/>
  <c r="O1730" i="1"/>
  <c r="P1729"/>
  <c r="O1729"/>
  <c r="P1728"/>
  <c r="O1728"/>
  <c r="P1727"/>
  <c r="O1727"/>
  <c r="P1726"/>
  <c r="O1726"/>
  <c r="P1725"/>
  <c r="O1725"/>
  <c r="P1724"/>
  <c r="E1634" i="2"/>
  <c r="O1724" i="1"/>
  <c r="P1723"/>
  <c r="O1723"/>
  <c r="P1722"/>
  <c r="O1722"/>
  <c r="P1721"/>
  <c r="O1721"/>
  <c r="P1720"/>
  <c r="E1630" i="2"/>
  <c r="O1720" i="1"/>
  <c r="P1719"/>
  <c r="O1719"/>
  <c r="P1718"/>
  <c r="O1718"/>
  <c r="P1717"/>
  <c r="O1717"/>
  <c r="P1716"/>
  <c r="O1716"/>
  <c r="P1715"/>
  <c r="O1715"/>
  <c r="P1714"/>
  <c r="O1714"/>
  <c r="P1713"/>
  <c r="O1713"/>
  <c r="P1712"/>
  <c r="O1712"/>
  <c r="P1711"/>
  <c r="O1711"/>
  <c r="P1710"/>
  <c r="O1710"/>
  <c r="P1709"/>
  <c r="O1709"/>
  <c r="P1708"/>
  <c r="E1618" i="2"/>
  <c r="O1708" i="1"/>
  <c r="P1707"/>
  <c r="O1707"/>
  <c r="P1706"/>
  <c r="O1706"/>
  <c r="P1705"/>
  <c r="O1705"/>
  <c r="P1704"/>
  <c r="E1614" i="2"/>
  <c r="O1704" i="1"/>
  <c r="P1703"/>
  <c r="O1703"/>
  <c r="P1702"/>
  <c r="O1702"/>
  <c r="P1701"/>
  <c r="O1701"/>
  <c r="P1700"/>
  <c r="O1700"/>
  <c r="P1699"/>
  <c r="O1699"/>
  <c r="P1698"/>
  <c r="O1698"/>
  <c r="P1697"/>
  <c r="O1697"/>
  <c r="P1696"/>
  <c r="O1696"/>
  <c r="P1695"/>
  <c r="O1695"/>
  <c r="P1694"/>
  <c r="O1694"/>
  <c r="P1693"/>
  <c r="O1693"/>
  <c r="P1692"/>
  <c r="E1602" i="2"/>
  <c r="O1692" i="1"/>
  <c r="P1691"/>
  <c r="O1691"/>
  <c r="P1690"/>
  <c r="O1690"/>
  <c r="P1689"/>
  <c r="O1689"/>
  <c r="P1688"/>
  <c r="E1598" i="2"/>
  <c r="O1688" i="1"/>
  <c r="P1687"/>
  <c r="O1687"/>
  <c r="P1686"/>
  <c r="O1686"/>
  <c r="P1685"/>
  <c r="O1685"/>
  <c r="P1684"/>
  <c r="O1684"/>
  <c r="P1683"/>
  <c r="O1683"/>
  <c r="P1682"/>
  <c r="O1682"/>
  <c r="P1681"/>
  <c r="O1681"/>
  <c r="P1680"/>
  <c r="O1680"/>
  <c r="P1679"/>
  <c r="O1679"/>
  <c r="P1678"/>
  <c r="O1678"/>
  <c r="P1677"/>
  <c r="O1677"/>
  <c r="P1676"/>
  <c r="E1586" i="2"/>
  <c r="O1676" i="1"/>
  <c r="P1675"/>
  <c r="O1675"/>
  <c r="P1674"/>
  <c r="O1674"/>
  <c r="P1673"/>
  <c r="O1673"/>
  <c r="P1672"/>
  <c r="O1672"/>
  <c r="P1671"/>
  <c r="O1671"/>
  <c r="P1670"/>
  <c r="O1670"/>
  <c r="P1669"/>
  <c r="O1669"/>
  <c r="P1668"/>
  <c r="O1668"/>
  <c r="P1667"/>
  <c r="O1667"/>
  <c r="P1666"/>
  <c r="O1666"/>
  <c r="P1665"/>
  <c r="O1665"/>
  <c r="P1664"/>
  <c r="O1664"/>
  <c r="P1663"/>
  <c r="O1663"/>
  <c r="P1662"/>
  <c r="O1662"/>
  <c r="P1661"/>
  <c r="O1661"/>
  <c r="P1660"/>
  <c r="O1660"/>
  <c r="P1659"/>
  <c r="O1659"/>
  <c r="P1658"/>
  <c r="O1658"/>
  <c r="P1657"/>
  <c r="O1657"/>
  <c r="P1656"/>
  <c r="O1656"/>
  <c r="P1655"/>
  <c r="O1655"/>
  <c r="P1654"/>
  <c r="O1654"/>
  <c r="P1653"/>
  <c r="O1653"/>
  <c r="E1666" i="2"/>
  <c r="E1662"/>
  <c r="E1652"/>
  <c r="E1648"/>
  <c r="E1647"/>
  <c r="E1645"/>
  <c r="E1644"/>
  <c r="E1643"/>
  <c r="E1641"/>
  <c r="E1639"/>
  <c r="E1626"/>
  <c r="E1622"/>
  <c r="E1610"/>
  <c r="E1606"/>
  <c r="E1594"/>
  <c r="E1590"/>
  <c r="P1652" i="1"/>
  <c r="O1652"/>
  <c r="A1763"/>
  <c r="A1764"/>
  <c r="A1765"/>
  <c r="A1766"/>
  <c r="A1767"/>
  <c r="A1768"/>
  <c r="A1769"/>
  <c r="A1770"/>
  <c r="A1771"/>
  <c r="A1772"/>
  <c r="A1773"/>
  <c r="A1774"/>
  <c r="A1775"/>
  <c r="A1776"/>
  <c r="A1777"/>
  <c r="A1778"/>
  <c r="A1779"/>
  <c r="A1780"/>
  <c r="A1781"/>
  <c r="A1782"/>
  <c r="A1783"/>
  <c r="A1784"/>
  <c r="A1761"/>
  <c r="A1762"/>
  <c r="A1743"/>
  <c r="A1744"/>
  <c r="A1742"/>
  <c r="A1741"/>
  <c r="A1740"/>
  <c r="A1728"/>
  <c r="A1729"/>
  <c r="A1727"/>
  <c r="A1689"/>
  <c r="A1690"/>
  <c r="A1691"/>
  <c r="A1692"/>
  <c r="A1693"/>
  <c r="A1694"/>
  <c r="A1695"/>
  <c r="A1696"/>
  <c r="A1697"/>
  <c r="A1698"/>
  <c r="A1699"/>
  <c r="A1700"/>
  <c r="A1701"/>
  <c r="A1702"/>
  <c r="A1703"/>
  <c r="A1704"/>
  <c r="A1705"/>
  <c r="A1706"/>
  <c r="A1707"/>
  <c r="A1708"/>
  <c r="A1709"/>
  <c r="A1710"/>
  <c r="A1711"/>
  <c r="A1712"/>
  <c r="A1713"/>
  <c r="A1714"/>
  <c r="A1715"/>
  <c r="A1716"/>
  <c r="A1717"/>
  <c r="A1718"/>
  <c r="A1719"/>
  <c r="A1720"/>
  <c r="A1721"/>
  <c r="A1722"/>
  <c r="A1723"/>
  <c r="A1724"/>
  <c r="A1725"/>
  <c r="A1678"/>
  <c r="A1679"/>
  <c r="A1680"/>
  <c r="A1681"/>
  <c r="A1682"/>
  <c r="A1683"/>
  <c r="A1684"/>
  <c r="A1685"/>
  <c r="A1686"/>
  <c r="A1687"/>
  <c r="A1688"/>
  <c r="A1677"/>
  <c r="A1587" i="2"/>
  <c r="A1676" i="1"/>
  <c r="A1656"/>
  <c r="A1657"/>
  <c r="A1655"/>
  <c r="J1670" i="2"/>
  <c r="I1670"/>
  <c r="H1670"/>
  <c r="E1670"/>
  <c r="D1670"/>
  <c r="C1670"/>
  <c r="B1670"/>
  <c r="A1670"/>
  <c r="J1669"/>
  <c r="I1669"/>
  <c r="H1669"/>
  <c r="E1669"/>
  <c r="D1669"/>
  <c r="C1669"/>
  <c r="B1669"/>
  <c r="J1668"/>
  <c r="I1668"/>
  <c r="H1668"/>
  <c r="D1668"/>
  <c r="C1668"/>
  <c r="B1668"/>
  <c r="J1667"/>
  <c r="I1667"/>
  <c r="H1667"/>
  <c r="E1667"/>
  <c r="D1667"/>
  <c r="C1667"/>
  <c r="B1667"/>
  <c r="J1666"/>
  <c r="I1666"/>
  <c r="H1666"/>
  <c r="D1666"/>
  <c r="C1666"/>
  <c r="B1666"/>
  <c r="J1665"/>
  <c r="I1665"/>
  <c r="H1665"/>
  <c r="E1665"/>
  <c r="D1665"/>
  <c r="C1665"/>
  <c r="B1665"/>
  <c r="J1664"/>
  <c r="I1664"/>
  <c r="H1664"/>
  <c r="D1664"/>
  <c r="C1664"/>
  <c r="B1664"/>
  <c r="J1663"/>
  <c r="I1663"/>
  <c r="H1663"/>
  <c r="E1663"/>
  <c r="D1663"/>
  <c r="C1663"/>
  <c r="B1663"/>
  <c r="J1662"/>
  <c r="I1662"/>
  <c r="H1662"/>
  <c r="D1662"/>
  <c r="C1662"/>
  <c r="B1662"/>
  <c r="J1661"/>
  <c r="I1661"/>
  <c r="H1661"/>
  <c r="E1661"/>
  <c r="D1661"/>
  <c r="C1661"/>
  <c r="B1661"/>
  <c r="J1660"/>
  <c r="I1660"/>
  <c r="H1660"/>
  <c r="E1660"/>
  <c r="D1660"/>
  <c r="C1660"/>
  <c r="B1660"/>
  <c r="J1659"/>
  <c r="I1659"/>
  <c r="H1659"/>
  <c r="E1659"/>
  <c r="D1659"/>
  <c r="C1659"/>
  <c r="B1659"/>
  <c r="J1658"/>
  <c r="I1658"/>
  <c r="H1658"/>
  <c r="D1658"/>
  <c r="C1658"/>
  <c r="B1658"/>
  <c r="J1657"/>
  <c r="I1657"/>
  <c r="H1657"/>
  <c r="E1657"/>
  <c r="D1657"/>
  <c r="C1657"/>
  <c r="B1657"/>
  <c r="J1656"/>
  <c r="I1656"/>
  <c r="H1656"/>
  <c r="E1656"/>
  <c r="D1656"/>
  <c r="C1656"/>
  <c r="B1656"/>
  <c r="J1655"/>
  <c r="I1655"/>
  <c r="H1655"/>
  <c r="E1655"/>
  <c r="D1655"/>
  <c r="C1655"/>
  <c r="B1655"/>
  <c r="J1654"/>
  <c r="I1654"/>
  <c r="H1654"/>
  <c r="D1654"/>
  <c r="C1654"/>
  <c r="B1654"/>
  <c r="J1653"/>
  <c r="I1653"/>
  <c r="H1653"/>
  <c r="E1653"/>
  <c r="D1653"/>
  <c r="C1653"/>
  <c r="B1653"/>
  <c r="A1653"/>
  <c r="J1652"/>
  <c r="I1652"/>
  <c r="H1652"/>
  <c r="D1652"/>
  <c r="C1652"/>
  <c r="B1652"/>
  <c r="A1652"/>
  <c r="J1651"/>
  <c r="I1651"/>
  <c r="H1651"/>
  <c r="E1651"/>
  <c r="D1651"/>
  <c r="C1651"/>
  <c r="B1651"/>
  <c r="A1651"/>
  <c r="J1650"/>
  <c r="I1650"/>
  <c r="H1650"/>
  <c r="D1650"/>
  <c r="C1650"/>
  <c r="B1650"/>
  <c r="A1650"/>
  <c r="J1649"/>
  <c r="I1649"/>
  <c r="H1649"/>
  <c r="B1649"/>
  <c r="J1648"/>
  <c r="I1648"/>
  <c r="H1648"/>
  <c r="D1648"/>
  <c r="C1648"/>
  <c r="B1648"/>
  <c r="J1647"/>
  <c r="I1647"/>
  <c r="H1647"/>
  <c r="D1647"/>
  <c r="C1647"/>
  <c r="B1647"/>
  <c r="J1646"/>
  <c r="I1646"/>
  <c r="H1646"/>
  <c r="E1646"/>
  <c r="D1646"/>
  <c r="C1646"/>
  <c r="B1646"/>
  <c r="J1645"/>
  <c r="I1645"/>
  <c r="H1645"/>
  <c r="D1645"/>
  <c r="C1645"/>
  <c r="B1645"/>
  <c r="J1644"/>
  <c r="I1644"/>
  <c r="H1644"/>
  <c r="D1644"/>
  <c r="C1644"/>
  <c r="B1644"/>
  <c r="J1643"/>
  <c r="I1643"/>
  <c r="H1643"/>
  <c r="D1643"/>
  <c r="C1643"/>
  <c r="B1643"/>
  <c r="J1642"/>
  <c r="I1642"/>
  <c r="H1642"/>
  <c r="E1642"/>
  <c r="D1642"/>
  <c r="C1642"/>
  <c r="B1642"/>
  <c r="J1641"/>
  <c r="I1641"/>
  <c r="H1641"/>
  <c r="D1641"/>
  <c r="C1641"/>
  <c r="B1641"/>
  <c r="J1640"/>
  <c r="I1640"/>
  <c r="H1640"/>
  <c r="D1640"/>
  <c r="C1640"/>
  <c r="B1640"/>
  <c r="J1639"/>
  <c r="I1639"/>
  <c r="H1639"/>
  <c r="D1639"/>
  <c r="C1639"/>
  <c r="B1639"/>
  <c r="J1638"/>
  <c r="I1638"/>
  <c r="H1638"/>
  <c r="E1638"/>
  <c r="D1638"/>
  <c r="C1638"/>
  <c r="B1638"/>
  <c r="A1638"/>
  <c r="J1637"/>
  <c r="I1637"/>
  <c r="H1637"/>
  <c r="E1637"/>
  <c r="D1637"/>
  <c r="C1637"/>
  <c r="B1637"/>
  <c r="A1637"/>
  <c r="J1636"/>
  <c r="I1636"/>
  <c r="H1636"/>
  <c r="B1636"/>
  <c r="J1635"/>
  <c r="I1635"/>
  <c r="H1635"/>
  <c r="E1635"/>
  <c r="D1635"/>
  <c r="C1635"/>
  <c r="B1635"/>
  <c r="J1634"/>
  <c r="I1634"/>
  <c r="H1634"/>
  <c r="D1634"/>
  <c r="C1634"/>
  <c r="B1634"/>
  <c r="J1633"/>
  <c r="I1633"/>
  <c r="H1633"/>
  <c r="E1633"/>
  <c r="D1633"/>
  <c r="C1633"/>
  <c r="B1633"/>
  <c r="J1632"/>
  <c r="I1632"/>
  <c r="H1632"/>
  <c r="E1632"/>
  <c r="D1632"/>
  <c r="C1632"/>
  <c r="B1632"/>
  <c r="J1631"/>
  <c r="I1631"/>
  <c r="H1631"/>
  <c r="E1631"/>
  <c r="D1631"/>
  <c r="C1631"/>
  <c r="B1631"/>
  <c r="J1630"/>
  <c r="I1630"/>
  <c r="H1630"/>
  <c r="D1630"/>
  <c r="C1630"/>
  <c r="B1630"/>
  <c r="J1629"/>
  <c r="I1629"/>
  <c r="H1629"/>
  <c r="E1629"/>
  <c r="D1629"/>
  <c r="C1629"/>
  <c r="B1629"/>
  <c r="J1628"/>
  <c r="I1628"/>
  <c r="H1628"/>
  <c r="E1628"/>
  <c r="D1628"/>
  <c r="C1628"/>
  <c r="B1628"/>
  <c r="J1627"/>
  <c r="I1627"/>
  <c r="H1627"/>
  <c r="E1627"/>
  <c r="D1627"/>
  <c r="C1627"/>
  <c r="B1627"/>
  <c r="J1626"/>
  <c r="I1626"/>
  <c r="H1626"/>
  <c r="D1626"/>
  <c r="C1626"/>
  <c r="B1626"/>
  <c r="J1625"/>
  <c r="I1625"/>
  <c r="H1625"/>
  <c r="E1625"/>
  <c r="D1625"/>
  <c r="C1625"/>
  <c r="B1625"/>
  <c r="J1624"/>
  <c r="I1624"/>
  <c r="H1624"/>
  <c r="E1624"/>
  <c r="D1624"/>
  <c r="C1624"/>
  <c r="B1624"/>
  <c r="J1623"/>
  <c r="I1623"/>
  <c r="H1623"/>
  <c r="E1623"/>
  <c r="D1623"/>
  <c r="C1623"/>
  <c r="B1623"/>
  <c r="J1622"/>
  <c r="I1622"/>
  <c r="H1622"/>
  <c r="D1622"/>
  <c r="C1622"/>
  <c r="B1622"/>
  <c r="J1621"/>
  <c r="I1621"/>
  <c r="H1621"/>
  <c r="E1621"/>
  <c r="D1621"/>
  <c r="C1621"/>
  <c r="B1621"/>
  <c r="J1620"/>
  <c r="I1620"/>
  <c r="H1620"/>
  <c r="E1620"/>
  <c r="D1620"/>
  <c r="C1620"/>
  <c r="B1620"/>
  <c r="J1619"/>
  <c r="I1619"/>
  <c r="H1619"/>
  <c r="E1619"/>
  <c r="D1619"/>
  <c r="C1619"/>
  <c r="B1619"/>
  <c r="J1618"/>
  <c r="I1618"/>
  <c r="H1618"/>
  <c r="D1618"/>
  <c r="C1618"/>
  <c r="B1618"/>
  <c r="J1617"/>
  <c r="I1617"/>
  <c r="H1617"/>
  <c r="E1617"/>
  <c r="D1617"/>
  <c r="C1617"/>
  <c r="B1617"/>
  <c r="J1616"/>
  <c r="I1616"/>
  <c r="H1616"/>
  <c r="E1616"/>
  <c r="D1616"/>
  <c r="C1616"/>
  <c r="B1616"/>
  <c r="J1615"/>
  <c r="I1615"/>
  <c r="H1615"/>
  <c r="E1615"/>
  <c r="D1615"/>
  <c r="C1615"/>
  <c r="B1615"/>
  <c r="J1614"/>
  <c r="I1614"/>
  <c r="H1614"/>
  <c r="D1614"/>
  <c r="C1614"/>
  <c r="B1614"/>
  <c r="J1613"/>
  <c r="I1613"/>
  <c r="H1613"/>
  <c r="E1613"/>
  <c r="D1613"/>
  <c r="C1613"/>
  <c r="B1613"/>
  <c r="J1612"/>
  <c r="I1612"/>
  <c r="H1612"/>
  <c r="E1612"/>
  <c r="D1612"/>
  <c r="C1612"/>
  <c r="B1612"/>
  <c r="J1611"/>
  <c r="I1611"/>
  <c r="H1611"/>
  <c r="E1611"/>
  <c r="D1611"/>
  <c r="C1611"/>
  <c r="B1611"/>
  <c r="J1610"/>
  <c r="I1610"/>
  <c r="H1610"/>
  <c r="D1610"/>
  <c r="C1610"/>
  <c r="B1610"/>
  <c r="J1609"/>
  <c r="I1609"/>
  <c r="H1609"/>
  <c r="E1609"/>
  <c r="D1609"/>
  <c r="C1609"/>
  <c r="B1609"/>
  <c r="J1608"/>
  <c r="I1608"/>
  <c r="H1608"/>
  <c r="E1608"/>
  <c r="D1608"/>
  <c r="C1608"/>
  <c r="B1608"/>
  <c r="J1607"/>
  <c r="I1607"/>
  <c r="H1607"/>
  <c r="E1607"/>
  <c r="D1607"/>
  <c r="C1607"/>
  <c r="B1607"/>
  <c r="J1606"/>
  <c r="I1606"/>
  <c r="H1606"/>
  <c r="D1606"/>
  <c r="C1606"/>
  <c r="B1606"/>
  <c r="J1605"/>
  <c r="I1605"/>
  <c r="H1605"/>
  <c r="E1605"/>
  <c r="D1605"/>
  <c r="C1605"/>
  <c r="B1605"/>
  <c r="J1604"/>
  <c r="I1604"/>
  <c r="H1604"/>
  <c r="E1604"/>
  <c r="D1604"/>
  <c r="C1604"/>
  <c r="B1604"/>
  <c r="J1603"/>
  <c r="I1603"/>
  <c r="H1603"/>
  <c r="E1603"/>
  <c r="D1603"/>
  <c r="C1603"/>
  <c r="B1603"/>
  <c r="J1602"/>
  <c r="I1602"/>
  <c r="H1602"/>
  <c r="D1602"/>
  <c r="C1602"/>
  <c r="B1602"/>
  <c r="J1601"/>
  <c r="I1601"/>
  <c r="H1601"/>
  <c r="E1601"/>
  <c r="D1601"/>
  <c r="C1601"/>
  <c r="B1601"/>
  <c r="J1600"/>
  <c r="I1600"/>
  <c r="H1600"/>
  <c r="E1600"/>
  <c r="D1600"/>
  <c r="C1600"/>
  <c r="B1600"/>
  <c r="J1599"/>
  <c r="I1599"/>
  <c r="H1599"/>
  <c r="E1599"/>
  <c r="D1599"/>
  <c r="C1599"/>
  <c r="B1599"/>
  <c r="J1598"/>
  <c r="I1598"/>
  <c r="H1598"/>
  <c r="D1598"/>
  <c r="C1598"/>
  <c r="B1598"/>
  <c r="J1597"/>
  <c r="I1597"/>
  <c r="H1597"/>
  <c r="E1597"/>
  <c r="D1597"/>
  <c r="C1597"/>
  <c r="B1597"/>
  <c r="J1596"/>
  <c r="I1596"/>
  <c r="H1596"/>
  <c r="E1596"/>
  <c r="D1596"/>
  <c r="C1596"/>
  <c r="B1596"/>
  <c r="J1595"/>
  <c r="I1595"/>
  <c r="H1595"/>
  <c r="E1595"/>
  <c r="D1595"/>
  <c r="C1595"/>
  <c r="B1595"/>
  <c r="J1594"/>
  <c r="I1594"/>
  <c r="H1594"/>
  <c r="D1594"/>
  <c r="C1594"/>
  <c r="B1594"/>
  <c r="J1593"/>
  <c r="I1593"/>
  <c r="H1593"/>
  <c r="E1593"/>
  <c r="D1593"/>
  <c r="C1593"/>
  <c r="B1593"/>
  <c r="J1592"/>
  <c r="I1592"/>
  <c r="H1592"/>
  <c r="E1592"/>
  <c r="D1592"/>
  <c r="C1592"/>
  <c r="B1592"/>
  <c r="J1591"/>
  <c r="I1591"/>
  <c r="H1591"/>
  <c r="E1591"/>
  <c r="D1591"/>
  <c r="C1591"/>
  <c r="B1591"/>
  <c r="J1590"/>
  <c r="I1590"/>
  <c r="H1590"/>
  <c r="D1590"/>
  <c r="C1590"/>
  <c r="B1590"/>
  <c r="J1589"/>
  <c r="I1589"/>
  <c r="H1589"/>
  <c r="E1589"/>
  <c r="D1589"/>
  <c r="C1589"/>
  <c r="B1589"/>
  <c r="J1588"/>
  <c r="I1588"/>
  <c r="H1588"/>
  <c r="E1588"/>
  <c r="D1588"/>
  <c r="C1588"/>
  <c r="B1588"/>
  <c r="J1587"/>
  <c r="I1587"/>
  <c r="H1587"/>
  <c r="E1587"/>
  <c r="D1587"/>
  <c r="C1587"/>
  <c r="B1587"/>
  <c r="J1586"/>
  <c r="I1586"/>
  <c r="H1586"/>
  <c r="D1586"/>
  <c r="C1586"/>
  <c r="B1586"/>
  <c r="A1586"/>
  <c r="J1585"/>
  <c r="I1585"/>
  <c r="H1585"/>
  <c r="B1585"/>
  <c r="J1584"/>
  <c r="I1584"/>
  <c r="H1584"/>
  <c r="E1584"/>
  <c r="D1584"/>
  <c r="C1584"/>
  <c r="B1584"/>
  <c r="J1583"/>
  <c r="I1583"/>
  <c r="H1583"/>
  <c r="E1583"/>
  <c r="D1583"/>
  <c r="C1583"/>
  <c r="B1583"/>
  <c r="J1582"/>
  <c r="I1582"/>
  <c r="H1582"/>
  <c r="E1582"/>
  <c r="D1582"/>
  <c r="C1582"/>
  <c r="B1582"/>
  <c r="J1581"/>
  <c r="I1581"/>
  <c r="H1581"/>
  <c r="E1581"/>
  <c r="D1581"/>
  <c r="C1581"/>
  <c r="B1581"/>
  <c r="J1580"/>
  <c r="I1580"/>
  <c r="H1580"/>
  <c r="E1580"/>
  <c r="D1580"/>
  <c r="C1580"/>
  <c r="B1580"/>
  <c r="J1579"/>
  <c r="I1579"/>
  <c r="H1579"/>
  <c r="E1579"/>
  <c r="D1579"/>
  <c r="C1579"/>
  <c r="B1579"/>
  <c r="J1578"/>
  <c r="I1578"/>
  <c r="H1578"/>
  <c r="E1578"/>
  <c r="D1578"/>
  <c r="C1578"/>
  <c r="B1578"/>
  <c r="J1577"/>
  <c r="I1577"/>
  <c r="H1577"/>
  <c r="E1577"/>
  <c r="D1577"/>
  <c r="C1577"/>
  <c r="B1577"/>
  <c r="J1576"/>
  <c r="I1576"/>
  <c r="H1576"/>
  <c r="E1576"/>
  <c r="D1576"/>
  <c r="C1576"/>
  <c r="B1576"/>
  <c r="J1575"/>
  <c r="I1575"/>
  <c r="H1575"/>
  <c r="E1575"/>
  <c r="D1575"/>
  <c r="C1575"/>
  <c r="B1575"/>
  <c r="J1574"/>
  <c r="I1574"/>
  <c r="H1574"/>
  <c r="E1574"/>
  <c r="D1574"/>
  <c r="C1574"/>
  <c r="B1574"/>
  <c r="J1573"/>
  <c r="I1573"/>
  <c r="H1573"/>
  <c r="E1573"/>
  <c r="D1573"/>
  <c r="C1573"/>
  <c r="B1573"/>
  <c r="J1572"/>
  <c r="I1572"/>
  <c r="H1572"/>
  <c r="E1572"/>
  <c r="D1572"/>
  <c r="C1572"/>
  <c r="B1572"/>
  <c r="J1571"/>
  <c r="I1571"/>
  <c r="H1571"/>
  <c r="E1571"/>
  <c r="D1571"/>
  <c r="C1571"/>
  <c r="B1571"/>
  <c r="J1570"/>
  <c r="I1570"/>
  <c r="H1570"/>
  <c r="E1570"/>
  <c r="D1570"/>
  <c r="C1570"/>
  <c r="B1570"/>
  <c r="J1569"/>
  <c r="I1569"/>
  <c r="H1569"/>
  <c r="E1569"/>
  <c r="D1569"/>
  <c r="C1569"/>
  <c r="B1569"/>
  <c r="J1568"/>
  <c r="I1568"/>
  <c r="H1568"/>
  <c r="E1568"/>
  <c r="D1568"/>
  <c r="C1568"/>
  <c r="B1568"/>
  <c r="J1567"/>
  <c r="I1567"/>
  <c r="H1567"/>
  <c r="E1567"/>
  <c r="D1567"/>
  <c r="C1567"/>
  <c r="B1567"/>
  <c r="J1566"/>
  <c r="I1566"/>
  <c r="H1566"/>
  <c r="E1566"/>
  <c r="D1566"/>
  <c r="C1566"/>
  <c r="B1566"/>
  <c r="J1565"/>
  <c r="I1565"/>
  <c r="H1565"/>
  <c r="E1565"/>
  <c r="D1565"/>
  <c r="C1565"/>
  <c r="B1565"/>
  <c r="A1565"/>
  <c r="J1564"/>
  <c r="I1564"/>
  <c r="H1564"/>
  <c r="E1564"/>
  <c r="D1564"/>
  <c r="C1564"/>
  <c r="B1564"/>
  <c r="A1564"/>
  <c r="J1563"/>
  <c r="I1563"/>
  <c r="H1563"/>
  <c r="B1563"/>
  <c r="J1562"/>
  <c r="I1562"/>
  <c r="H1562"/>
  <c r="B1562"/>
  <c r="N1784" i="1"/>
  <c r="M1784"/>
  <c r="N1783"/>
  <c r="M1783"/>
  <c r="N1782"/>
  <c r="M1782"/>
  <c r="N1781"/>
  <c r="M1781"/>
  <c r="N1780"/>
  <c r="M1780"/>
  <c r="N1779"/>
  <c r="M1779"/>
  <c r="N1778"/>
  <c r="M1778"/>
  <c r="N1777"/>
  <c r="M1777"/>
  <c r="N1776"/>
  <c r="M1776"/>
  <c r="N1775"/>
  <c r="M1775"/>
  <c r="N1774"/>
  <c r="M1774"/>
  <c r="N1773"/>
  <c r="M1773"/>
  <c r="N1772"/>
  <c r="M1772"/>
  <c r="N1771"/>
  <c r="M1771"/>
  <c r="N1770"/>
  <c r="M1770"/>
  <c r="N1769"/>
  <c r="M1769"/>
  <c r="N1768"/>
  <c r="M1768"/>
  <c r="N1767"/>
  <c r="M1767"/>
  <c r="N1766"/>
  <c r="M1766"/>
  <c r="N1765"/>
  <c r="M1765"/>
  <c r="N1764"/>
  <c r="M1764"/>
  <c r="N1763"/>
  <c r="M1763"/>
  <c r="N1762"/>
  <c r="M1762"/>
  <c r="N1761"/>
  <c r="M1761"/>
  <c r="N1759"/>
  <c r="M1759"/>
  <c r="N1758"/>
  <c r="M1758"/>
  <c r="N1757"/>
  <c r="M1757"/>
  <c r="N1756"/>
  <c r="M1756"/>
  <c r="N1755"/>
  <c r="M1755"/>
  <c r="N1754"/>
  <c r="M1754"/>
  <c r="N1753"/>
  <c r="M1753"/>
  <c r="N1752"/>
  <c r="M1752"/>
  <c r="N1751"/>
  <c r="M1751"/>
  <c r="N1750"/>
  <c r="M1750"/>
  <c r="N1749"/>
  <c r="M1749"/>
  <c r="N1748"/>
  <c r="M1748"/>
  <c r="N1747"/>
  <c r="M1747"/>
  <c r="N1746"/>
  <c r="M1746"/>
  <c r="N1745"/>
  <c r="M1745"/>
  <c r="N1744"/>
  <c r="M1744"/>
  <c r="N1743"/>
  <c r="M1743"/>
  <c r="N1742"/>
  <c r="M1742"/>
  <c r="N1741"/>
  <c r="M1741"/>
  <c r="N1740"/>
  <c r="M1740"/>
  <c r="N1739"/>
  <c r="M1739"/>
  <c r="N1738"/>
  <c r="M1738"/>
  <c r="N1737"/>
  <c r="M1737"/>
  <c r="N1736"/>
  <c r="M1736"/>
  <c r="N1735"/>
  <c r="M1735"/>
  <c r="N1734"/>
  <c r="M1734"/>
  <c r="N1733"/>
  <c r="M1733"/>
  <c r="N1732"/>
  <c r="M1732"/>
  <c r="N1731"/>
  <c r="M1731"/>
  <c r="N1730"/>
  <c r="M1730"/>
  <c r="N1729"/>
  <c r="M1729"/>
  <c r="N1728"/>
  <c r="M1728"/>
  <c r="N1727"/>
  <c r="M1727"/>
  <c r="N1725"/>
  <c r="M1725"/>
  <c r="N1724"/>
  <c r="M1724"/>
  <c r="N1723"/>
  <c r="M1723"/>
  <c r="N1722"/>
  <c r="M1722"/>
  <c r="N1721"/>
  <c r="M1721"/>
  <c r="N1720"/>
  <c r="M1720"/>
  <c r="N1719"/>
  <c r="M1719"/>
  <c r="N1718"/>
  <c r="M1718"/>
  <c r="N1717"/>
  <c r="M1717"/>
  <c r="N1716"/>
  <c r="M1716"/>
  <c r="N1715"/>
  <c r="M1715"/>
  <c r="N1714"/>
  <c r="M1714"/>
  <c r="N1713"/>
  <c r="M1713"/>
  <c r="N1712"/>
  <c r="M1712"/>
  <c r="N1711"/>
  <c r="M1711"/>
  <c r="N1710"/>
  <c r="M1710"/>
  <c r="N1709"/>
  <c r="M1709"/>
  <c r="N1708"/>
  <c r="M1708"/>
  <c r="N1707"/>
  <c r="M1707"/>
  <c r="N1706"/>
  <c r="M1706"/>
  <c r="N1705"/>
  <c r="M1705"/>
  <c r="N1704"/>
  <c r="M1704"/>
  <c r="N1703"/>
  <c r="M1703"/>
  <c r="N1702"/>
  <c r="M1702"/>
  <c r="N1701"/>
  <c r="M1701"/>
  <c r="N1700"/>
  <c r="M1700"/>
  <c r="N1699"/>
  <c r="M1699"/>
  <c r="N1698"/>
  <c r="M1698"/>
  <c r="N1697"/>
  <c r="M1697"/>
  <c r="N1696"/>
  <c r="M1696"/>
  <c r="N1695"/>
  <c r="M1695"/>
  <c r="N1694"/>
  <c r="M1694"/>
  <c r="N1693"/>
  <c r="M1693"/>
  <c r="N1692"/>
  <c r="M1692"/>
  <c r="N1691"/>
  <c r="M1691"/>
  <c r="N1690"/>
  <c r="M1690"/>
  <c r="N1689"/>
  <c r="M1689"/>
  <c r="N1688"/>
  <c r="M1688"/>
  <c r="N1687"/>
  <c r="M1687"/>
  <c r="N1686"/>
  <c r="M1686"/>
  <c r="N1685"/>
  <c r="M1685"/>
  <c r="N1684"/>
  <c r="M1684"/>
  <c r="N1683"/>
  <c r="M1683"/>
  <c r="N1682"/>
  <c r="M1682"/>
  <c r="N1681"/>
  <c r="M1681"/>
  <c r="N1680"/>
  <c r="M1680"/>
  <c r="N1679"/>
  <c r="M1679"/>
  <c r="N1678"/>
  <c r="M1678"/>
  <c r="N1677"/>
  <c r="M1677"/>
  <c r="N1676"/>
  <c r="M1676"/>
  <c r="N1674"/>
  <c r="M1674"/>
  <c r="N1673"/>
  <c r="M1673"/>
  <c r="N1672"/>
  <c r="M1672"/>
  <c r="N1671"/>
  <c r="M1671"/>
  <c r="N1670"/>
  <c r="M1670"/>
  <c r="N1669"/>
  <c r="M1669"/>
  <c r="N1668"/>
  <c r="M1668"/>
  <c r="N1667"/>
  <c r="M1667"/>
  <c r="N1666"/>
  <c r="M1666"/>
  <c r="N1665"/>
  <c r="M1665"/>
  <c r="N1664"/>
  <c r="M1664"/>
  <c r="N1663"/>
  <c r="M1663"/>
  <c r="N1662"/>
  <c r="M1662"/>
  <c r="N1661"/>
  <c r="M1661"/>
  <c r="N1660"/>
  <c r="M1660"/>
  <c r="N1659"/>
  <c r="M1659"/>
  <c r="N1658"/>
  <c r="M1658"/>
  <c r="N1657"/>
  <c r="M1657"/>
  <c r="N1656"/>
  <c r="M1656"/>
  <c r="N1655"/>
  <c r="M1655"/>
  <c r="N1654"/>
  <c r="M1654"/>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028" i="2"/>
  <c r="I1028"/>
  <c r="H1028"/>
  <c r="J1027"/>
  <c r="I1027"/>
  <c r="H1027"/>
  <c r="J1026"/>
  <c r="I1026"/>
  <c r="H1026"/>
  <c r="J1025"/>
  <c r="I1025"/>
  <c r="H1025"/>
  <c r="J1024"/>
  <c r="I1024"/>
  <c r="H1024"/>
  <c r="J1023"/>
  <c r="I1023"/>
  <c r="H1023"/>
  <c r="J1022"/>
  <c r="I1022"/>
  <c r="H1022"/>
  <c r="J1021"/>
  <c r="I1021"/>
  <c r="H1021"/>
  <c r="J1020"/>
  <c r="I1020"/>
  <c r="H1020"/>
  <c r="J1019"/>
  <c r="I1019"/>
  <c r="H1019"/>
  <c r="J1018"/>
  <c r="I1018"/>
  <c r="H1018"/>
  <c r="J1017"/>
  <c r="I1017"/>
  <c r="H1017"/>
  <c r="J1016"/>
  <c r="I1016"/>
  <c r="H1016"/>
  <c r="J1015"/>
  <c r="I1015"/>
  <c r="H1015"/>
  <c r="J1014"/>
  <c r="I1014"/>
  <c r="H1014"/>
  <c r="J1013"/>
  <c r="I1013"/>
  <c r="H1013"/>
  <c r="J1012"/>
  <c r="I1012"/>
  <c r="H1012"/>
  <c r="J1011"/>
  <c r="I1011"/>
  <c r="H1011"/>
  <c r="J1010"/>
  <c r="I1010"/>
  <c r="H1010"/>
  <c r="J1009"/>
  <c r="I1009"/>
  <c r="H1009"/>
  <c r="J1008"/>
  <c r="I1008"/>
  <c r="H1008"/>
  <c r="J1007"/>
  <c r="I1007"/>
  <c r="H1007"/>
  <c r="J1006"/>
  <c r="I1006"/>
  <c r="H1006"/>
  <c r="J1005"/>
  <c r="I1005"/>
  <c r="H1005"/>
  <c r="J1004"/>
  <c r="I1004"/>
  <c r="H1004"/>
  <c r="J1003"/>
  <c r="I1003"/>
  <c r="H1003"/>
  <c r="J1002"/>
  <c r="I1002"/>
  <c r="H1002"/>
  <c r="J1001"/>
  <c r="I1001"/>
  <c r="H1001"/>
  <c r="J1000"/>
  <c r="I1000"/>
  <c r="H1000"/>
  <c r="J999"/>
  <c r="I999"/>
  <c r="H999"/>
  <c r="J998"/>
  <c r="I998"/>
  <c r="H998"/>
  <c r="J997"/>
  <c r="I997"/>
  <c r="H997"/>
  <c r="J996"/>
  <c r="I996"/>
  <c r="H996"/>
  <c r="C1028"/>
  <c r="B1028"/>
  <c r="C1027"/>
  <c r="B1027"/>
  <c r="C1026"/>
  <c r="B1026"/>
  <c r="C1025"/>
  <c r="B1025"/>
  <c r="C1024"/>
  <c r="B1024"/>
  <c r="C1023"/>
  <c r="B1023"/>
  <c r="C1022"/>
  <c r="B1022"/>
  <c r="C1021"/>
  <c r="B1021"/>
  <c r="C1020"/>
  <c r="B1020"/>
  <c r="C1019"/>
  <c r="B1019"/>
  <c r="C1018"/>
  <c r="B1018"/>
  <c r="C1017"/>
  <c r="B1017"/>
  <c r="C1016"/>
  <c r="B1016"/>
  <c r="C1015"/>
  <c r="B1015"/>
  <c r="C1014"/>
  <c r="B1014"/>
  <c r="C1013"/>
  <c r="B1013"/>
  <c r="C1012"/>
  <c r="B1012"/>
  <c r="C1011"/>
  <c r="B1011"/>
  <c r="C1010"/>
  <c r="B1010"/>
  <c r="C1009"/>
  <c r="B1009"/>
  <c r="C1008"/>
  <c r="B1008"/>
  <c r="C1007"/>
  <c r="B1007"/>
  <c r="C1006"/>
  <c r="B1006"/>
  <c r="C1005"/>
  <c r="B1005"/>
  <c r="C1004"/>
  <c r="B1004"/>
  <c r="C1003"/>
  <c r="B1003"/>
  <c r="C1002"/>
  <c r="B1002"/>
  <c r="C1001"/>
  <c r="B1001"/>
  <c r="J2041" i="1"/>
  <c r="J2040"/>
  <c r="J2039"/>
  <c r="J2038"/>
  <c r="J2037"/>
  <c r="E2041"/>
  <c r="F2040"/>
  <c r="E2040"/>
  <c r="F2039"/>
  <c r="E2039"/>
  <c r="F2038"/>
  <c r="E2038"/>
  <c r="E2037"/>
  <c r="M2035"/>
  <c r="K2035"/>
  <c r="J2035"/>
  <c r="F2041"/>
  <c r="F2035"/>
  <c r="M2034"/>
  <c r="K2034"/>
  <c r="J2034"/>
  <c r="N2034"/>
  <c r="F2034"/>
  <c r="M2033"/>
  <c r="K2033"/>
  <c r="J2033"/>
  <c r="N2033"/>
  <c r="F2033"/>
  <c r="M2032"/>
  <c r="K2032"/>
  <c r="J2032"/>
  <c r="N2032"/>
  <c r="F2032"/>
  <c r="M2031"/>
  <c r="K2031"/>
  <c r="J2031"/>
  <c r="F2037"/>
  <c r="F2031"/>
  <c r="P1121"/>
  <c r="O1121"/>
  <c r="P1120"/>
  <c r="O1120"/>
  <c r="P1119"/>
  <c r="O1119"/>
  <c r="O1118"/>
  <c r="D1028" i="2"/>
  <c r="O1117" i="1"/>
  <c r="D1027" i="2"/>
  <c r="O1116" i="1"/>
  <c r="D1026" i="2"/>
  <c r="O1115" i="1"/>
  <c r="D1025" i="2"/>
  <c r="O1114" i="1"/>
  <c r="D1024" i="2"/>
  <c r="O1113" i="1"/>
  <c r="D1023" i="2"/>
  <c r="O1112" i="1"/>
  <c r="D1022" i="2"/>
  <c r="O1111" i="1"/>
  <c r="D1021" i="2"/>
  <c r="O1110" i="1"/>
  <c r="D1020" i="2"/>
  <c r="O1109" i="1"/>
  <c r="D1019" i="2"/>
  <c r="O1108" i="1"/>
  <c r="D1018" i="2"/>
  <c r="O1107" i="1"/>
  <c r="D1017" i="2"/>
  <c r="O1106" i="1"/>
  <c r="D1016" i="2"/>
  <c r="O1105" i="1"/>
  <c r="D1015" i="2"/>
  <c r="O1104" i="1"/>
  <c r="D1014" i="2"/>
  <c r="O1103" i="1"/>
  <c r="D1013" i="2"/>
  <c r="O1102" i="1"/>
  <c r="D1012" i="2"/>
  <c r="O1101" i="1"/>
  <c r="D1011" i="2"/>
  <c r="O1100" i="1"/>
  <c r="D1010" i="2"/>
  <c r="O1099" i="1"/>
  <c r="D1009" i="2"/>
  <c r="O1098" i="1"/>
  <c r="D1008" i="2"/>
  <c r="O1097" i="1"/>
  <c r="D1007" i="2"/>
  <c r="O1096" i="1"/>
  <c r="D1006" i="2"/>
  <c r="O1095" i="1"/>
  <c r="D1005" i="2"/>
  <c r="O1094" i="1"/>
  <c r="D1004" i="2"/>
  <c r="O1093" i="1"/>
  <c r="D1003" i="2"/>
  <c r="O1092" i="1"/>
  <c r="D1002" i="2"/>
  <c r="O1091" i="1"/>
  <c r="D1001" i="2"/>
  <c r="O1090" i="1"/>
  <c r="D1000" i="2"/>
  <c r="O1089" i="1"/>
  <c r="D999" i="2"/>
  <c r="O1088" i="1"/>
  <c r="D998" i="2"/>
  <c r="O1087" i="1"/>
  <c r="D997" i="2"/>
  <c r="O1086" i="1"/>
  <c r="D996" i="2"/>
  <c r="O1085" i="1"/>
  <c r="D995" i="2"/>
  <c r="O1084" i="1"/>
  <c r="D994" i="2"/>
  <c r="O1083" i="1"/>
  <c r="D993" i="2"/>
  <c r="O1082" i="1"/>
  <c r="D992" i="2"/>
  <c r="O1081" i="1"/>
  <c r="D991" i="2"/>
  <c r="M1118" i="1"/>
  <c r="P1118"/>
  <c r="E1028" i="2"/>
  <c r="F1028"/>
  <c r="M1117" i="1"/>
  <c r="P1117"/>
  <c r="E1027" i="2"/>
  <c r="F1027"/>
  <c r="M1116" i="1"/>
  <c r="P1116"/>
  <c r="E1026" i="2"/>
  <c r="F1026"/>
  <c r="M1115" i="1"/>
  <c r="P1115"/>
  <c r="E1025" i="2"/>
  <c r="F1025"/>
  <c r="M1114" i="1"/>
  <c r="P1114"/>
  <c r="E1024" i="2"/>
  <c r="F1024"/>
  <c r="M1113" i="1"/>
  <c r="P1113"/>
  <c r="E1023" i="2"/>
  <c r="F1023"/>
  <c r="M1112" i="1"/>
  <c r="P1112"/>
  <c r="E1022" i="2"/>
  <c r="F1022"/>
  <c r="M1111" i="1"/>
  <c r="P1111"/>
  <c r="E1021" i="2"/>
  <c r="F1021"/>
  <c r="M1110" i="1"/>
  <c r="P1110"/>
  <c r="E1020" i="2"/>
  <c r="F1020"/>
  <c r="M1109" i="1"/>
  <c r="P1109"/>
  <c r="E1019" i="2"/>
  <c r="F1019"/>
  <c r="M1108" i="1"/>
  <c r="P1108"/>
  <c r="E1018" i="2"/>
  <c r="F1018"/>
  <c r="M1107" i="1"/>
  <c r="P1107"/>
  <c r="E1017" i="2"/>
  <c r="F1017"/>
  <c r="M1106" i="1"/>
  <c r="P1106"/>
  <c r="E1016" i="2"/>
  <c r="F1016"/>
  <c r="M1105" i="1"/>
  <c r="P1105"/>
  <c r="E1015" i="2"/>
  <c r="F1015"/>
  <c r="M1104" i="1"/>
  <c r="P1104"/>
  <c r="E1014" i="2"/>
  <c r="F1014"/>
  <c r="M1103" i="1"/>
  <c r="P1103"/>
  <c r="E1013" i="2"/>
  <c r="F1013"/>
  <c r="M1102" i="1"/>
  <c r="P1102"/>
  <c r="E1012" i="2"/>
  <c r="F1012"/>
  <c r="M1101" i="1"/>
  <c r="P1101"/>
  <c r="E1011" i="2"/>
  <c r="F1011"/>
  <c r="M1100" i="1"/>
  <c r="P1100"/>
  <c r="E1010" i="2"/>
  <c r="F1010"/>
  <c r="M1099" i="1"/>
  <c r="P1099"/>
  <c r="E1009" i="2"/>
  <c r="F1009"/>
  <c r="M1098" i="1"/>
  <c r="P1098"/>
  <c r="E1008" i="2"/>
  <c r="F1008"/>
  <c r="M1097" i="1"/>
  <c r="P1097"/>
  <c r="E1007" i="2"/>
  <c r="F1007"/>
  <c r="M1096" i="1"/>
  <c r="P1096"/>
  <c r="E1006" i="2"/>
  <c r="F1006"/>
  <c r="M1095" i="1"/>
  <c r="P1095"/>
  <c r="E1005" i="2"/>
  <c r="F1005"/>
  <c r="M1094" i="1"/>
  <c r="P1094"/>
  <c r="E1004" i="2"/>
  <c r="F1004"/>
  <c r="M1093" i="1"/>
  <c r="P1093"/>
  <c r="E1003" i="2"/>
  <c r="F1003"/>
  <c r="M1092" i="1"/>
  <c r="P1092"/>
  <c r="E1002" i="2"/>
  <c r="F1002"/>
  <c r="M1091" i="1"/>
  <c r="P1091"/>
  <c r="E1001" i="2"/>
  <c r="F1001"/>
  <c r="M1090" i="1"/>
  <c r="P1090"/>
  <c r="E1000" i="2"/>
  <c r="F1000"/>
  <c r="M1089" i="1"/>
  <c r="P1089"/>
  <c r="E999" i="2"/>
  <c r="F999"/>
  <c r="M1088" i="1"/>
  <c r="P1088"/>
  <c r="E998" i="2"/>
  <c r="F998"/>
  <c r="M1087" i="1"/>
  <c r="P1087"/>
  <c r="E997" i="2"/>
  <c r="F997"/>
  <c r="M1086" i="1"/>
  <c r="P1086"/>
  <c r="E996" i="2"/>
  <c r="F996"/>
  <c r="M1085" i="1"/>
  <c r="P1085"/>
  <c r="E995" i="2"/>
  <c r="F995"/>
  <c r="M1084" i="1"/>
  <c r="P1084"/>
  <c r="E994" i="2"/>
  <c r="F994"/>
  <c r="M1083" i="1"/>
  <c r="P1083"/>
  <c r="E993" i="2"/>
  <c r="F993"/>
  <c r="M1082" i="1"/>
  <c r="P1082"/>
  <c r="E992" i="2"/>
  <c r="F992"/>
  <c r="M1081" i="1"/>
  <c r="P1081"/>
  <c r="E991" i="2"/>
  <c r="F991"/>
  <c r="A1082" i="1"/>
  <c r="A1083"/>
  <c r="C1000" i="2"/>
  <c r="B1000"/>
  <c r="C999"/>
  <c r="B999"/>
  <c r="C998"/>
  <c r="B998"/>
  <c r="C997"/>
  <c r="B997"/>
  <c r="C996"/>
  <c r="B996"/>
  <c r="J995"/>
  <c r="I995"/>
  <c r="H995"/>
  <c r="C995"/>
  <c r="B995"/>
  <c r="J994"/>
  <c r="I994"/>
  <c r="H994"/>
  <c r="C994"/>
  <c r="B994"/>
  <c r="J993"/>
  <c r="I993"/>
  <c r="H993"/>
  <c r="C993"/>
  <c r="B993"/>
  <c r="J992"/>
  <c r="I992"/>
  <c r="H992"/>
  <c r="C992"/>
  <c r="B992"/>
  <c r="J991"/>
  <c r="I991"/>
  <c r="H991"/>
  <c r="C991"/>
  <c r="B991"/>
  <c r="A991"/>
  <c r="J990"/>
  <c r="I990"/>
  <c r="H990"/>
  <c r="J96"/>
  <c r="I96"/>
  <c r="H96"/>
  <c r="C96"/>
  <c r="B96"/>
  <c r="A96"/>
  <c r="J94"/>
  <c r="I94"/>
  <c r="H94"/>
  <c r="C94"/>
  <c r="B94"/>
  <c r="A94"/>
  <c r="J92"/>
  <c r="I92"/>
  <c r="H92"/>
  <c r="C92"/>
  <c r="B92"/>
  <c r="A92"/>
  <c r="J90"/>
  <c r="I90"/>
  <c r="H90"/>
  <c r="C90"/>
  <c r="B90"/>
  <c r="A90"/>
  <c r="J88"/>
  <c r="I88"/>
  <c r="H88"/>
  <c r="C88"/>
  <c r="B88"/>
  <c r="A88"/>
  <c r="J87"/>
  <c r="I87"/>
  <c r="H87"/>
  <c r="C87"/>
  <c r="B87"/>
  <c r="A87"/>
  <c r="J84"/>
  <c r="I84"/>
  <c r="H84"/>
  <c r="C84"/>
  <c r="B84"/>
  <c r="A84"/>
  <c r="B83"/>
  <c r="H83"/>
  <c r="I83"/>
  <c r="J83"/>
  <c r="J82"/>
  <c r="I82"/>
  <c r="H82"/>
  <c r="C82"/>
  <c r="B82"/>
  <c r="A82"/>
  <c r="J80"/>
  <c r="I80"/>
  <c r="H80"/>
  <c r="C80"/>
  <c r="B80"/>
  <c r="A80"/>
  <c r="J79"/>
  <c r="I79"/>
  <c r="H79"/>
  <c r="C79"/>
  <c r="B79"/>
  <c r="A79"/>
  <c r="J77"/>
  <c r="I77"/>
  <c r="H77"/>
  <c r="C77"/>
  <c r="B77"/>
  <c r="A77"/>
  <c r="J76"/>
  <c r="I76"/>
  <c r="H76"/>
  <c r="C76"/>
  <c r="B76"/>
  <c r="A76"/>
  <c r="J95"/>
  <c r="I95"/>
  <c r="H95"/>
  <c r="B95"/>
  <c r="J93"/>
  <c r="I93"/>
  <c r="H93"/>
  <c r="B93"/>
  <c r="J91"/>
  <c r="I91"/>
  <c r="H91"/>
  <c r="B91"/>
  <c r="J89"/>
  <c r="I89"/>
  <c r="H89"/>
  <c r="B89"/>
  <c r="J86"/>
  <c r="I86"/>
  <c r="H86"/>
  <c r="B86"/>
  <c r="J85"/>
  <c r="I85"/>
  <c r="H85"/>
  <c r="B85"/>
  <c r="J81"/>
  <c r="I81"/>
  <c r="H81"/>
  <c r="B81"/>
  <c r="J78"/>
  <c r="I78"/>
  <c r="H78"/>
  <c r="B78"/>
  <c r="L701" i="1"/>
  <c r="L700"/>
  <c r="L699"/>
  <c r="L697"/>
  <c r="L696"/>
  <c r="L695"/>
  <c r="L692"/>
  <c r="L691"/>
  <c r="L690"/>
  <c r="L689"/>
  <c r="L688"/>
  <c r="L687"/>
  <c r="L686"/>
  <c r="L685"/>
  <c r="L2014"/>
  <c r="L2013"/>
  <c r="L2012"/>
  <c r="L2011"/>
  <c r="L2010"/>
  <c r="L2009"/>
  <c r="L2007"/>
  <c r="L2006"/>
  <c r="L2004"/>
  <c r="L2003"/>
  <c r="L2001"/>
  <c r="L2000"/>
  <c r="L1998"/>
  <c r="P1998"/>
  <c r="E1908" i="2"/>
  <c r="L1997" i="1"/>
  <c r="L1995"/>
  <c r="L1994"/>
  <c r="L1991"/>
  <c r="L1990"/>
  <c r="L1988"/>
  <c r="L1987"/>
  <c r="L1985"/>
  <c r="L1984"/>
  <c r="L1982"/>
  <c r="L1981"/>
  <c r="L1979"/>
  <c r="L1978"/>
  <c r="L1976"/>
  <c r="L1975"/>
  <c r="L1973"/>
  <c r="L1972"/>
  <c r="L1970"/>
  <c r="L1969"/>
  <c r="L1967"/>
  <c r="L1966"/>
  <c r="L1964"/>
  <c r="P1964"/>
  <c r="E1874" i="2"/>
  <c r="L1963" i="1"/>
  <c r="L1961"/>
  <c r="L1960"/>
  <c r="L1958"/>
  <c r="L1957"/>
  <c r="L1953"/>
  <c r="L1950"/>
  <c r="L1949"/>
  <c r="L1947"/>
  <c r="L1946"/>
  <c r="L1944"/>
  <c r="L1943"/>
  <c r="L1941"/>
  <c r="L1940"/>
  <c r="L1938"/>
  <c r="L1937"/>
  <c r="L1935"/>
  <c r="L1934"/>
  <c r="L1932"/>
  <c r="L1931"/>
  <c r="L1929"/>
  <c r="L1928"/>
  <c r="L1926"/>
  <c r="L1925"/>
  <c r="L1922"/>
  <c r="L1921"/>
  <c r="L1920"/>
  <c r="L1919"/>
  <c r="L1918"/>
  <c r="L1917"/>
  <c r="L1915"/>
  <c r="L1914"/>
  <c r="L1913"/>
  <c r="L1912"/>
  <c r="L1911"/>
  <c r="L1910"/>
  <c r="L1909"/>
  <c r="L1907"/>
  <c r="L1906"/>
  <c r="L1905"/>
  <c r="L1903"/>
  <c r="L1902"/>
  <c r="L1900"/>
  <c r="L1899"/>
  <c r="L1897"/>
  <c r="L1896"/>
  <c r="L1894"/>
  <c r="L1893"/>
  <c r="L1891"/>
  <c r="L1890"/>
  <c r="L1888"/>
  <c r="L1887"/>
  <c r="L1885"/>
  <c r="L1884"/>
  <c r="L1882"/>
  <c r="L1881"/>
  <c r="L1879"/>
  <c r="L1878"/>
  <c r="L1876"/>
  <c r="L1875"/>
  <c r="L1873"/>
  <c r="L1872"/>
  <c r="L1870"/>
  <c r="L1869"/>
  <c r="D1955"/>
  <c r="L1955"/>
  <c r="P1955"/>
  <c r="E1865" i="2"/>
  <c r="D1954" i="1"/>
  <c r="L1954"/>
  <c r="D1952"/>
  <c r="L1952"/>
  <c r="M1865"/>
  <c r="M1864"/>
  <c r="M1863"/>
  <c r="M1862"/>
  <c r="M1861"/>
  <c r="M1860"/>
  <c r="M1859"/>
  <c r="M1858"/>
  <c r="N1857"/>
  <c r="M1857"/>
  <c r="M1856"/>
  <c r="M1855"/>
  <c r="M1854"/>
  <c r="M1853"/>
  <c r="M1852"/>
  <c r="M1851"/>
  <c r="M1850"/>
  <c r="M1849"/>
  <c r="M1848"/>
  <c r="M1847"/>
  <c r="M1846"/>
  <c r="M1845"/>
  <c r="M1844"/>
  <c r="M1843"/>
  <c r="M1842"/>
  <c r="M1841"/>
  <c r="M470"/>
  <c r="P470"/>
  <c r="E456" i="2"/>
  <c r="M469" i="1"/>
  <c r="M468"/>
  <c r="M467"/>
  <c r="M466"/>
  <c r="M465"/>
  <c r="M463"/>
  <c r="M459"/>
  <c r="M458"/>
  <c r="M456"/>
  <c r="M455"/>
  <c r="M453"/>
  <c r="M452"/>
  <c r="M451"/>
  <c r="M447"/>
  <c r="M446"/>
  <c r="M445"/>
  <c r="M444"/>
  <c r="P444"/>
  <c r="E430" i="2"/>
  <c r="M443" i="1"/>
  <c r="M442"/>
  <c r="M441"/>
  <c r="P441"/>
  <c r="E427" i="2"/>
  <c r="M440" i="1"/>
  <c r="M439"/>
  <c r="M438"/>
  <c r="M437"/>
  <c r="P437"/>
  <c r="E423" i="2"/>
  <c r="M436" i="1"/>
  <c r="P436"/>
  <c r="E422" i="2"/>
  <c r="M435" i="1"/>
  <c r="M434"/>
  <c r="M433"/>
  <c r="P433"/>
  <c r="E419" i="2"/>
  <c r="M426" i="1"/>
  <c r="P426"/>
  <c r="E412" i="2"/>
  <c r="M425" i="1"/>
  <c r="M424"/>
  <c r="P424"/>
  <c r="E410" i="2"/>
  <c r="M423" i="1"/>
  <c r="P423"/>
  <c r="E409" i="2"/>
  <c r="M422" i="1"/>
  <c r="M420"/>
  <c r="M419"/>
  <c r="M418"/>
  <c r="M417"/>
  <c r="M415"/>
  <c r="M414"/>
  <c r="M413"/>
  <c r="P413"/>
  <c r="E399" i="2"/>
  <c r="M412" i="1"/>
  <c r="M411"/>
  <c r="M410"/>
  <c r="P410"/>
  <c r="E396" i="2"/>
  <c r="E431" i="1"/>
  <c r="M431"/>
  <c r="P431"/>
  <c r="E417" i="2"/>
  <c r="E430" i="1"/>
  <c r="M430"/>
  <c r="P430"/>
  <c r="E416" i="2"/>
  <c r="E429" i="1"/>
  <c r="M429"/>
  <c r="P429"/>
  <c r="E415" i="2"/>
  <c r="E428" i="1"/>
  <c r="M428"/>
  <c r="P428"/>
  <c r="E414" i="2"/>
  <c r="E427" i="1"/>
  <c r="M427"/>
  <c r="P427"/>
  <c r="E413" i="2"/>
  <c r="P332" i="1"/>
  <c r="E318" i="2"/>
  <c r="L94" i="1"/>
  <c r="P94"/>
  <c r="E82" i="2"/>
  <c r="M1073" i="1"/>
  <c r="P1073"/>
  <c r="M1072"/>
  <c r="P1072"/>
  <c r="M1071"/>
  <c r="P1071"/>
  <c r="M1070"/>
  <c r="P1070"/>
  <c r="M1069"/>
  <c r="P1069"/>
  <c r="E983" i="2"/>
  <c r="M1068" i="1"/>
  <c r="P1068"/>
  <c r="E982" i="2"/>
  <c r="M1067" i="1"/>
  <c r="P1067"/>
  <c r="M1066"/>
  <c r="P1066"/>
  <c r="M1065"/>
  <c r="P1065"/>
  <c r="M1064"/>
  <c r="P1064"/>
  <c r="M1063"/>
  <c r="P1063"/>
  <c r="M1062"/>
  <c r="P1062"/>
  <c r="M1061"/>
  <c r="P1061"/>
  <c r="M1060"/>
  <c r="P1060"/>
  <c r="M1059"/>
  <c r="P1059"/>
  <c r="M1058"/>
  <c r="P1058"/>
  <c r="M1057"/>
  <c r="M1056"/>
  <c r="M1055"/>
  <c r="M1054"/>
  <c r="M1053"/>
  <c r="M1052"/>
  <c r="M1051"/>
  <c r="M1050"/>
  <c r="P1050"/>
  <c r="M1049"/>
  <c r="P1049"/>
  <c r="M1048"/>
  <c r="P1048"/>
  <c r="M1047"/>
  <c r="P1047"/>
  <c r="M1046"/>
  <c r="P1046"/>
  <c r="M1045"/>
  <c r="P1045"/>
  <c r="M1044"/>
  <c r="M1043"/>
  <c r="P1043"/>
  <c r="E981" i="2"/>
  <c r="M1042" i="1"/>
  <c r="P1042"/>
  <c r="M1041"/>
  <c r="P1041"/>
  <c r="E980" i="2"/>
  <c r="J1073" i="1"/>
  <c r="N1073"/>
  <c r="J1072"/>
  <c r="N1072"/>
  <c r="J1071"/>
  <c r="N1071"/>
  <c r="J1070"/>
  <c r="N1070"/>
  <c r="J1069"/>
  <c r="N1069"/>
  <c r="J1068"/>
  <c r="N1068"/>
  <c r="J1067"/>
  <c r="N1067"/>
  <c r="J1066"/>
  <c r="N1066"/>
  <c r="J1065"/>
  <c r="N1065"/>
  <c r="J1064"/>
  <c r="N1064"/>
  <c r="J1063"/>
  <c r="N1063"/>
  <c r="J1062"/>
  <c r="N1062"/>
  <c r="J1061"/>
  <c r="N1061"/>
  <c r="J1060"/>
  <c r="N1060"/>
  <c r="J1059"/>
  <c r="N1059"/>
  <c r="J1058"/>
  <c r="N1058"/>
  <c r="J1057"/>
  <c r="N1057"/>
  <c r="J1056"/>
  <c r="N1056"/>
  <c r="J1055"/>
  <c r="N1055"/>
  <c r="J1054"/>
  <c r="N1054"/>
  <c r="J1053"/>
  <c r="N1053"/>
  <c r="J1052"/>
  <c r="N1052"/>
  <c r="J1051"/>
  <c r="N1051"/>
  <c r="J1050"/>
  <c r="N1050"/>
  <c r="J1049"/>
  <c r="N1049"/>
  <c r="J1048"/>
  <c r="N1048"/>
  <c r="J1047"/>
  <c r="N1047"/>
  <c r="J1046"/>
  <c r="N1046"/>
  <c r="J1045"/>
  <c r="N1045"/>
  <c r="J1044"/>
  <c r="N1044"/>
  <c r="J1043"/>
  <c r="N1043"/>
  <c r="J1042"/>
  <c r="N1042"/>
  <c r="J1041"/>
  <c r="N1041"/>
  <c r="O1073"/>
  <c r="O1072"/>
  <c r="O1071"/>
  <c r="O1070"/>
  <c r="O1069"/>
  <c r="D983" i="2"/>
  <c r="O1050" i="1"/>
  <c r="O1067"/>
  <c r="O1066"/>
  <c r="O1065"/>
  <c r="O1064"/>
  <c r="O1063"/>
  <c r="O1062"/>
  <c r="O1061"/>
  <c r="O1060"/>
  <c r="O1059"/>
  <c r="O1058"/>
  <c r="O1049"/>
  <c r="O1048"/>
  <c r="O1047"/>
  <c r="O1046"/>
  <c r="O1045"/>
  <c r="O1068"/>
  <c r="D982" i="2"/>
  <c r="O1043" i="1"/>
  <c r="D981" i="2"/>
  <c r="O1042" i="1"/>
  <c r="O1041"/>
  <c r="D980" i="2"/>
  <c r="P1040" i="1"/>
  <c r="O1040"/>
  <c r="J376" i="2"/>
  <c r="I376"/>
  <c r="H376"/>
  <c r="C376"/>
  <c r="B376"/>
  <c r="J375"/>
  <c r="I375"/>
  <c r="H375"/>
  <c r="C375"/>
  <c r="B375"/>
  <c r="J374"/>
  <c r="I374"/>
  <c r="H374"/>
  <c r="C374"/>
  <c r="B374"/>
  <c r="K390" i="1"/>
  <c r="O390"/>
  <c r="D376" i="2"/>
  <c r="K389" i="1"/>
  <c r="O389"/>
  <c r="D375" i="2"/>
  <c r="M388" i="1"/>
  <c r="P388"/>
  <c r="E374" i="2"/>
  <c r="K388" i="1"/>
  <c r="O388"/>
  <c r="D374" i="2"/>
  <c r="O2014" i="1"/>
  <c r="D1924" i="2"/>
  <c r="O2013" i="1"/>
  <c r="D1923" i="2"/>
  <c r="O2012" i="1"/>
  <c r="D1922" i="2"/>
  <c r="O2011" i="1"/>
  <c r="O2010"/>
  <c r="D1920" i="2"/>
  <c r="O2009" i="1"/>
  <c r="D1919" i="2"/>
  <c r="P2008" i="1"/>
  <c r="E1918" i="2"/>
  <c r="O2008" i="1"/>
  <c r="D1918" i="2"/>
  <c r="O2007" i="1"/>
  <c r="O2006"/>
  <c r="D1916" i="2"/>
  <c r="P2005" i="1"/>
  <c r="E1915" i="2"/>
  <c r="O2005" i="1"/>
  <c r="D1915" i="2"/>
  <c r="O2004" i="1"/>
  <c r="D1914" i="2"/>
  <c r="O2003" i="1"/>
  <c r="D1913" i="2"/>
  <c r="P2002" i="1"/>
  <c r="E1912" i="2"/>
  <c r="O2002" i="1"/>
  <c r="D1912" i="2"/>
  <c r="O2001" i="1"/>
  <c r="D1911" i="2"/>
  <c r="O2000" i="1"/>
  <c r="D1910" i="2"/>
  <c r="P1999" i="1"/>
  <c r="E1909" i="2"/>
  <c r="O1999" i="1"/>
  <c r="D1909" i="2"/>
  <c r="O1998" i="1"/>
  <c r="D1908" i="2"/>
  <c r="O1997" i="1"/>
  <c r="P1996"/>
  <c r="E1906" i="2"/>
  <c r="O1996" i="1"/>
  <c r="D1906" i="2"/>
  <c r="O1995" i="1"/>
  <c r="O1994"/>
  <c r="D1904" i="2"/>
  <c r="P1993" i="1"/>
  <c r="E1903" i="2"/>
  <c r="O1993" i="1"/>
  <c r="D1903" i="2"/>
  <c r="P1992" i="1"/>
  <c r="O1992"/>
  <c r="D1902" i="2"/>
  <c r="O1991" i="1"/>
  <c r="D1901" i="2"/>
  <c r="O1990" i="1"/>
  <c r="D1900" i="2"/>
  <c r="P1989" i="1"/>
  <c r="E1899" i="2"/>
  <c r="O1989" i="1"/>
  <c r="D1899" i="2"/>
  <c r="O1988" i="1"/>
  <c r="D1898" i="2"/>
  <c r="O1987" i="1"/>
  <c r="P1986"/>
  <c r="E1896" i="2"/>
  <c r="O1986" i="1"/>
  <c r="D1896" i="2"/>
  <c r="O1985" i="1"/>
  <c r="D1895" i="2"/>
  <c r="O1984" i="1"/>
  <c r="D1894" i="2"/>
  <c r="P1983" i="1"/>
  <c r="E1893" i="2"/>
  <c r="O1983" i="1"/>
  <c r="O1982"/>
  <c r="D1892" i="2"/>
  <c r="O1981" i="1"/>
  <c r="P1980"/>
  <c r="O1980"/>
  <c r="D1890" i="2"/>
  <c r="O1979" i="1"/>
  <c r="D1889" i="2"/>
  <c r="O1978" i="1"/>
  <c r="D1888" i="2"/>
  <c r="P1977" i="1"/>
  <c r="E1887" i="2"/>
  <c r="O1977" i="1"/>
  <c r="D1887" i="2"/>
  <c r="O1976" i="1"/>
  <c r="D1886" i="2"/>
  <c r="O1975" i="1"/>
  <c r="P1974"/>
  <c r="E1884" i="2"/>
  <c r="O1974" i="1"/>
  <c r="D1884" i="2"/>
  <c r="O1973" i="1"/>
  <c r="D1883" i="2"/>
  <c r="O1972" i="1"/>
  <c r="D1882" i="2"/>
  <c r="P1971" i="1"/>
  <c r="O1971"/>
  <c r="O1970"/>
  <c r="D1880" i="2"/>
  <c r="O1969" i="1"/>
  <c r="P1968"/>
  <c r="E1878" i="2"/>
  <c r="O1968" i="1"/>
  <c r="D1878" i="2"/>
  <c r="O1967" i="1"/>
  <c r="D1877" i="2"/>
  <c r="O1966" i="1"/>
  <c r="D1876" i="2"/>
  <c r="P1965" i="1"/>
  <c r="E1875" i="2"/>
  <c r="O1965" i="1"/>
  <c r="O1964"/>
  <c r="D1874" i="2"/>
  <c r="O1963" i="1"/>
  <c r="D1873" i="2"/>
  <c r="P1962" i="1"/>
  <c r="E1872" i="2"/>
  <c r="O1962" i="1"/>
  <c r="D1872" i="2"/>
  <c r="O1961" i="1"/>
  <c r="D1871" i="2"/>
  <c r="O1960" i="1"/>
  <c r="D1870" i="2"/>
  <c r="P1959" i="1"/>
  <c r="E1869" i="2"/>
  <c r="O1959" i="1"/>
  <c r="D1869" i="2"/>
  <c r="O1958" i="1"/>
  <c r="D1868" i="2"/>
  <c r="O1957" i="1"/>
  <c r="D1867" i="2"/>
  <c r="P1956" i="1"/>
  <c r="E1866" i="2"/>
  <c r="O1956" i="1"/>
  <c r="D1866" i="2"/>
  <c r="O2016" i="1"/>
  <c r="D1926" i="2"/>
  <c r="O2017" i="1"/>
  <c r="D1927" i="2"/>
  <c r="O2021" i="1"/>
  <c r="D1931" i="2"/>
  <c r="O2022" i="1"/>
  <c r="D1932" i="2"/>
  <c r="O2023" i="1"/>
  <c r="D1933" i="2"/>
  <c r="O2024" i="1"/>
  <c r="D1934" i="2"/>
  <c r="O2025" i="1"/>
  <c r="D1935" i="2"/>
  <c r="E1881"/>
  <c r="J1935"/>
  <c r="I1935"/>
  <c r="H1935"/>
  <c r="C1935"/>
  <c r="B1935"/>
  <c r="J1934"/>
  <c r="I1934"/>
  <c r="H1934"/>
  <c r="C1934"/>
  <c r="B1934"/>
  <c r="J1933"/>
  <c r="I1933"/>
  <c r="H1933"/>
  <c r="C1933"/>
  <c r="B1933"/>
  <c r="J1932"/>
  <c r="I1932"/>
  <c r="H1932"/>
  <c r="C1932"/>
  <c r="B1932"/>
  <c r="J1931"/>
  <c r="I1931"/>
  <c r="H1931"/>
  <c r="C1931"/>
  <c r="B1931"/>
  <c r="J1930"/>
  <c r="I1930"/>
  <c r="H1930"/>
  <c r="C1930"/>
  <c r="B1930"/>
  <c r="J1929"/>
  <c r="I1929"/>
  <c r="H1929"/>
  <c r="C1929"/>
  <c r="B1929"/>
  <c r="J1928"/>
  <c r="I1928"/>
  <c r="H1928"/>
  <c r="C1928"/>
  <c r="B1928"/>
  <c r="J1927"/>
  <c r="I1927"/>
  <c r="H1927"/>
  <c r="C1927"/>
  <c r="B1927"/>
  <c r="J1926"/>
  <c r="I1926"/>
  <c r="H1926"/>
  <c r="C1926"/>
  <c r="B1926"/>
  <c r="A1926"/>
  <c r="J1925"/>
  <c r="I1925"/>
  <c r="H1925"/>
  <c r="B1925"/>
  <c r="A1925"/>
  <c r="J1924"/>
  <c r="I1924"/>
  <c r="H1924"/>
  <c r="C1924"/>
  <c r="B1924"/>
  <c r="J1923"/>
  <c r="I1923"/>
  <c r="H1923"/>
  <c r="C1923"/>
  <c r="B1923"/>
  <c r="J1922"/>
  <c r="I1922"/>
  <c r="H1922"/>
  <c r="C1922"/>
  <c r="B1922"/>
  <c r="J1921"/>
  <c r="I1921"/>
  <c r="H1921"/>
  <c r="D1921"/>
  <c r="C1921"/>
  <c r="B1921"/>
  <c r="J1920"/>
  <c r="I1920"/>
  <c r="H1920"/>
  <c r="C1920"/>
  <c r="B1920"/>
  <c r="J1919"/>
  <c r="I1919"/>
  <c r="H1919"/>
  <c r="C1919"/>
  <c r="B1919"/>
  <c r="J1918"/>
  <c r="I1918"/>
  <c r="H1918"/>
  <c r="C1918"/>
  <c r="B1918"/>
  <c r="A1918"/>
  <c r="J1917"/>
  <c r="I1917"/>
  <c r="H1917"/>
  <c r="D1917"/>
  <c r="C1917"/>
  <c r="B1917"/>
  <c r="J1916"/>
  <c r="I1916"/>
  <c r="H1916"/>
  <c r="C1916"/>
  <c r="B1916"/>
  <c r="J1915"/>
  <c r="I1915"/>
  <c r="H1915"/>
  <c r="C1915"/>
  <c r="B1915"/>
  <c r="A1915"/>
  <c r="J1914"/>
  <c r="I1914"/>
  <c r="H1914"/>
  <c r="C1914"/>
  <c r="B1914"/>
  <c r="J1913"/>
  <c r="I1913"/>
  <c r="H1913"/>
  <c r="C1913"/>
  <c r="B1913"/>
  <c r="J1912"/>
  <c r="I1912"/>
  <c r="H1912"/>
  <c r="C1912"/>
  <c r="B1912"/>
  <c r="A1912"/>
  <c r="J1911"/>
  <c r="I1911"/>
  <c r="H1911"/>
  <c r="C1911"/>
  <c r="B1911"/>
  <c r="J1910"/>
  <c r="I1910"/>
  <c r="H1910"/>
  <c r="C1910"/>
  <c r="B1910"/>
  <c r="J1909"/>
  <c r="I1909"/>
  <c r="H1909"/>
  <c r="C1909"/>
  <c r="B1909"/>
  <c r="A1909"/>
  <c r="J1908"/>
  <c r="I1908"/>
  <c r="H1908"/>
  <c r="C1908"/>
  <c r="B1908"/>
  <c r="J1907"/>
  <c r="I1907"/>
  <c r="H1907"/>
  <c r="D1907"/>
  <c r="C1907"/>
  <c r="B1907"/>
  <c r="J1906"/>
  <c r="I1906"/>
  <c r="H1906"/>
  <c r="C1906"/>
  <c r="B1906"/>
  <c r="A1906"/>
  <c r="J1905"/>
  <c r="I1905"/>
  <c r="H1905"/>
  <c r="D1905"/>
  <c r="C1905"/>
  <c r="B1905"/>
  <c r="J1904"/>
  <c r="I1904"/>
  <c r="H1904"/>
  <c r="C1904"/>
  <c r="B1904"/>
  <c r="J1903"/>
  <c r="I1903"/>
  <c r="H1903"/>
  <c r="C1903"/>
  <c r="B1903"/>
  <c r="A1903"/>
  <c r="J1902"/>
  <c r="I1902"/>
  <c r="H1902"/>
  <c r="E1902"/>
  <c r="C1902"/>
  <c r="B1902"/>
  <c r="A1902"/>
  <c r="J1901"/>
  <c r="I1901"/>
  <c r="H1901"/>
  <c r="C1901"/>
  <c r="B1901"/>
  <c r="J1900"/>
  <c r="I1900"/>
  <c r="H1900"/>
  <c r="C1900"/>
  <c r="B1900"/>
  <c r="J1899"/>
  <c r="I1899"/>
  <c r="H1899"/>
  <c r="C1899"/>
  <c r="B1899"/>
  <c r="A1899"/>
  <c r="J1898"/>
  <c r="I1898"/>
  <c r="H1898"/>
  <c r="C1898"/>
  <c r="B1898"/>
  <c r="J1897"/>
  <c r="I1897"/>
  <c r="H1897"/>
  <c r="D1897"/>
  <c r="C1897"/>
  <c r="B1897"/>
  <c r="J1896"/>
  <c r="I1896"/>
  <c r="H1896"/>
  <c r="C1896"/>
  <c r="B1896"/>
  <c r="A1896"/>
  <c r="J1895"/>
  <c r="I1895"/>
  <c r="H1895"/>
  <c r="C1895"/>
  <c r="B1895"/>
  <c r="J1894"/>
  <c r="I1894"/>
  <c r="H1894"/>
  <c r="C1894"/>
  <c r="B1894"/>
  <c r="J1893"/>
  <c r="I1893"/>
  <c r="H1893"/>
  <c r="D1893"/>
  <c r="C1893"/>
  <c r="B1893"/>
  <c r="A1893"/>
  <c r="J1892"/>
  <c r="I1892"/>
  <c r="H1892"/>
  <c r="C1892"/>
  <c r="B1892"/>
  <c r="J1891"/>
  <c r="I1891"/>
  <c r="H1891"/>
  <c r="D1891"/>
  <c r="C1891"/>
  <c r="B1891"/>
  <c r="J1890"/>
  <c r="I1890"/>
  <c r="H1890"/>
  <c r="E1890"/>
  <c r="C1890"/>
  <c r="B1890"/>
  <c r="A1890"/>
  <c r="J1889"/>
  <c r="I1889"/>
  <c r="H1889"/>
  <c r="C1889"/>
  <c r="B1889"/>
  <c r="J1888"/>
  <c r="I1888"/>
  <c r="H1888"/>
  <c r="C1888"/>
  <c r="B1888"/>
  <c r="J1887"/>
  <c r="I1887"/>
  <c r="H1887"/>
  <c r="C1887"/>
  <c r="B1887"/>
  <c r="A1887"/>
  <c r="J1886"/>
  <c r="I1886"/>
  <c r="H1886"/>
  <c r="C1886"/>
  <c r="B1886"/>
  <c r="J1885"/>
  <c r="I1885"/>
  <c r="H1885"/>
  <c r="D1885"/>
  <c r="C1885"/>
  <c r="B1885"/>
  <c r="J1884"/>
  <c r="I1884"/>
  <c r="H1884"/>
  <c r="C1884"/>
  <c r="B1884"/>
  <c r="A1884"/>
  <c r="J1883"/>
  <c r="I1883"/>
  <c r="H1883"/>
  <c r="C1883"/>
  <c r="B1883"/>
  <c r="J1882"/>
  <c r="I1882"/>
  <c r="H1882"/>
  <c r="C1882"/>
  <c r="B1882"/>
  <c r="J1881"/>
  <c r="I1881"/>
  <c r="H1881"/>
  <c r="D1881"/>
  <c r="C1881"/>
  <c r="B1881"/>
  <c r="A1881"/>
  <c r="J1880"/>
  <c r="I1880"/>
  <c r="H1880"/>
  <c r="C1880"/>
  <c r="B1880"/>
  <c r="J1879"/>
  <c r="I1879"/>
  <c r="H1879"/>
  <c r="D1879"/>
  <c r="C1879"/>
  <c r="B1879"/>
  <c r="J1878"/>
  <c r="I1878"/>
  <c r="H1878"/>
  <c r="C1878"/>
  <c r="B1878"/>
  <c r="A1878"/>
  <c r="J1877"/>
  <c r="I1877"/>
  <c r="H1877"/>
  <c r="C1877"/>
  <c r="B1877"/>
  <c r="J1876"/>
  <c r="I1876"/>
  <c r="H1876"/>
  <c r="C1876"/>
  <c r="B1876"/>
  <c r="J1875"/>
  <c r="I1875"/>
  <c r="H1875"/>
  <c r="D1875"/>
  <c r="C1875"/>
  <c r="B1875"/>
  <c r="A1875"/>
  <c r="J1874"/>
  <c r="I1874"/>
  <c r="H1874"/>
  <c r="C1874"/>
  <c r="B1874"/>
  <c r="J1873"/>
  <c r="I1873"/>
  <c r="H1873"/>
  <c r="C1873"/>
  <c r="B1873"/>
  <c r="J1872"/>
  <c r="I1872"/>
  <c r="H1872"/>
  <c r="C1872"/>
  <c r="B1872"/>
  <c r="A1872"/>
  <c r="J1871"/>
  <c r="I1871"/>
  <c r="H1871"/>
  <c r="C1871"/>
  <c r="B1871"/>
  <c r="J1870"/>
  <c r="I1870"/>
  <c r="H1870"/>
  <c r="C1870"/>
  <c r="B1870"/>
  <c r="J1869"/>
  <c r="I1869"/>
  <c r="H1869"/>
  <c r="C1869"/>
  <c r="B1869"/>
  <c r="A1869"/>
  <c r="J1868"/>
  <c r="I1868"/>
  <c r="H1868"/>
  <c r="C1868"/>
  <c r="B1868"/>
  <c r="J1867"/>
  <c r="I1867"/>
  <c r="H1867"/>
  <c r="C1867"/>
  <c r="B1867"/>
  <c r="J1866"/>
  <c r="I1866"/>
  <c r="H1866"/>
  <c r="C1866"/>
  <c r="B1866"/>
  <c r="A1866"/>
  <c r="P2014" i="1"/>
  <c r="E1924" i="2"/>
  <c r="P2013" i="1"/>
  <c r="E1923" i="2"/>
  <c r="P2012" i="1"/>
  <c r="E1922" i="2"/>
  <c r="P2011" i="1"/>
  <c r="E1921" i="2"/>
  <c r="P2010" i="1"/>
  <c r="E1920" i="2"/>
  <c r="P2009" i="1"/>
  <c r="E1919" i="2"/>
  <c r="P2007" i="1"/>
  <c r="E1917" i="2"/>
  <c r="P2006" i="1"/>
  <c r="E1916" i="2"/>
  <c r="P2004" i="1"/>
  <c r="E1914" i="2"/>
  <c r="P2003" i="1"/>
  <c r="E1913" i="2"/>
  <c r="P2001" i="1"/>
  <c r="E1911" i="2"/>
  <c r="P2000" i="1"/>
  <c r="E1910" i="2"/>
  <c r="P1997" i="1"/>
  <c r="E1907" i="2"/>
  <c r="P1995" i="1"/>
  <c r="E1905" i="2"/>
  <c r="P1994" i="1"/>
  <c r="E1904" i="2"/>
  <c r="P1991" i="1"/>
  <c r="E1901" i="2"/>
  <c r="P1990" i="1"/>
  <c r="E1900" i="2"/>
  <c r="P1988" i="1"/>
  <c r="E1898" i="2"/>
  <c r="P1987" i="1"/>
  <c r="E1897" i="2"/>
  <c r="P1985" i="1"/>
  <c r="E1895" i="2"/>
  <c r="P1984" i="1"/>
  <c r="E1894" i="2"/>
  <c r="P1982" i="1"/>
  <c r="E1892" i="2"/>
  <c r="P1981" i="1"/>
  <c r="E1891" i="2"/>
  <c r="P1979" i="1"/>
  <c r="E1889" i="2"/>
  <c r="P1978" i="1"/>
  <c r="E1888" i="2"/>
  <c r="P1976" i="1"/>
  <c r="E1886" i="2"/>
  <c r="P1975" i="1"/>
  <c r="E1885" i="2"/>
  <c r="P1973" i="1"/>
  <c r="E1883" i="2"/>
  <c r="P1972" i="1"/>
  <c r="E1882" i="2"/>
  <c r="P1970" i="1"/>
  <c r="E1880" i="2"/>
  <c r="P1969" i="1"/>
  <c r="E1879" i="2"/>
  <c r="P1967" i="1"/>
  <c r="E1877" i="2"/>
  <c r="P1966" i="1"/>
  <c r="E1876" i="2"/>
  <c r="P1963" i="1"/>
  <c r="E1873" i="2"/>
  <c r="P1961" i="1"/>
  <c r="E1871" i="2"/>
  <c r="P1960" i="1"/>
  <c r="E1870" i="2"/>
  <c r="P1958" i="1"/>
  <c r="E1868" i="2"/>
  <c r="P1957" i="1"/>
  <c r="E1867" i="2"/>
  <c r="J989"/>
  <c r="I989"/>
  <c r="H989"/>
  <c r="C989"/>
  <c r="B989"/>
  <c r="A989"/>
  <c r="J988"/>
  <c r="I988"/>
  <c r="H988"/>
  <c r="C988"/>
  <c r="B988"/>
  <c r="A988"/>
  <c r="M1079" i="1"/>
  <c r="P1079"/>
  <c r="E989" i="2"/>
  <c r="M1078" i="1"/>
  <c r="P1078"/>
  <c r="E988" i="2"/>
  <c r="M1077" i="1"/>
  <c r="P1077"/>
  <c r="E987" i="2"/>
  <c r="M1076" i="1"/>
  <c r="P1076"/>
  <c r="E986" i="2"/>
  <c r="M1075" i="1"/>
  <c r="P1075"/>
  <c r="E985" i="2"/>
  <c r="O1079" i="1"/>
  <c r="D989" i="2"/>
  <c r="O1078" i="1"/>
  <c r="D988" i="2"/>
  <c r="O1077" i="1"/>
  <c r="D987" i="2"/>
  <c r="O1076" i="1"/>
  <c r="D986" i="2"/>
  <c r="O1075" i="1"/>
  <c r="D985" i="2"/>
  <c r="J987"/>
  <c r="I987"/>
  <c r="H987"/>
  <c r="C987"/>
  <c r="B987"/>
  <c r="A987"/>
  <c r="J986"/>
  <c r="I986"/>
  <c r="H986"/>
  <c r="C986"/>
  <c r="B986"/>
  <c r="A986"/>
  <c r="J985"/>
  <c r="I985"/>
  <c r="H985"/>
  <c r="C985"/>
  <c r="B985"/>
  <c r="A985"/>
  <c r="J984"/>
  <c r="I984"/>
  <c r="H984"/>
  <c r="B984"/>
  <c r="I983"/>
  <c r="H983"/>
  <c r="C983"/>
  <c r="B983"/>
  <c r="A983"/>
  <c r="I982"/>
  <c r="H982"/>
  <c r="C982"/>
  <c r="B982"/>
  <c r="A982"/>
  <c r="I981"/>
  <c r="H981"/>
  <c r="C981"/>
  <c r="B981"/>
  <c r="A981"/>
  <c r="J980"/>
  <c r="I980"/>
  <c r="H980"/>
  <c r="C980"/>
  <c r="B980"/>
  <c r="A980"/>
  <c r="J979"/>
  <c r="I979"/>
  <c r="H979"/>
  <c r="J255"/>
  <c r="I255"/>
  <c r="H255"/>
  <c r="C255"/>
  <c r="B255"/>
  <c r="L270" i="1"/>
  <c r="P270"/>
  <c r="E255" i="2"/>
  <c r="L269" i="1"/>
  <c r="L268"/>
  <c r="L267"/>
  <c r="O270"/>
  <c r="D255" i="2"/>
  <c r="K270" i="1"/>
  <c r="L330"/>
  <c r="L329"/>
  <c r="P329"/>
  <c r="E315" i="2"/>
  <c r="L328" i="1"/>
  <c r="L327"/>
  <c r="P327"/>
  <c r="E313" i="2"/>
  <c r="L326" i="1"/>
  <c r="L325"/>
  <c r="L324"/>
  <c r="P324"/>
  <c r="E310" i="2"/>
  <c r="L323" i="1"/>
  <c r="P323"/>
  <c r="E309" i="2"/>
  <c r="L322" i="1"/>
  <c r="P322"/>
  <c r="E308" i="2"/>
  <c r="L321" i="1"/>
  <c r="L320"/>
  <c r="P320"/>
  <c r="E306" i="2"/>
  <c r="L319" i="1"/>
  <c r="P319"/>
  <c r="E305" i="2"/>
  <c r="L318" i="1"/>
  <c r="L317"/>
  <c r="L316"/>
  <c r="N1039"/>
  <c r="M1039"/>
  <c r="P1039"/>
  <c r="E978" i="2"/>
  <c r="N1038" i="1"/>
  <c r="M1038"/>
  <c r="N1037"/>
  <c r="M1037"/>
  <c r="P1037"/>
  <c r="E976" i="2"/>
  <c r="N1036" i="1"/>
  <c r="M1036"/>
  <c r="P1036"/>
  <c r="E975" i="2"/>
  <c r="N1035" i="1"/>
  <c r="M1035"/>
  <c r="P1035"/>
  <c r="E974" i="2"/>
  <c r="N1034" i="1"/>
  <c r="M1034"/>
  <c r="P1034"/>
  <c r="E973" i="2"/>
  <c r="N1033" i="1"/>
  <c r="M1033"/>
  <c r="P1033"/>
  <c r="E972" i="2"/>
  <c r="N1032" i="1"/>
  <c r="M1032"/>
  <c r="P1032"/>
  <c r="E971" i="2"/>
  <c r="N1031" i="1"/>
  <c r="M1031"/>
  <c r="P1031"/>
  <c r="E970" i="2"/>
  <c r="N1030" i="1"/>
  <c r="M1030"/>
  <c r="P1030"/>
  <c r="E969" i="2"/>
  <c r="N1029" i="1"/>
  <c r="M1029"/>
  <c r="P1029"/>
  <c r="E968" i="2"/>
  <c r="N1028" i="1"/>
  <c r="M1028"/>
  <c r="P1028"/>
  <c r="E967" i="2"/>
  <c r="N1027" i="1"/>
  <c r="M1027"/>
  <c r="P1027"/>
  <c r="E966" i="2"/>
  <c r="N1026" i="1"/>
  <c r="M1026"/>
  <c r="P1026"/>
  <c r="E965" i="2"/>
  <c r="N1025" i="1"/>
  <c r="M1025"/>
  <c r="P1025"/>
  <c r="E964" i="2"/>
  <c r="N1024" i="1"/>
  <c r="M1024"/>
  <c r="P1024"/>
  <c r="E963" i="2"/>
  <c r="N1023" i="1"/>
  <c r="M1023"/>
  <c r="P1023"/>
  <c r="E962" i="2"/>
  <c r="N1022" i="1"/>
  <c r="M1022"/>
  <c r="N1021"/>
  <c r="M1021"/>
  <c r="P1021"/>
  <c r="E960" i="2"/>
  <c r="N1020" i="1"/>
  <c r="M1020"/>
  <c r="P1020"/>
  <c r="E959" i="2"/>
  <c r="N1019" i="1"/>
  <c r="M1019"/>
  <c r="P1019"/>
  <c r="E958" i="2"/>
  <c r="N1018" i="1"/>
  <c r="M1018"/>
  <c r="P1018"/>
  <c r="E957" i="2"/>
  <c r="N1017" i="1"/>
  <c r="M1017"/>
  <c r="P1017"/>
  <c r="E956" i="2"/>
  <c r="N1016" i="1"/>
  <c r="M1016"/>
  <c r="P1016"/>
  <c r="E955" i="2"/>
  <c r="N1015" i="1"/>
  <c r="M1015"/>
  <c r="P1015"/>
  <c r="E954" i="2"/>
  <c r="N1014" i="1"/>
  <c r="M1014"/>
  <c r="E875"/>
  <c r="M875"/>
  <c r="P875"/>
  <c r="E849" i="2"/>
  <c r="E874" i="1"/>
  <c r="M874"/>
  <c r="P874"/>
  <c r="E848" i="2"/>
  <c r="E873" i="1"/>
  <c r="M873"/>
  <c r="P873"/>
  <c r="E847" i="2"/>
  <c r="E872" i="1"/>
  <c r="M872"/>
  <c r="P872"/>
  <c r="E846" i="2"/>
  <c r="E871" i="1"/>
  <c r="M871"/>
  <c r="P871"/>
  <c r="E845" i="2"/>
  <c r="E870" i="1"/>
  <c r="M870"/>
  <c r="P870"/>
  <c r="E844" i="2"/>
  <c r="E869" i="1"/>
  <c r="M869"/>
  <c r="P869"/>
  <c r="E843" i="2"/>
  <c r="L570" i="1"/>
  <c r="L569"/>
  <c r="L567"/>
  <c r="L566"/>
  <c r="L564"/>
  <c r="L563"/>
  <c r="L561"/>
  <c r="L560"/>
  <c r="L558"/>
  <c r="L557"/>
  <c r="L555"/>
  <c r="L554"/>
  <c r="L552"/>
  <c r="L551"/>
  <c r="L522"/>
  <c r="L521"/>
  <c r="L519"/>
  <c r="L518"/>
  <c r="L517"/>
  <c r="L516"/>
  <c r="P516"/>
  <c r="E502" i="2"/>
  <c r="L515" i="1"/>
  <c r="L514"/>
  <c r="L513"/>
  <c r="L512"/>
  <c r="P512"/>
  <c r="E498" i="2"/>
  <c r="L511" i="1"/>
  <c r="L510"/>
  <c r="L509"/>
  <c r="L508"/>
  <c r="P508"/>
  <c r="E494" i="2"/>
  <c r="L507" i="1"/>
  <c r="L506"/>
  <c r="L505"/>
  <c r="L504"/>
  <c r="M406"/>
  <c r="M405"/>
  <c r="M404"/>
  <c r="P404"/>
  <c r="E390" i="2"/>
  <c r="M403" i="1"/>
  <c r="M402"/>
  <c r="M401"/>
  <c r="M400"/>
  <c r="L346"/>
  <c r="L345"/>
  <c r="L344"/>
  <c r="L343"/>
  <c r="L342"/>
  <c r="L341"/>
  <c r="L340"/>
  <c r="L339"/>
  <c r="L338"/>
  <c r="M305"/>
  <c r="M304"/>
  <c r="M303"/>
  <c r="M302"/>
  <c r="M301"/>
  <c r="L300"/>
  <c r="L299"/>
  <c r="L296"/>
  <c r="L295"/>
  <c r="L294"/>
  <c r="L292"/>
  <c r="L291"/>
  <c r="L290"/>
  <c r="L288"/>
  <c r="L287"/>
  <c r="L286"/>
  <c r="L284"/>
  <c r="L283"/>
  <c r="L282"/>
  <c r="L280"/>
  <c r="L279"/>
  <c r="L278"/>
  <c r="L276"/>
  <c r="L275"/>
  <c r="L274"/>
  <c r="L128"/>
  <c r="L127"/>
  <c r="P127"/>
  <c r="E116" i="2"/>
  <c r="L126" i="1"/>
  <c r="L125"/>
  <c r="P125"/>
  <c r="E114" i="2"/>
  <c r="L124" i="1"/>
  <c r="P124"/>
  <c r="E113" i="2"/>
  <c r="L123" i="1"/>
  <c r="P123"/>
  <c r="E112" i="2"/>
  <c r="L122" i="1"/>
  <c r="L120"/>
  <c r="L119"/>
  <c r="L118"/>
  <c r="L82"/>
  <c r="L81"/>
  <c r="P81"/>
  <c r="E69" i="2"/>
  <c r="L80" i="1"/>
  <c r="L79"/>
  <c r="P79"/>
  <c r="E67" i="2"/>
  <c r="L78" i="1"/>
  <c r="L77"/>
  <c r="P77"/>
  <c r="E65" i="2"/>
  <c r="L76" i="1"/>
  <c r="L75"/>
  <c r="P75"/>
  <c r="E63" i="2"/>
  <c r="L74" i="1"/>
  <c r="L614"/>
  <c r="P614"/>
  <c r="E605" i="2"/>
  <c r="L613" i="1"/>
  <c r="P613"/>
  <c r="E604" i="2"/>
  <c r="L612" i="1"/>
  <c r="L611"/>
  <c r="L610"/>
  <c r="L609"/>
  <c r="L608"/>
  <c r="L607"/>
  <c r="P435"/>
  <c r="E421" i="2"/>
  <c r="P419" i="1"/>
  <c r="E405" i="2"/>
  <c r="N311" i="1"/>
  <c r="M311"/>
  <c r="E1865"/>
  <c r="N1865"/>
  <c r="C1865"/>
  <c r="E1864"/>
  <c r="N1864"/>
  <c r="C1864"/>
  <c r="E1863"/>
  <c r="N1863"/>
  <c r="C1863"/>
  <c r="E1862"/>
  <c r="N1862"/>
  <c r="C1862"/>
  <c r="E1861"/>
  <c r="N1861"/>
  <c r="C1861"/>
  <c r="E1860"/>
  <c r="N1860"/>
  <c r="C1860"/>
  <c r="E1859"/>
  <c r="N1859"/>
  <c r="C1859"/>
  <c r="E1858"/>
  <c r="N1858"/>
  <c r="C1858"/>
  <c r="C1857"/>
  <c r="E1856"/>
  <c r="O1856"/>
  <c r="D1766" i="2"/>
  <c r="C1856" i="1"/>
  <c r="C1766" i="2"/>
  <c r="E1855" i="1"/>
  <c r="N1855"/>
  <c r="C1855"/>
  <c r="E1854"/>
  <c r="N1854"/>
  <c r="C1854"/>
  <c r="C1764" i="2"/>
  <c r="E1853" i="1"/>
  <c r="O1853"/>
  <c r="D1763" i="2"/>
  <c r="C1853" i="1"/>
  <c r="E1852"/>
  <c r="N1852"/>
  <c r="C1852"/>
  <c r="C1762" i="2"/>
  <c r="E1851" i="1"/>
  <c r="N1851"/>
  <c r="C1851"/>
  <c r="E1850"/>
  <c r="N1850"/>
  <c r="C1850"/>
  <c r="C1760" i="2"/>
  <c r="E1849" i="1"/>
  <c r="N1849"/>
  <c r="C1849"/>
  <c r="E1848"/>
  <c r="O1848"/>
  <c r="D1758" i="2"/>
  <c r="C1848" i="1"/>
  <c r="C1758" i="2"/>
  <c r="E1847" i="1"/>
  <c r="N1847"/>
  <c r="C1847"/>
  <c r="E1846"/>
  <c r="N1846"/>
  <c r="C1846"/>
  <c r="E1845"/>
  <c r="N1845"/>
  <c r="C1845"/>
  <c r="E1844"/>
  <c r="N1844"/>
  <c r="C1844"/>
  <c r="E1843"/>
  <c r="N1843"/>
  <c r="C1843"/>
  <c r="E1842"/>
  <c r="N1842"/>
  <c r="C1842"/>
  <c r="E1841"/>
  <c r="N1841"/>
  <c r="C1841"/>
  <c r="N476"/>
  <c r="M476"/>
  <c r="P476"/>
  <c r="E462" i="2"/>
  <c r="N475" i="1"/>
  <c r="M475"/>
  <c r="P475"/>
  <c r="E461" i="2"/>
  <c r="N474" i="1"/>
  <c r="M474"/>
  <c r="P474"/>
  <c r="E460" i="2"/>
  <c r="N473" i="1"/>
  <c r="M473"/>
  <c r="P473"/>
  <c r="E459" i="2"/>
  <c r="N472" i="1"/>
  <c r="M472"/>
  <c r="P472"/>
  <c r="E458" i="2"/>
  <c r="D309" i="1"/>
  <c r="D308"/>
  <c r="D307"/>
  <c r="K346"/>
  <c r="J794" i="2"/>
  <c r="I794"/>
  <c r="H794"/>
  <c r="C794"/>
  <c r="B794"/>
  <c r="J793"/>
  <c r="I793"/>
  <c r="H793"/>
  <c r="C793"/>
  <c r="B793"/>
  <c r="J792"/>
  <c r="I792"/>
  <c r="H792"/>
  <c r="C792"/>
  <c r="B792"/>
  <c r="J791"/>
  <c r="I791"/>
  <c r="H791"/>
  <c r="C791"/>
  <c r="B791"/>
  <c r="J790"/>
  <c r="I790"/>
  <c r="H790"/>
  <c r="C790"/>
  <c r="B790"/>
  <c r="J789"/>
  <c r="I789"/>
  <c r="H789"/>
  <c r="C789"/>
  <c r="B789"/>
  <c r="J788"/>
  <c r="I788"/>
  <c r="H788"/>
  <c r="C788"/>
  <c r="B788"/>
  <c r="J787"/>
  <c r="I787"/>
  <c r="H787"/>
  <c r="C787"/>
  <c r="B787"/>
  <c r="J786"/>
  <c r="I786"/>
  <c r="H786"/>
  <c r="C786"/>
  <c r="B786"/>
  <c r="J785"/>
  <c r="I785"/>
  <c r="H785"/>
  <c r="C785"/>
  <c r="B785"/>
  <c r="J784"/>
  <c r="I784"/>
  <c r="H784"/>
  <c r="C784"/>
  <c r="B784"/>
  <c r="J783"/>
  <c r="I783"/>
  <c r="H783"/>
  <c r="C783"/>
  <c r="B783"/>
  <c r="J782"/>
  <c r="I782"/>
  <c r="H782"/>
  <c r="C782"/>
  <c r="B782"/>
  <c r="J781"/>
  <c r="I781"/>
  <c r="H781"/>
  <c r="C781"/>
  <c r="B781"/>
  <c r="J780"/>
  <c r="I780"/>
  <c r="H780"/>
  <c r="C780"/>
  <c r="B780"/>
  <c r="J779"/>
  <c r="I779"/>
  <c r="H779"/>
  <c r="C779"/>
  <c r="B779"/>
  <c r="J778"/>
  <c r="I778"/>
  <c r="H778"/>
  <c r="C778"/>
  <c r="B778"/>
  <c r="J777"/>
  <c r="I777"/>
  <c r="H777"/>
  <c r="C777"/>
  <c r="B777"/>
  <c r="J776"/>
  <c r="I776"/>
  <c r="H776"/>
  <c r="C776"/>
  <c r="B776"/>
  <c r="J775"/>
  <c r="I775"/>
  <c r="H775"/>
  <c r="C775"/>
  <c r="B775"/>
  <c r="J774"/>
  <c r="I774"/>
  <c r="H774"/>
  <c r="C774"/>
  <c r="B774"/>
  <c r="J773"/>
  <c r="I773"/>
  <c r="H773"/>
  <c r="C773"/>
  <c r="B773"/>
  <c r="J772"/>
  <c r="I772"/>
  <c r="H772"/>
  <c r="C772"/>
  <c r="B772"/>
  <c r="J771"/>
  <c r="I771"/>
  <c r="H771"/>
  <c r="C771"/>
  <c r="B771"/>
  <c r="J770"/>
  <c r="I770"/>
  <c r="H770"/>
  <c r="C770"/>
  <c r="B770"/>
  <c r="J769"/>
  <c r="I769"/>
  <c r="H769"/>
  <c r="C769"/>
  <c r="B769"/>
  <c r="J768"/>
  <c r="I768"/>
  <c r="H768"/>
  <c r="C768"/>
  <c r="B768"/>
  <c r="J767"/>
  <c r="I767"/>
  <c r="H767"/>
  <c r="C767"/>
  <c r="B767"/>
  <c r="J766"/>
  <c r="I766"/>
  <c r="H766"/>
  <c r="C766"/>
  <c r="B766"/>
  <c r="J765"/>
  <c r="I765"/>
  <c r="H765"/>
  <c r="C765"/>
  <c r="B765"/>
  <c r="J764"/>
  <c r="I764"/>
  <c r="H764"/>
  <c r="C764"/>
  <c r="B764"/>
  <c r="J763"/>
  <c r="I763"/>
  <c r="H763"/>
  <c r="C763"/>
  <c r="B763"/>
  <c r="J762"/>
  <c r="I762"/>
  <c r="H762"/>
  <c r="C762"/>
  <c r="B762"/>
  <c r="J761"/>
  <c r="I761"/>
  <c r="H761"/>
  <c r="C761"/>
  <c r="B761"/>
  <c r="J760"/>
  <c r="I760"/>
  <c r="H760"/>
  <c r="C760"/>
  <c r="B760"/>
  <c r="J759"/>
  <c r="I759"/>
  <c r="H759"/>
  <c r="C759"/>
  <c r="B759"/>
  <c r="J758"/>
  <c r="I758"/>
  <c r="H758"/>
  <c r="C758"/>
  <c r="B758"/>
  <c r="J757"/>
  <c r="I757"/>
  <c r="H757"/>
  <c r="C757"/>
  <c r="B757"/>
  <c r="J756"/>
  <c r="I756"/>
  <c r="H756"/>
  <c r="C756"/>
  <c r="B756"/>
  <c r="J755"/>
  <c r="I755"/>
  <c r="H755"/>
  <c r="C755"/>
  <c r="B755"/>
  <c r="J754"/>
  <c r="I754"/>
  <c r="H754"/>
  <c r="C754"/>
  <c r="B754"/>
  <c r="J753"/>
  <c r="I753"/>
  <c r="H753"/>
  <c r="C753"/>
  <c r="B753"/>
  <c r="J752"/>
  <c r="I752"/>
  <c r="H752"/>
  <c r="C752"/>
  <c r="B752"/>
  <c r="J751"/>
  <c r="I751"/>
  <c r="H751"/>
  <c r="C751"/>
  <c r="B751"/>
  <c r="J750"/>
  <c r="I750"/>
  <c r="H750"/>
  <c r="C750"/>
  <c r="B750"/>
  <c r="J749"/>
  <c r="I749"/>
  <c r="H749"/>
  <c r="C749"/>
  <c r="B749"/>
  <c r="J748"/>
  <c r="I748"/>
  <c r="H748"/>
  <c r="C748"/>
  <c r="B748"/>
  <c r="J747"/>
  <c r="I747"/>
  <c r="H747"/>
  <c r="C747"/>
  <c r="B747"/>
  <c r="J746"/>
  <c r="I746"/>
  <c r="H746"/>
  <c r="C746"/>
  <c r="B746"/>
  <c r="G217" i="1"/>
  <c r="G216"/>
  <c r="G215"/>
  <c r="G214"/>
  <c r="G213"/>
  <c r="G212"/>
  <c r="G211"/>
  <c r="G210"/>
  <c r="G209"/>
  <c r="G208"/>
  <c r="G207"/>
  <c r="G206"/>
  <c r="G205"/>
  <c r="G204"/>
  <c r="G203"/>
  <c r="G202"/>
  <c r="G201"/>
  <c r="G200"/>
  <c r="G199"/>
  <c r="G198"/>
  <c r="G197"/>
  <c r="G196"/>
  <c r="G195"/>
  <c r="G194"/>
  <c r="G193"/>
  <c r="G192"/>
  <c r="G191"/>
  <c r="G190"/>
  <c r="G189"/>
  <c r="G188"/>
  <c r="G187"/>
  <c r="G186"/>
  <c r="G185"/>
  <c r="G184"/>
  <c r="G182"/>
  <c r="G181"/>
  <c r="G180"/>
  <c r="G176"/>
  <c r="G175"/>
  <c r="G174"/>
  <c r="G173"/>
  <c r="G172"/>
  <c r="G171"/>
  <c r="G170"/>
  <c r="G169"/>
  <c r="G168"/>
  <c r="G167"/>
  <c r="G166"/>
  <c r="G165"/>
  <c r="G164"/>
  <c r="G163"/>
  <c r="G162"/>
  <c r="G161"/>
  <c r="G160"/>
  <c r="G159"/>
  <c r="G158"/>
  <c r="G157"/>
  <c r="G156"/>
  <c r="G155"/>
  <c r="G154"/>
  <c r="G153"/>
  <c r="G152"/>
  <c r="G151"/>
  <c r="G150"/>
  <c r="G149"/>
  <c r="G146"/>
  <c r="M116"/>
  <c r="I1964" i="2"/>
  <c r="H1964"/>
  <c r="C1964"/>
  <c r="B1964"/>
  <c r="A1964"/>
  <c r="I1963"/>
  <c r="H1963"/>
  <c r="C1963"/>
  <c r="B1963"/>
  <c r="A1963"/>
  <c r="I1962"/>
  <c r="H1962"/>
  <c r="C1962"/>
  <c r="B1962"/>
  <c r="A1962"/>
  <c r="I1961"/>
  <c r="H1961"/>
  <c r="C1961"/>
  <c r="B1961"/>
  <c r="A1961"/>
  <c r="I1960"/>
  <c r="H1960"/>
  <c r="C1960"/>
  <c r="B1960"/>
  <c r="A1960"/>
  <c r="J1959"/>
  <c r="I1959"/>
  <c r="H1959"/>
  <c r="B1959"/>
  <c r="A1858" i="1"/>
  <c r="A1768" i="2"/>
  <c r="A1842" i="1"/>
  <c r="A1843"/>
  <c r="A1844"/>
  <c r="J1775" i="2"/>
  <c r="H1775"/>
  <c r="C1775"/>
  <c r="B1775"/>
  <c r="J1774"/>
  <c r="H1774"/>
  <c r="C1774"/>
  <c r="B1774"/>
  <c r="J1773"/>
  <c r="H1773"/>
  <c r="C1773"/>
  <c r="B1773"/>
  <c r="J1772"/>
  <c r="H1772"/>
  <c r="C1772"/>
  <c r="B1772"/>
  <c r="J1771"/>
  <c r="H1771"/>
  <c r="C1771"/>
  <c r="B1771"/>
  <c r="J1770"/>
  <c r="H1770"/>
  <c r="C1770"/>
  <c r="B1770"/>
  <c r="J1769"/>
  <c r="H1769"/>
  <c r="C1769"/>
  <c r="B1769"/>
  <c r="J1768"/>
  <c r="H1768"/>
  <c r="C1768"/>
  <c r="B1768"/>
  <c r="J1767"/>
  <c r="I1767"/>
  <c r="H1767"/>
  <c r="C1767"/>
  <c r="B1767"/>
  <c r="J1766"/>
  <c r="H1766"/>
  <c r="B1766"/>
  <c r="J1765"/>
  <c r="H1765"/>
  <c r="C1765"/>
  <c r="B1765"/>
  <c r="J1764"/>
  <c r="H1764"/>
  <c r="B1764"/>
  <c r="J1763"/>
  <c r="H1763"/>
  <c r="C1763"/>
  <c r="B1763"/>
  <c r="J1762"/>
  <c r="H1762"/>
  <c r="B1762"/>
  <c r="J1761"/>
  <c r="H1761"/>
  <c r="C1761"/>
  <c r="B1761"/>
  <c r="J1760"/>
  <c r="H1760"/>
  <c r="B1760"/>
  <c r="J1759"/>
  <c r="H1759"/>
  <c r="C1759"/>
  <c r="B1759"/>
  <c r="J1758"/>
  <c r="H1758"/>
  <c r="B1758"/>
  <c r="J1757"/>
  <c r="H1757"/>
  <c r="C1757"/>
  <c r="B1757"/>
  <c r="J1739"/>
  <c r="I1739"/>
  <c r="H1739"/>
  <c r="C1739"/>
  <c r="B1739"/>
  <c r="A1739"/>
  <c r="J1738"/>
  <c r="I1738"/>
  <c r="H1738"/>
  <c r="C1738"/>
  <c r="B1738"/>
  <c r="A1738"/>
  <c r="J1737"/>
  <c r="I1737"/>
  <c r="H1737"/>
  <c r="C1737"/>
  <c r="B1737"/>
  <c r="A1737"/>
  <c r="J1736"/>
  <c r="I1736"/>
  <c r="H1736"/>
  <c r="B1736"/>
  <c r="J1735"/>
  <c r="I1735"/>
  <c r="H1735"/>
  <c r="B1735"/>
  <c r="J1756"/>
  <c r="H1756"/>
  <c r="C1756"/>
  <c r="B1756"/>
  <c r="J1755"/>
  <c r="H1755"/>
  <c r="C1755"/>
  <c r="B1755"/>
  <c r="J1754"/>
  <c r="H1754"/>
  <c r="C1754"/>
  <c r="B1754"/>
  <c r="J1753"/>
  <c r="H1753"/>
  <c r="C1753"/>
  <c r="B1753"/>
  <c r="J1752"/>
  <c r="H1752"/>
  <c r="C1752"/>
  <c r="B1752"/>
  <c r="J1751"/>
  <c r="H1751"/>
  <c r="C1751"/>
  <c r="B1751"/>
  <c r="A1751"/>
  <c r="J1750"/>
  <c r="I1750"/>
  <c r="H1750"/>
  <c r="B1750"/>
  <c r="J1749"/>
  <c r="I1749"/>
  <c r="H1749"/>
  <c r="B1749"/>
  <c r="J1748"/>
  <c r="I1748"/>
  <c r="H1748"/>
  <c r="C1748"/>
  <c r="B1748"/>
  <c r="A1748"/>
  <c r="J1747"/>
  <c r="I1747"/>
  <c r="H1747"/>
  <c r="C1747"/>
  <c r="B1747"/>
  <c r="A1747"/>
  <c r="J1746"/>
  <c r="I1746"/>
  <c r="H1746"/>
  <c r="C1746"/>
  <c r="B1746"/>
  <c r="A1746"/>
  <c r="J1745"/>
  <c r="I1745"/>
  <c r="H1745"/>
  <c r="C1745"/>
  <c r="B1745"/>
  <c r="J1744"/>
  <c r="I1744"/>
  <c r="H1744"/>
  <c r="C1744"/>
  <c r="B1744"/>
  <c r="A1744"/>
  <c r="J1743"/>
  <c r="I1743"/>
  <c r="H1743"/>
  <c r="C1743"/>
  <c r="B1743"/>
  <c r="A1743"/>
  <c r="J1742"/>
  <c r="I1742"/>
  <c r="H1742"/>
  <c r="C1742"/>
  <c r="B1742"/>
  <c r="A1742"/>
  <c r="J1741"/>
  <c r="I1741"/>
  <c r="H1741"/>
  <c r="C1741"/>
  <c r="B1741"/>
  <c r="J1740"/>
  <c r="I1740"/>
  <c r="H1740"/>
  <c r="C1740"/>
  <c r="B1740"/>
  <c r="A1740"/>
  <c r="P1865" i="1"/>
  <c r="E1775" i="2"/>
  <c r="P1864" i="1"/>
  <c r="E1774" i="2"/>
  <c r="P1863" i="1"/>
  <c r="E1773" i="2"/>
  <c r="P1862" i="1"/>
  <c r="E1772" i="2"/>
  <c r="P1861" i="1"/>
  <c r="E1771" i="2"/>
  <c r="P1860" i="1"/>
  <c r="E1770" i="2"/>
  <c r="P1859" i="1"/>
  <c r="E1769" i="2"/>
  <c r="P1858" i="1"/>
  <c r="E1768" i="2"/>
  <c r="P1856" i="1"/>
  <c r="E1766" i="2"/>
  <c r="P1855" i="1"/>
  <c r="E1765" i="2"/>
  <c r="P1854" i="1"/>
  <c r="E1764" i="2"/>
  <c r="P1853" i="1"/>
  <c r="E1763" i="2"/>
  <c r="P1852" i="1"/>
  <c r="E1762" i="2"/>
  <c r="P1851" i="1"/>
  <c r="E1761" i="2"/>
  <c r="P1850" i="1"/>
  <c r="E1760" i="2"/>
  <c r="P1849" i="1"/>
  <c r="E1759" i="2"/>
  <c r="P1848" i="1"/>
  <c r="E1758" i="2"/>
  <c r="P1847" i="1"/>
  <c r="E1757" i="2"/>
  <c r="P1846" i="1"/>
  <c r="E1756" i="2"/>
  <c r="P1845" i="1"/>
  <c r="E1755" i="2"/>
  <c r="P1844" i="1"/>
  <c r="E1754" i="2"/>
  <c r="P1843" i="1"/>
  <c r="E1753" i="2"/>
  <c r="P1842" i="1"/>
  <c r="E1752" i="2"/>
  <c r="P1841" i="1"/>
  <c r="E1751" i="2"/>
  <c r="I1774"/>
  <c r="I1773"/>
  <c r="I1772"/>
  <c r="I1770"/>
  <c r="I1769"/>
  <c r="I1768"/>
  <c r="I1766"/>
  <c r="I1765"/>
  <c r="I1764"/>
  <c r="I1762"/>
  <c r="I1761"/>
  <c r="I1760"/>
  <c r="I1758"/>
  <c r="I1757"/>
  <c r="I1756"/>
  <c r="I1754"/>
  <c r="I1753"/>
  <c r="I1752"/>
  <c r="I1751"/>
  <c r="K1865" i="1"/>
  <c r="G1865"/>
  <c r="K1864"/>
  <c r="G1864"/>
  <c r="K1863"/>
  <c r="G1863"/>
  <c r="K1862"/>
  <c r="G1862"/>
  <c r="O1861"/>
  <c r="D1771" i="2"/>
  <c r="K1861" i="1"/>
  <c r="G1861"/>
  <c r="K1860"/>
  <c r="G1860"/>
  <c r="O1859"/>
  <c r="D1769" i="2"/>
  <c r="K1859" i="1"/>
  <c r="G1859"/>
  <c r="K1858"/>
  <c r="G1858"/>
  <c r="O1857"/>
  <c r="D1767" i="2"/>
  <c r="P1857" i="1"/>
  <c r="E1767" i="2"/>
  <c r="K1856" i="1"/>
  <c r="G1856"/>
  <c r="K1855"/>
  <c r="G1855"/>
  <c r="K1854"/>
  <c r="G1854"/>
  <c r="K1853"/>
  <c r="G1853"/>
  <c r="O1852"/>
  <c r="D1762" i="2"/>
  <c r="K1852" i="1"/>
  <c r="G1852"/>
  <c r="K1851"/>
  <c r="G1851"/>
  <c r="K1850"/>
  <c r="G1850"/>
  <c r="O1849"/>
  <c r="D1759" i="2"/>
  <c r="K1849" i="1"/>
  <c r="G1849"/>
  <c r="K1848"/>
  <c r="G1848"/>
  <c r="K1847"/>
  <c r="G1847"/>
  <c r="K1846"/>
  <c r="G1846"/>
  <c r="O1845"/>
  <c r="D1755" i="2"/>
  <c r="K1845" i="1"/>
  <c r="G1845"/>
  <c r="K1844"/>
  <c r="G1844"/>
  <c r="K1843"/>
  <c r="G1843"/>
  <c r="K1842"/>
  <c r="G1842"/>
  <c r="O1841"/>
  <c r="D1751" i="2"/>
  <c r="K1841" i="1"/>
  <c r="G1841"/>
  <c r="O2041"/>
  <c r="D1964" i="2"/>
  <c r="M2041" i="1"/>
  <c r="P2041"/>
  <c r="E1964" i="2"/>
  <c r="K2041" i="1"/>
  <c r="N2041"/>
  <c r="O2040"/>
  <c r="D1963" i="2"/>
  <c r="M2040" i="1"/>
  <c r="P2040"/>
  <c r="E1963" i="2"/>
  <c r="K2040" i="1"/>
  <c r="N2040"/>
  <c r="O2039"/>
  <c r="D1962" i="2"/>
  <c r="M2039" i="1"/>
  <c r="P2039"/>
  <c r="E1962" i="2"/>
  <c r="K2039" i="1"/>
  <c r="N2039"/>
  <c r="O2038"/>
  <c r="D1961" i="2"/>
  <c r="M2038" i="1"/>
  <c r="P2038"/>
  <c r="E1961" i="2"/>
  <c r="K2038" i="1"/>
  <c r="N2038"/>
  <c r="O2037"/>
  <c r="D1960" i="2"/>
  <c r="M2037" i="1"/>
  <c r="P2037"/>
  <c r="E1960" i="2"/>
  <c r="K2037" i="1"/>
  <c r="N2037"/>
  <c r="L86"/>
  <c r="P455"/>
  <c r="E441" i="2"/>
  <c r="P784" i="1"/>
  <c r="E758" i="2"/>
  <c r="E820" i="1"/>
  <c r="M820"/>
  <c r="P820"/>
  <c r="E794" i="2"/>
  <c r="E819" i="1"/>
  <c r="O819"/>
  <c r="D793" i="2"/>
  <c r="E818" i="1"/>
  <c r="M818"/>
  <c r="P818"/>
  <c r="E792" i="2"/>
  <c r="E817" i="1"/>
  <c r="M817"/>
  <c r="P817"/>
  <c r="E791" i="2"/>
  <c r="E816" i="1"/>
  <c r="M816"/>
  <c r="P816"/>
  <c r="E790" i="2"/>
  <c r="E815" i="1"/>
  <c r="O815"/>
  <c r="D789" i="2"/>
  <c r="E814" i="1"/>
  <c r="E813"/>
  <c r="M813"/>
  <c r="P813"/>
  <c r="E787" i="2"/>
  <c r="E811" i="1"/>
  <c r="M811"/>
  <c r="P811"/>
  <c r="E785" i="2"/>
  <c r="E810" i="1"/>
  <c r="M810"/>
  <c r="P810"/>
  <c r="E784" i="2"/>
  <c r="E809" i="1"/>
  <c r="M809"/>
  <c r="P809"/>
  <c r="E783" i="2"/>
  <c r="E808" i="1"/>
  <c r="M808"/>
  <c r="P808"/>
  <c r="E782" i="2"/>
  <c r="E806" i="1"/>
  <c r="M806"/>
  <c r="P806"/>
  <c r="E780" i="2"/>
  <c r="E805" i="1"/>
  <c r="O805"/>
  <c r="D779" i="2"/>
  <c r="E804" i="1"/>
  <c r="M804"/>
  <c r="P804"/>
  <c r="E778" i="2"/>
  <c r="E803" i="1"/>
  <c r="M803"/>
  <c r="P803"/>
  <c r="E777" i="2"/>
  <c r="E802" i="1"/>
  <c r="E800"/>
  <c r="M800"/>
  <c r="P800"/>
  <c r="E774" i="2"/>
  <c r="E799" i="1"/>
  <c r="M799"/>
  <c r="P799"/>
  <c r="E773" i="2"/>
  <c r="E798" i="1"/>
  <c r="O798"/>
  <c r="D772" i="2"/>
  <c r="E797" i="1"/>
  <c r="M797"/>
  <c r="P797"/>
  <c r="E771" i="2"/>
  <c r="E794" i="1"/>
  <c r="M794"/>
  <c r="P794"/>
  <c r="E768" i="2"/>
  <c r="E793" i="1"/>
  <c r="M793"/>
  <c r="P793"/>
  <c r="E767" i="2"/>
  <c r="E792" i="1"/>
  <c r="M792"/>
  <c r="P792"/>
  <c r="E766" i="2"/>
  <c r="E791" i="1"/>
  <c r="M791"/>
  <c r="P791"/>
  <c r="E765" i="2"/>
  <c r="E790" i="1"/>
  <c r="O790"/>
  <c r="D764" i="2"/>
  <c r="E789" i="1"/>
  <c r="E787"/>
  <c r="O787"/>
  <c r="D761" i="2"/>
  <c r="E786" i="1"/>
  <c r="M786"/>
  <c r="P786"/>
  <c r="E760" i="2"/>
  <c r="E785" i="1"/>
  <c r="M785"/>
  <c r="P785"/>
  <c r="E759" i="2"/>
  <c r="E783" i="1"/>
  <c r="M783"/>
  <c r="P783"/>
  <c r="E757" i="2"/>
  <c r="E782" i="1"/>
  <c r="M782"/>
  <c r="P782"/>
  <c r="E756" i="2"/>
  <c r="E781" i="1"/>
  <c r="M781"/>
  <c r="P781"/>
  <c r="E755" i="2"/>
  <c r="E780" i="1"/>
  <c r="O780"/>
  <c r="D754" i="2"/>
  <c r="E779" i="1"/>
  <c r="M779"/>
  <c r="P779"/>
  <c r="E753" i="2"/>
  <c r="E777" i="1"/>
  <c r="M777"/>
  <c r="P777"/>
  <c r="E751" i="2"/>
  <c r="E776" i="1"/>
  <c r="M776"/>
  <c r="P776"/>
  <c r="E750" i="2"/>
  <c r="E775" i="1"/>
  <c r="M775"/>
  <c r="P775"/>
  <c r="E749" i="2"/>
  <c r="E774" i="1"/>
  <c r="M774"/>
  <c r="P774"/>
  <c r="E748" i="2"/>
  <c r="E773" i="1"/>
  <c r="M773"/>
  <c r="P773"/>
  <c r="E747" i="2"/>
  <c r="E771" i="1"/>
  <c r="M771"/>
  <c r="P771"/>
  <c r="E745" i="2"/>
  <c r="E770" i="1"/>
  <c r="M770"/>
  <c r="P770"/>
  <c r="E744" i="2"/>
  <c r="E769" i="1"/>
  <c r="M769"/>
  <c r="P769"/>
  <c r="E743" i="2"/>
  <c r="E767" i="1"/>
  <c r="M767"/>
  <c r="P767"/>
  <c r="E766"/>
  <c r="E765"/>
  <c r="O765"/>
  <c r="E764"/>
  <c r="O764"/>
  <c r="E763"/>
  <c r="M763"/>
  <c r="P763"/>
  <c r="E762"/>
  <c r="E761"/>
  <c r="O761"/>
  <c r="E759"/>
  <c r="M759"/>
  <c r="P759"/>
  <c r="E758"/>
  <c r="M758"/>
  <c r="P758"/>
  <c r="E757"/>
  <c r="M757"/>
  <c r="P757"/>
  <c r="E756"/>
  <c r="M756"/>
  <c r="P756"/>
  <c r="E755"/>
  <c r="M755"/>
  <c r="P755"/>
  <c r="E741" i="2"/>
  <c r="E754" i="1"/>
  <c r="M754"/>
  <c r="P754"/>
  <c r="E740" i="2"/>
  <c r="E752" i="1"/>
  <c r="O752"/>
  <c r="E751"/>
  <c r="M751"/>
  <c r="P751"/>
  <c r="E750"/>
  <c r="M750"/>
  <c r="P750"/>
  <c r="E749"/>
  <c r="O749"/>
  <c r="E748"/>
  <c r="O748"/>
  <c r="E747"/>
  <c r="M747"/>
  <c r="P747"/>
  <c r="E738" i="2"/>
  <c r="E746" i="1"/>
  <c r="M746"/>
  <c r="P746"/>
  <c r="E737" i="2"/>
  <c r="E745" i="1"/>
  <c r="M745"/>
  <c r="P745"/>
  <c r="E736" i="2"/>
  <c r="E743" i="1"/>
  <c r="M743"/>
  <c r="P743"/>
  <c r="E734" i="2"/>
  <c r="E742" i="1"/>
  <c r="O742"/>
  <c r="D733" i="2"/>
  <c r="E741" i="1"/>
  <c r="M741"/>
  <c r="P741"/>
  <c r="E732" i="2"/>
  <c r="E740" i="1"/>
  <c r="M740"/>
  <c r="P740"/>
  <c r="E731" i="2"/>
  <c r="E739" i="1"/>
  <c r="M739"/>
  <c r="P739"/>
  <c r="E730" i="2"/>
  <c r="E738" i="1"/>
  <c r="M738"/>
  <c r="P738"/>
  <c r="E729" i="2"/>
  <c r="E736" i="1"/>
  <c r="M736"/>
  <c r="E735"/>
  <c r="M735"/>
  <c r="E734"/>
  <c r="M734"/>
  <c r="E733"/>
  <c r="M733"/>
  <c r="J978" i="2"/>
  <c r="I978"/>
  <c r="H978"/>
  <c r="C978"/>
  <c r="B978"/>
  <c r="J977"/>
  <c r="I977"/>
  <c r="H977"/>
  <c r="C977"/>
  <c r="B977"/>
  <c r="J976"/>
  <c r="I976"/>
  <c r="H976"/>
  <c r="C976"/>
  <c r="B976"/>
  <c r="J975"/>
  <c r="I975"/>
  <c r="H975"/>
  <c r="C975"/>
  <c r="B975"/>
  <c r="J974"/>
  <c r="I974"/>
  <c r="H974"/>
  <c r="C974"/>
  <c r="B974"/>
  <c r="J973"/>
  <c r="I973"/>
  <c r="H973"/>
  <c r="C973"/>
  <c r="B973"/>
  <c r="J972"/>
  <c r="I972"/>
  <c r="H972"/>
  <c r="C972"/>
  <c r="B972"/>
  <c r="J971"/>
  <c r="I971"/>
  <c r="H971"/>
  <c r="C971"/>
  <c r="B971"/>
  <c r="J970"/>
  <c r="I970"/>
  <c r="H970"/>
  <c r="C970"/>
  <c r="B970"/>
  <c r="J969"/>
  <c r="I969"/>
  <c r="H969"/>
  <c r="C969"/>
  <c r="B969"/>
  <c r="J968"/>
  <c r="I968"/>
  <c r="H968"/>
  <c r="C968"/>
  <c r="B968"/>
  <c r="J967"/>
  <c r="I967"/>
  <c r="H967"/>
  <c r="C967"/>
  <c r="B967"/>
  <c r="J966"/>
  <c r="I966"/>
  <c r="H966"/>
  <c r="C966"/>
  <c r="B966"/>
  <c r="J965"/>
  <c r="I965"/>
  <c r="H965"/>
  <c r="C965"/>
  <c r="B965"/>
  <c r="J964"/>
  <c r="I964"/>
  <c r="H964"/>
  <c r="C964"/>
  <c r="B964"/>
  <c r="J963"/>
  <c r="I963"/>
  <c r="H963"/>
  <c r="C963"/>
  <c r="B963"/>
  <c r="J962"/>
  <c r="I962"/>
  <c r="H962"/>
  <c r="C962"/>
  <c r="B962"/>
  <c r="J961"/>
  <c r="I961"/>
  <c r="H961"/>
  <c r="C961"/>
  <c r="B961"/>
  <c r="J960"/>
  <c r="I960"/>
  <c r="H960"/>
  <c r="C960"/>
  <c r="B960"/>
  <c r="J959"/>
  <c r="I959"/>
  <c r="H959"/>
  <c r="C959"/>
  <c r="B959"/>
  <c r="J958"/>
  <c r="I958"/>
  <c r="H958"/>
  <c r="C958"/>
  <c r="B958"/>
  <c r="J957"/>
  <c r="I957"/>
  <c r="H957"/>
  <c r="C957"/>
  <c r="B957"/>
  <c r="J956"/>
  <c r="I956"/>
  <c r="H956"/>
  <c r="C956"/>
  <c r="B956"/>
  <c r="J955"/>
  <c r="I955"/>
  <c r="H955"/>
  <c r="C955"/>
  <c r="B955"/>
  <c r="J954"/>
  <c r="I954"/>
  <c r="H954"/>
  <c r="C954"/>
  <c r="B954"/>
  <c r="A954"/>
  <c r="A1016" i="1"/>
  <c r="A1017"/>
  <c r="P1022"/>
  <c r="E961" i="2"/>
  <c r="O1039" i="1"/>
  <c r="D978" i="2"/>
  <c r="O1038" i="1"/>
  <c r="D977" i="2"/>
  <c r="O1037" i="1"/>
  <c r="D976" i="2"/>
  <c r="O1036" i="1"/>
  <c r="D975" i="2"/>
  <c r="O1035" i="1"/>
  <c r="D974" i="2"/>
  <c r="O1034" i="1"/>
  <c r="D973" i="2"/>
  <c r="O1033" i="1"/>
  <c r="D972" i="2"/>
  <c r="O1032" i="1"/>
  <c r="D971" i="2"/>
  <c r="O1031" i="1"/>
  <c r="D970" i="2"/>
  <c r="O1030" i="1"/>
  <c r="D969" i="2"/>
  <c r="O1029" i="1"/>
  <c r="D968" i="2"/>
  <c r="O1028" i="1"/>
  <c r="D967" i="2"/>
  <c r="O1027" i="1"/>
  <c r="D966" i="2"/>
  <c r="O1026" i="1"/>
  <c r="D965" i="2"/>
  <c r="O1025" i="1"/>
  <c r="D964" i="2"/>
  <c r="O1024" i="1"/>
  <c r="D963" i="2"/>
  <c r="O1023" i="1"/>
  <c r="D962" i="2"/>
  <c r="O1022" i="1"/>
  <c r="D961" i="2"/>
  <c r="O1021" i="1"/>
  <c r="D960" i="2"/>
  <c r="O1020" i="1"/>
  <c r="D959" i="2"/>
  <c r="O1019" i="1"/>
  <c r="D958" i="2"/>
  <c r="O1018" i="1"/>
  <c r="D957" i="2"/>
  <c r="O1017" i="1"/>
  <c r="D956" i="2"/>
  <c r="O1016" i="1"/>
  <c r="D955" i="2"/>
  <c r="O1015" i="1"/>
  <c r="D954" i="2"/>
  <c r="O1014" i="1"/>
  <c r="D953" i="2"/>
  <c r="P1013" i="1"/>
  <c r="O1013"/>
  <c r="P1038"/>
  <c r="E977" i="2"/>
  <c r="P1014" i="1"/>
  <c r="E953" i="2"/>
  <c r="J953"/>
  <c r="I953"/>
  <c r="H953"/>
  <c r="C953"/>
  <c r="B953"/>
  <c r="J952"/>
  <c r="I952"/>
  <c r="H952"/>
  <c r="B952"/>
  <c r="H309" i="1"/>
  <c r="H308"/>
  <c r="H307"/>
  <c r="O818"/>
  <c r="D792" i="2"/>
  <c r="P812" i="1"/>
  <c r="E786" i="2"/>
  <c r="O812" i="1"/>
  <c r="D786" i="2"/>
  <c r="O811" i="1"/>
  <c r="D785" i="2"/>
  <c r="P807" i="1"/>
  <c r="E781" i="2"/>
  <c r="O807" i="1"/>
  <c r="D781" i="2"/>
  <c r="O804" i="1"/>
  <c r="D778" i="2"/>
  <c r="P801" i="1"/>
  <c r="E775" i="2"/>
  <c r="O801" i="1"/>
  <c r="D775" i="2"/>
  <c r="P796" i="1"/>
  <c r="E770" i="2"/>
  <c r="O796" i="1"/>
  <c r="D770" i="2"/>
  <c r="P795" i="1"/>
  <c r="E769" i="2"/>
  <c r="O795" i="1"/>
  <c r="D769" i="2"/>
  <c r="O794" i="1"/>
  <c r="D768" i="2"/>
  <c r="P788" i="1"/>
  <c r="E762" i="2"/>
  <c r="O788" i="1"/>
  <c r="D762" i="2"/>
  <c r="P760" i="1"/>
  <c r="O760"/>
  <c r="A814"/>
  <c r="A815"/>
  <c r="A816"/>
  <c r="A817"/>
  <c r="A818"/>
  <c r="A819"/>
  <c r="A820"/>
  <c r="A809"/>
  <c r="A810"/>
  <c r="A811"/>
  <c r="A790"/>
  <c r="A791"/>
  <c r="A792"/>
  <c r="A793"/>
  <c r="A794"/>
  <c r="K794"/>
  <c r="K793"/>
  <c r="K792"/>
  <c r="K791"/>
  <c r="K790"/>
  <c r="K789"/>
  <c r="K820"/>
  <c r="K819"/>
  <c r="K818"/>
  <c r="K817"/>
  <c r="K816"/>
  <c r="K815"/>
  <c r="K814"/>
  <c r="K813"/>
  <c r="K811"/>
  <c r="K810"/>
  <c r="K809"/>
  <c r="K808"/>
  <c r="K806"/>
  <c r="K805"/>
  <c r="K804"/>
  <c r="K803"/>
  <c r="A803"/>
  <c r="A804"/>
  <c r="A805"/>
  <c r="A806"/>
  <c r="K802"/>
  <c r="A798"/>
  <c r="A799"/>
  <c r="A800"/>
  <c r="K800"/>
  <c r="K799"/>
  <c r="K798"/>
  <c r="K797"/>
  <c r="K787"/>
  <c r="K786"/>
  <c r="A786"/>
  <c r="A787"/>
  <c r="O785"/>
  <c r="D759" i="2"/>
  <c r="K785" i="1"/>
  <c r="O784"/>
  <c r="D758" i="2"/>
  <c r="O783" i="1"/>
  <c r="D757" i="2"/>
  <c r="O779" i="1"/>
  <c r="D753" i="2"/>
  <c r="P778" i="1"/>
  <c r="E752" i="2"/>
  <c r="O778" i="1"/>
  <c r="D752" i="2"/>
  <c r="O777" i="1"/>
  <c r="D751" i="2"/>
  <c r="O775" i="1"/>
  <c r="D749" i="2"/>
  <c r="O774" i="1"/>
  <c r="D748" i="2"/>
  <c r="P772" i="1"/>
  <c r="E746" i="2"/>
  <c r="O772" i="1"/>
  <c r="D746" i="2"/>
  <c r="K783" i="1"/>
  <c r="K782"/>
  <c r="K781"/>
  <c r="K780"/>
  <c r="A780"/>
  <c r="A781"/>
  <c r="A782"/>
  <c r="A783"/>
  <c r="K779"/>
  <c r="K777"/>
  <c r="K776"/>
  <c r="K775"/>
  <c r="K774"/>
  <c r="K773"/>
  <c r="A774"/>
  <c r="A775"/>
  <c r="A776"/>
  <c r="A777"/>
  <c r="A762"/>
  <c r="A763"/>
  <c r="A764"/>
  <c r="A765"/>
  <c r="A766"/>
  <c r="A767"/>
  <c r="P768"/>
  <c r="O768"/>
  <c r="O755"/>
  <c r="D741" i="2"/>
  <c r="K752" i="1"/>
  <c r="K751"/>
  <c r="K750"/>
  <c r="K749"/>
  <c r="K748"/>
  <c r="J734" i="2"/>
  <c r="H734"/>
  <c r="C734"/>
  <c r="B734"/>
  <c r="J733"/>
  <c r="H733"/>
  <c r="C733"/>
  <c r="B733"/>
  <c r="J732"/>
  <c r="H732"/>
  <c r="C732"/>
  <c r="B732"/>
  <c r="K743" i="1"/>
  <c r="K742"/>
  <c r="K741"/>
  <c r="E729"/>
  <c r="M729"/>
  <c r="P729"/>
  <c r="E720" i="2"/>
  <c r="E728" i="1"/>
  <c r="M728"/>
  <c r="P728"/>
  <c r="E719" i="2"/>
  <c r="J951"/>
  <c r="I951"/>
  <c r="H951"/>
  <c r="J950"/>
  <c r="I950"/>
  <c r="H950"/>
  <c r="J949"/>
  <c r="I949"/>
  <c r="H949"/>
  <c r="J948"/>
  <c r="I948"/>
  <c r="H948"/>
  <c r="J947"/>
  <c r="I947"/>
  <c r="H947"/>
  <c r="J946"/>
  <c r="I946"/>
  <c r="H946"/>
  <c r="J945"/>
  <c r="I945"/>
  <c r="H945"/>
  <c r="J944"/>
  <c r="I944"/>
  <c r="H944"/>
  <c r="J943"/>
  <c r="I943"/>
  <c r="H943"/>
  <c r="J942"/>
  <c r="I942"/>
  <c r="H942"/>
  <c r="J941"/>
  <c r="I941"/>
  <c r="H941"/>
  <c r="J940"/>
  <c r="I940"/>
  <c r="H940"/>
  <c r="J939"/>
  <c r="I939"/>
  <c r="H939"/>
  <c r="J938"/>
  <c r="I938"/>
  <c r="H938"/>
  <c r="J937"/>
  <c r="I937"/>
  <c r="H937"/>
  <c r="J936"/>
  <c r="I936"/>
  <c r="H936"/>
  <c r="J935"/>
  <c r="I935"/>
  <c r="H935"/>
  <c r="J934"/>
  <c r="I934"/>
  <c r="H934"/>
  <c r="J933"/>
  <c r="I933"/>
  <c r="H933"/>
  <c r="J932"/>
  <c r="I932"/>
  <c r="H932"/>
  <c r="J931"/>
  <c r="I931"/>
  <c r="H931"/>
  <c r="J930"/>
  <c r="I930"/>
  <c r="H930"/>
  <c r="J929"/>
  <c r="I929"/>
  <c r="H929"/>
  <c r="J928"/>
  <c r="I928"/>
  <c r="H928"/>
  <c r="J927"/>
  <c r="I927"/>
  <c r="H927"/>
  <c r="J926"/>
  <c r="I926"/>
  <c r="H926"/>
  <c r="J925"/>
  <c r="I925"/>
  <c r="H925"/>
  <c r="J924"/>
  <c r="I924"/>
  <c r="H924"/>
  <c r="J923"/>
  <c r="I923"/>
  <c r="H923"/>
  <c r="J922"/>
  <c r="I922"/>
  <c r="H922"/>
  <c r="J921"/>
  <c r="I921"/>
  <c r="H921"/>
  <c r="J920"/>
  <c r="I920"/>
  <c r="H920"/>
  <c r="J919"/>
  <c r="I919"/>
  <c r="H919"/>
  <c r="J918"/>
  <c r="I918"/>
  <c r="H918"/>
  <c r="J917"/>
  <c r="I917"/>
  <c r="H917"/>
  <c r="J916"/>
  <c r="I916"/>
  <c r="H916"/>
  <c r="J915"/>
  <c r="I915"/>
  <c r="H915"/>
  <c r="J914"/>
  <c r="I914"/>
  <c r="H914"/>
  <c r="J913"/>
  <c r="I913"/>
  <c r="H913"/>
  <c r="J912"/>
  <c r="I912"/>
  <c r="H912"/>
  <c r="J911"/>
  <c r="I911"/>
  <c r="H911"/>
  <c r="J910"/>
  <c r="I910"/>
  <c r="H910"/>
  <c r="J909"/>
  <c r="I909"/>
  <c r="H909"/>
  <c r="J908"/>
  <c r="I908"/>
  <c r="H908"/>
  <c r="J907"/>
  <c r="I907"/>
  <c r="H907"/>
  <c r="J906"/>
  <c r="I906"/>
  <c r="H906"/>
  <c r="J905"/>
  <c r="I905"/>
  <c r="H905"/>
  <c r="J904"/>
  <c r="I904"/>
  <c r="H904"/>
  <c r="J903"/>
  <c r="I903"/>
  <c r="H903"/>
  <c r="J902"/>
  <c r="I902"/>
  <c r="H902"/>
  <c r="J901"/>
  <c r="I901"/>
  <c r="H901"/>
  <c r="J900"/>
  <c r="I900"/>
  <c r="H900"/>
  <c r="J899"/>
  <c r="I899"/>
  <c r="H899"/>
  <c r="J898"/>
  <c r="I898"/>
  <c r="H898"/>
  <c r="J897"/>
  <c r="I897"/>
  <c r="H897"/>
  <c r="J896"/>
  <c r="I896"/>
  <c r="H896"/>
  <c r="J895"/>
  <c r="I895"/>
  <c r="H895"/>
  <c r="J894"/>
  <c r="I894"/>
  <c r="H894"/>
  <c r="J893"/>
  <c r="I893"/>
  <c r="H893"/>
  <c r="J892"/>
  <c r="I892"/>
  <c r="H892"/>
  <c r="J891"/>
  <c r="I891"/>
  <c r="H891"/>
  <c r="J890"/>
  <c r="I890"/>
  <c r="H890"/>
  <c r="J889"/>
  <c r="I889"/>
  <c r="H889"/>
  <c r="J888"/>
  <c r="I888"/>
  <c r="H888"/>
  <c r="J887"/>
  <c r="I887"/>
  <c r="H887"/>
  <c r="J886"/>
  <c r="I886"/>
  <c r="H886"/>
  <c r="J885"/>
  <c r="I885"/>
  <c r="H885"/>
  <c r="J884"/>
  <c r="I884"/>
  <c r="H884"/>
  <c r="J883"/>
  <c r="I883"/>
  <c r="H883"/>
  <c r="J882"/>
  <c r="I882"/>
  <c r="H882"/>
  <c r="J881"/>
  <c r="I881"/>
  <c r="H881"/>
  <c r="J880"/>
  <c r="I880"/>
  <c r="H880"/>
  <c r="J879"/>
  <c r="I879"/>
  <c r="H879"/>
  <c r="J878"/>
  <c r="I878"/>
  <c r="H878"/>
  <c r="J877"/>
  <c r="I877"/>
  <c r="H877"/>
  <c r="J876"/>
  <c r="I876"/>
  <c r="H876"/>
  <c r="J875"/>
  <c r="I875"/>
  <c r="H875"/>
  <c r="J874"/>
  <c r="I874"/>
  <c r="H874"/>
  <c r="J873"/>
  <c r="I873"/>
  <c r="H873"/>
  <c r="J872"/>
  <c r="I872"/>
  <c r="H872"/>
  <c r="J871"/>
  <c r="I871"/>
  <c r="H871"/>
  <c r="J870"/>
  <c r="I870"/>
  <c r="H870"/>
  <c r="J869"/>
  <c r="I869"/>
  <c r="H869"/>
  <c r="J868"/>
  <c r="I868"/>
  <c r="H868"/>
  <c r="J867"/>
  <c r="I867"/>
  <c r="H867"/>
  <c r="J866"/>
  <c r="I866"/>
  <c r="H866"/>
  <c r="J865"/>
  <c r="I865"/>
  <c r="H865"/>
  <c r="J864"/>
  <c r="I864"/>
  <c r="H864"/>
  <c r="J863"/>
  <c r="I863"/>
  <c r="H863"/>
  <c r="J862"/>
  <c r="I862"/>
  <c r="H862"/>
  <c r="J861"/>
  <c r="I861"/>
  <c r="H861"/>
  <c r="J860"/>
  <c r="I860"/>
  <c r="H860"/>
  <c r="J859"/>
  <c r="I859"/>
  <c r="H859"/>
  <c r="J858"/>
  <c r="I858"/>
  <c r="H858"/>
  <c r="J857"/>
  <c r="I857"/>
  <c r="H857"/>
  <c r="J856"/>
  <c r="I856"/>
  <c r="H856"/>
  <c r="J855"/>
  <c r="I855"/>
  <c r="H855"/>
  <c r="J854"/>
  <c r="I854"/>
  <c r="H854"/>
  <c r="J853"/>
  <c r="I853"/>
  <c r="H853"/>
  <c r="J852"/>
  <c r="I852"/>
  <c r="H852"/>
  <c r="J851"/>
  <c r="I851"/>
  <c r="H851"/>
  <c r="J850"/>
  <c r="I850"/>
  <c r="H850"/>
  <c r="J849"/>
  <c r="I849"/>
  <c r="H849"/>
  <c r="J848"/>
  <c r="I848"/>
  <c r="H848"/>
  <c r="J847"/>
  <c r="I847"/>
  <c r="H847"/>
  <c r="J846"/>
  <c r="I846"/>
  <c r="H846"/>
  <c r="J845"/>
  <c r="I845"/>
  <c r="H845"/>
  <c r="J844"/>
  <c r="I844"/>
  <c r="H844"/>
  <c r="J843"/>
  <c r="I843"/>
  <c r="H843"/>
  <c r="J842"/>
  <c r="I842"/>
  <c r="H842"/>
  <c r="J841"/>
  <c r="I841"/>
  <c r="H841"/>
  <c r="J840"/>
  <c r="I840"/>
  <c r="H840"/>
  <c r="J839"/>
  <c r="I839"/>
  <c r="H839"/>
  <c r="J838"/>
  <c r="I838"/>
  <c r="H838"/>
  <c r="J837"/>
  <c r="I837"/>
  <c r="H837"/>
  <c r="J836"/>
  <c r="I836"/>
  <c r="H836"/>
  <c r="J835"/>
  <c r="I835"/>
  <c r="H835"/>
  <c r="J834"/>
  <c r="I834"/>
  <c r="H834"/>
  <c r="J833"/>
  <c r="I833"/>
  <c r="H833"/>
  <c r="J832"/>
  <c r="I832"/>
  <c r="H832"/>
  <c r="J831"/>
  <c r="I831"/>
  <c r="H831"/>
  <c r="J830"/>
  <c r="I830"/>
  <c r="H830"/>
  <c r="J829"/>
  <c r="I829"/>
  <c r="H829"/>
  <c r="J828"/>
  <c r="I828"/>
  <c r="H828"/>
  <c r="J827"/>
  <c r="I827"/>
  <c r="H827"/>
  <c r="J826"/>
  <c r="I826"/>
  <c r="H826"/>
  <c r="J825"/>
  <c r="I825"/>
  <c r="H825"/>
  <c r="J824"/>
  <c r="I824"/>
  <c r="H824"/>
  <c r="J823"/>
  <c r="I823"/>
  <c r="H823"/>
  <c r="J822"/>
  <c r="I822"/>
  <c r="H822"/>
  <c r="J821"/>
  <c r="I821"/>
  <c r="H821"/>
  <c r="J820"/>
  <c r="I820"/>
  <c r="H820"/>
  <c r="J819"/>
  <c r="I819"/>
  <c r="H819"/>
  <c r="J818"/>
  <c r="I818"/>
  <c r="H818"/>
  <c r="J817"/>
  <c r="I817"/>
  <c r="H817"/>
  <c r="J816"/>
  <c r="I816"/>
  <c r="H816"/>
  <c r="J815"/>
  <c r="I815"/>
  <c r="H815"/>
  <c r="J814"/>
  <c r="I814"/>
  <c r="H814"/>
  <c r="J813"/>
  <c r="I813"/>
  <c r="H813"/>
  <c r="J812"/>
  <c r="I812"/>
  <c r="H812"/>
  <c r="J811"/>
  <c r="I811"/>
  <c r="H811"/>
  <c r="J810"/>
  <c r="I810"/>
  <c r="H810"/>
  <c r="J809"/>
  <c r="I809"/>
  <c r="H809"/>
  <c r="J808"/>
  <c r="I808"/>
  <c r="H808"/>
  <c r="J807"/>
  <c r="I807"/>
  <c r="H807"/>
  <c r="J806"/>
  <c r="I806"/>
  <c r="H806"/>
  <c r="J805"/>
  <c r="I805"/>
  <c r="H805"/>
  <c r="J804"/>
  <c r="I804"/>
  <c r="H804"/>
  <c r="J803"/>
  <c r="I803"/>
  <c r="H803"/>
  <c r="J802"/>
  <c r="I802"/>
  <c r="H802"/>
  <c r="J801"/>
  <c r="I801"/>
  <c r="H801"/>
  <c r="J800"/>
  <c r="I800"/>
  <c r="H800"/>
  <c r="J799"/>
  <c r="I799"/>
  <c r="H799"/>
  <c r="J798"/>
  <c r="I798"/>
  <c r="H798"/>
  <c r="J797"/>
  <c r="I797"/>
  <c r="H797"/>
  <c r="J796"/>
  <c r="I796"/>
  <c r="H796"/>
  <c r="O1012" i="1"/>
  <c r="D951" i="2"/>
  <c r="O1011" i="1"/>
  <c r="D950" i="2"/>
  <c r="O1010" i="1"/>
  <c r="D949" i="2"/>
  <c r="O1009" i="1"/>
  <c r="D948" i="2"/>
  <c r="O1008" i="1"/>
  <c r="D947" i="2"/>
  <c r="O1007" i="1"/>
  <c r="D946" i="2"/>
  <c r="O1006" i="1"/>
  <c r="D945" i="2"/>
  <c r="O1005" i="1"/>
  <c r="D944" i="2"/>
  <c r="O1004" i="1"/>
  <c r="D943" i="2"/>
  <c r="O1003" i="1"/>
  <c r="D942" i="2"/>
  <c r="O1002" i="1"/>
  <c r="D941" i="2"/>
  <c r="O1001" i="1"/>
  <c r="D940" i="2"/>
  <c r="O1000" i="1"/>
  <c r="D939" i="2"/>
  <c r="O999" i="1"/>
  <c r="D938" i="2"/>
  <c r="O998" i="1"/>
  <c r="D937" i="2"/>
  <c r="O997" i="1"/>
  <c r="D936" i="2"/>
  <c r="O996" i="1"/>
  <c r="D935" i="2"/>
  <c r="O995" i="1"/>
  <c r="D934" i="2"/>
  <c r="O994" i="1"/>
  <c r="D933" i="2"/>
  <c r="O993" i="1"/>
  <c r="D932" i="2"/>
  <c r="O992" i="1"/>
  <c r="D931" i="2"/>
  <c r="O991" i="1"/>
  <c r="D930" i="2"/>
  <c r="O990" i="1"/>
  <c r="D929" i="2"/>
  <c r="O989" i="1"/>
  <c r="D928" i="2"/>
  <c r="O988" i="1"/>
  <c r="D927" i="2"/>
  <c r="O987" i="1"/>
  <c r="D926" i="2"/>
  <c r="O986" i="1"/>
  <c r="D925" i="2"/>
  <c r="O985" i="1"/>
  <c r="D924" i="2"/>
  <c r="O984" i="1"/>
  <c r="D923" i="2"/>
  <c r="O983" i="1"/>
  <c r="D922" i="2"/>
  <c r="O982" i="1"/>
  <c r="D921" i="2"/>
  <c r="O981" i="1"/>
  <c r="D920" i="2"/>
  <c r="O980" i="1"/>
  <c r="D919" i="2"/>
  <c r="O979" i="1"/>
  <c r="D918" i="2"/>
  <c r="O978" i="1"/>
  <c r="D917" i="2"/>
  <c r="O977" i="1"/>
  <c r="D916" i="2"/>
  <c r="O976" i="1"/>
  <c r="D915" i="2"/>
  <c r="O975" i="1"/>
  <c r="D914" i="2"/>
  <c r="O974" i="1"/>
  <c r="D913" i="2"/>
  <c r="O973" i="1"/>
  <c r="D912" i="2"/>
  <c r="O972" i="1"/>
  <c r="D911" i="2"/>
  <c r="O971" i="1"/>
  <c r="D910" i="2"/>
  <c r="O970" i="1"/>
  <c r="D909" i="2"/>
  <c r="O969" i="1"/>
  <c r="D908" i="2"/>
  <c r="O968" i="1"/>
  <c r="D907" i="2"/>
  <c r="O967" i="1"/>
  <c r="D906" i="2"/>
  <c r="O966" i="1"/>
  <c r="D905" i="2"/>
  <c r="O965" i="1"/>
  <c r="D904" i="2"/>
  <c r="O964" i="1"/>
  <c r="D903" i="2"/>
  <c r="O963" i="1"/>
  <c r="D902" i="2"/>
  <c r="C951"/>
  <c r="B951"/>
  <c r="A951"/>
  <c r="C950"/>
  <c r="B950"/>
  <c r="A950"/>
  <c r="C949"/>
  <c r="B949"/>
  <c r="A949"/>
  <c r="C948"/>
  <c r="B948"/>
  <c r="A948"/>
  <c r="C947"/>
  <c r="B947"/>
  <c r="A947"/>
  <c r="C946"/>
  <c r="B946"/>
  <c r="A946"/>
  <c r="C945"/>
  <c r="B945"/>
  <c r="A945"/>
  <c r="C944"/>
  <c r="B944"/>
  <c r="A944"/>
  <c r="C943"/>
  <c r="B943"/>
  <c r="A943"/>
  <c r="C942"/>
  <c r="B942"/>
  <c r="A942"/>
  <c r="C941"/>
  <c r="B941"/>
  <c r="A941"/>
  <c r="C940"/>
  <c r="B940"/>
  <c r="A940"/>
  <c r="C939"/>
  <c r="B939"/>
  <c r="A939"/>
  <c r="C938"/>
  <c r="B938"/>
  <c r="A938"/>
  <c r="C937"/>
  <c r="B937"/>
  <c r="A937"/>
  <c r="C936"/>
  <c r="B936"/>
  <c r="A936"/>
  <c r="C935"/>
  <c r="B935"/>
  <c r="A935"/>
  <c r="C934"/>
  <c r="B934"/>
  <c r="A934"/>
  <c r="C933"/>
  <c r="B933"/>
  <c r="A933"/>
  <c r="C932"/>
  <c r="B932"/>
  <c r="A932"/>
  <c r="C931"/>
  <c r="B931"/>
  <c r="A931"/>
  <c r="C930"/>
  <c r="B930"/>
  <c r="A930"/>
  <c r="C929"/>
  <c r="B929"/>
  <c r="A929"/>
  <c r="C928"/>
  <c r="B928"/>
  <c r="A928"/>
  <c r="C927"/>
  <c r="B927"/>
  <c r="A927"/>
  <c r="C926"/>
  <c r="B926"/>
  <c r="A926"/>
  <c r="C925"/>
  <c r="B925"/>
  <c r="A925"/>
  <c r="C924"/>
  <c r="B924"/>
  <c r="A924"/>
  <c r="C923"/>
  <c r="B923"/>
  <c r="A923"/>
  <c r="C922"/>
  <c r="B922"/>
  <c r="A922"/>
  <c r="C921"/>
  <c r="B921"/>
  <c r="A921"/>
  <c r="C920"/>
  <c r="B920"/>
  <c r="A920"/>
  <c r="C919"/>
  <c r="B919"/>
  <c r="A919"/>
  <c r="C918"/>
  <c r="B918"/>
  <c r="A918"/>
  <c r="C917"/>
  <c r="B917"/>
  <c r="A917"/>
  <c r="C916"/>
  <c r="B916"/>
  <c r="A916"/>
  <c r="C915"/>
  <c r="B915"/>
  <c r="A915"/>
  <c r="C914"/>
  <c r="B914"/>
  <c r="A914"/>
  <c r="C913"/>
  <c r="B913"/>
  <c r="A913"/>
  <c r="C912"/>
  <c r="B912"/>
  <c r="A912"/>
  <c r="C911"/>
  <c r="B911"/>
  <c r="A911"/>
  <c r="C910"/>
  <c r="B910"/>
  <c r="A910"/>
  <c r="C909"/>
  <c r="B909"/>
  <c r="A909"/>
  <c r="C908"/>
  <c r="B908"/>
  <c r="A908"/>
  <c r="C907"/>
  <c r="B907"/>
  <c r="A907"/>
  <c r="C906"/>
  <c r="B906"/>
  <c r="A906"/>
  <c r="C905"/>
  <c r="B905"/>
  <c r="A905"/>
  <c r="C904"/>
  <c r="B904"/>
  <c r="A904"/>
  <c r="C903"/>
  <c r="B903"/>
  <c r="A903"/>
  <c r="C902"/>
  <c r="B902"/>
  <c r="A902"/>
  <c r="B901"/>
  <c r="N313" i="1"/>
  <c r="M313"/>
  <c r="L481"/>
  <c r="L480"/>
  <c r="O724"/>
  <c r="D715" i="2"/>
  <c r="O723" i="1"/>
  <c r="D714" i="2"/>
  <c r="O722" i="1"/>
  <c r="D713" i="2"/>
  <c r="O721" i="1"/>
  <c r="D712" i="2"/>
  <c r="O720" i="1"/>
  <c r="D711" i="2"/>
  <c r="O719" i="1"/>
  <c r="D710" i="2"/>
  <c r="O718" i="1"/>
  <c r="D709" i="2"/>
  <c r="O717" i="1"/>
  <c r="O716"/>
  <c r="D707" i="2"/>
  <c r="O715" i="1"/>
  <c r="D706" i="2"/>
  <c r="O714" i="1"/>
  <c r="D705" i="2"/>
  <c r="O713" i="1"/>
  <c r="D704" i="2"/>
  <c r="O712" i="1"/>
  <c r="D703" i="2"/>
  <c r="O711" i="1"/>
  <c r="D702" i="2"/>
  <c r="O710" i="1"/>
  <c r="D701" i="2"/>
  <c r="O709" i="1"/>
  <c r="D700" i="2"/>
  <c r="O708" i="1"/>
  <c r="D699" i="2"/>
  <c r="O707" i="1"/>
  <c r="D698" i="2"/>
  <c r="O706" i="1"/>
  <c r="D697" i="2"/>
  <c r="O705" i="1"/>
  <c r="D696" i="2"/>
  <c r="O704" i="1"/>
  <c r="D695" i="2"/>
  <c r="O703" i="1"/>
  <c r="O725"/>
  <c r="D716" i="2"/>
  <c r="M725" i="1"/>
  <c r="P725"/>
  <c r="E716" i="2"/>
  <c r="M724" i="1"/>
  <c r="P724"/>
  <c r="E715" i="2"/>
  <c r="M723" i="1"/>
  <c r="P723"/>
  <c r="E714" i="2"/>
  <c r="M722" i="1"/>
  <c r="P722"/>
  <c r="E713" i="2"/>
  <c r="M721" i="1"/>
  <c r="P721"/>
  <c r="E712" i="2"/>
  <c r="M720" i="1"/>
  <c r="P720"/>
  <c r="E711" i="2"/>
  <c r="M719" i="1"/>
  <c r="P719"/>
  <c r="E710" i="2"/>
  <c r="M718" i="1"/>
  <c r="P718"/>
  <c r="E709" i="2"/>
  <c r="N961" i="1"/>
  <c r="M961"/>
  <c r="P961"/>
  <c r="E900" i="2"/>
  <c r="N960" i="1"/>
  <c r="M960"/>
  <c r="N959"/>
  <c r="M959"/>
  <c r="P959"/>
  <c r="E898" i="2"/>
  <c r="N958" i="1"/>
  <c r="M958"/>
  <c r="N957"/>
  <c r="M957"/>
  <c r="P957"/>
  <c r="E896" i="2"/>
  <c r="N956" i="1"/>
  <c r="M956"/>
  <c r="N955"/>
  <c r="M955"/>
  <c r="P955"/>
  <c r="E894" i="2"/>
  <c r="N954" i="1"/>
  <c r="M954"/>
  <c r="N953"/>
  <c r="M953"/>
  <c r="P953"/>
  <c r="E892" i="2"/>
  <c r="N952" i="1"/>
  <c r="M952"/>
  <c r="N951"/>
  <c r="M951"/>
  <c r="P951"/>
  <c r="E890" i="2"/>
  <c r="N950" i="1"/>
  <c r="M950"/>
  <c r="N949"/>
  <c r="M949"/>
  <c r="P949"/>
  <c r="E888" i="2"/>
  <c r="N948" i="1"/>
  <c r="M948"/>
  <c r="N947"/>
  <c r="M947"/>
  <c r="P947"/>
  <c r="E886" i="2"/>
  <c r="N946" i="1"/>
  <c r="M946"/>
  <c r="N945"/>
  <c r="M945"/>
  <c r="P945"/>
  <c r="E884" i="2"/>
  <c r="N944" i="1"/>
  <c r="M944"/>
  <c r="N943"/>
  <c r="M943"/>
  <c r="P943"/>
  <c r="E882" i="2"/>
  <c r="N942" i="1"/>
  <c r="M942"/>
  <c r="N941"/>
  <c r="M941"/>
  <c r="P941"/>
  <c r="E880" i="2"/>
  <c r="N940" i="1"/>
  <c r="M940"/>
  <c r="N939"/>
  <c r="M939"/>
  <c r="P939"/>
  <c r="E878" i="2"/>
  <c r="N938" i="1"/>
  <c r="M938"/>
  <c r="N937"/>
  <c r="M937"/>
  <c r="P937"/>
  <c r="E876" i="2"/>
  <c r="N936" i="1"/>
  <c r="M936"/>
  <c r="N935"/>
  <c r="M935"/>
  <c r="P935"/>
  <c r="E874" i="2"/>
  <c r="N934" i="1"/>
  <c r="M934"/>
  <c r="N933"/>
  <c r="M933"/>
  <c r="P933"/>
  <c r="E872" i="2"/>
  <c r="N932" i="1"/>
  <c r="M932"/>
  <c r="N931"/>
  <c r="M931"/>
  <c r="P931"/>
  <c r="E870" i="2"/>
  <c r="N930" i="1"/>
  <c r="M930"/>
  <c r="N929"/>
  <c r="M929"/>
  <c r="P929"/>
  <c r="E868" i="2"/>
  <c r="N928" i="1"/>
  <c r="M928"/>
  <c r="N927"/>
  <c r="M927"/>
  <c r="P927"/>
  <c r="E866" i="2"/>
  <c r="N926" i="1"/>
  <c r="M926"/>
  <c r="N925"/>
  <c r="M925"/>
  <c r="G1809"/>
  <c r="G1808"/>
  <c r="G1807"/>
  <c r="G1806"/>
  <c r="G1805"/>
  <c r="G1804"/>
  <c r="G1803"/>
  <c r="G1802"/>
  <c r="G1801"/>
  <c r="G1800"/>
  <c r="M1838"/>
  <c r="P1838"/>
  <c r="E1748" i="2"/>
  <c r="M1837" i="1"/>
  <c r="P1837"/>
  <c r="E1747" i="2"/>
  <c r="M1836" i="1"/>
  <c r="P1836"/>
  <c r="E1746" i="2"/>
  <c r="M1834" i="1"/>
  <c r="P1834"/>
  <c r="E1744" i="2"/>
  <c r="M1833" i="1"/>
  <c r="P1833"/>
  <c r="E1743" i="2"/>
  <c r="M1832" i="1"/>
  <c r="P1832"/>
  <c r="E1742" i="2"/>
  <c r="M1830" i="1"/>
  <c r="M1829"/>
  <c r="P1829"/>
  <c r="E1739" i="2"/>
  <c r="M1828" i="1"/>
  <c r="P1828"/>
  <c r="E1738" i="2"/>
  <c r="M1827" i="1"/>
  <c r="P1827"/>
  <c r="E1737" i="2"/>
  <c r="M716" i="1"/>
  <c r="P716"/>
  <c r="E707" i="2"/>
  <c r="M715" i="1"/>
  <c r="P715"/>
  <c r="E706" i="2"/>
  <c r="M714" i="1"/>
  <c r="P714"/>
  <c r="E705" i="2"/>
  <c r="M713" i="1"/>
  <c r="P713"/>
  <c r="E704" i="2"/>
  <c r="M712" i="1"/>
  <c r="P712"/>
  <c r="E703" i="2"/>
  <c r="M711" i="1"/>
  <c r="P711"/>
  <c r="E702" i="2"/>
  <c r="M710" i="1"/>
  <c r="P710"/>
  <c r="E701" i="2"/>
  <c r="M709" i="1"/>
  <c r="P709"/>
  <c r="E700" i="2"/>
  <c r="M708" i="1"/>
  <c r="P708"/>
  <c r="E699" i="2"/>
  <c r="M707" i="1"/>
  <c r="P707"/>
  <c r="E698" i="2"/>
  <c r="M706" i="1"/>
  <c r="P706"/>
  <c r="E697" i="2"/>
  <c r="M705" i="1"/>
  <c r="P705"/>
  <c r="E696" i="2"/>
  <c r="M704" i="1"/>
  <c r="P704"/>
  <c r="E695" i="2"/>
  <c r="P468" i="1"/>
  <c r="E454" i="2"/>
  <c r="M398" i="1"/>
  <c r="M396"/>
  <c r="M395"/>
  <c r="M394"/>
  <c r="M393"/>
  <c r="P108"/>
  <c r="E96" i="2"/>
  <c r="L104" i="1"/>
  <c r="N1012"/>
  <c r="M1012"/>
  <c r="P1012"/>
  <c r="E951" i="2"/>
  <c r="N1011" i="1"/>
  <c r="M1011"/>
  <c r="P1011"/>
  <c r="E950" i="2"/>
  <c r="N1010" i="1"/>
  <c r="M1010"/>
  <c r="P1010"/>
  <c r="E949" i="2"/>
  <c r="N1009" i="1"/>
  <c r="M1009"/>
  <c r="P1009"/>
  <c r="E948" i="2"/>
  <c r="N1008" i="1"/>
  <c r="M1008"/>
  <c r="P1008"/>
  <c r="E947" i="2"/>
  <c r="N1007" i="1"/>
  <c r="M1007"/>
  <c r="P1007"/>
  <c r="E946" i="2"/>
  <c r="N1006" i="1"/>
  <c r="M1006"/>
  <c r="P1006"/>
  <c r="E945" i="2"/>
  <c r="N1005" i="1"/>
  <c r="M1005"/>
  <c r="P1005"/>
  <c r="E944" i="2"/>
  <c r="N1004" i="1"/>
  <c r="M1004"/>
  <c r="P1004"/>
  <c r="E943" i="2"/>
  <c r="N1003" i="1"/>
  <c r="M1003"/>
  <c r="P1003"/>
  <c r="E942" i="2"/>
  <c r="N1002" i="1"/>
  <c r="M1002"/>
  <c r="P1002"/>
  <c r="E941" i="2"/>
  <c r="N1001" i="1"/>
  <c r="M1001"/>
  <c r="P1001"/>
  <c r="E940" i="2"/>
  <c r="N1000" i="1"/>
  <c r="M1000"/>
  <c r="P1000"/>
  <c r="E939" i="2"/>
  <c r="N999" i="1"/>
  <c r="M999"/>
  <c r="P999"/>
  <c r="E938" i="2"/>
  <c r="N998" i="1"/>
  <c r="M998"/>
  <c r="P998"/>
  <c r="E937" i="2"/>
  <c r="N997" i="1"/>
  <c r="M997"/>
  <c r="P997"/>
  <c r="E936" i="2"/>
  <c r="N996" i="1"/>
  <c r="M996"/>
  <c r="P996"/>
  <c r="E935" i="2"/>
  <c r="N995" i="1"/>
  <c r="M995"/>
  <c r="P995"/>
  <c r="E934" i="2"/>
  <c r="N994" i="1"/>
  <c r="M994"/>
  <c r="P994"/>
  <c r="E933" i="2"/>
  <c r="N993" i="1"/>
  <c r="M993"/>
  <c r="P993"/>
  <c r="E932" i="2"/>
  <c r="N992" i="1"/>
  <c r="M992"/>
  <c r="P992"/>
  <c r="E931" i="2"/>
  <c r="N991" i="1"/>
  <c r="M991"/>
  <c r="P991"/>
  <c r="E930" i="2"/>
  <c r="N990" i="1"/>
  <c r="M990"/>
  <c r="P990"/>
  <c r="E929" i="2"/>
  <c r="N989" i="1"/>
  <c r="M989"/>
  <c r="P989"/>
  <c r="E928" i="2"/>
  <c r="N988" i="1"/>
  <c r="M988"/>
  <c r="P988"/>
  <c r="E927" i="2"/>
  <c r="N987" i="1"/>
  <c r="M987"/>
  <c r="P987"/>
  <c r="E926" i="2"/>
  <c r="N986" i="1"/>
  <c r="M986"/>
  <c r="P986"/>
  <c r="E925" i="2"/>
  <c r="N985" i="1"/>
  <c r="M985"/>
  <c r="P985"/>
  <c r="E924" i="2"/>
  <c r="N984" i="1"/>
  <c r="M984"/>
  <c r="P984"/>
  <c r="E923" i="2"/>
  <c r="N983" i="1"/>
  <c r="M983"/>
  <c r="P983"/>
  <c r="E922" i="2"/>
  <c r="N982" i="1"/>
  <c r="M982"/>
  <c r="P982"/>
  <c r="E921" i="2"/>
  <c r="N981" i="1"/>
  <c r="M981"/>
  <c r="P981"/>
  <c r="E920" i="2"/>
  <c r="N980" i="1"/>
  <c r="M980"/>
  <c r="P980"/>
  <c r="E919" i="2"/>
  <c r="N979" i="1"/>
  <c r="M979"/>
  <c r="P979"/>
  <c r="E918" i="2"/>
  <c r="N978" i="1"/>
  <c r="M978"/>
  <c r="P978"/>
  <c r="E917" i="2"/>
  <c r="N977" i="1"/>
  <c r="M977"/>
  <c r="P977"/>
  <c r="E916" i="2"/>
  <c r="N976" i="1"/>
  <c r="M976"/>
  <c r="P976"/>
  <c r="E915" i="2"/>
  <c r="N975" i="1"/>
  <c r="M975"/>
  <c r="P975"/>
  <c r="E914" i="2"/>
  <c r="N974" i="1"/>
  <c r="M974"/>
  <c r="P974"/>
  <c r="E913" i="2"/>
  <c r="N973" i="1"/>
  <c r="M973"/>
  <c r="P973"/>
  <c r="E912" i="2"/>
  <c r="N972" i="1"/>
  <c r="M972"/>
  <c r="P972"/>
  <c r="E911" i="2"/>
  <c r="N971" i="1"/>
  <c r="M971"/>
  <c r="P971"/>
  <c r="E910" i="2"/>
  <c r="N970" i="1"/>
  <c r="M970"/>
  <c r="P970"/>
  <c r="E909" i="2"/>
  <c r="N969" i="1"/>
  <c r="M969"/>
  <c r="P969"/>
  <c r="E908" i="2"/>
  <c r="N968" i="1"/>
  <c r="M968"/>
  <c r="P968"/>
  <c r="E907" i="2"/>
  <c r="N967" i="1"/>
  <c r="M967"/>
  <c r="P967"/>
  <c r="E906" i="2"/>
  <c r="N966" i="1"/>
  <c r="M966"/>
  <c r="P966"/>
  <c r="E905" i="2"/>
  <c r="N965" i="1"/>
  <c r="M965"/>
  <c r="P965"/>
  <c r="E904" i="2"/>
  <c r="N964" i="1"/>
  <c r="M964"/>
  <c r="P964"/>
  <c r="E903" i="2"/>
  <c r="N963" i="1"/>
  <c r="M963"/>
  <c r="P963"/>
  <c r="E902" i="2"/>
  <c r="O701" i="1"/>
  <c r="D692" i="2"/>
  <c r="O700" i="1"/>
  <c r="D691" i="2"/>
  <c r="O699" i="1"/>
  <c r="D690" i="2"/>
  <c r="D508"/>
  <c r="E509"/>
  <c r="D384"/>
  <c r="D382"/>
  <c r="D381"/>
  <c r="D380"/>
  <c r="D379"/>
  <c r="E330"/>
  <c r="D330"/>
  <c r="C330"/>
  <c r="E331"/>
  <c r="E329"/>
  <c r="E328"/>
  <c r="E327"/>
  <c r="E326"/>
  <c r="E325"/>
  <c r="E324"/>
  <c r="D331"/>
  <c r="D329"/>
  <c r="D328"/>
  <c r="D327"/>
  <c r="D326"/>
  <c r="D325"/>
  <c r="D324"/>
  <c r="L605" i="1"/>
  <c r="L604"/>
  <c r="P604"/>
  <c r="E595" i="2"/>
  <c r="L603" i="1"/>
  <c r="P603"/>
  <c r="E594" i="2"/>
  <c r="L602" i="1"/>
  <c r="P602"/>
  <c r="E593" i="2"/>
  <c r="L601" i="1"/>
  <c r="L600"/>
  <c r="P600"/>
  <c r="E591" i="2"/>
  <c r="L599" i="1"/>
  <c r="P445"/>
  <c r="E431" i="2"/>
  <c r="M386" i="1"/>
  <c r="P386"/>
  <c r="E372" i="2"/>
  <c r="M374" i="1"/>
  <c r="P374"/>
  <c r="E360" i="2"/>
  <c r="M373" i="1"/>
  <c r="P373"/>
  <c r="E359" i="2"/>
  <c r="M387" i="1"/>
  <c r="P387"/>
  <c r="E373" i="2"/>
  <c r="M385" i="1"/>
  <c r="P385"/>
  <c r="E371" i="2"/>
  <c r="M384" i="1"/>
  <c r="P384"/>
  <c r="E370" i="2"/>
  <c r="M383" i="1"/>
  <c r="M382"/>
  <c r="P382"/>
  <c r="E368" i="2"/>
  <c r="M380" i="1"/>
  <c r="M379"/>
  <c r="P379"/>
  <c r="E365" i="2"/>
  <c r="M378" i="1"/>
  <c r="P378"/>
  <c r="E364" i="2"/>
  <c r="M377" i="1"/>
  <c r="P377"/>
  <c r="E363" i="2"/>
  <c r="M376" i="1"/>
  <c r="P376"/>
  <c r="E362" i="2"/>
  <c r="M375" i="1"/>
  <c r="P375"/>
  <c r="E361" i="2"/>
  <c r="M372" i="1"/>
  <c r="M370"/>
  <c r="P370"/>
  <c r="E356" i="2"/>
  <c r="E355"/>
  <c r="M369" i="1"/>
  <c r="P369"/>
  <c r="E354" i="2"/>
  <c r="M368" i="1"/>
  <c r="P368"/>
  <c r="E353" i="2"/>
  <c r="M367" i="1"/>
  <c r="P367"/>
  <c r="E352" i="2"/>
  <c r="M366" i="1"/>
  <c r="P366"/>
  <c r="E351" i="2"/>
  <c r="M365" i="1"/>
  <c r="M364"/>
  <c r="P364"/>
  <c r="E349" i="2"/>
  <c r="M362" i="1"/>
  <c r="M361"/>
  <c r="P361"/>
  <c r="E346" i="2"/>
  <c r="M360" i="1"/>
  <c r="P360"/>
  <c r="E345" i="2"/>
  <c r="M359" i="1"/>
  <c r="M358"/>
  <c r="P358"/>
  <c r="E343" i="2"/>
  <c r="M357" i="1"/>
  <c r="P357"/>
  <c r="E342" i="2"/>
  <c r="M355" i="1"/>
  <c r="P355"/>
  <c r="E340" i="2"/>
  <c r="M354" i="1"/>
  <c r="P354"/>
  <c r="E339" i="2"/>
  <c r="M353" i="1"/>
  <c r="P353"/>
  <c r="E338" i="2"/>
  <c r="M352" i="1"/>
  <c r="M351"/>
  <c r="P351"/>
  <c r="E336" i="2"/>
  <c r="M350" i="1"/>
  <c r="M349"/>
  <c r="P349"/>
  <c r="E334" i="2"/>
  <c r="P336" i="1"/>
  <c r="E321" i="2"/>
  <c r="L265" i="1"/>
  <c r="P265"/>
  <c r="L264"/>
  <c r="L263"/>
  <c r="L262"/>
  <c r="L261"/>
  <c r="P261"/>
  <c r="E248" i="2"/>
  <c r="L260" i="1"/>
  <c r="L259"/>
  <c r="P259"/>
  <c r="E246" i="2"/>
  <c r="L258" i="1"/>
  <c r="P258"/>
  <c r="L257"/>
  <c r="P257"/>
  <c r="L256"/>
  <c r="L255"/>
  <c r="P255"/>
  <c r="E244" i="2"/>
  <c r="L254" i="1"/>
  <c r="P254"/>
  <c r="E243" i="2"/>
  <c r="L253" i="1"/>
  <c r="P253"/>
  <c r="E242" i="2"/>
  <c r="L252" i="1"/>
  <c r="P252"/>
  <c r="E241" i="2"/>
  <c r="L250" i="1"/>
  <c r="P250"/>
  <c r="E239" i="2"/>
  <c r="L249" i="1"/>
  <c r="P249"/>
  <c r="E238" i="2"/>
  <c r="L248" i="1"/>
  <c r="P248"/>
  <c r="E237" i="2"/>
  <c r="L247" i="1"/>
  <c r="P247"/>
  <c r="E236" i="2"/>
  <c r="L245" i="1"/>
  <c r="P245"/>
  <c r="E234" i="2"/>
  <c r="L244" i="1"/>
  <c r="P244"/>
  <c r="E233" i="2"/>
  <c r="L243" i="1"/>
  <c r="L242"/>
  <c r="L241"/>
  <c r="P241"/>
  <c r="E230" i="2"/>
  <c r="L240" i="1"/>
  <c r="P240"/>
  <c r="E229" i="2"/>
  <c r="L239" i="1"/>
  <c r="P239"/>
  <c r="E228" i="2"/>
  <c r="L238" i="1"/>
  <c r="L237"/>
  <c r="P237"/>
  <c r="E226" i="2"/>
  <c r="L236" i="1"/>
  <c r="L235"/>
  <c r="L234"/>
  <c r="L233"/>
  <c r="P233"/>
  <c r="E222" i="2"/>
  <c r="L232" i="1"/>
  <c r="L231"/>
  <c r="P231"/>
  <c r="E220" i="2"/>
  <c r="L230" i="1"/>
  <c r="P230"/>
  <c r="E219" i="2"/>
  <c r="L229" i="1"/>
  <c r="P229"/>
  <c r="E218" i="2"/>
  <c r="L228" i="1"/>
  <c r="P228"/>
  <c r="E217" i="2"/>
  <c r="L227" i="1"/>
  <c r="P227"/>
  <c r="E216" i="2"/>
  <c r="L226" i="1"/>
  <c r="L225"/>
  <c r="L222"/>
  <c r="P222"/>
  <c r="E211" i="2"/>
  <c r="L221" i="1"/>
  <c r="P221"/>
  <c r="E210" i="2"/>
  <c r="L220" i="1"/>
  <c r="L219"/>
  <c r="P219"/>
  <c r="E208" i="2"/>
  <c r="L217" i="1"/>
  <c r="P217"/>
  <c r="E206" i="2"/>
  <c r="L216" i="1"/>
  <c r="P216"/>
  <c r="E205" i="2"/>
  <c r="L215" i="1"/>
  <c r="P215"/>
  <c r="E204" i="2"/>
  <c r="L214" i="1"/>
  <c r="P214"/>
  <c r="E203" i="2"/>
  <c r="L213" i="1"/>
  <c r="P213"/>
  <c r="E202" i="2"/>
  <c r="L212" i="1"/>
  <c r="P212"/>
  <c r="E201" i="2"/>
  <c r="L211" i="1"/>
  <c r="L210"/>
  <c r="P210"/>
  <c r="E199" i="2"/>
  <c r="L209" i="1"/>
  <c r="P209"/>
  <c r="E198" i="2"/>
  <c r="L207" i="1"/>
  <c r="P207"/>
  <c r="E196" i="2"/>
  <c r="L206" i="1"/>
  <c r="P206"/>
  <c r="E195" i="2"/>
  <c r="L205" i="1"/>
  <c r="P205"/>
  <c r="E194" i="2"/>
  <c r="L204" i="1"/>
  <c r="P204"/>
  <c r="E193" i="2"/>
  <c r="L202" i="1"/>
  <c r="P202"/>
  <c r="E191" i="2"/>
  <c r="L201" i="1"/>
  <c r="P201"/>
  <c r="E190" i="2"/>
  <c r="L200" i="1"/>
  <c r="P200"/>
  <c r="E189" i="2"/>
  <c r="L198" i="1"/>
  <c r="P198"/>
  <c r="E187" i="2"/>
  <c r="L197" i="1"/>
  <c r="P197"/>
  <c r="E186" i="2"/>
  <c r="L196" i="1"/>
  <c r="P196"/>
  <c r="E185" i="2"/>
  <c r="L194" i="1"/>
  <c r="P194"/>
  <c r="E183" i="2"/>
  <c r="L193" i="1"/>
  <c r="L192"/>
  <c r="L190"/>
  <c r="P190"/>
  <c r="E179" i="2"/>
  <c r="L189" i="1"/>
  <c r="P189"/>
  <c r="E178" i="2"/>
  <c r="L188" i="1"/>
  <c r="L186"/>
  <c r="P186"/>
  <c r="E175" i="2"/>
  <c r="L185" i="1"/>
  <c r="P185"/>
  <c r="E174" i="2"/>
  <c r="L184" i="1"/>
  <c r="P184"/>
  <c r="E173" i="2"/>
  <c r="L182" i="1"/>
  <c r="L181"/>
  <c r="L180"/>
  <c r="L114"/>
  <c r="L113"/>
  <c r="L112"/>
  <c r="L111"/>
  <c r="P111"/>
  <c r="E100" i="2"/>
  <c r="O1838" i="1"/>
  <c r="D1748" i="2"/>
  <c r="K1838" i="1"/>
  <c r="G1838"/>
  <c r="O1837"/>
  <c r="D1747" i="2"/>
  <c r="K1837" i="1"/>
  <c r="G1837"/>
  <c r="O1836"/>
  <c r="D1746" i="2"/>
  <c r="K1836" i="1"/>
  <c r="G1836"/>
  <c r="O1834"/>
  <c r="D1744" i="2"/>
  <c r="K1834" i="1"/>
  <c r="G1834"/>
  <c r="O1833"/>
  <c r="D1743" i="2"/>
  <c r="K1833" i="1"/>
  <c r="G1833"/>
  <c r="P1831"/>
  <c r="E1741" i="2"/>
  <c r="P1835" i="1"/>
  <c r="E1745" i="2"/>
  <c r="O1835" i="1"/>
  <c r="D1745" i="2"/>
  <c r="O1832" i="1"/>
  <c r="D1742" i="2"/>
  <c r="O1831" i="1"/>
  <c r="D1741" i="2"/>
  <c r="O1830" i="1"/>
  <c r="D1740" i="2"/>
  <c r="O1829" i="1"/>
  <c r="D1739" i="2"/>
  <c r="O1828" i="1"/>
  <c r="D1738" i="2"/>
  <c r="O1827" i="1"/>
  <c r="D1737" i="2"/>
  <c r="P1830" i="1"/>
  <c r="E1740" i="2"/>
  <c r="G1829" i="1"/>
  <c r="G1830"/>
  <c r="K1829"/>
  <c r="K1830"/>
  <c r="K1832"/>
  <c r="K1828"/>
  <c r="K1827"/>
  <c r="G1832"/>
  <c r="G1828"/>
  <c r="G1827"/>
  <c r="G1824"/>
  <c r="G1823"/>
  <c r="G1822"/>
  <c r="G1821"/>
  <c r="G1820"/>
  <c r="G1819"/>
  <c r="K1824"/>
  <c r="J716" i="2"/>
  <c r="I716"/>
  <c r="H716"/>
  <c r="C716"/>
  <c r="B716"/>
  <c r="A716"/>
  <c r="J715"/>
  <c r="I715"/>
  <c r="H715"/>
  <c r="C715"/>
  <c r="B715"/>
  <c r="A715"/>
  <c r="J714"/>
  <c r="I714"/>
  <c r="H714"/>
  <c r="C714"/>
  <c r="B714"/>
  <c r="A714"/>
  <c r="J713"/>
  <c r="I713"/>
  <c r="H713"/>
  <c r="C713"/>
  <c r="B713"/>
  <c r="A713"/>
  <c r="J712"/>
  <c r="I712"/>
  <c r="H712"/>
  <c r="C712"/>
  <c r="B712"/>
  <c r="A712"/>
  <c r="J711"/>
  <c r="I711"/>
  <c r="H711"/>
  <c r="C711"/>
  <c r="B711"/>
  <c r="A711"/>
  <c r="J710"/>
  <c r="I710"/>
  <c r="H710"/>
  <c r="C710"/>
  <c r="B710"/>
  <c r="A710"/>
  <c r="J709"/>
  <c r="I709"/>
  <c r="H709"/>
  <c r="C709"/>
  <c r="B709"/>
  <c r="A709"/>
  <c r="J708"/>
  <c r="I708"/>
  <c r="H708"/>
  <c r="B708"/>
  <c r="J707"/>
  <c r="I707"/>
  <c r="H707"/>
  <c r="C707"/>
  <c r="B707"/>
  <c r="A707"/>
  <c r="J706"/>
  <c r="I706"/>
  <c r="H706"/>
  <c r="C706"/>
  <c r="B706"/>
  <c r="A706"/>
  <c r="J705"/>
  <c r="I705"/>
  <c r="H705"/>
  <c r="C705"/>
  <c r="B705"/>
  <c r="A705"/>
  <c r="J704"/>
  <c r="I704"/>
  <c r="H704"/>
  <c r="C704"/>
  <c r="B704"/>
  <c r="A704"/>
  <c r="J703"/>
  <c r="I703"/>
  <c r="H703"/>
  <c r="C703"/>
  <c r="B703"/>
  <c r="A703"/>
  <c r="J702"/>
  <c r="I702"/>
  <c r="H702"/>
  <c r="C702"/>
  <c r="B702"/>
  <c r="A702"/>
  <c r="J701"/>
  <c r="I701"/>
  <c r="H701"/>
  <c r="C701"/>
  <c r="B701"/>
  <c r="A701"/>
  <c r="J700"/>
  <c r="I700"/>
  <c r="H700"/>
  <c r="C700"/>
  <c r="B700"/>
  <c r="A700"/>
  <c r="J699"/>
  <c r="I699"/>
  <c r="H699"/>
  <c r="C699"/>
  <c r="B699"/>
  <c r="A699"/>
  <c r="P727" i="1"/>
  <c r="O727"/>
  <c r="P726"/>
  <c r="O726"/>
  <c r="P717"/>
  <c r="P703"/>
  <c r="P702"/>
  <c r="O702"/>
  <c r="J698" i="2"/>
  <c r="I698"/>
  <c r="H698"/>
  <c r="C698"/>
  <c r="B698"/>
  <c r="A698"/>
  <c r="J697"/>
  <c r="I697"/>
  <c r="H697"/>
  <c r="C697"/>
  <c r="B697"/>
  <c r="A697"/>
  <c r="J696"/>
  <c r="I696"/>
  <c r="H696"/>
  <c r="C696"/>
  <c r="B696"/>
  <c r="A696"/>
  <c r="J695"/>
  <c r="I695"/>
  <c r="H695"/>
  <c r="C695"/>
  <c r="B695"/>
  <c r="A695"/>
  <c r="J694"/>
  <c r="I694"/>
  <c r="H694"/>
  <c r="B694"/>
  <c r="J693"/>
  <c r="I693"/>
  <c r="H693"/>
  <c r="B693"/>
  <c r="J720"/>
  <c r="I720"/>
  <c r="H720"/>
  <c r="C720"/>
  <c r="B720"/>
  <c r="A720"/>
  <c r="G729" i="1"/>
  <c r="G728"/>
  <c r="O729"/>
  <c r="D720" i="2"/>
  <c r="K729" i="1"/>
  <c r="L45"/>
  <c r="L44"/>
  <c r="P44"/>
  <c r="E32" i="2"/>
  <c r="L43" i="1"/>
  <c r="P43"/>
  <c r="E31" i="2"/>
  <c r="L42" i="1"/>
  <c r="P42"/>
  <c r="E30" i="2"/>
  <c r="L41" i="1"/>
  <c r="P41"/>
  <c r="E29" i="2"/>
  <c r="L40" i="1"/>
  <c r="P40"/>
  <c r="E28" i="2"/>
  <c r="L39" i="1"/>
  <c r="P39"/>
  <c r="E27" i="2"/>
  <c r="L38" i="1"/>
  <c r="L37"/>
  <c r="P37"/>
  <c r="E25" i="2"/>
  <c r="L36" i="1"/>
  <c r="P36"/>
  <c r="E24" i="2"/>
  <c r="L35" i="1"/>
  <c r="P35"/>
  <c r="E23" i="2"/>
  <c r="L34" i="1"/>
  <c r="L33"/>
  <c r="P33"/>
  <c r="E21" i="2"/>
  <c r="L32" i="1"/>
  <c r="P32"/>
  <c r="E20" i="2"/>
  <c r="L31" i="1"/>
  <c r="P31"/>
  <c r="E19" i="2"/>
  <c r="L28" i="1"/>
  <c r="P28"/>
  <c r="E16" i="2"/>
  <c r="L27" i="1"/>
  <c r="P27"/>
  <c r="E15" i="2"/>
  <c r="L26" i="1"/>
  <c r="P26"/>
  <c r="E14" i="2"/>
  <c r="L25" i="1"/>
  <c r="P25"/>
  <c r="E13" i="2"/>
  <c r="L24" i="1"/>
  <c r="P24"/>
  <c r="E12" i="2"/>
  <c r="L23" i="1"/>
  <c r="L22"/>
  <c r="P22"/>
  <c r="E10" i="2"/>
  <c r="L21" i="1"/>
  <c r="P21"/>
  <c r="E9" i="2"/>
  <c r="L20" i="1"/>
  <c r="L19"/>
  <c r="J299" i="2"/>
  <c r="I299"/>
  <c r="H299"/>
  <c r="C299"/>
  <c r="B299"/>
  <c r="A299"/>
  <c r="J298"/>
  <c r="I298"/>
  <c r="H298"/>
  <c r="B298"/>
  <c r="B168"/>
  <c r="O313" i="1"/>
  <c r="D299" i="2"/>
  <c r="P313" i="1"/>
  <c r="E299" i="2"/>
  <c r="K313" i="1"/>
  <c r="A97" i="2"/>
  <c r="C97"/>
  <c r="B97"/>
  <c r="O108" i="1"/>
  <c r="D96" i="2"/>
  <c r="P107" i="1"/>
  <c r="O107"/>
  <c r="O96"/>
  <c r="D84" i="2"/>
  <c r="P96" i="1"/>
  <c r="E84" i="2"/>
  <c r="P95" i="1"/>
  <c r="O95"/>
  <c r="A4" i="2"/>
  <c r="B4"/>
  <c r="B5"/>
  <c r="B6"/>
  <c r="A7"/>
  <c r="B7"/>
  <c r="C7"/>
  <c r="H7"/>
  <c r="I7"/>
  <c r="J7"/>
  <c r="B8"/>
  <c r="C8"/>
  <c r="H8"/>
  <c r="I8"/>
  <c r="J8"/>
  <c r="B9"/>
  <c r="C9"/>
  <c r="H9"/>
  <c r="I9"/>
  <c r="J9"/>
  <c r="B10"/>
  <c r="C10"/>
  <c r="H10"/>
  <c r="I10"/>
  <c r="J10"/>
  <c r="A11"/>
  <c r="B11"/>
  <c r="C11"/>
  <c r="H11"/>
  <c r="I11"/>
  <c r="J11"/>
  <c r="B12"/>
  <c r="C12"/>
  <c r="H12"/>
  <c r="I12"/>
  <c r="J12"/>
  <c r="B13"/>
  <c r="C13"/>
  <c r="H13"/>
  <c r="I13"/>
  <c r="J13"/>
  <c r="B14"/>
  <c r="C14"/>
  <c r="H14"/>
  <c r="I14"/>
  <c r="J14"/>
  <c r="B15"/>
  <c r="C15"/>
  <c r="H15"/>
  <c r="I15"/>
  <c r="J15"/>
  <c r="A16"/>
  <c r="B16"/>
  <c r="C16"/>
  <c r="H16"/>
  <c r="I16"/>
  <c r="J16"/>
  <c r="B17"/>
  <c r="H17"/>
  <c r="I17"/>
  <c r="J17"/>
  <c r="B18"/>
  <c r="H18"/>
  <c r="I18"/>
  <c r="J18"/>
  <c r="A19"/>
  <c r="B19"/>
  <c r="C19"/>
  <c r="H19"/>
  <c r="I19"/>
  <c r="J19"/>
  <c r="A20"/>
  <c r="B20"/>
  <c r="C20"/>
  <c r="H20"/>
  <c r="I20"/>
  <c r="J20"/>
  <c r="A21"/>
  <c r="B21"/>
  <c r="C21"/>
  <c r="H21"/>
  <c r="I21"/>
  <c r="J21"/>
  <c r="A22"/>
  <c r="B22"/>
  <c r="C22"/>
  <c r="H22"/>
  <c r="I22"/>
  <c r="J22"/>
  <c r="A23"/>
  <c r="B23"/>
  <c r="C23"/>
  <c r="H23"/>
  <c r="I23"/>
  <c r="J23"/>
  <c r="A24"/>
  <c r="B24"/>
  <c r="C24"/>
  <c r="H24"/>
  <c r="I24"/>
  <c r="J24"/>
  <c r="A25"/>
  <c r="B25"/>
  <c r="C25"/>
  <c r="H25"/>
  <c r="I25"/>
  <c r="J25"/>
  <c r="A26"/>
  <c r="B26"/>
  <c r="C26"/>
  <c r="H26"/>
  <c r="I26"/>
  <c r="J26"/>
  <c r="A27"/>
  <c r="B27"/>
  <c r="C27"/>
  <c r="H27"/>
  <c r="I27"/>
  <c r="J27"/>
  <c r="A28"/>
  <c r="B28"/>
  <c r="C28"/>
  <c r="H28"/>
  <c r="I28"/>
  <c r="J28"/>
  <c r="A29"/>
  <c r="B29"/>
  <c r="C29"/>
  <c r="H29"/>
  <c r="I29"/>
  <c r="J29"/>
  <c r="A30"/>
  <c r="B30"/>
  <c r="C30"/>
  <c r="H30"/>
  <c r="I30"/>
  <c r="J30"/>
  <c r="A31"/>
  <c r="B31"/>
  <c r="C31"/>
  <c r="H31"/>
  <c r="I31"/>
  <c r="J31"/>
  <c r="A32"/>
  <c r="B32"/>
  <c r="C32"/>
  <c r="H32"/>
  <c r="I32"/>
  <c r="J32"/>
  <c r="A33"/>
  <c r="B33"/>
  <c r="C33"/>
  <c r="H33"/>
  <c r="I33"/>
  <c r="J33"/>
  <c r="B34"/>
  <c r="H34"/>
  <c r="I34"/>
  <c r="J34"/>
  <c r="A35"/>
  <c r="B35"/>
  <c r="C35"/>
  <c r="H35"/>
  <c r="I35"/>
  <c r="J35"/>
  <c r="A36"/>
  <c r="B36"/>
  <c r="C36"/>
  <c r="H36"/>
  <c r="I36"/>
  <c r="J36"/>
  <c r="A37"/>
  <c r="B37"/>
  <c r="C37"/>
  <c r="H37"/>
  <c r="I37"/>
  <c r="J37"/>
  <c r="A38"/>
  <c r="B38"/>
  <c r="C38"/>
  <c r="H38"/>
  <c r="I38"/>
  <c r="J38"/>
  <c r="A39"/>
  <c r="B39"/>
  <c r="C39"/>
  <c r="H39"/>
  <c r="I39"/>
  <c r="J39"/>
  <c r="A40"/>
  <c r="B40"/>
  <c r="C40"/>
  <c r="H40"/>
  <c r="I40"/>
  <c r="J40"/>
  <c r="A41"/>
  <c r="B41"/>
  <c r="C41"/>
  <c r="H41"/>
  <c r="I41"/>
  <c r="J41"/>
  <c r="A42"/>
  <c r="B42"/>
  <c r="C42"/>
  <c r="H42"/>
  <c r="I42"/>
  <c r="J42"/>
  <c r="A43"/>
  <c r="B43"/>
  <c r="C43"/>
  <c r="H43"/>
  <c r="I43"/>
  <c r="J43"/>
  <c r="A44"/>
  <c r="B44"/>
  <c r="C44"/>
  <c r="H44"/>
  <c r="I44"/>
  <c r="J44"/>
  <c r="A45"/>
  <c r="B45"/>
  <c r="C45"/>
  <c r="H45"/>
  <c r="I45"/>
  <c r="J45"/>
  <c r="A46"/>
  <c r="B46"/>
  <c r="C46"/>
  <c r="H46"/>
  <c r="I46"/>
  <c r="J46"/>
  <c r="A47"/>
  <c r="B47"/>
  <c r="C47"/>
  <c r="H47"/>
  <c r="I47"/>
  <c r="J47"/>
  <c r="A48"/>
  <c r="B48"/>
  <c r="C48"/>
  <c r="H48"/>
  <c r="I48"/>
  <c r="J48"/>
  <c r="A49"/>
  <c r="B49"/>
  <c r="C49"/>
  <c r="H49"/>
  <c r="I49"/>
  <c r="J49"/>
  <c r="A50"/>
  <c r="B50"/>
  <c r="C50"/>
  <c r="H50"/>
  <c r="I50"/>
  <c r="J50"/>
  <c r="A51"/>
  <c r="B51"/>
  <c r="C51"/>
  <c r="H51"/>
  <c r="I51"/>
  <c r="J51"/>
  <c r="A52"/>
  <c r="B52"/>
  <c r="C52"/>
  <c r="H52"/>
  <c r="I52"/>
  <c r="J52"/>
  <c r="A53"/>
  <c r="B53"/>
  <c r="C53"/>
  <c r="H53"/>
  <c r="I53"/>
  <c r="J53"/>
  <c r="A54"/>
  <c r="B54"/>
  <c r="C54"/>
  <c r="H54"/>
  <c r="I54"/>
  <c r="J54"/>
  <c r="A55"/>
  <c r="B55"/>
  <c r="C55"/>
  <c r="H55"/>
  <c r="I55"/>
  <c r="J55"/>
  <c r="A56"/>
  <c r="B56"/>
  <c r="C56"/>
  <c r="H56"/>
  <c r="I56"/>
  <c r="J56"/>
  <c r="A57"/>
  <c r="B57"/>
  <c r="C57"/>
  <c r="H57"/>
  <c r="I57"/>
  <c r="J57"/>
  <c r="A58"/>
  <c r="B58"/>
  <c r="C58"/>
  <c r="H58"/>
  <c r="I58"/>
  <c r="J58"/>
  <c r="A59"/>
  <c r="B59"/>
  <c r="C59"/>
  <c r="H59"/>
  <c r="I59"/>
  <c r="J59"/>
  <c r="A60"/>
  <c r="B60"/>
  <c r="C60"/>
  <c r="H60"/>
  <c r="I60"/>
  <c r="J60"/>
  <c r="B61"/>
  <c r="H61"/>
  <c r="I61"/>
  <c r="J61"/>
  <c r="A62"/>
  <c r="B62"/>
  <c r="C62"/>
  <c r="H62"/>
  <c r="I62"/>
  <c r="J62"/>
  <c r="A63"/>
  <c r="B63"/>
  <c r="C63"/>
  <c r="H63"/>
  <c r="I63"/>
  <c r="J63"/>
  <c r="A64"/>
  <c r="B64"/>
  <c r="C64"/>
  <c r="H64"/>
  <c r="I64"/>
  <c r="J64"/>
  <c r="A65"/>
  <c r="B65"/>
  <c r="C65"/>
  <c r="H65"/>
  <c r="I65"/>
  <c r="J65"/>
  <c r="A66"/>
  <c r="B66"/>
  <c r="C66"/>
  <c r="H66"/>
  <c r="I66"/>
  <c r="J66"/>
  <c r="A67"/>
  <c r="B67"/>
  <c r="C67"/>
  <c r="H67"/>
  <c r="I67"/>
  <c r="J67"/>
  <c r="A68"/>
  <c r="B68"/>
  <c r="C68"/>
  <c r="H68"/>
  <c r="I68"/>
  <c r="J68"/>
  <c r="A69"/>
  <c r="B69"/>
  <c r="C69"/>
  <c r="H69"/>
  <c r="I69"/>
  <c r="J69"/>
  <c r="A70"/>
  <c r="B70"/>
  <c r="C70"/>
  <c r="H70"/>
  <c r="I70"/>
  <c r="J70"/>
  <c r="A71"/>
  <c r="B71"/>
  <c r="B9" i="3"/>
  <c r="H71" i="2"/>
  <c r="I71"/>
  <c r="J71"/>
  <c r="B72"/>
  <c r="H72"/>
  <c r="I72"/>
  <c r="J72"/>
  <c r="A73"/>
  <c r="B73"/>
  <c r="C73"/>
  <c r="H73"/>
  <c r="I73"/>
  <c r="J73"/>
  <c r="A74"/>
  <c r="B74"/>
  <c r="C74"/>
  <c r="H74"/>
  <c r="I74"/>
  <c r="J74"/>
  <c r="B75"/>
  <c r="H75"/>
  <c r="I75"/>
  <c r="J75"/>
  <c r="A98"/>
  <c r="B98"/>
  <c r="H98"/>
  <c r="I98"/>
  <c r="J98"/>
  <c r="B99"/>
  <c r="H99"/>
  <c r="I99"/>
  <c r="J99"/>
  <c r="A100"/>
  <c r="B100"/>
  <c r="C100"/>
  <c r="H100"/>
  <c r="I100"/>
  <c r="J100"/>
  <c r="B101"/>
  <c r="C101"/>
  <c r="H101"/>
  <c r="I101"/>
  <c r="J101"/>
  <c r="B102"/>
  <c r="C102"/>
  <c r="H102"/>
  <c r="I102"/>
  <c r="J102"/>
  <c r="A103"/>
  <c r="B103"/>
  <c r="C103"/>
  <c r="H103"/>
  <c r="I103"/>
  <c r="J103"/>
  <c r="B104"/>
  <c r="H104"/>
  <c r="I104"/>
  <c r="J104"/>
  <c r="A105"/>
  <c r="B105"/>
  <c r="C105"/>
  <c r="H105"/>
  <c r="I105"/>
  <c r="J105"/>
  <c r="B106"/>
  <c r="H106"/>
  <c r="I106"/>
  <c r="J106"/>
  <c r="A107"/>
  <c r="B107"/>
  <c r="C107"/>
  <c r="H107"/>
  <c r="J107"/>
  <c r="B108"/>
  <c r="C108"/>
  <c r="H108"/>
  <c r="J108"/>
  <c r="B109"/>
  <c r="C109"/>
  <c r="H109"/>
  <c r="J109"/>
  <c r="B110"/>
  <c r="H110"/>
  <c r="I110"/>
  <c r="J110"/>
  <c r="A111"/>
  <c r="B111"/>
  <c r="C111"/>
  <c r="H111"/>
  <c r="I111"/>
  <c r="J111"/>
  <c r="B112"/>
  <c r="C112"/>
  <c r="H112"/>
  <c r="I112"/>
  <c r="J112"/>
  <c r="B113"/>
  <c r="C113"/>
  <c r="H113"/>
  <c r="I113"/>
  <c r="J113"/>
  <c r="B114"/>
  <c r="C114"/>
  <c r="H114"/>
  <c r="I114"/>
  <c r="J114"/>
  <c r="B115"/>
  <c r="C115"/>
  <c r="H115"/>
  <c r="I115"/>
  <c r="J115"/>
  <c r="B116"/>
  <c r="C116"/>
  <c r="H116"/>
  <c r="I116"/>
  <c r="J116"/>
  <c r="B117"/>
  <c r="C117"/>
  <c r="H117"/>
  <c r="I117"/>
  <c r="J117"/>
  <c r="B118"/>
  <c r="H118"/>
  <c r="I118"/>
  <c r="J118"/>
  <c r="A119"/>
  <c r="B119"/>
  <c r="C119"/>
  <c r="H119"/>
  <c r="I119"/>
  <c r="J119"/>
  <c r="A120"/>
  <c r="B120"/>
  <c r="H120"/>
  <c r="I120"/>
  <c r="J120"/>
  <c r="B121"/>
  <c r="H121"/>
  <c r="I121"/>
  <c r="J121"/>
  <c r="A122"/>
  <c r="B122"/>
  <c r="C122"/>
  <c r="H122"/>
  <c r="I122"/>
  <c r="J122"/>
  <c r="B123"/>
  <c r="C123"/>
  <c r="H123"/>
  <c r="I123"/>
  <c r="J123"/>
  <c r="B124"/>
  <c r="C124"/>
  <c r="H124"/>
  <c r="I124"/>
  <c r="J124"/>
  <c r="B125"/>
  <c r="C125"/>
  <c r="H125"/>
  <c r="I125"/>
  <c r="J125"/>
  <c r="B126"/>
  <c r="C126"/>
  <c r="H126"/>
  <c r="I126"/>
  <c r="J126"/>
  <c r="B127"/>
  <c r="C127"/>
  <c r="H127"/>
  <c r="I127"/>
  <c r="J127"/>
  <c r="B128"/>
  <c r="C128"/>
  <c r="H128"/>
  <c r="I128"/>
  <c r="J128"/>
  <c r="B129"/>
  <c r="C129"/>
  <c r="H129"/>
  <c r="I129"/>
  <c r="J129"/>
  <c r="B130"/>
  <c r="C130"/>
  <c r="H130"/>
  <c r="I130"/>
  <c r="J130"/>
  <c r="B131"/>
  <c r="H131"/>
  <c r="I131"/>
  <c r="J131"/>
  <c r="A132"/>
  <c r="B132"/>
  <c r="C132"/>
  <c r="H132"/>
  <c r="I132"/>
  <c r="J132"/>
  <c r="B133"/>
  <c r="C133"/>
  <c r="H133"/>
  <c r="I133"/>
  <c r="J133"/>
  <c r="B134"/>
  <c r="C134"/>
  <c r="H134"/>
  <c r="I134"/>
  <c r="J134"/>
  <c r="B135"/>
  <c r="C135"/>
  <c r="H135"/>
  <c r="I135"/>
  <c r="J135"/>
  <c r="A136"/>
  <c r="B136"/>
  <c r="H136"/>
  <c r="I136"/>
  <c r="J136"/>
  <c r="B137"/>
  <c r="H137"/>
  <c r="I137"/>
  <c r="J137"/>
  <c r="A138"/>
  <c r="B138"/>
  <c r="C138"/>
  <c r="H138"/>
  <c r="I138"/>
  <c r="J138"/>
  <c r="B139"/>
  <c r="C139"/>
  <c r="H139"/>
  <c r="I139"/>
  <c r="J139"/>
  <c r="B140"/>
  <c r="C140"/>
  <c r="H140"/>
  <c r="I140"/>
  <c r="J140"/>
  <c r="B141"/>
  <c r="C141"/>
  <c r="H141"/>
  <c r="I141"/>
  <c r="J141"/>
  <c r="B142"/>
  <c r="C142"/>
  <c r="H142"/>
  <c r="I142"/>
  <c r="J142"/>
  <c r="B143"/>
  <c r="C143"/>
  <c r="H143"/>
  <c r="I143"/>
  <c r="J143"/>
  <c r="B144"/>
  <c r="C144"/>
  <c r="H144"/>
  <c r="I144"/>
  <c r="J144"/>
  <c r="B145"/>
  <c r="C145"/>
  <c r="H145"/>
  <c r="I145"/>
  <c r="J145"/>
  <c r="B146"/>
  <c r="C146"/>
  <c r="H146"/>
  <c r="I146"/>
  <c r="J146"/>
  <c r="B147"/>
  <c r="C147"/>
  <c r="H147"/>
  <c r="I147"/>
  <c r="J147"/>
  <c r="B148"/>
  <c r="C148"/>
  <c r="H148"/>
  <c r="I148"/>
  <c r="J148"/>
  <c r="B149"/>
  <c r="C149"/>
  <c r="H149"/>
  <c r="I149"/>
  <c r="J149"/>
  <c r="B150"/>
  <c r="C150"/>
  <c r="H150"/>
  <c r="I150"/>
  <c r="J150"/>
  <c r="B151"/>
  <c r="C151"/>
  <c r="H151"/>
  <c r="I151"/>
  <c r="J151"/>
  <c r="B152"/>
  <c r="C152"/>
  <c r="H152"/>
  <c r="I152"/>
  <c r="J152"/>
  <c r="B153"/>
  <c r="C153"/>
  <c r="H153"/>
  <c r="I153"/>
  <c r="J153"/>
  <c r="B154"/>
  <c r="C154"/>
  <c r="H154"/>
  <c r="I154"/>
  <c r="J154"/>
  <c r="B155"/>
  <c r="C155"/>
  <c r="H155"/>
  <c r="I155"/>
  <c r="J155"/>
  <c r="B156"/>
  <c r="C156"/>
  <c r="H156"/>
  <c r="I156"/>
  <c r="J156"/>
  <c r="B157"/>
  <c r="C157"/>
  <c r="H157"/>
  <c r="I157"/>
  <c r="J157"/>
  <c r="B158"/>
  <c r="C158"/>
  <c r="H158"/>
  <c r="I158"/>
  <c r="J158"/>
  <c r="B159"/>
  <c r="C159"/>
  <c r="H159"/>
  <c r="I159"/>
  <c r="J159"/>
  <c r="B160"/>
  <c r="C160"/>
  <c r="H160"/>
  <c r="I160"/>
  <c r="J160"/>
  <c r="B161"/>
  <c r="C161"/>
  <c r="H161"/>
  <c r="I161"/>
  <c r="J161"/>
  <c r="B162"/>
  <c r="C162"/>
  <c r="H162"/>
  <c r="I162"/>
  <c r="J162"/>
  <c r="B163"/>
  <c r="C163"/>
  <c r="H163"/>
  <c r="I163"/>
  <c r="J163"/>
  <c r="B164"/>
  <c r="C164"/>
  <c r="H164"/>
  <c r="I164"/>
  <c r="J164"/>
  <c r="B165"/>
  <c r="C165"/>
  <c r="H165"/>
  <c r="I165"/>
  <c r="J165"/>
  <c r="B166"/>
  <c r="H166"/>
  <c r="I166"/>
  <c r="J166"/>
  <c r="B167"/>
  <c r="H167"/>
  <c r="I167"/>
  <c r="J167"/>
  <c r="H168"/>
  <c r="I168"/>
  <c r="J168"/>
  <c r="A169"/>
  <c r="B169"/>
  <c r="C169"/>
  <c r="H169"/>
  <c r="I169"/>
  <c r="J169"/>
  <c r="B170"/>
  <c r="C170"/>
  <c r="H170"/>
  <c r="I170"/>
  <c r="J170"/>
  <c r="B171"/>
  <c r="C171"/>
  <c r="H171"/>
  <c r="I171"/>
  <c r="J171"/>
  <c r="B172"/>
  <c r="H172"/>
  <c r="I172"/>
  <c r="J172"/>
  <c r="B173"/>
  <c r="C173"/>
  <c r="H173"/>
  <c r="I173"/>
  <c r="J173"/>
  <c r="B174"/>
  <c r="C174"/>
  <c r="H174"/>
  <c r="I174"/>
  <c r="J174"/>
  <c r="B175"/>
  <c r="C175"/>
  <c r="H175"/>
  <c r="I175"/>
  <c r="J175"/>
  <c r="B176"/>
  <c r="C176"/>
  <c r="H176"/>
  <c r="I176"/>
  <c r="J176"/>
  <c r="B177"/>
  <c r="C177"/>
  <c r="H177"/>
  <c r="I177"/>
  <c r="J177"/>
  <c r="B178"/>
  <c r="C178"/>
  <c r="H178"/>
  <c r="I178"/>
  <c r="J178"/>
  <c r="B179"/>
  <c r="C179"/>
  <c r="H179"/>
  <c r="I179"/>
  <c r="J179"/>
  <c r="B180"/>
  <c r="H180"/>
  <c r="I180"/>
  <c r="J180"/>
  <c r="B181"/>
  <c r="C181"/>
  <c r="H181"/>
  <c r="I181"/>
  <c r="J181"/>
  <c r="B182"/>
  <c r="C182"/>
  <c r="H182"/>
  <c r="I182"/>
  <c r="J182"/>
  <c r="B183"/>
  <c r="C183"/>
  <c r="H183"/>
  <c r="I183"/>
  <c r="J183"/>
  <c r="A184"/>
  <c r="B184"/>
  <c r="C184"/>
  <c r="H184"/>
  <c r="I184"/>
  <c r="J184"/>
  <c r="B185"/>
  <c r="C185"/>
  <c r="H185"/>
  <c r="I185"/>
  <c r="J185"/>
  <c r="B186"/>
  <c r="C186"/>
  <c r="H186"/>
  <c r="I186"/>
  <c r="J186"/>
  <c r="B187"/>
  <c r="C187"/>
  <c r="H187"/>
  <c r="I187"/>
  <c r="J187"/>
  <c r="B188"/>
  <c r="H188"/>
  <c r="I188"/>
  <c r="J188"/>
  <c r="B189"/>
  <c r="C189"/>
  <c r="H189"/>
  <c r="I189"/>
  <c r="J189"/>
  <c r="B190"/>
  <c r="C190"/>
  <c r="H190"/>
  <c r="I190"/>
  <c r="J190"/>
  <c r="B191"/>
  <c r="C191"/>
  <c r="H191"/>
  <c r="I191"/>
  <c r="J191"/>
  <c r="B192"/>
  <c r="H192"/>
  <c r="I192"/>
  <c r="J192"/>
  <c r="B193"/>
  <c r="C193"/>
  <c r="H193"/>
  <c r="I193"/>
  <c r="J193"/>
  <c r="B194"/>
  <c r="C194"/>
  <c r="H194"/>
  <c r="I194"/>
  <c r="J194"/>
  <c r="B195"/>
  <c r="C195"/>
  <c r="H195"/>
  <c r="I195"/>
  <c r="J195"/>
  <c r="B196"/>
  <c r="C196"/>
  <c r="H196"/>
  <c r="I196"/>
  <c r="J196"/>
  <c r="B197"/>
  <c r="H197"/>
  <c r="I197"/>
  <c r="J197"/>
  <c r="B198"/>
  <c r="C198"/>
  <c r="H198"/>
  <c r="I198"/>
  <c r="J198"/>
  <c r="B199"/>
  <c r="C199"/>
  <c r="H199"/>
  <c r="I199"/>
  <c r="J199"/>
  <c r="B200"/>
  <c r="C200"/>
  <c r="H200"/>
  <c r="I200"/>
  <c r="J200"/>
  <c r="B201"/>
  <c r="C201"/>
  <c r="H201"/>
  <c r="I201"/>
  <c r="J201"/>
  <c r="B202"/>
  <c r="C202"/>
  <c r="H202"/>
  <c r="I202"/>
  <c r="J202"/>
  <c r="B203"/>
  <c r="C203"/>
  <c r="H203"/>
  <c r="I203"/>
  <c r="J203"/>
  <c r="B204"/>
  <c r="C204"/>
  <c r="H204"/>
  <c r="I204"/>
  <c r="J204"/>
  <c r="B205"/>
  <c r="C205"/>
  <c r="H205"/>
  <c r="I205"/>
  <c r="J205"/>
  <c r="B206"/>
  <c r="C206"/>
  <c r="H206"/>
  <c r="I206"/>
  <c r="J206"/>
  <c r="B207"/>
  <c r="H207"/>
  <c r="I207"/>
  <c r="J207"/>
  <c r="B208"/>
  <c r="C208"/>
  <c r="H208"/>
  <c r="I208"/>
  <c r="J208"/>
  <c r="B209"/>
  <c r="C209"/>
  <c r="H209"/>
  <c r="I209"/>
  <c r="J209"/>
  <c r="B210"/>
  <c r="C210"/>
  <c r="H210"/>
  <c r="I210"/>
  <c r="J210"/>
  <c r="B211"/>
  <c r="C211"/>
  <c r="H211"/>
  <c r="I211"/>
  <c r="J211"/>
  <c r="B212"/>
  <c r="H212"/>
  <c r="I212"/>
  <c r="J212"/>
  <c r="B213"/>
  <c r="C213"/>
  <c r="D213"/>
  <c r="E213"/>
  <c r="F213"/>
  <c r="H213"/>
  <c r="I213"/>
  <c r="J213"/>
  <c r="A214"/>
  <c r="B214"/>
  <c r="C214"/>
  <c r="H214"/>
  <c r="I214"/>
  <c r="J214"/>
  <c r="B215"/>
  <c r="C215"/>
  <c r="H215"/>
  <c r="I215"/>
  <c r="J215"/>
  <c r="B216"/>
  <c r="C216"/>
  <c r="H216"/>
  <c r="I216"/>
  <c r="J216"/>
  <c r="B217"/>
  <c r="C217"/>
  <c r="H217"/>
  <c r="I217"/>
  <c r="J217"/>
  <c r="B218"/>
  <c r="C218"/>
  <c r="H218"/>
  <c r="I218"/>
  <c r="J218"/>
  <c r="B219"/>
  <c r="C219"/>
  <c r="H219"/>
  <c r="I219"/>
  <c r="J219"/>
  <c r="B220"/>
  <c r="C220"/>
  <c r="H220"/>
  <c r="I220"/>
  <c r="J220"/>
  <c r="B221"/>
  <c r="C221"/>
  <c r="H221"/>
  <c r="I221"/>
  <c r="J221"/>
  <c r="B222"/>
  <c r="C222"/>
  <c r="H222"/>
  <c r="I222"/>
  <c r="J222"/>
  <c r="B223"/>
  <c r="C223"/>
  <c r="H223"/>
  <c r="I223"/>
  <c r="J223"/>
  <c r="B224"/>
  <c r="C224"/>
  <c r="H224"/>
  <c r="I224"/>
  <c r="J224"/>
  <c r="B225"/>
  <c r="C225"/>
  <c r="H225"/>
  <c r="I225"/>
  <c r="J225"/>
  <c r="B226"/>
  <c r="C226"/>
  <c r="H226"/>
  <c r="I226"/>
  <c r="J226"/>
  <c r="B227"/>
  <c r="C227"/>
  <c r="H227"/>
  <c r="I227"/>
  <c r="J227"/>
  <c r="B228"/>
  <c r="C228"/>
  <c r="H228"/>
  <c r="I228"/>
  <c r="J228"/>
  <c r="B229"/>
  <c r="C229"/>
  <c r="H229"/>
  <c r="I229"/>
  <c r="J229"/>
  <c r="B230"/>
  <c r="C230"/>
  <c r="H230"/>
  <c r="I230"/>
  <c r="J230"/>
  <c r="B231"/>
  <c r="C231"/>
  <c r="H231"/>
  <c r="I231"/>
  <c r="J231"/>
  <c r="B232"/>
  <c r="C232"/>
  <c r="H232"/>
  <c r="I232"/>
  <c r="J232"/>
  <c r="B233"/>
  <c r="C233"/>
  <c r="H233"/>
  <c r="I233"/>
  <c r="J233"/>
  <c r="B234"/>
  <c r="C234"/>
  <c r="H234"/>
  <c r="I234"/>
  <c r="J234"/>
  <c r="B235"/>
  <c r="H235"/>
  <c r="I235"/>
  <c r="J235"/>
  <c r="B236"/>
  <c r="C236"/>
  <c r="H236"/>
  <c r="I236"/>
  <c r="J236"/>
  <c r="B237"/>
  <c r="C237"/>
  <c r="H237"/>
  <c r="I237"/>
  <c r="J237"/>
  <c r="B238"/>
  <c r="C238"/>
  <c r="H238"/>
  <c r="I238"/>
  <c r="J238"/>
  <c r="B239"/>
  <c r="C239"/>
  <c r="H239"/>
  <c r="I239"/>
  <c r="J239"/>
  <c r="B240"/>
  <c r="H240"/>
  <c r="I240"/>
  <c r="J240"/>
  <c r="B241"/>
  <c r="C241"/>
  <c r="H241"/>
  <c r="I241"/>
  <c r="J241"/>
  <c r="B242"/>
  <c r="C242"/>
  <c r="H242"/>
  <c r="I242"/>
  <c r="J242"/>
  <c r="B243"/>
  <c r="C243"/>
  <c r="H243"/>
  <c r="I243"/>
  <c r="J243"/>
  <c r="B244"/>
  <c r="C244"/>
  <c r="H244"/>
  <c r="I244"/>
  <c r="J244"/>
  <c r="B245"/>
  <c r="C245"/>
  <c r="H245"/>
  <c r="I245"/>
  <c r="J245"/>
  <c r="B246"/>
  <c r="C246"/>
  <c r="H246"/>
  <c r="I246"/>
  <c r="J246"/>
  <c r="B247"/>
  <c r="C247"/>
  <c r="H247"/>
  <c r="I247"/>
  <c r="J247"/>
  <c r="B248"/>
  <c r="C248"/>
  <c r="H248"/>
  <c r="I248"/>
  <c r="J248"/>
  <c r="B249"/>
  <c r="C249"/>
  <c r="H249"/>
  <c r="I249"/>
  <c r="J249"/>
  <c r="A250"/>
  <c r="B250"/>
  <c r="C250"/>
  <c r="D250"/>
  <c r="E250"/>
  <c r="H250"/>
  <c r="I250"/>
  <c r="J250"/>
  <c r="B251"/>
  <c r="H251"/>
  <c r="I251"/>
  <c r="J251"/>
  <c r="A252"/>
  <c r="B252"/>
  <c r="C252"/>
  <c r="H252"/>
  <c r="I252"/>
  <c r="J252"/>
  <c r="B253"/>
  <c r="C253"/>
  <c r="H253"/>
  <c r="I253"/>
  <c r="J253"/>
  <c r="B254"/>
  <c r="C254"/>
  <c r="H254"/>
  <c r="I254"/>
  <c r="J254"/>
  <c r="B256"/>
  <c r="H256"/>
  <c r="I256"/>
  <c r="J256"/>
  <c r="B257"/>
  <c r="H257"/>
  <c r="I257"/>
  <c r="J257"/>
  <c r="B258"/>
  <c r="H258"/>
  <c r="I258"/>
  <c r="J258"/>
  <c r="A259"/>
  <c r="B259"/>
  <c r="C259"/>
  <c r="H259"/>
  <c r="I259"/>
  <c r="J259"/>
  <c r="B260"/>
  <c r="C260"/>
  <c r="H260"/>
  <c r="I260"/>
  <c r="J260"/>
  <c r="B261"/>
  <c r="C261"/>
  <c r="H261"/>
  <c r="I261"/>
  <c r="J261"/>
  <c r="B262"/>
  <c r="H262"/>
  <c r="I262"/>
  <c r="J262"/>
  <c r="B263"/>
  <c r="C263"/>
  <c r="H263"/>
  <c r="I263"/>
  <c r="J263"/>
  <c r="B264"/>
  <c r="C264"/>
  <c r="H264"/>
  <c r="I264"/>
  <c r="J264"/>
  <c r="B265"/>
  <c r="C265"/>
  <c r="H265"/>
  <c r="I265"/>
  <c r="J265"/>
  <c r="B266"/>
  <c r="H266"/>
  <c r="I266"/>
  <c r="J266"/>
  <c r="B267"/>
  <c r="C267"/>
  <c r="H267"/>
  <c r="I267"/>
  <c r="J267"/>
  <c r="B268"/>
  <c r="C268"/>
  <c r="H268"/>
  <c r="I268"/>
  <c r="J268"/>
  <c r="B269"/>
  <c r="C269"/>
  <c r="H269"/>
  <c r="I269"/>
  <c r="J269"/>
  <c r="B270"/>
  <c r="H270"/>
  <c r="I270"/>
  <c r="J270"/>
  <c r="B271"/>
  <c r="C271"/>
  <c r="H271"/>
  <c r="I271"/>
  <c r="J271"/>
  <c r="B272"/>
  <c r="C272"/>
  <c r="H272"/>
  <c r="I272"/>
  <c r="J272"/>
  <c r="B273"/>
  <c r="C273"/>
  <c r="H273"/>
  <c r="I273"/>
  <c r="J273"/>
  <c r="B274"/>
  <c r="H274"/>
  <c r="I274"/>
  <c r="J274"/>
  <c r="B275"/>
  <c r="C275"/>
  <c r="H275"/>
  <c r="I275"/>
  <c r="J275"/>
  <c r="B276"/>
  <c r="C276"/>
  <c r="H276"/>
  <c r="I276"/>
  <c r="J276"/>
  <c r="B277"/>
  <c r="C277"/>
  <c r="H277"/>
  <c r="I277"/>
  <c r="J277"/>
  <c r="B278"/>
  <c r="H278"/>
  <c r="I278"/>
  <c r="J278"/>
  <c r="B279"/>
  <c r="C279"/>
  <c r="H279"/>
  <c r="I279"/>
  <c r="J279"/>
  <c r="B280"/>
  <c r="C280"/>
  <c r="H280"/>
  <c r="I280"/>
  <c r="J280"/>
  <c r="B281"/>
  <c r="C281"/>
  <c r="H281"/>
  <c r="I281"/>
  <c r="J281"/>
  <c r="A282"/>
  <c r="B282"/>
  <c r="H282"/>
  <c r="I282"/>
  <c r="J282"/>
  <c r="B283"/>
  <c r="H283"/>
  <c r="I283"/>
  <c r="J283"/>
  <c r="A284"/>
  <c r="B284"/>
  <c r="C284"/>
  <c r="H284"/>
  <c r="I284"/>
  <c r="J284"/>
  <c r="B285"/>
  <c r="C285"/>
  <c r="H285"/>
  <c r="I285"/>
  <c r="J285"/>
  <c r="B286"/>
  <c r="C286"/>
  <c r="H286"/>
  <c r="I286"/>
  <c r="J286"/>
  <c r="B287"/>
  <c r="C287"/>
  <c r="H287"/>
  <c r="I287"/>
  <c r="J287"/>
  <c r="B288"/>
  <c r="C288"/>
  <c r="H288"/>
  <c r="I288"/>
  <c r="J288"/>
  <c r="B289"/>
  <c r="C289"/>
  <c r="H289"/>
  <c r="I289"/>
  <c r="J289"/>
  <c r="B290"/>
  <c r="C290"/>
  <c r="H290"/>
  <c r="I290"/>
  <c r="J290"/>
  <c r="B291"/>
  <c r="H291"/>
  <c r="I291"/>
  <c r="J291"/>
  <c r="A292"/>
  <c r="B292"/>
  <c r="C292"/>
  <c r="I292"/>
  <c r="J292"/>
  <c r="B293"/>
  <c r="C293"/>
  <c r="I293"/>
  <c r="J293"/>
  <c r="B294"/>
  <c r="C294"/>
  <c r="I294"/>
  <c r="J294"/>
  <c r="A295"/>
  <c r="B295"/>
  <c r="C295"/>
  <c r="D295"/>
  <c r="E295"/>
  <c r="H295"/>
  <c r="I295"/>
  <c r="J295"/>
  <c r="B296"/>
  <c r="H296"/>
  <c r="I296"/>
  <c r="J296"/>
  <c r="A297"/>
  <c r="B297"/>
  <c r="C297"/>
  <c r="H297"/>
  <c r="I297"/>
  <c r="J297"/>
  <c r="A300"/>
  <c r="B300"/>
  <c r="H300"/>
  <c r="I300"/>
  <c r="J300"/>
  <c r="B301"/>
  <c r="H301"/>
  <c r="I301"/>
  <c r="J301"/>
  <c r="A302"/>
  <c r="B302"/>
  <c r="C302"/>
  <c r="H302"/>
  <c r="I302"/>
  <c r="J302"/>
  <c r="B303"/>
  <c r="C303"/>
  <c r="H303"/>
  <c r="I303"/>
  <c r="J303"/>
  <c r="B304"/>
  <c r="C304"/>
  <c r="H304"/>
  <c r="I304"/>
  <c r="J304"/>
  <c r="B305"/>
  <c r="C305"/>
  <c r="H305"/>
  <c r="I305"/>
  <c r="J305"/>
  <c r="B306"/>
  <c r="C306"/>
  <c r="H306"/>
  <c r="I306"/>
  <c r="J306"/>
  <c r="B307"/>
  <c r="C307"/>
  <c r="H307"/>
  <c r="I307"/>
  <c r="J307"/>
  <c r="B308"/>
  <c r="C308"/>
  <c r="H308"/>
  <c r="I308"/>
  <c r="J308"/>
  <c r="B309"/>
  <c r="C309"/>
  <c r="H309"/>
  <c r="I309"/>
  <c r="J309"/>
  <c r="B310"/>
  <c r="C310"/>
  <c r="H310"/>
  <c r="I310"/>
  <c r="J310"/>
  <c r="B311"/>
  <c r="C311"/>
  <c r="H311"/>
  <c r="I311"/>
  <c r="J311"/>
  <c r="B312"/>
  <c r="C312"/>
  <c r="H312"/>
  <c r="I312"/>
  <c r="J312"/>
  <c r="B313"/>
  <c r="C313"/>
  <c r="H313"/>
  <c r="I313"/>
  <c r="J313"/>
  <c r="B314"/>
  <c r="C314"/>
  <c r="H314"/>
  <c r="I314"/>
  <c r="J314"/>
  <c r="B315"/>
  <c r="C315"/>
  <c r="H315"/>
  <c r="I315"/>
  <c r="J315"/>
  <c r="B316"/>
  <c r="C316"/>
  <c r="H316"/>
  <c r="I316"/>
  <c r="J316"/>
  <c r="B317"/>
  <c r="H317"/>
  <c r="I317"/>
  <c r="J317"/>
  <c r="A318"/>
  <c r="B318"/>
  <c r="C318"/>
  <c r="H318"/>
  <c r="I318"/>
  <c r="J318"/>
  <c r="B319"/>
  <c r="C319"/>
  <c r="H319"/>
  <c r="I319"/>
  <c r="J319"/>
  <c r="B320"/>
  <c r="C320"/>
  <c r="H320"/>
  <c r="I320"/>
  <c r="J320"/>
  <c r="B321"/>
  <c r="C321"/>
  <c r="H321"/>
  <c r="I321"/>
  <c r="J321"/>
  <c r="B322"/>
  <c r="H322"/>
  <c r="I322"/>
  <c r="J322"/>
  <c r="B323"/>
  <c r="H323"/>
  <c r="I323"/>
  <c r="J323"/>
  <c r="A324"/>
  <c r="B324"/>
  <c r="C324"/>
  <c r="H324"/>
  <c r="I324"/>
  <c r="J324"/>
  <c r="B325"/>
  <c r="C325"/>
  <c r="H325"/>
  <c r="I325"/>
  <c r="J325"/>
  <c r="B326"/>
  <c r="C326"/>
  <c r="H326"/>
  <c r="I326"/>
  <c r="J326"/>
  <c r="B327"/>
  <c r="C327"/>
  <c r="H327"/>
  <c r="I327"/>
  <c r="J327"/>
  <c r="B328"/>
  <c r="C328"/>
  <c r="H328"/>
  <c r="I328"/>
  <c r="J328"/>
  <c r="B329"/>
  <c r="C329"/>
  <c r="H329"/>
  <c r="I329"/>
  <c r="J329"/>
  <c r="B330"/>
  <c r="H330"/>
  <c r="I330"/>
  <c r="J330"/>
  <c r="B331"/>
  <c r="C331"/>
  <c r="H331"/>
  <c r="I331"/>
  <c r="J331"/>
  <c r="B332"/>
  <c r="H332"/>
  <c r="I332"/>
  <c r="J332"/>
  <c r="B333"/>
  <c r="H333"/>
  <c r="I333"/>
  <c r="J333"/>
  <c r="A334"/>
  <c r="B334"/>
  <c r="C334"/>
  <c r="H334"/>
  <c r="J334"/>
  <c r="B335"/>
  <c r="C335"/>
  <c r="H335"/>
  <c r="J335"/>
  <c r="B336"/>
  <c r="C336"/>
  <c r="H336"/>
  <c r="J336"/>
  <c r="B337"/>
  <c r="C337"/>
  <c r="H337"/>
  <c r="J337"/>
  <c r="B338"/>
  <c r="C338"/>
  <c r="H338"/>
  <c r="J338"/>
  <c r="B339"/>
  <c r="C339"/>
  <c r="H339"/>
  <c r="J339"/>
  <c r="B340"/>
  <c r="C340"/>
  <c r="H340"/>
  <c r="J340"/>
  <c r="B341"/>
  <c r="H341"/>
  <c r="I341"/>
  <c r="J341"/>
  <c r="B342"/>
  <c r="C342"/>
  <c r="H342"/>
  <c r="J342"/>
  <c r="B343"/>
  <c r="C343"/>
  <c r="H343"/>
  <c r="J343"/>
  <c r="B344"/>
  <c r="C344"/>
  <c r="H344"/>
  <c r="J344"/>
  <c r="B345"/>
  <c r="C345"/>
  <c r="H345"/>
  <c r="J345"/>
  <c r="B346"/>
  <c r="C346"/>
  <c r="H346"/>
  <c r="J346"/>
  <c r="B347"/>
  <c r="C347"/>
  <c r="H347"/>
  <c r="J347"/>
  <c r="B348"/>
  <c r="H348"/>
  <c r="I348"/>
  <c r="J348"/>
  <c r="B349"/>
  <c r="C349"/>
  <c r="H349"/>
  <c r="J349"/>
  <c r="B350"/>
  <c r="C350"/>
  <c r="H350"/>
  <c r="J350"/>
  <c r="B351"/>
  <c r="C351"/>
  <c r="H351"/>
  <c r="J351"/>
  <c r="B352"/>
  <c r="C352"/>
  <c r="H352"/>
  <c r="J352"/>
  <c r="B353"/>
  <c r="C353"/>
  <c r="H353"/>
  <c r="J353"/>
  <c r="B354"/>
  <c r="C354"/>
  <c r="H354"/>
  <c r="J354"/>
  <c r="B355"/>
  <c r="C355"/>
  <c r="H355"/>
  <c r="J355"/>
  <c r="B356"/>
  <c r="C356"/>
  <c r="H356"/>
  <c r="J356"/>
  <c r="B357"/>
  <c r="H357"/>
  <c r="I357"/>
  <c r="J357"/>
  <c r="B358"/>
  <c r="C358"/>
  <c r="H358"/>
  <c r="J358"/>
  <c r="B359"/>
  <c r="C359"/>
  <c r="H359"/>
  <c r="J359"/>
  <c r="B360"/>
  <c r="C360"/>
  <c r="H360"/>
  <c r="J360"/>
  <c r="B361"/>
  <c r="C361"/>
  <c r="H361"/>
  <c r="J361"/>
  <c r="B362"/>
  <c r="C362"/>
  <c r="H362"/>
  <c r="J362"/>
  <c r="B363"/>
  <c r="C363"/>
  <c r="H363"/>
  <c r="J363"/>
  <c r="B364"/>
  <c r="C364"/>
  <c r="H364"/>
  <c r="J364"/>
  <c r="B365"/>
  <c r="C365"/>
  <c r="H365"/>
  <c r="J365"/>
  <c r="B366"/>
  <c r="C366"/>
  <c r="H366"/>
  <c r="J366"/>
  <c r="B367"/>
  <c r="H367"/>
  <c r="I367"/>
  <c r="J367"/>
  <c r="B368"/>
  <c r="C368"/>
  <c r="H368"/>
  <c r="J368"/>
  <c r="B369"/>
  <c r="C369"/>
  <c r="H369"/>
  <c r="J369"/>
  <c r="B370"/>
  <c r="C370"/>
  <c r="H370"/>
  <c r="J370"/>
  <c r="B371"/>
  <c r="C371"/>
  <c r="H371"/>
  <c r="J371"/>
  <c r="B372"/>
  <c r="C372"/>
  <c r="H372"/>
  <c r="J372"/>
  <c r="B373"/>
  <c r="C373"/>
  <c r="H373"/>
  <c r="J373"/>
  <c r="B377"/>
  <c r="H377"/>
  <c r="I377"/>
  <c r="J377"/>
  <c r="B378"/>
  <c r="H378"/>
  <c r="I378"/>
  <c r="J378"/>
  <c r="A379"/>
  <c r="B379"/>
  <c r="C379"/>
  <c r="H379"/>
  <c r="I379"/>
  <c r="J379"/>
  <c r="B380"/>
  <c r="C380"/>
  <c r="H380"/>
  <c r="I380"/>
  <c r="J380"/>
  <c r="B381"/>
  <c r="C381"/>
  <c r="H381"/>
  <c r="I381"/>
  <c r="J381"/>
  <c r="B382"/>
  <c r="C382"/>
  <c r="H382"/>
  <c r="I382"/>
  <c r="J382"/>
  <c r="B383"/>
  <c r="H383"/>
  <c r="I383"/>
  <c r="J383"/>
  <c r="B384"/>
  <c r="C384"/>
  <c r="H384"/>
  <c r="I384"/>
  <c r="J384"/>
  <c r="B385"/>
  <c r="H385"/>
  <c r="I385"/>
  <c r="J385"/>
  <c r="A386"/>
  <c r="B386"/>
  <c r="C386"/>
  <c r="H386"/>
  <c r="I386"/>
  <c r="J386"/>
  <c r="B387"/>
  <c r="C387"/>
  <c r="H387"/>
  <c r="I387"/>
  <c r="J387"/>
  <c r="B388"/>
  <c r="C388"/>
  <c r="H388"/>
  <c r="I388"/>
  <c r="J388"/>
  <c r="B389"/>
  <c r="C389"/>
  <c r="H389"/>
  <c r="I389"/>
  <c r="J389"/>
  <c r="B390"/>
  <c r="C390"/>
  <c r="H390"/>
  <c r="I390"/>
  <c r="J390"/>
  <c r="B391"/>
  <c r="C391"/>
  <c r="H391"/>
  <c r="I391"/>
  <c r="J391"/>
  <c r="B392"/>
  <c r="C392"/>
  <c r="H392"/>
  <c r="I392"/>
  <c r="J392"/>
  <c r="A393"/>
  <c r="B393"/>
  <c r="H393"/>
  <c r="I393"/>
  <c r="J393"/>
  <c r="B394"/>
  <c r="H394"/>
  <c r="I394"/>
  <c r="J394"/>
  <c r="B395"/>
  <c r="H395"/>
  <c r="I395"/>
  <c r="J395"/>
  <c r="A396"/>
  <c r="B396"/>
  <c r="C396"/>
  <c r="H396"/>
  <c r="I396"/>
  <c r="J396"/>
  <c r="A397"/>
  <c r="B397"/>
  <c r="C397"/>
  <c r="H397"/>
  <c r="I397"/>
  <c r="J397"/>
  <c r="B398"/>
  <c r="C398"/>
  <c r="H398"/>
  <c r="I398"/>
  <c r="J398"/>
  <c r="B399"/>
  <c r="C399"/>
  <c r="H399"/>
  <c r="I399"/>
  <c r="J399"/>
  <c r="B400"/>
  <c r="C400"/>
  <c r="H400"/>
  <c r="I400"/>
  <c r="J400"/>
  <c r="B401"/>
  <c r="C401"/>
  <c r="H401"/>
  <c r="I401"/>
  <c r="J401"/>
  <c r="B402"/>
  <c r="H402"/>
  <c r="I402"/>
  <c r="J402"/>
  <c r="B403"/>
  <c r="C403"/>
  <c r="H403"/>
  <c r="I403"/>
  <c r="J403"/>
  <c r="B404"/>
  <c r="C404"/>
  <c r="H404"/>
  <c r="I404"/>
  <c r="J404"/>
  <c r="B405"/>
  <c r="C405"/>
  <c r="H405"/>
  <c r="I405"/>
  <c r="J405"/>
  <c r="B406"/>
  <c r="C406"/>
  <c r="H406"/>
  <c r="I406"/>
  <c r="J406"/>
  <c r="B407"/>
  <c r="C407"/>
  <c r="D407"/>
  <c r="E407"/>
  <c r="H407"/>
  <c r="I407"/>
  <c r="J407"/>
  <c r="B408"/>
  <c r="C408"/>
  <c r="H408"/>
  <c r="I408"/>
  <c r="J408"/>
  <c r="B409"/>
  <c r="C409"/>
  <c r="H409"/>
  <c r="I409"/>
  <c r="J409"/>
  <c r="B410"/>
  <c r="C410"/>
  <c r="H410"/>
  <c r="I410"/>
  <c r="J410"/>
  <c r="B411"/>
  <c r="C411"/>
  <c r="H411"/>
  <c r="I411"/>
  <c r="J411"/>
  <c r="B412"/>
  <c r="C412"/>
  <c r="H412"/>
  <c r="I412"/>
  <c r="J412"/>
  <c r="B413"/>
  <c r="C413"/>
  <c r="H413"/>
  <c r="J413"/>
  <c r="B414"/>
  <c r="C414"/>
  <c r="H414"/>
  <c r="I414"/>
  <c r="J414"/>
  <c r="B415"/>
  <c r="C415"/>
  <c r="H415"/>
  <c r="I415"/>
  <c r="J415"/>
  <c r="B416"/>
  <c r="C416"/>
  <c r="H416"/>
  <c r="I416"/>
  <c r="J416"/>
  <c r="B417"/>
  <c r="C417"/>
  <c r="H417"/>
  <c r="J417"/>
  <c r="B418"/>
  <c r="C418"/>
  <c r="D418"/>
  <c r="E418"/>
  <c r="H418"/>
  <c r="I418"/>
  <c r="J418"/>
  <c r="B419"/>
  <c r="C419"/>
  <c r="H419"/>
  <c r="I419"/>
  <c r="J419"/>
  <c r="B420"/>
  <c r="C420"/>
  <c r="H420"/>
  <c r="I420"/>
  <c r="J420"/>
  <c r="B421"/>
  <c r="C421"/>
  <c r="H421"/>
  <c r="I421"/>
  <c r="J421"/>
  <c r="B422"/>
  <c r="C422"/>
  <c r="H422"/>
  <c r="I422"/>
  <c r="J422"/>
  <c r="B423"/>
  <c r="C423"/>
  <c r="H423"/>
  <c r="I423"/>
  <c r="J423"/>
  <c r="B424"/>
  <c r="C424"/>
  <c r="H424"/>
  <c r="I424"/>
  <c r="J424"/>
  <c r="B425"/>
  <c r="C425"/>
  <c r="H425"/>
  <c r="I425"/>
  <c r="J425"/>
  <c r="B426"/>
  <c r="C426"/>
  <c r="H426"/>
  <c r="I426"/>
  <c r="J426"/>
  <c r="B427"/>
  <c r="C427"/>
  <c r="H427"/>
  <c r="I427"/>
  <c r="J427"/>
  <c r="B428"/>
  <c r="C428"/>
  <c r="H428"/>
  <c r="I428"/>
  <c r="J428"/>
  <c r="B429"/>
  <c r="C429"/>
  <c r="H429"/>
  <c r="I429"/>
  <c r="J429"/>
  <c r="B430"/>
  <c r="C430"/>
  <c r="H430"/>
  <c r="I430"/>
  <c r="J430"/>
  <c r="B431"/>
  <c r="C431"/>
  <c r="H431"/>
  <c r="I431"/>
  <c r="J431"/>
  <c r="B432"/>
  <c r="C432"/>
  <c r="H432"/>
  <c r="I432"/>
  <c r="J432"/>
  <c r="B433"/>
  <c r="C433"/>
  <c r="H433"/>
  <c r="I433"/>
  <c r="J433"/>
  <c r="A434"/>
  <c r="B434"/>
  <c r="H434"/>
  <c r="I434"/>
  <c r="J434"/>
  <c r="B435"/>
  <c r="H435"/>
  <c r="I435"/>
  <c r="J435"/>
  <c r="B436"/>
  <c r="H436"/>
  <c r="I436"/>
  <c r="J436"/>
  <c r="A437"/>
  <c r="B437"/>
  <c r="C437"/>
  <c r="H437"/>
  <c r="I437"/>
  <c r="J437"/>
  <c r="B438"/>
  <c r="C438"/>
  <c r="H438"/>
  <c r="I438"/>
  <c r="J438"/>
  <c r="B439"/>
  <c r="C439"/>
  <c r="H439"/>
  <c r="I439"/>
  <c r="J439"/>
  <c r="B440"/>
  <c r="H440"/>
  <c r="I440"/>
  <c r="J440"/>
  <c r="B441"/>
  <c r="C441"/>
  <c r="H441"/>
  <c r="I441"/>
  <c r="J441"/>
  <c r="B442"/>
  <c r="C442"/>
  <c r="H442"/>
  <c r="I442"/>
  <c r="J442"/>
  <c r="B443"/>
  <c r="H443"/>
  <c r="I443"/>
  <c r="J443"/>
  <c r="B444"/>
  <c r="C444"/>
  <c r="H444"/>
  <c r="I444"/>
  <c r="J444"/>
  <c r="B445"/>
  <c r="C445"/>
  <c r="H445"/>
  <c r="I445"/>
  <c r="J445"/>
  <c r="A446"/>
  <c r="B446"/>
  <c r="H446"/>
  <c r="I446"/>
  <c r="J446"/>
  <c r="B447"/>
  <c r="H447"/>
  <c r="I447"/>
  <c r="J447"/>
  <c r="A448"/>
  <c r="B448"/>
  <c r="H448"/>
  <c r="I448"/>
  <c r="J448"/>
  <c r="B449"/>
  <c r="C449"/>
  <c r="H449"/>
  <c r="I449"/>
  <c r="J449"/>
  <c r="B450"/>
  <c r="H450"/>
  <c r="I450"/>
  <c r="J450"/>
  <c r="B451"/>
  <c r="C451"/>
  <c r="H451"/>
  <c r="I451"/>
  <c r="J451"/>
  <c r="B452"/>
  <c r="C452"/>
  <c r="H452"/>
  <c r="I452"/>
  <c r="J452"/>
  <c r="B453"/>
  <c r="C453"/>
  <c r="H453"/>
  <c r="I453"/>
  <c r="J453"/>
  <c r="B454"/>
  <c r="C454"/>
  <c r="H454"/>
  <c r="I454"/>
  <c r="J454"/>
  <c r="B455"/>
  <c r="C455"/>
  <c r="H455"/>
  <c r="I455"/>
  <c r="J455"/>
  <c r="B456"/>
  <c r="C456"/>
  <c r="H456"/>
  <c r="I456"/>
  <c r="J456"/>
  <c r="B457"/>
  <c r="H457"/>
  <c r="I457"/>
  <c r="J457"/>
  <c r="A458"/>
  <c r="B458"/>
  <c r="C458"/>
  <c r="H458"/>
  <c r="I458"/>
  <c r="J458"/>
  <c r="B459"/>
  <c r="C459"/>
  <c r="H459"/>
  <c r="I459"/>
  <c r="J459"/>
  <c r="B460"/>
  <c r="C460"/>
  <c r="H460"/>
  <c r="I460"/>
  <c r="J460"/>
  <c r="B461"/>
  <c r="C461"/>
  <c r="H461"/>
  <c r="I461"/>
  <c r="J461"/>
  <c r="B462"/>
  <c r="C462"/>
  <c r="H462"/>
  <c r="I462"/>
  <c r="J462"/>
  <c r="A463"/>
  <c r="B463"/>
  <c r="H463"/>
  <c r="I463"/>
  <c r="J463"/>
  <c r="B464"/>
  <c r="H464"/>
  <c r="I464"/>
  <c r="J464"/>
  <c r="B465"/>
  <c r="H465"/>
  <c r="I465"/>
  <c r="J465"/>
  <c r="A466"/>
  <c r="B466"/>
  <c r="C466"/>
  <c r="H466"/>
  <c r="I466"/>
  <c r="J466"/>
  <c r="B467"/>
  <c r="C467"/>
  <c r="H467"/>
  <c r="I467"/>
  <c r="J467"/>
  <c r="B468"/>
  <c r="H468"/>
  <c r="I468"/>
  <c r="J468"/>
  <c r="B469"/>
  <c r="H469"/>
  <c r="I469"/>
  <c r="J469"/>
  <c r="A470"/>
  <c r="B470"/>
  <c r="C470"/>
  <c r="H470"/>
  <c r="I470"/>
  <c r="J470"/>
  <c r="B471"/>
  <c r="C471"/>
  <c r="H471"/>
  <c r="I471"/>
  <c r="J471"/>
  <c r="B472"/>
  <c r="C472"/>
  <c r="H472"/>
  <c r="I472"/>
  <c r="J472"/>
  <c r="B473"/>
  <c r="C473"/>
  <c r="H473"/>
  <c r="I473"/>
  <c r="J473"/>
  <c r="B474"/>
  <c r="H474"/>
  <c r="I474"/>
  <c r="J474"/>
  <c r="A475"/>
  <c r="B475"/>
  <c r="C475"/>
  <c r="H475"/>
  <c r="I475"/>
  <c r="J475"/>
  <c r="B476"/>
  <c r="C476"/>
  <c r="H476"/>
  <c r="I476"/>
  <c r="J476"/>
  <c r="B477"/>
  <c r="C477"/>
  <c r="H477"/>
  <c r="I477"/>
  <c r="J477"/>
  <c r="B478"/>
  <c r="C478"/>
  <c r="H478"/>
  <c r="I478"/>
  <c r="J478"/>
  <c r="B479"/>
  <c r="H479"/>
  <c r="I479"/>
  <c r="J479"/>
  <c r="A480"/>
  <c r="B480"/>
  <c r="C480"/>
  <c r="H480"/>
  <c r="I480"/>
  <c r="J480"/>
  <c r="B481"/>
  <c r="C481"/>
  <c r="H481"/>
  <c r="I481"/>
  <c r="J481"/>
  <c r="B482"/>
  <c r="C482"/>
  <c r="H482"/>
  <c r="I482"/>
  <c r="J482"/>
  <c r="B483"/>
  <c r="C483"/>
  <c r="H483"/>
  <c r="I483"/>
  <c r="J483"/>
  <c r="B484"/>
  <c r="H484"/>
  <c r="I484"/>
  <c r="J484"/>
  <c r="A485"/>
  <c r="B485"/>
  <c r="C485"/>
  <c r="H485"/>
  <c r="I485"/>
  <c r="J485"/>
  <c r="B486"/>
  <c r="C486"/>
  <c r="H486"/>
  <c r="I486"/>
  <c r="J486"/>
  <c r="B487"/>
  <c r="C487"/>
  <c r="H487"/>
  <c r="I487"/>
  <c r="J487"/>
  <c r="B488"/>
  <c r="C488"/>
  <c r="H488"/>
  <c r="I488"/>
  <c r="J488"/>
  <c r="B489"/>
  <c r="H489"/>
  <c r="I489"/>
  <c r="J489"/>
  <c r="A490"/>
  <c r="B490"/>
  <c r="C490"/>
  <c r="H490"/>
  <c r="I490"/>
  <c r="J490"/>
  <c r="A491"/>
  <c r="B491"/>
  <c r="C491"/>
  <c r="H491"/>
  <c r="I491"/>
  <c r="J491"/>
  <c r="A492"/>
  <c r="B492"/>
  <c r="C492"/>
  <c r="H492"/>
  <c r="I492"/>
  <c r="J492"/>
  <c r="A493"/>
  <c r="B493"/>
  <c r="C493"/>
  <c r="H493"/>
  <c r="I493"/>
  <c r="J493"/>
  <c r="A494"/>
  <c r="B494"/>
  <c r="C494"/>
  <c r="H494"/>
  <c r="I494"/>
  <c r="J494"/>
  <c r="A495"/>
  <c r="B495"/>
  <c r="C495"/>
  <c r="H495"/>
  <c r="I495"/>
  <c r="J495"/>
  <c r="A496"/>
  <c r="B496"/>
  <c r="C496"/>
  <c r="H496"/>
  <c r="I496"/>
  <c r="J496"/>
  <c r="A497"/>
  <c r="B497"/>
  <c r="C497"/>
  <c r="H497"/>
  <c r="I497"/>
  <c r="J497"/>
  <c r="A498"/>
  <c r="B498"/>
  <c r="C498"/>
  <c r="H498"/>
  <c r="I498"/>
  <c r="J498"/>
  <c r="A499"/>
  <c r="B499"/>
  <c r="C499"/>
  <c r="H499"/>
  <c r="I499"/>
  <c r="J499"/>
  <c r="A500"/>
  <c r="B500"/>
  <c r="C500"/>
  <c r="H500"/>
  <c r="I500"/>
  <c r="J500"/>
  <c r="A501"/>
  <c r="B501"/>
  <c r="C501"/>
  <c r="H501"/>
  <c r="I501"/>
  <c r="J501"/>
  <c r="A502"/>
  <c r="B502"/>
  <c r="C502"/>
  <c r="H502"/>
  <c r="I502"/>
  <c r="J502"/>
  <c r="A503"/>
  <c r="B503"/>
  <c r="C503"/>
  <c r="H503"/>
  <c r="I503"/>
  <c r="J503"/>
  <c r="A504"/>
  <c r="B504"/>
  <c r="C504"/>
  <c r="H504"/>
  <c r="I504"/>
  <c r="J504"/>
  <c r="A505"/>
  <c r="B505"/>
  <c r="C505"/>
  <c r="H505"/>
  <c r="I505"/>
  <c r="J505"/>
  <c r="B506"/>
  <c r="H506"/>
  <c r="I506"/>
  <c r="J506"/>
  <c r="B507"/>
  <c r="C507"/>
  <c r="H507"/>
  <c r="I507"/>
  <c r="J507"/>
  <c r="A508"/>
  <c r="B508"/>
  <c r="C508"/>
  <c r="H508"/>
  <c r="I508"/>
  <c r="J508"/>
  <c r="B509"/>
  <c r="C509"/>
  <c r="H509"/>
  <c r="I509"/>
  <c r="J509"/>
  <c r="A510"/>
  <c r="B510"/>
  <c r="C510"/>
  <c r="H510"/>
  <c r="I510"/>
  <c r="J510"/>
  <c r="B511"/>
  <c r="H511"/>
  <c r="I511"/>
  <c r="J511"/>
  <c r="A512"/>
  <c r="B512"/>
  <c r="C512"/>
  <c r="H512"/>
  <c r="I512"/>
  <c r="J512"/>
  <c r="B513"/>
  <c r="C513"/>
  <c r="H513"/>
  <c r="I513"/>
  <c r="J513"/>
  <c r="B514"/>
  <c r="H514"/>
  <c r="I514"/>
  <c r="J514"/>
  <c r="B515"/>
  <c r="H515"/>
  <c r="I515"/>
  <c r="J515"/>
  <c r="B516"/>
  <c r="H516"/>
  <c r="I516"/>
  <c r="J516"/>
  <c r="A517"/>
  <c r="B517"/>
  <c r="C517"/>
  <c r="H517"/>
  <c r="I517"/>
  <c r="J517"/>
  <c r="B518"/>
  <c r="C518"/>
  <c r="H518"/>
  <c r="I518"/>
  <c r="J518"/>
  <c r="B519"/>
  <c r="C519"/>
  <c r="H519"/>
  <c r="I519"/>
  <c r="J519"/>
  <c r="B520"/>
  <c r="C520"/>
  <c r="H520"/>
  <c r="I520"/>
  <c r="J520"/>
  <c r="B521"/>
  <c r="C521"/>
  <c r="H521"/>
  <c r="I521"/>
  <c r="J521"/>
  <c r="B522"/>
  <c r="C522"/>
  <c r="H522"/>
  <c r="I522"/>
  <c r="J522"/>
  <c r="B523"/>
  <c r="C523"/>
  <c r="H523"/>
  <c r="I523"/>
  <c r="J523"/>
  <c r="B524"/>
  <c r="H524"/>
  <c r="I524"/>
  <c r="J524"/>
  <c r="B525"/>
  <c r="C525"/>
  <c r="H525"/>
  <c r="I525"/>
  <c r="J525"/>
  <c r="B526"/>
  <c r="C526"/>
  <c r="H526"/>
  <c r="I526"/>
  <c r="J526"/>
  <c r="B527"/>
  <c r="C527"/>
  <c r="H527"/>
  <c r="I527"/>
  <c r="J527"/>
  <c r="B528"/>
  <c r="C528"/>
  <c r="H528"/>
  <c r="I528"/>
  <c r="J528"/>
  <c r="B529"/>
  <c r="H529"/>
  <c r="I529"/>
  <c r="J529"/>
  <c r="A530"/>
  <c r="B530"/>
  <c r="C530"/>
  <c r="H530"/>
  <c r="I530"/>
  <c r="J530"/>
  <c r="A531"/>
  <c r="B531"/>
  <c r="C531"/>
  <c r="H531"/>
  <c r="I531"/>
  <c r="J531"/>
  <c r="A532"/>
  <c r="B532"/>
  <c r="C532"/>
  <c r="H532"/>
  <c r="I532"/>
  <c r="J532"/>
  <c r="A533"/>
  <c r="B533"/>
  <c r="C533"/>
  <c r="H533"/>
  <c r="I533"/>
  <c r="J533"/>
  <c r="A534"/>
  <c r="B534"/>
  <c r="C534"/>
  <c r="H534"/>
  <c r="I534"/>
  <c r="J534"/>
  <c r="A535"/>
  <c r="B535"/>
  <c r="C535"/>
  <c r="H535"/>
  <c r="I535"/>
  <c r="J535"/>
  <c r="A536"/>
  <c r="B536"/>
  <c r="C536"/>
  <c r="H536"/>
  <c r="I536"/>
  <c r="J536"/>
  <c r="A537"/>
  <c r="B537"/>
  <c r="C537"/>
  <c r="H537"/>
  <c r="I537"/>
  <c r="J537"/>
  <c r="A538"/>
  <c r="B538"/>
  <c r="C538"/>
  <c r="H538"/>
  <c r="I538"/>
  <c r="J538"/>
  <c r="B539"/>
  <c r="H539"/>
  <c r="I539"/>
  <c r="J539"/>
  <c r="B540"/>
  <c r="H540"/>
  <c r="I540"/>
  <c r="J540"/>
  <c r="B541"/>
  <c r="H541"/>
  <c r="I541"/>
  <c r="J541"/>
  <c r="A542"/>
  <c r="B542"/>
  <c r="C542"/>
  <c r="H542"/>
  <c r="I542"/>
  <c r="J542"/>
  <c r="B543"/>
  <c r="C543"/>
  <c r="H543"/>
  <c r="I543"/>
  <c r="J543"/>
  <c r="B544"/>
  <c r="H544"/>
  <c r="I544"/>
  <c r="J544"/>
  <c r="A545"/>
  <c r="B545"/>
  <c r="C545"/>
  <c r="H545"/>
  <c r="I545"/>
  <c r="J545"/>
  <c r="B546"/>
  <c r="C546"/>
  <c r="H546"/>
  <c r="I546"/>
  <c r="J546"/>
  <c r="B547"/>
  <c r="H547"/>
  <c r="I547"/>
  <c r="J547"/>
  <c r="A548"/>
  <c r="B548"/>
  <c r="C548"/>
  <c r="H548"/>
  <c r="I548"/>
  <c r="J548"/>
  <c r="A549"/>
  <c r="B549"/>
  <c r="C549"/>
  <c r="H549"/>
  <c r="I549"/>
  <c r="J549"/>
  <c r="A550"/>
  <c r="B550"/>
  <c r="H550"/>
  <c r="I550"/>
  <c r="J550"/>
  <c r="A551"/>
  <c r="B551"/>
  <c r="C551"/>
  <c r="H551"/>
  <c r="I551"/>
  <c r="J551"/>
  <c r="B552"/>
  <c r="C552"/>
  <c r="H552"/>
  <c r="I552"/>
  <c r="J552"/>
  <c r="B553"/>
  <c r="H553"/>
  <c r="I553"/>
  <c r="J553"/>
  <c r="A554"/>
  <c r="B554"/>
  <c r="C554"/>
  <c r="H554"/>
  <c r="I554"/>
  <c r="J554"/>
  <c r="B555"/>
  <c r="C555"/>
  <c r="H555"/>
  <c r="I555"/>
  <c r="J555"/>
  <c r="B556"/>
  <c r="H556"/>
  <c r="I556"/>
  <c r="J556"/>
  <c r="A557"/>
  <c r="B557"/>
  <c r="C557"/>
  <c r="H557"/>
  <c r="I557"/>
  <c r="J557"/>
  <c r="B558"/>
  <c r="C558"/>
  <c r="H558"/>
  <c r="I558"/>
  <c r="J558"/>
  <c r="B559"/>
  <c r="H559"/>
  <c r="I559"/>
  <c r="J559"/>
  <c r="A560"/>
  <c r="B560"/>
  <c r="C560"/>
  <c r="H560"/>
  <c r="I560"/>
  <c r="J560"/>
  <c r="B561"/>
  <c r="C561"/>
  <c r="H561"/>
  <c r="I561"/>
  <c r="J561"/>
  <c r="B562"/>
  <c r="H562"/>
  <c r="I562"/>
  <c r="J562"/>
  <c r="A563"/>
  <c r="B563"/>
  <c r="C563"/>
  <c r="H563"/>
  <c r="I563"/>
  <c r="J563"/>
  <c r="B564"/>
  <c r="C564"/>
  <c r="H564"/>
  <c r="I564"/>
  <c r="J564"/>
  <c r="B565"/>
  <c r="C565"/>
  <c r="H565"/>
  <c r="I565"/>
  <c r="J565"/>
  <c r="B566"/>
  <c r="H566"/>
  <c r="I566"/>
  <c r="J566"/>
  <c r="B567"/>
  <c r="C567"/>
  <c r="H567"/>
  <c r="I567"/>
  <c r="J567"/>
  <c r="B568"/>
  <c r="C568"/>
  <c r="H568"/>
  <c r="I568"/>
  <c r="J568"/>
  <c r="B569"/>
  <c r="H569"/>
  <c r="I569"/>
  <c r="J569"/>
  <c r="B570"/>
  <c r="C570"/>
  <c r="H570"/>
  <c r="I570"/>
  <c r="J570"/>
  <c r="B571"/>
  <c r="C571"/>
  <c r="H571"/>
  <c r="I571"/>
  <c r="J571"/>
  <c r="B572"/>
  <c r="C572"/>
  <c r="H572"/>
  <c r="I572"/>
  <c r="J572"/>
  <c r="B573"/>
  <c r="H573"/>
  <c r="I573"/>
  <c r="J573"/>
  <c r="B574"/>
  <c r="C574"/>
  <c r="H574"/>
  <c r="I574"/>
  <c r="J574"/>
  <c r="B575"/>
  <c r="C575"/>
  <c r="H575"/>
  <c r="I575"/>
  <c r="J575"/>
  <c r="B576"/>
  <c r="H576"/>
  <c r="I576"/>
  <c r="J576"/>
  <c r="B577"/>
  <c r="C577"/>
  <c r="H577"/>
  <c r="I577"/>
  <c r="J577"/>
  <c r="B578"/>
  <c r="C578"/>
  <c r="H578"/>
  <c r="I578"/>
  <c r="J578"/>
  <c r="B579"/>
  <c r="C579"/>
  <c r="H579"/>
  <c r="I579"/>
  <c r="J579"/>
  <c r="B580"/>
  <c r="H580"/>
  <c r="I580"/>
  <c r="J580"/>
  <c r="A581"/>
  <c r="B581"/>
  <c r="C581"/>
  <c r="H581"/>
  <c r="I581"/>
  <c r="J581"/>
  <c r="B582"/>
  <c r="C582"/>
  <c r="H582"/>
  <c r="I582"/>
  <c r="J582"/>
  <c r="B583"/>
  <c r="C583"/>
  <c r="H583"/>
  <c r="I583"/>
  <c r="J583"/>
  <c r="B584"/>
  <c r="C584"/>
  <c r="H584"/>
  <c r="I584"/>
  <c r="J584"/>
  <c r="B585"/>
  <c r="C585"/>
  <c r="H585"/>
  <c r="I585"/>
  <c r="J585"/>
  <c r="B586"/>
  <c r="C586"/>
  <c r="H586"/>
  <c r="I586"/>
  <c r="J586"/>
  <c r="B587"/>
  <c r="C587"/>
  <c r="H587"/>
  <c r="I587"/>
  <c r="J587"/>
  <c r="B588"/>
  <c r="H588"/>
  <c r="I588"/>
  <c r="J588"/>
  <c r="B589"/>
  <c r="H589"/>
  <c r="I589"/>
  <c r="J589"/>
  <c r="A590"/>
  <c r="B590"/>
  <c r="C590"/>
  <c r="H590"/>
  <c r="I590"/>
  <c r="J590"/>
  <c r="B591"/>
  <c r="C591"/>
  <c r="H591"/>
  <c r="I591"/>
  <c r="J591"/>
  <c r="B592"/>
  <c r="C592"/>
  <c r="H592"/>
  <c r="I592"/>
  <c r="J592"/>
  <c r="B593"/>
  <c r="C593"/>
  <c r="H593"/>
  <c r="I593"/>
  <c r="J593"/>
  <c r="B594"/>
  <c r="C594"/>
  <c r="H594"/>
  <c r="I594"/>
  <c r="J594"/>
  <c r="B595"/>
  <c r="C595"/>
  <c r="H595"/>
  <c r="I595"/>
  <c r="J595"/>
  <c r="B596"/>
  <c r="C596"/>
  <c r="H596"/>
  <c r="I596"/>
  <c r="J596"/>
  <c r="B597"/>
  <c r="H597"/>
  <c r="I597"/>
  <c r="J597"/>
  <c r="A598"/>
  <c r="B598"/>
  <c r="C598"/>
  <c r="H598"/>
  <c r="I598"/>
  <c r="J598"/>
  <c r="B599"/>
  <c r="C599"/>
  <c r="H599"/>
  <c r="I599"/>
  <c r="J599"/>
  <c r="B600"/>
  <c r="C600"/>
  <c r="B601"/>
  <c r="C601"/>
  <c r="H601"/>
  <c r="I601"/>
  <c r="J601"/>
  <c r="B602"/>
  <c r="C602"/>
  <c r="H602"/>
  <c r="I602"/>
  <c r="J602"/>
  <c r="B603"/>
  <c r="C603"/>
  <c r="H603"/>
  <c r="I603"/>
  <c r="J603"/>
  <c r="B604"/>
  <c r="C604"/>
  <c r="H604"/>
  <c r="I604"/>
  <c r="J604"/>
  <c r="B605"/>
  <c r="C605"/>
  <c r="H605"/>
  <c r="I605"/>
  <c r="J605"/>
  <c r="B606"/>
  <c r="H606"/>
  <c r="I606"/>
  <c r="J606"/>
  <c r="A607"/>
  <c r="B607"/>
  <c r="C607"/>
  <c r="H607"/>
  <c r="I607"/>
  <c r="J607"/>
  <c r="A608"/>
  <c r="B608"/>
  <c r="C608"/>
  <c r="H608"/>
  <c r="I608"/>
  <c r="J608"/>
  <c r="A609"/>
  <c r="B609"/>
  <c r="H609"/>
  <c r="I609"/>
  <c r="J609"/>
  <c r="A610"/>
  <c r="B610"/>
  <c r="H610"/>
  <c r="I610"/>
  <c r="J610"/>
  <c r="A611"/>
  <c r="B611"/>
  <c r="C611"/>
  <c r="H611"/>
  <c r="I611"/>
  <c r="J611"/>
  <c r="B612"/>
  <c r="C612"/>
  <c r="H612"/>
  <c r="I612"/>
  <c r="J612"/>
  <c r="B613"/>
  <c r="C613"/>
  <c r="H613"/>
  <c r="I613"/>
  <c r="J613"/>
  <c r="B614"/>
  <c r="C614"/>
  <c r="H614"/>
  <c r="I614"/>
  <c r="J614"/>
  <c r="B615"/>
  <c r="C615"/>
  <c r="H615"/>
  <c r="I615"/>
  <c r="J615"/>
  <c r="B616"/>
  <c r="C616"/>
  <c r="H616"/>
  <c r="I616"/>
  <c r="J616"/>
  <c r="B617"/>
  <c r="C617"/>
  <c r="H617"/>
  <c r="I617"/>
  <c r="J617"/>
  <c r="B618"/>
  <c r="C618"/>
  <c r="H618"/>
  <c r="I618"/>
  <c r="J618"/>
  <c r="B619"/>
  <c r="C619"/>
  <c r="H619"/>
  <c r="I619"/>
  <c r="J619"/>
  <c r="B620"/>
  <c r="C620"/>
  <c r="H620"/>
  <c r="I620"/>
  <c r="J620"/>
  <c r="B621"/>
  <c r="H621"/>
  <c r="I621"/>
  <c r="J621"/>
  <c r="A622"/>
  <c r="B622"/>
  <c r="C622"/>
  <c r="H622"/>
  <c r="I622"/>
  <c r="J622"/>
  <c r="B623"/>
  <c r="C623"/>
  <c r="H623"/>
  <c r="I623"/>
  <c r="J623"/>
  <c r="B624"/>
  <c r="C624"/>
  <c r="H624"/>
  <c r="I624"/>
  <c r="J624"/>
  <c r="B625"/>
  <c r="C625"/>
  <c r="H625"/>
  <c r="I625"/>
  <c r="J625"/>
  <c r="B626"/>
  <c r="C626"/>
  <c r="H626"/>
  <c r="I626"/>
  <c r="J626"/>
  <c r="B627"/>
  <c r="C627"/>
  <c r="H627"/>
  <c r="I627"/>
  <c r="J627"/>
  <c r="B628"/>
  <c r="C628"/>
  <c r="H628"/>
  <c r="I628"/>
  <c r="J628"/>
  <c r="B629"/>
  <c r="C629"/>
  <c r="H629"/>
  <c r="I629"/>
  <c r="J629"/>
  <c r="B630"/>
  <c r="C630"/>
  <c r="H630"/>
  <c r="I630"/>
  <c r="J630"/>
  <c r="B631"/>
  <c r="C631"/>
  <c r="H631"/>
  <c r="I631"/>
  <c r="J631"/>
  <c r="B632"/>
  <c r="C632"/>
  <c r="H632"/>
  <c r="I632"/>
  <c r="J632"/>
  <c r="B633"/>
  <c r="C633"/>
  <c r="H633"/>
  <c r="I633"/>
  <c r="J633"/>
  <c r="B634"/>
  <c r="H634"/>
  <c r="I634"/>
  <c r="J634"/>
  <c r="A635"/>
  <c r="B635"/>
  <c r="C635"/>
  <c r="H635"/>
  <c r="I635"/>
  <c r="J635"/>
  <c r="B636"/>
  <c r="C636"/>
  <c r="H636"/>
  <c r="I636"/>
  <c r="J636"/>
  <c r="B637"/>
  <c r="C637"/>
  <c r="H637"/>
  <c r="I637"/>
  <c r="J637"/>
  <c r="B638"/>
  <c r="C638"/>
  <c r="H638"/>
  <c r="I638"/>
  <c r="J638"/>
  <c r="B639"/>
  <c r="C639"/>
  <c r="H639"/>
  <c r="I639"/>
  <c r="J639"/>
  <c r="B640"/>
  <c r="C640"/>
  <c r="H640"/>
  <c r="I640"/>
  <c r="J640"/>
  <c r="B641"/>
  <c r="C641"/>
  <c r="H641"/>
  <c r="I641"/>
  <c r="J641"/>
  <c r="B642"/>
  <c r="C642"/>
  <c r="H642"/>
  <c r="I642"/>
  <c r="J642"/>
  <c r="B643"/>
  <c r="C643"/>
  <c r="H643"/>
  <c r="I643"/>
  <c r="J643"/>
  <c r="B644"/>
  <c r="C644"/>
  <c r="H644"/>
  <c r="I644"/>
  <c r="J644"/>
  <c r="B645"/>
  <c r="H645"/>
  <c r="I645"/>
  <c r="J645"/>
  <c r="B646"/>
  <c r="H646"/>
  <c r="I646"/>
  <c r="J646"/>
  <c r="A647"/>
  <c r="B647"/>
  <c r="C647"/>
  <c r="H647"/>
  <c r="I647"/>
  <c r="J647"/>
  <c r="B648"/>
  <c r="C648"/>
  <c r="H648"/>
  <c r="I648"/>
  <c r="J648"/>
  <c r="B649"/>
  <c r="C649"/>
  <c r="H649"/>
  <c r="I649"/>
  <c r="J649"/>
  <c r="B650"/>
  <c r="H650"/>
  <c r="I650"/>
  <c r="J650"/>
  <c r="B651"/>
  <c r="C651"/>
  <c r="H651"/>
  <c r="I651"/>
  <c r="J651"/>
  <c r="B652"/>
  <c r="H652"/>
  <c r="I652"/>
  <c r="J652"/>
  <c r="B653"/>
  <c r="C653"/>
  <c r="H653"/>
  <c r="I653"/>
  <c r="J653"/>
  <c r="B654"/>
  <c r="C654"/>
  <c r="H654"/>
  <c r="I654"/>
  <c r="J654"/>
  <c r="A655"/>
  <c r="B655"/>
  <c r="C655"/>
  <c r="D655"/>
  <c r="E655"/>
  <c r="H655"/>
  <c r="I655"/>
  <c r="J655"/>
  <c r="A656"/>
  <c r="B656"/>
  <c r="C656"/>
  <c r="H656"/>
  <c r="I656"/>
  <c r="J656"/>
  <c r="A657"/>
  <c r="B657"/>
  <c r="C657"/>
  <c r="H657"/>
  <c r="I657"/>
  <c r="J657"/>
  <c r="B658"/>
  <c r="H658"/>
  <c r="I658"/>
  <c r="J658"/>
  <c r="B659"/>
  <c r="C659"/>
  <c r="H659"/>
  <c r="I659"/>
  <c r="J659"/>
  <c r="B660"/>
  <c r="C660"/>
  <c r="H660"/>
  <c r="I660"/>
  <c r="J660"/>
  <c r="B661"/>
  <c r="H661"/>
  <c r="I661"/>
  <c r="J661"/>
  <c r="A662"/>
  <c r="B662"/>
  <c r="C662"/>
  <c r="H662"/>
  <c r="I662"/>
  <c r="J662"/>
  <c r="A663"/>
  <c r="B663"/>
  <c r="C663"/>
  <c r="H663"/>
  <c r="I663"/>
  <c r="J663"/>
  <c r="A664"/>
  <c r="B664"/>
  <c r="C664"/>
  <c r="H664"/>
  <c r="I664"/>
  <c r="J664"/>
  <c r="A665"/>
  <c r="B665"/>
  <c r="C665"/>
  <c r="H665"/>
  <c r="I665"/>
  <c r="J665"/>
  <c r="A666"/>
  <c r="B666"/>
  <c r="C666"/>
  <c r="H666"/>
  <c r="I666"/>
  <c r="J666"/>
  <c r="A667"/>
  <c r="B667"/>
  <c r="C667"/>
  <c r="H667"/>
  <c r="I667"/>
  <c r="J667"/>
  <c r="A668"/>
  <c r="B668"/>
  <c r="C668"/>
  <c r="H668"/>
  <c r="I668"/>
  <c r="J668"/>
  <c r="A669"/>
  <c r="B669"/>
  <c r="C669"/>
  <c r="H669"/>
  <c r="I669"/>
  <c r="J669"/>
  <c r="A670"/>
  <c r="B670"/>
  <c r="C670"/>
  <c r="H670"/>
  <c r="I670"/>
  <c r="J670"/>
  <c r="A671"/>
  <c r="B671"/>
  <c r="C671"/>
  <c r="H671"/>
  <c r="I671"/>
  <c r="J671"/>
  <c r="A672"/>
  <c r="B672"/>
  <c r="C672"/>
  <c r="H672"/>
  <c r="I672"/>
  <c r="J672"/>
  <c r="A673"/>
  <c r="B673"/>
  <c r="H673"/>
  <c r="I673"/>
  <c r="J673"/>
  <c r="B674"/>
  <c r="H674"/>
  <c r="I674"/>
  <c r="J674"/>
  <c r="B675"/>
  <c r="H675"/>
  <c r="I675"/>
  <c r="J675"/>
  <c r="A676"/>
  <c r="B676"/>
  <c r="C676"/>
  <c r="H676"/>
  <c r="I676"/>
  <c r="J676"/>
  <c r="B677"/>
  <c r="C677"/>
  <c r="H677"/>
  <c r="I677"/>
  <c r="J677"/>
  <c r="B678"/>
  <c r="C678"/>
  <c r="H678"/>
  <c r="I678"/>
  <c r="J678"/>
  <c r="B679"/>
  <c r="C679"/>
  <c r="H679"/>
  <c r="I679"/>
  <c r="J679"/>
  <c r="B680"/>
  <c r="C680"/>
  <c r="H680"/>
  <c r="I680"/>
  <c r="J680"/>
  <c r="B681"/>
  <c r="C681"/>
  <c r="H681"/>
  <c r="I681"/>
  <c r="J681"/>
  <c r="B682"/>
  <c r="C682"/>
  <c r="H682"/>
  <c r="I682"/>
  <c r="J682"/>
  <c r="B683"/>
  <c r="C683"/>
  <c r="H683"/>
  <c r="I683"/>
  <c r="J683"/>
  <c r="B684"/>
  <c r="H684"/>
  <c r="I684"/>
  <c r="J684"/>
  <c r="B685"/>
  <c r="H685"/>
  <c r="I685"/>
  <c r="J685"/>
  <c r="B686"/>
  <c r="C686"/>
  <c r="H686"/>
  <c r="I686"/>
  <c r="J686"/>
  <c r="B687"/>
  <c r="C687"/>
  <c r="H687"/>
  <c r="I687"/>
  <c r="J687"/>
  <c r="B688"/>
  <c r="C688"/>
  <c r="H688"/>
  <c r="I688"/>
  <c r="J688"/>
  <c r="B689"/>
  <c r="H689"/>
  <c r="I689"/>
  <c r="J689"/>
  <c r="B690"/>
  <c r="C690"/>
  <c r="H690"/>
  <c r="I690"/>
  <c r="J690"/>
  <c r="B691"/>
  <c r="C691"/>
  <c r="H691"/>
  <c r="I691"/>
  <c r="J691"/>
  <c r="B692"/>
  <c r="C692"/>
  <c r="H692"/>
  <c r="I692"/>
  <c r="J692"/>
  <c r="A717"/>
  <c r="B717"/>
  <c r="H717"/>
  <c r="I717"/>
  <c r="J717"/>
  <c r="B718"/>
  <c r="H718"/>
  <c r="I718"/>
  <c r="J718"/>
  <c r="A719"/>
  <c r="B719"/>
  <c r="C719"/>
  <c r="H719"/>
  <c r="I719"/>
  <c r="J719"/>
  <c r="A721"/>
  <c r="B721"/>
  <c r="H721"/>
  <c r="I721"/>
  <c r="J721"/>
  <c r="B722"/>
  <c r="H722"/>
  <c r="I722"/>
  <c r="J722"/>
  <c r="B723"/>
  <c r="H723"/>
  <c r="I723"/>
  <c r="J723"/>
  <c r="A724"/>
  <c r="B724"/>
  <c r="C724"/>
  <c r="D724"/>
  <c r="E724"/>
  <c r="H724"/>
  <c r="I724"/>
  <c r="J724"/>
  <c r="B725"/>
  <c r="C725"/>
  <c r="H725"/>
  <c r="I725"/>
  <c r="J725"/>
  <c r="B726"/>
  <c r="C726"/>
  <c r="H726"/>
  <c r="I726"/>
  <c r="J726"/>
  <c r="B727"/>
  <c r="C727"/>
  <c r="H727"/>
  <c r="I727"/>
  <c r="J727"/>
  <c r="B728"/>
  <c r="H728"/>
  <c r="I728"/>
  <c r="J728"/>
  <c r="B729"/>
  <c r="C729"/>
  <c r="H729"/>
  <c r="I729"/>
  <c r="J729"/>
  <c r="B730"/>
  <c r="C730"/>
  <c r="H730"/>
  <c r="I730"/>
  <c r="J730"/>
  <c r="B731"/>
  <c r="C731"/>
  <c r="H731"/>
  <c r="I731"/>
  <c r="J731"/>
  <c r="B735"/>
  <c r="H735"/>
  <c r="I735"/>
  <c r="J735"/>
  <c r="B736"/>
  <c r="C736"/>
  <c r="H736"/>
  <c r="I736"/>
  <c r="J736"/>
  <c r="B737"/>
  <c r="C737"/>
  <c r="H737"/>
  <c r="I737"/>
  <c r="J737"/>
  <c r="B738"/>
  <c r="C738"/>
  <c r="H738"/>
  <c r="I738"/>
  <c r="J738"/>
  <c r="A739"/>
  <c r="B739"/>
  <c r="C739"/>
  <c r="D739"/>
  <c r="E739"/>
  <c r="H739"/>
  <c r="I739"/>
  <c r="J739"/>
  <c r="B740"/>
  <c r="C740"/>
  <c r="H740"/>
  <c r="I740"/>
  <c r="J740"/>
  <c r="B741"/>
  <c r="C741"/>
  <c r="H741"/>
  <c r="I741"/>
  <c r="J741"/>
  <c r="B742"/>
  <c r="H742"/>
  <c r="I742"/>
  <c r="J742"/>
  <c r="B743"/>
  <c r="C743"/>
  <c r="H743"/>
  <c r="I743"/>
  <c r="J743"/>
  <c r="B744"/>
  <c r="C744"/>
  <c r="H744"/>
  <c r="I744"/>
  <c r="J744"/>
  <c r="B745"/>
  <c r="C745"/>
  <c r="H745"/>
  <c r="I745"/>
  <c r="J745"/>
  <c r="A795"/>
  <c r="B795"/>
  <c r="H795"/>
  <c r="I795"/>
  <c r="J795"/>
  <c r="B796"/>
  <c r="A797"/>
  <c r="B797"/>
  <c r="C797"/>
  <c r="B798"/>
  <c r="C798"/>
  <c r="A799"/>
  <c r="B799"/>
  <c r="C799"/>
  <c r="B800"/>
  <c r="C800"/>
  <c r="A801"/>
  <c r="B801"/>
  <c r="C801"/>
  <c r="A802"/>
  <c r="B802"/>
  <c r="B803"/>
  <c r="A804"/>
  <c r="B804"/>
  <c r="C804"/>
  <c r="A805"/>
  <c r="B805"/>
  <c r="C805"/>
  <c r="A806"/>
  <c r="B806"/>
  <c r="C806"/>
  <c r="A807"/>
  <c r="B807"/>
  <c r="C807"/>
  <c r="A808"/>
  <c r="B808"/>
  <c r="C808"/>
  <c r="A809"/>
  <c r="B809"/>
  <c r="C809"/>
  <c r="A810"/>
  <c r="B810"/>
  <c r="C810"/>
  <c r="A811"/>
  <c r="B811"/>
  <c r="C811"/>
  <c r="A812"/>
  <c r="B812"/>
  <c r="C812"/>
  <c r="A813"/>
  <c r="B813"/>
  <c r="C813"/>
  <c r="A814"/>
  <c r="B814"/>
  <c r="C814"/>
  <c r="A815"/>
  <c r="B815"/>
  <c r="C815"/>
  <c r="A816"/>
  <c r="B816"/>
  <c r="C816"/>
  <c r="A817"/>
  <c r="B817"/>
  <c r="C817"/>
  <c r="A818"/>
  <c r="B818"/>
  <c r="C818"/>
  <c r="A819"/>
  <c r="B819"/>
  <c r="C819"/>
  <c r="A820"/>
  <c r="B820"/>
  <c r="C820"/>
  <c r="A821"/>
  <c r="B821"/>
  <c r="C821"/>
  <c r="B822"/>
  <c r="A823"/>
  <c r="B823"/>
  <c r="C823"/>
  <c r="A824"/>
  <c r="B824"/>
  <c r="C824"/>
  <c r="A825"/>
  <c r="B825"/>
  <c r="C825"/>
  <c r="A826"/>
  <c r="B826"/>
  <c r="C826"/>
  <c r="A827"/>
  <c r="B827"/>
  <c r="C827"/>
  <c r="A828"/>
  <c r="B828"/>
  <c r="C828"/>
  <c r="A829"/>
  <c r="B829"/>
  <c r="C829"/>
  <c r="B830"/>
  <c r="B831"/>
  <c r="A832"/>
  <c r="B832"/>
  <c r="C832"/>
  <c r="A833"/>
  <c r="B833"/>
  <c r="C833"/>
  <c r="A834"/>
  <c r="B834"/>
  <c r="C834"/>
  <c r="A835"/>
  <c r="B835"/>
  <c r="C835"/>
  <c r="A836"/>
  <c r="B836"/>
  <c r="C836"/>
  <c r="A837"/>
  <c r="B837"/>
  <c r="C837"/>
  <c r="A838"/>
  <c r="B838"/>
  <c r="C838"/>
  <c r="A839"/>
  <c r="B839"/>
  <c r="C839"/>
  <c r="A840"/>
  <c r="B840"/>
  <c r="C840"/>
  <c r="A841"/>
  <c r="B841"/>
  <c r="C841"/>
  <c r="B842"/>
  <c r="A843"/>
  <c r="B843"/>
  <c r="C843"/>
  <c r="A844"/>
  <c r="B844"/>
  <c r="C844"/>
  <c r="A845"/>
  <c r="B845"/>
  <c r="C845"/>
  <c r="A846"/>
  <c r="B846"/>
  <c r="C846"/>
  <c r="A847"/>
  <c r="B847"/>
  <c r="C847"/>
  <c r="A848"/>
  <c r="B848"/>
  <c r="C848"/>
  <c r="A849"/>
  <c r="B849"/>
  <c r="C849"/>
  <c r="B850"/>
  <c r="A851"/>
  <c r="B851"/>
  <c r="C851"/>
  <c r="A852"/>
  <c r="B852"/>
  <c r="C852"/>
  <c r="A853"/>
  <c r="B853"/>
  <c r="C853"/>
  <c r="A854"/>
  <c r="B854"/>
  <c r="C854"/>
  <c r="A855"/>
  <c r="B855"/>
  <c r="C855"/>
  <c r="A856"/>
  <c r="B856"/>
  <c r="C856"/>
  <c r="A857"/>
  <c r="B857"/>
  <c r="C857"/>
  <c r="A858"/>
  <c r="B858"/>
  <c r="C858"/>
  <c r="A859"/>
  <c r="B859"/>
  <c r="C859"/>
  <c r="A860"/>
  <c r="B860"/>
  <c r="C860"/>
  <c r="A861"/>
  <c r="B861"/>
  <c r="C861"/>
  <c r="B862"/>
  <c r="B863"/>
  <c r="A864"/>
  <c r="B864"/>
  <c r="C864"/>
  <c r="A865"/>
  <c r="B865"/>
  <c r="C865"/>
  <c r="A866"/>
  <c r="B866"/>
  <c r="C866"/>
  <c r="A867"/>
  <c r="B867"/>
  <c r="C867"/>
  <c r="A868"/>
  <c r="B868"/>
  <c r="C868"/>
  <c r="A869"/>
  <c r="B869"/>
  <c r="C869"/>
  <c r="A870"/>
  <c r="B870"/>
  <c r="C870"/>
  <c r="A871"/>
  <c r="B871"/>
  <c r="C871"/>
  <c r="A872"/>
  <c r="B872"/>
  <c r="C872"/>
  <c r="A873"/>
  <c r="B873"/>
  <c r="C873"/>
  <c r="A874"/>
  <c r="B874"/>
  <c r="C874"/>
  <c r="A875"/>
  <c r="B875"/>
  <c r="C875"/>
  <c r="A876"/>
  <c r="B876"/>
  <c r="C876"/>
  <c r="A877"/>
  <c r="B877"/>
  <c r="C877"/>
  <c r="A878"/>
  <c r="B878"/>
  <c r="C878"/>
  <c r="A879"/>
  <c r="B879"/>
  <c r="C879"/>
  <c r="A880"/>
  <c r="B880"/>
  <c r="C880"/>
  <c r="A881"/>
  <c r="B881"/>
  <c r="C881"/>
  <c r="A882"/>
  <c r="B882"/>
  <c r="C882"/>
  <c r="A883"/>
  <c r="B883"/>
  <c r="C883"/>
  <c r="A884"/>
  <c r="B884"/>
  <c r="C884"/>
  <c r="A885"/>
  <c r="B885"/>
  <c r="C885"/>
  <c r="A886"/>
  <c r="B886"/>
  <c r="C886"/>
  <c r="A887"/>
  <c r="B887"/>
  <c r="C887"/>
  <c r="A888"/>
  <c r="B888"/>
  <c r="C888"/>
  <c r="A889"/>
  <c r="B889"/>
  <c r="C889"/>
  <c r="A890"/>
  <c r="B890"/>
  <c r="C890"/>
  <c r="B891"/>
  <c r="A892"/>
  <c r="B892"/>
  <c r="C892"/>
  <c r="A893"/>
  <c r="B893"/>
  <c r="C893"/>
  <c r="A894"/>
  <c r="B894"/>
  <c r="C894"/>
  <c r="A895"/>
  <c r="B895"/>
  <c r="C895"/>
  <c r="A896"/>
  <c r="B896"/>
  <c r="C896"/>
  <c r="A897"/>
  <c r="B897"/>
  <c r="C897"/>
  <c r="A898"/>
  <c r="B898"/>
  <c r="C898"/>
  <c r="A899"/>
  <c r="B899"/>
  <c r="C899"/>
  <c r="A900"/>
  <c r="B900"/>
  <c r="C900"/>
  <c r="A1029"/>
  <c r="B1029"/>
  <c r="H1029"/>
  <c r="I1029"/>
  <c r="J1029"/>
  <c r="B1030"/>
  <c r="H1030"/>
  <c r="I1030"/>
  <c r="J1030"/>
  <c r="B1031"/>
  <c r="H1031"/>
  <c r="I1031"/>
  <c r="J1031"/>
  <c r="A1032"/>
  <c r="B1032"/>
  <c r="C1032"/>
  <c r="H1032"/>
  <c r="I1032"/>
  <c r="J1032"/>
  <c r="B1033"/>
  <c r="C1033"/>
  <c r="H1033"/>
  <c r="I1033"/>
  <c r="J1033"/>
  <c r="B1034"/>
  <c r="C1034"/>
  <c r="H1034"/>
  <c r="I1034"/>
  <c r="J1034"/>
  <c r="B1035"/>
  <c r="C1035"/>
  <c r="H1035"/>
  <c r="I1035"/>
  <c r="J1035"/>
  <c r="B1036"/>
  <c r="C1036"/>
  <c r="H1036"/>
  <c r="I1036"/>
  <c r="J1036"/>
  <c r="B1037"/>
  <c r="C1037"/>
  <c r="H1037"/>
  <c r="I1037"/>
  <c r="J1037"/>
  <c r="B1038"/>
  <c r="C1038"/>
  <c r="H1038"/>
  <c r="I1038"/>
  <c r="J1038"/>
  <c r="B1039"/>
  <c r="C1039"/>
  <c r="H1039"/>
  <c r="I1039"/>
  <c r="J1039"/>
  <c r="B1040"/>
  <c r="C1040"/>
  <c r="H1040"/>
  <c r="I1040"/>
  <c r="J1040"/>
  <c r="B1041"/>
  <c r="C1041"/>
  <c r="H1041"/>
  <c r="I1041"/>
  <c r="J1041"/>
  <c r="B1042"/>
  <c r="C1042"/>
  <c r="H1042"/>
  <c r="I1042"/>
  <c r="J1042"/>
  <c r="B1043"/>
  <c r="C1043"/>
  <c r="H1043"/>
  <c r="I1043"/>
  <c r="J1043"/>
  <c r="B1044"/>
  <c r="C1044"/>
  <c r="H1044"/>
  <c r="I1044"/>
  <c r="J1044"/>
  <c r="B1045"/>
  <c r="C1045"/>
  <c r="H1045"/>
  <c r="I1045"/>
  <c r="J1045"/>
  <c r="B1046"/>
  <c r="C1046"/>
  <c r="H1046"/>
  <c r="I1046"/>
  <c r="J1046"/>
  <c r="B1047"/>
  <c r="H1047"/>
  <c r="I1047"/>
  <c r="J1047"/>
  <c r="B1048"/>
  <c r="C1048"/>
  <c r="H1048"/>
  <c r="I1048"/>
  <c r="J1048"/>
  <c r="B1049"/>
  <c r="C1049"/>
  <c r="H1049"/>
  <c r="I1049"/>
  <c r="J1049"/>
  <c r="B1050"/>
  <c r="C1050"/>
  <c r="H1050"/>
  <c r="I1050"/>
  <c r="J1050"/>
  <c r="B1051"/>
  <c r="C1051"/>
  <c r="H1051"/>
  <c r="I1051"/>
  <c r="J1051"/>
  <c r="B1052"/>
  <c r="C1052"/>
  <c r="H1052"/>
  <c r="I1052"/>
  <c r="J1052"/>
  <c r="B1053"/>
  <c r="C1053"/>
  <c r="H1053"/>
  <c r="I1053"/>
  <c r="J1053"/>
  <c r="B1054"/>
  <c r="C1054"/>
  <c r="H1054"/>
  <c r="I1054"/>
  <c r="J1054"/>
  <c r="B1055"/>
  <c r="C1055"/>
  <c r="H1055"/>
  <c r="I1055"/>
  <c r="J1055"/>
  <c r="B1056"/>
  <c r="C1056"/>
  <c r="H1056"/>
  <c r="I1056"/>
  <c r="J1056"/>
  <c r="B1057"/>
  <c r="C1057"/>
  <c r="H1057"/>
  <c r="I1057"/>
  <c r="J1057"/>
  <c r="B1058"/>
  <c r="C1058"/>
  <c r="H1058"/>
  <c r="I1058"/>
  <c r="J1058"/>
  <c r="B1059"/>
  <c r="C1059"/>
  <c r="H1059"/>
  <c r="I1059"/>
  <c r="J1059"/>
  <c r="B1060"/>
  <c r="C1060"/>
  <c r="H1060"/>
  <c r="I1060"/>
  <c r="J1060"/>
  <c r="B1061"/>
  <c r="C1061"/>
  <c r="H1061"/>
  <c r="I1061"/>
  <c r="J1061"/>
  <c r="B1062"/>
  <c r="C1062"/>
  <c r="H1062"/>
  <c r="I1062"/>
  <c r="J1062"/>
  <c r="B1063"/>
  <c r="C1063"/>
  <c r="H1063"/>
  <c r="I1063"/>
  <c r="J1063"/>
  <c r="B1064"/>
  <c r="C1064"/>
  <c r="H1064"/>
  <c r="I1064"/>
  <c r="J1064"/>
  <c r="B1065"/>
  <c r="C1065"/>
  <c r="H1065"/>
  <c r="I1065"/>
  <c r="J1065"/>
  <c r="B1066"/>
  <c r="C1066"/>
  <c r="H1066"/>
  <c r="I1066"/>
  <c r="J1066"/>
  <c r="B1067"/>
  <c r="C1067"/>
  <c r="H1067"/>
  <c r="I1067"/>
  <c r="J1067"/>
  <c r="B1068"/>
  <c r="C1068"/>
  <c r="H1068"/>
  <c r="I1068"/>
  <c r="J1068"/>
  <c r="B1069"/>
  <c r="C1069"/>
  <c r="H1069"/>
  <c r="I1069"/>
  <c r="J1069"/>
  <c r="B1070"/>
  <c r="C1070"/>
  <c r="H1070"/>
  <c r="I1070"/>
  <c r="J1070"/>
  <c r="B1071"/>
  <c r="C1071"/>
  <c r="H1071"/>
  <c r="I1071"/>
  <c r="J1071"/>
  <c r="B1072"/>
  <c r="H1072"/>
  <c r="I1072"/>
  <c r="J1072"/>
  <c r="B1073"/>
  <c r="C1073"/>
  <c r="H1073"/>
  <c r="I1073"/>
  <c r="J1073"/>
  <c r="B1074"/>
  <c r="C1074"/>
  <c r="H1074"/>
  <c r="I1074"/>
  <c r="J1074"/>
  <c r="B1075"/>
  <c r="C1075"/>
  <c r="H1075"/>
  <c r="I1075"/>
  <c r="J1075"/>
  <c r="B1076"/>
  <c r="C1076"/>
  <c r="H1076"/>
  <c r="I1076"/>
  <c r="J1076"/>
  <c r="B1077"/>
  <c r="C1077"/>
  <c r="H1077"/>
  <c r="I1077"/>
  <c r="J1077"/>
  <c r="B1078"/>
  <c r="C1078"/>
  <c r="H1078"/>
  <c r="I1078"/>
  <c r="J1078"/>
  <c r="B1079"/>
  <c r="C1079"/>
  <c r="H1079"/>
  <c r="I1079"/>
  <c r="J1079"/>
  <c r="B1080"/>
  <c r="C1080"/>
  <c r="H1080"/>
  <c r="I1080"/>
  <c r="J1080"/>
  <c r="B1081"/>
  <c r="C1081"/>
  <c r="H1081"/>
  <c r="I1081"/>
  <c r="J1081"/>
  <c r="B1082"/>
  <c r="C1082"/>
  <c r="H1082"/>
  <c r="I1082"/>
  <c r="J1082"/>
  <c r="B1083"/>
  <c r="C1083"/>
  <c r="H1083"/>
  <c r="I1083"/>
  <c r="J1083"/>
  <c r="B1084"/>
  <c r="C1084"/>
  <c r="H1084"/>
  <c r="I1084"/>
  <c r="J1084"/>
  <c r="B1085"/>
  <c r="C1085"/>
  <c r="H1085"/>
  <c r="I1085"/>
  <c r="J1085"/>
  <c r="B1086"/>
  <c r="C1086"/>
  <c r="H1086"/>
  <c r="I1086"/>
  <c r="J1086"/>
  <c r="B1087"/>
  <c r="C1087"/>
  <c r="H1087"/>
  <c r="I1087"/>
  <c r="J1087"/>
  <c r="B1088"/>
  <c r="C1088"/>
  <c r="H1088"/>
  <c r="I1088"/>
  <c r="J1088"/>
  <c r="B1089"/>
  <c r="C1089"/>
  <c r="H1089"/>
  <c r="I1089"/>
  <c r="J1089"/>
  <c r="B1090"/>
  <c r="C1090"/>
  <c r="H1090"/>
  <c r="I1090"/>
  <c r="J1090"/>
  <c r="B1091"/>
  <c r="C1091"/>
  <c r="H1091"/>
  <c r="I1091"/>
  <c r="J1091"/>
  <c r="B1092"/>
  <c r="C1092"/>
  <c r="H1092"/>
  <c r="I1092"/>
  <c r="J1092"/>
  <c r="B1093"/>
  <c r="C1093"/>
  <c r="H1093"/>
  <c r="I1093"/>
  <c r="J1093"/>
  <c r="B1094"/>
  <c r="C1094"/>
  <c r="H1094"/>
  <c r="I1094"/>
  <c r="J1094"/>
  <c r="B1095"/>
  <c r="C1095"/>
  <c r="H1095"/>
  <c r="I1095"/>
  <c r="J1095"/>
  <c r="B1096"/>
  <c r="H1096"/>
  <c r="I1096"/>
  <c r="J1096"/>
  <c r="B1097"/>
  <c r="H1097"/>
  <c r="I1097"/>
  <c r="J1097"/>
  <c r="A1098"/>
  <c r="B1098"/>
  <c r="C1098"/>
  <c r="H1098"/>
  <c r="I1098"/>
  <c r="J1098"/>
  <c r="B1099"/>
  <c r="C1099"/>
  <c r="H1099"/>
  <c r="I1099"/>
  <c r="J1099"/>
  <c r="B1100"/>
  <c r="C1100"/>
  <c r="H1100"/>
  <c r="I1100"/>
  <c r="J1100"/>
  <c r="B1101"/>
  <c r="C1101"/>
  <c r="H1101"/>
  <c r="I1101"/>
  <c r="J1101"/>
  <c r="B1102"/>
  <c r="C1102"/>
  <c r="H1102"/>
  <c r="I1102"/>
  <c r="J1102"/>
  <c r="B1103"/>
  <c r="C1103"/>
  <c r="H1103"/>
  <c r="I1103"/>
  <c r="J1103"/>
  <c r="B1104"/>
  <c r="C1104"/>
  <c r="H1104"/>
  <c r="I1104"/>
  <c r="J1104"/>
  <c r="B1105"/>
  <c r="C1105"/>
  <c r="H1105"/>
  <c r="I1105"/>
  <c r="J1105"/>
  <c r="B1106"/>
  <c r="C1106"/>
  <c r="H1106"/>
  <c r="I1106"/>
  <c r="J1106"/>
  <c r="B1107"/>
  <c r="C1107"/>
  <c r="H1107"/>
  <c r="I1107"/>
  <c r="J1107"/>
  <c r="B1108"/>
  <c r="C1108"/>
  <c r="H1108"/>
  <c r="I1108"/>
  <c r="J1108"/>
  <c r="B1109"/>
  <c r="H1109"/>
  <c r="I1109"/>
  <c r="J1109"/>
  <c r="B1110"/>
  <c r="C1110"/>
  <c r="H1110"/>
  <c r="I1110"/>
  <c r="J1110"/>
  <c r="B1111"/>
  <c r="C1111"/>
  <c r="H1111"/>
  <c r="I1111"/>
  <c r="J1111"/>
  <c r="B1112"/>
  <c r="C1112"/>
  <c r="H1112"/>
  <c r="I1112"/>
  <c r="J1112"/>
  <c r="B1113"/>
  <c r="C1113"/>
  <c r="H1113"/>
  <c r="I1113"/>
  <c r="J1113"/>
  <c r="B1114"/>
  <c r="C1114"/>
  <c r="H1114"/>
  <c r="I1114"/>
  <c r="J1114"/>
  <c r="B1115"/>
  <c r="C1115"/>
  <c r="H1115"/>
  <c r="I1115"/>
  <c r="J1115"/>
  <c r="B1116"/>
  <c r="C1116"/>
  <c r="H1116"/>
  <c r="I1116"/>
  <c r="J1116"/>
  <c r="B1117"/>
  <c r="C1117"/>
  <c r="H1117"/>
  <c r="I1117"/>
  <c r="J1117"/>
  <c r="B1118"/>
  <c r="C1118"/>
  <c r="H1118"/>
  <c r="I1118"/>
  <c r="J1118"/>
  <c r="B1119"/>
  <c r="H1119"/>
  <c r="I1119"/>
  <c r="J1119"/>
  <c r="B1120"/>
  <c r="C1120"/>
  <c r="H1120"/>
  <c r="I1120"/>
  <c r="J1120"/>
  <c r="B1121"/>
  <c r="C1121"/>
  <c r="H1121"/>
  <c r="I1121"/>
  <c r="J1121"/>
  <c r="B1122"/>
  <c r="H1122"/>
  <c r="I1122"/>
  <c r="J1122"/>
  <c r="B1123"/>
  <c r="C1123"/>
  <c r="H1123"/>
  <c r="I1123"/>
  <c r="J1123"/>
  <c r="B1124"/>
  <c r="C1124"/>
  <c r="H1124"/>
  <c r="I1124"/>
  <c r="J1124"/>
  <c r="B1125"/>
  <c r="H1125"/>
  <c r="I1125"/>
  <c r="J1125"/>
  <c r="B1126"/>
  <c r="C1126"/>
  <c r="H1126"/>
  <c r="I1126"/>
  <c r="J1126"/>
  <c r="B1127"/>
  <c r="C1127"/>
  <c r="H1127"/>
  <c r="I1127"/>
  <c r="J1127"/>
  <c r="B1128"/>
  <c r="C1128"/>
  <c r="H1128"/>
  <c r="I1128"/>
  <c r="J1128"/>
  <c r="B1129"/>
  <c r="C1129"/>
  <c r="H1129"/>
  <c r="I1129"/>
  <c r="J1129"/>
  <c r="B1130"/>
  <c r="C1130"/>
  <c r="H1130"/>
  <c r="I1130"/>
  <c r="J1130"/>
  <c r="B1131"/>
  <c r="C1131"/>
  <c r="H1131"/>
  <c r="I1131"/>
  <c r="J1131"/>
  <c r="B1132"/>
  <c r="C1132"/>
  <c r="H1132"/>
  <c r="I1132"/>
  <c r="J1132"/>
  <c r="B1133"/>
  <c r="C1133"/>
  <c r="H1133"/>
  <c r="I1133"/>
  <c r="J1133"/>
  <c r="B1134"/>
  <c r="C1134"/>
  <c r="H1134"/>
  <c r="I1134"/>
  <c r="J1134"/>
  <c r="B1135"/>
  <c r="C1135"/>
  <c r="H1135"/>
  <c r="I1135"/>
  <c r="J1135"/>
  <c r="B1136"/>
  <c r="C1136"/>
  <c r="H1136"/>
  <c r="I1136"/>
  <c r="J1136"/>
  <c r="B1137"/>
  <c r="C1137"/>
  <c r="H1137"/>
  <c r="I1137"/>
  <c r="J1137"/>
  <c r="B1138"/>
  <c r="C1138"/>
  <c r="H1138"/>
  <c r="I1138"/>
  <c r="J1138"/>
  <c r="B1139"/>
  <c r="C1139"/>
  <c r="H1139"/>
  <c r="I1139"/>
  <c r="J1139"/>
  <c r="B1140"/>
  <c r="C1140"/>
  <c r="H1140"/>
  <c r="I1140"/>
  <c r="J1140"/>
  <c r="B1141"/>
  <c r="C1141"/>
  <c r="H1141"/>
  <c r="I1141"/>
  <c r="J1141"/>
  <c r="B1142"/>
  <c r="C1142"/>
  <c r="H1142"/>
  <c r="I1142"/>
  <c r="J1142"/>
  <c r="B1143"/>
  <c r="C1143"/>
  <c r="H1143"/>
  <c r="I1143"/>
  <c r="J1143"/>
  <c r="B1144"/>
  <c r="C1144"/>
  <c r="H1144"/>
  <c r="I1144"/>
  <c r="J1144"/>
  <c r="B1145"/>
  <c r="C1145"/>
  <c r="H1145"/>
  <c r="I1145"/>
  <c r="J1145"/>
  <c r="B1146"/>
  <c r="C1146"/>
  <c r="H1146"/>
  <c r="I1146"/>
  <c r="J1146"/>
  <c r="B1147"/>
  <c r="C1147"/>
  <c r="H1147"/>
  <c r="I1147"/>
  <c r="J1147"/>
  <c r="B1148"/>
  <c r="C1148"/>
  <c r="H1148"/>
  <c r="I1148"/>
  <c r="J1148"/>
  <c r="B1149"/>
  <c r="C1149"/>
  <c r="H1149"/>
  <c r="I1149"/>
  <c r="J1149"/>
  <c r="B1150"/>
  <c r="C1150"/>
  <c r="H1150"/>
  <c r="I1150"/>
  <c r="J1150"/>
  <c r="B1151"/>
  <c r="C1151"/>
  <c r="H1151"/>
  <c r="I1151"/>
  <c r="J1151"/>
  <c r="B1152"/>
  <c r="C1152"/>
  <c r="H1152"/>
  <c r="I1152"/>
  <c r="J1152"/>
  <c r="B1153"/>
  <c r="C1153"/>
  <c r="H1153"/>
  <c r="I1153"/>
  <c r="J1153"/>
  <c r="B1154"/>
  <c r="C1154"/>
  <c r="H1154"/>
  <c r="I1154"/>
  <c r="J1154"/>
  <c r="B1155"/>
  <c r="C1155"/>
  <c r="H1155"/>
  <c r="I1155"/>
  <c r="J1155"/>
  <c r="B1156"/>
  <c r="C1156"/>
  <c r="H1156"/>
  <c r="I1156"/>
  <c r="J1156"/>
  <c r="B1157"/>
  <c r="C1157"/>
  <c r="H1157"/>
  <c r="I1157"/>
  <c r="J1157"/>
  <c r="B1158"/>
  <c r="C1158"/>
  <c r="H1158"/>
  <c r="I1158"/>
  <c r="J1158"/>
  <c r="B1159"/>
  <c r="C1159"/>
  <c r="H1159"/>
  <c r="I1159"/>
  <c r="J1159"/>
  <c r="B1160"/>
  <c r="C1160"/>
  <c r="H1160"/>
  <c r="I1160"/>
  <c r="J1160"/>
  <c r="B1161"/>
  <c r="C1161"/>
  <c r="H1161"/>
  <c r="I1161"/>
  <c r="J1161"/>
  <c r="B1162"/>
  <c r="C1162"/>
  <c r="H1162"/>
  <c r="I1162"/>
  <c r="J1162"/>
  <c r="B1163"/>
  <c r="C1163"/>
  <c r="H1163"/>
  <c r="I1163"/>
  <c r="J1163"/>
  <c r="B1164"/>
  <c r="H1164"/>
  <c r="I1164"/>
  <c r="J1164"/>
  <c r="B1165"/>
  <c r="C1165"/>
  <c r="H1165"/>
  <c r="I1165"/>
  <c r="J1165"/>
  <c r="B1166"/>
  <c r="C1166"/>
  <c r="H1166"/>
  <c r="I1166"/>
  <c r="J1166"/>
  <c r="B1167"/>
  <c r="C1167"/>
  <c r="H1167"/>
  <c r="I1167"/>
  <c r="J1167"/>
  <c r="B1168"/>
  <c r="C1168"/>
  <c r="H1168"/>
  <c r="I1168"/>
  <c r="J1168"/>
  <c r="B1169"/>
  <c r="C1169"/>
  <c r="H1169"/>
  <c r="I1169"/>
  <c r="J1169"/>
  <c r="B1170"/>
  <c r="C1170"/>
  <c r="H1170"/>
  <c r="I1170"/>
  <c r="J1170"/>
  <c r="B1171"/>
  <c r="C1171"/>
  <c r="H1171"/>
  <c r="I1171"/>
  <c r="J1171"/>
  <c r="B1172"/>
  <c r="C1172"/>
  <c r="H1172"/>
  <c r="I1172"/>
  <c r="J1172"/>
  <c r="B1173"/>
  <c r="C1173"/>
  <c r="H1173"/>
  <c r="I1173"/>
  <c r="J1173"/>
  <c r="B1174"/>
  <c r="C1174"/>
  <c r="H1174"/>
  <c r="I1174"/>
  <c r="J1174"/>
  <c r="B1175"/>
  <c r="C1175"/>
  <c r="H1175"/>
  <c r="I1175"/>
  <c r="J1175"/>
  <c r="B1176"/>
  <c r="C1176"/>
  <c r="H1176"/>
  <c r="I1176"/>
  <c r="J1176"/>
  <c r="B1177"/>
  <c r="C1177"/>
  <c r="H1177"/>
  <c r="I1177"/>
  <c r="J1177"/>
  <c r="B1178"/>
  <c r="C1178"/>
  <c r="H1178"/>
  <c r="I1178"/>
  <c r="J1178"/>
  <c r="B1179"/>
  <c r="C1179"/>
  <c r="H1179"/>
  <c r="I1179"/>
  <c r="J1179"/>
  <c r="B1180"/>
  <c r="C1180"/>
  <c r="H1180"/>
  <c r="I1180"/>
  <c r="J1180"/>
  <c r="B1181"/>
  <c r="C1181"/>
  <c r="H1181"/>
  <c r="I1181"/>
  <c r="J1181"/>
  <c r="B1182"/>
  <c r="C1182"/>
  <c r="H1182"/>
  <c r="I1182"/>
  <c r="J1182"/>
  <c r="B1183"/>
  <c r="H1183"/>
  <c r="I1183"/>
  <c r="J1183"/>
  <c r="B1184"/>
  <c r="C1184"/>
  <c r="H1184"/>
  <c r="I1184"/>
  <c r="J1184"/>
  <c r="B1185"/>
  <c r="C1185"/>
  <c r="H1185"/>
  <c r="I1185"/>
  <c r="J1185"/>
  <c r="B1186"/>
  <c r="C1186"/>
  <c r="H1186"/>
  <c r="I1186"/>
  <c r="J1186"/>
  <c r="B1187"/>
  <c r="C1187"/>
  <c r="H1187"/>
  <c r="I1187"/>
  <c r="J1187"/>
  <c r="B1188"/>
  <c r="C1188"/>
  <c r="H1188"/>
  <c r="I1188"/>
  <c r="J1188"/>
  <c r="B1189"/>
  <c r="C1189"/>
  <c r="H1189"/>
  <c r="I1189"/>
  <c r="J1189"/>
  <c r="B1190"/>
  <c r="C1190"/>
  <c r="H1190"/>
  <c r="I1190"/>
  <c r="J1190"/>
  <c r="B1191"/>
  <c r="H1191"/>
  <c r="I1191"/>
  <c r="J1191"/>
  <c r="B1192"/>
  <c r="H1192"/>
  <c r="I1192"/>
  <c r="J1192"/>
  <c r="A1193"/>
  <c r="B1193"/>
  <c r="C1193"/>
  <c r="H1193"/>
  <c r="I1193"/>
  <c r="J1193"/>
  <c r="B1194"/>
  <c r="C1194"/>
  <c r="H1194"/>
  <c r="I1194"/>
  <c r="J1194"/>
  <c r="B1195"/>
  <c r="C1195"/>
  <c r="H1195"/>
  <c r="I1195"/>
  <c r="J1195"/>
  <c r="B1196"/>
  <c r="C1196"/>
  <c r="H1196"/>
  <c r="I1196"/>
  <c r="J1196"/>
  <c r="B1197"/>
  <c r="C1197"/>
  <c r="H1197"/>
  <c r="I1197"/>
  <c r="J1197"/>
  <c r="B1198"/>
  <c r="C1198"/>
  <c r="H1198"/>
  <c r="I1198"/>
  <c r="J1198"/>
  <c r="B1199"/>
  <c r="C1199"/>
  <c r="H1199"/>
  <c r="I1199"/>
  <c r="J1199"/>
  <c r="B1200"/>
  <c r="C1200"/>
  <c r="H1200"/>
  <c r="I1200"/>
  <c r="J1200"/>
  <c r="B1201"/>
  <c r="C1201"/>
  <c r="H1201"/>
  <c r="I1201"/>
  <c r="J1201"/>
  <c r="B1202"/>
  <c r="C1202"/>
  <c r="H1202"/>
  <c r="I1202"/>
  <c r="J1202"/>
  <c r="B1203"/>
  <c r="C1203"/>
  <c r="H1203"/>
  <c r="I1203"/>
  <c r="J1203"/>
  <c r="B1204"/>
  <c r="C1204"/>
  <c r="H1204"/>
  <c r="I1204"/>
  <c r="J1204"/>
  <c r="B1205"/>
  <c r="C1205"/>
  <c r="H1205"/>
  <c r="I1205"/>
  <c r="J1205"/>
  <c r="B1206"/>
  <c r="C1206"/>
  <c r="H1206"/>
  <c r="I1206"/>
  <c r="J1206"/>
  <c r="B1207"/>
  <c r="H1207"/>
  <c r="I1207"/>
  <c r="J1207"/>
  <c r="B1208"/>
  <c r="C1208"/>
  <c r="H1208"/>
  <c r="I1208"/>
  <c r="J1208"/>
  <c r="B1209"/>
  <c r="C1209"/>
  <c r="H1209"/>
  <c r="I1209"/>
  <c r="J1209"/>
  <c r="B1210"/>
  <c r="C1210"/>
  <c r="H1210"/>
  <c r="I1210"/>
  <c r="J1210"/>
  <c r="B1211"/>
  <c r="C1211"/>
  <c r="H1211"/>
  <c r="I1211"/>
  <c r="J1211"/>
  <c r="B1212"/>
  <c r="C1212"/>
  <c r="H1212"/>
  <c r="I1212"/>
  <c r="J1212"/>
  <c r="B1213"/>
  <c r="H1213"/>
  <c r="I1213"/>
  <c r="J1213"/>
  <c r="B1214"/>
  <c r="C1214"/>
  <c r="H1214"/>
  <c r="I1214"/>
  <c r="J1214"/>
  <c r="B1215"/>
  <c r="C1215"/>
  <c r="H1215"/>
  <c r="I1215"/>
  <c r="J1215"/>
  <c r="B1216"/>
  <c r="C1216"/>
  <c r="H1216"/>
  <c r="I1216"/>
  <c r="J1216"/>
  <c r="B1217"/>
  <c r="H1217"/>
  <c r="I1217"/>
  <c r="J1217"/>
  <c r="B1218"/>
  <c r="C1218"/>
  <c r="H1218"/>
  <c r="I1218"/>
  <c r="J1218"/>
  <c r="B1219"/>
  <c r="C1219"/>
  <c r="H1219"/>
  <c r="I1219"/>
  <c r="J1219"/>
  <c r="B1220"/>
  <c r="C1220"/>
  <c r="H1220"/>
  <c r="I1220"/>
  <c r="J1220"/>
  <c r="B1221"/>
  <c r="H1221"/>
  <c r="I1221"/>
  <c r="J1221"/>
  <c r="B1222"/>
  <c r="C1222"/>
  <c r="H1222"/>
  <c r="I1222"/>
  <c r="J1222"/>
  <c r="B1223"/>
  <c r="C1223"/>
  <c r="H1223"/>
  <c r="I1223"/>
  <c r="J1223"/>
  <c r="B1224"/>
  <c r="C1224"/>
  <c r="H1224"/>
  <c r="I1224"/>
  <c r="J1224"/>
  <c r="B1225"/>
  <c r="C1225"/>
  <c r="H1225"/>
  <c r="I1225"/>
  <c r="J1225"/>
  <c r="B1226"/>
  <c r="C1226"/>
  <c r="H1226"/>
  <c r="I1226"/>
  <c r="J1226"/>
  <c r="B1227"/>
  <c r="C1227"/>
  <c r="H1227"/>
  <c r="I1227"/>
  <c r="J1227"/>
  <c r="B1228"/>
  <c r="C1228"/>
  <c r="H1228"/>
  <c r="I1228"/>
  <c r="J1228"/>
  <c r="B1229"/>
  <c r="C1229"/>
  <c r="H1229"/>
  <c r="I1229"/>
  <c r="J1229"/>
  <c r="B1230"/>
  <c r="C1230"/>
  <c r="H1230"/>
  <c r="I1230"/>
  <c r="J1230"/>
  <c r="B1231"/>
  <c r="C1231"/>
  <c r="H1231"/>
  <c r="I1231"/>
  <c r="J1231"/>
  <c r="B1232"/>
  <c r="C1232"/>
  <c r="H1232"/>
  <c r="I1232"/>
  <c r="J1232"/>
  <c r="B1233"/>
  <c r="C1233"/>
  <c r="H1233"/>
  <c r="I1233"/>
  <c r="J1233"/>
  <c r="B1234"/>
  <c r="C1234"/>
  <c r="H1234"/>
  <c r="I1234"/>
  <c r="J1234"/>
  <c r="B1235"/>
  <c r="C1235"/>
  <c r="H1235"/>
  <c r="I1235"/>
  <c r="J1235"/>
  <c r="B1236"/>
  <c r="H1236"/>
  <c r="I1236"/>
  <c r="J1236"/>
  <c r="B1237"/>
  <c r="H1237"/>
  <c r="I1237"/>
  <c r="J1237"/>
  <c r="A1238"/>
  <c r="B1238"/>
  <c r="C1238"/>
  <c r="H1238"/>
  <c r="I1238"/>
  <c r="J1238"/>
  <c r="B1239"/>
  <c r="C1239"/>
  <c r="H1239"/>
  <c r="I1239"/>
  <c r="J1239"/>
  <c r="B1240"/>
  <c r="C1240"/>
  <c r="H1240"/>
  <c r="I1240"/>
  <c r="J1240"/>
  <c r="B1241"/>
  <c r="C1241"/>
  <c r="H1241"/>
  <c r="I1241"/>
  <c r="J1241"/>
  <c r="B1242"/>
  <c r="C1242"/>
  <c r="H1242"/>
  <c r="I1242"/>
  <c r="J1242"/>
  <c r="B1243"/>
  <c r="C1243"/>
  <c r="H1243"/>
  <c r="I1243"/>
  <c r="J1243"/>
  <c r="B1244"/>
  <c r="C1244"/>
  <c r="H1244"/>
  <c r="I1244"/>
  <c r="J1244"/>
  <c r="B1245"/>
  <c r="C1245"/>
  <c r="H1245"/>
  <c r="I1245"/>
  <c r="J1245"/>
  <c r="B1246"/>
  <c r="C1246"/>
  <c r="H1246"/>
  <c r="I1246"/>
  <c r="J1246"/>
  <c r="B1247"/>
  <c r="C1247"/>
  <c r="H1247"/>
  <c r="I1247"/>
  <c r="J1247"/>
  <c r="B1248"/>
  <c r="C1248"/>
  <c r="H1248"/>
  <c r="I1248"/>
  <c r="J1248"/>
  <c r="B1249"/>
  <c r="C1249"/>
  <c r="H1249"/>
  <c r="I1249"/>
  <c r="J1249"/>
  <c r="B1250"/>
  <c r="C1250"/>
  <c r="H1250"/>
  <c r="I1250"/>
  <c r="J1250"/>
  <c r="B1251"/>
  <c r="H1251"/>
  <c r="I1251"/>
  <c r="J1251"/>
  <c r="B1252"/>
  <c r="C1252"/>
  <c r="H1252"/>
  <c r="I1252"/>
  <c r="J1252"/>
  <c r="B1253"/>
  <c r="C1253"/>
  <c r="H1253"/>
  <c r="I1253"/>
  <c r="J1253"/>
  <c r="B1254"/>
  <c r="C1254"/>
  <c r="H1254"/>
  <c r="I1254"/>
  <c r="J1254"/>
  <c r="B1255"/>
  <c r="C1255"/>
  <c r="H1255"/>
  <c r="I1255"/>
  <c r="J1255"/>
  <c r="B1256"/>
  <c r="C1256"/>
  <c r="H1256"/>
  <c r="I1256"/>
  <c r="J1256"/>
  <c r="B1257"/>
  <c r="C1257"/>
  <c r="H1257"/>
  <c r="I1257"/>
  <c r="J1257"/>
  <c r="B1258"/>
  <c r="C1258"/>
  <c r="H1258"/>
  <c r="I1258"/>
  <c r="J1258"/>
  <c r="B1259"/>
  <c r="C1259"/>
  <c r="H1259"/>
  <c r="I1259"/>
  <c r="J1259"/>
  <c r="B1260"/>
  <c r="C1260"/>
  <c r="H1260"/>
  <c r="I1260"/>
  <c r="J1260"/>
  <c r="B1261"/>
  <c r="C1261"/>
  <c r="H1261"/>
  <c r="I1261"/>
  <c r="J1261"/>
  <c r="B1262"/>
  <c r="C1262"/>
  <c r="H1262"/>
  <c r="I1262"/>
  <c r="J1262"/>
  <c r="B1263"/>
  <c r="C1263"/>
  <c r="H1263"/>
  <c r="I1263"/>
  <c r="J1263"/>
  <c r="B1264"/>
  <c r="C1264"/>
  <c r="H1264"/>
  <c r="I1264"/>
  <c r="J1264"/>
  <c r="B1265"/>
  <c r="C1265"/>
  <c r="H1265"/>
  <c r="I1265"/>
  <c r="J1265"/>
  <c r="B1266"/>
  <c r="C1266"/>
  <c r="H1266"/>
  <c r="I1266"/>
  <c r="J1266"/>
  <c r="B1267"/>
  <c r="C1267"/>
  <c r="H1267"/>
  <c r="I1267"/>
  <c r="J1267"/>
  <c r="B1268"/>
  <c r="C1268"/>
  <c r="H1268"/>
  <c r="I1268"/>
  <c r="J1268"/>
  <c r="B1269"/>
  <c r="C1269"/>
  <c r="H1269"/>
  <c r="I1269"/>
  <c r="J1269"/>
  <c r="B1270"/>
  <c r="C1270"/>
  <c r="H1270"/>
  <c r="I1270"/>
  <c r="J1270"/>
  <c r="B1271"/>
  <c r="C1271"/>
  <c r="H1271"/>
  <c r="I1271"/>
  <c r="J1271"/>
  <c r="B1272"/>
  <c r="C1272"/>
  <c r="H1272"/>
  <c r="I1272"/>
  <c r="J1272"/>
  <c r="B1273"/>
  <c r="C1273"/>
  <c r="H1273"/>
  <c r="I1273"/>
  <c r="J1273"/>
  <c r="B1274"/>
  <c r="H1274"/>
  <c r="I1274"/>
  <c r="J1274"/>
  <c r="B1275"/>
  <c r="C1275"/>
  <c r="H1275"/>
  <c r="I1275"/>
  <c r="J1275"/>
  <c r="B1276"/>
  <c r="C1276"/>
  <c r="H1276"/>
  <c r="I1276"/>
  <c r="J1276"/>
  <c r="B1277"/>
  <c r="C1277"/>
  <c r="H1277"/>
  <c r="I1277"/>
  <c r="J1277"/>
  <c r="B1278"/>
  <c r="C1278"/>
  <c r="H1278"/>
  <c r="I1278"/>
  <c r="J1278"/>
  <c r="B1279"/>
  <c r="C1279"/>
  <c r="H1279"/>
  <c r="I1279"/>
  <c r="J1279"/>
  <c r="B1280"/>
  <c r="C1280"/>
  <c r="H1280"/>
  <c r="I1280"/>
  <c r="J1280"/>
  <c r="B1281"/>
  <c r="C1281"/>
  <c r="H1281"/>
  <c r="I1281"/>
  <c r="J1281"/>
  <c r="B1282"/>
  <c r="C1282"/>
  <c r="H1282"/>
  <c r="I1282"/>
  <c r="J1282"/>
  <c r="B1283"/>
  <c r="C1283"/>
  <c r="H1283"/>
  <c r="I1283"/>
  <c r="J1283"/>
  <c r="B1284"/>
  <c r="C1284"/>
  <c r="H1284"/>
  <c r="I1284"/>
  <c r="J1284"/>
  <c r="B1285"/>
  <c r="C1285"/>
  <c r="H1285"/>
  <c r="I1285"/>
  <c r="J1285"/>
  <c r="B1286"/>
  <c r="C1286"/>
  <c r="H1286"/>
  <c r="I1286"/>
  <c r="J1286"/>
  <c r="B1287"/>
  <c r="H1287"/>
  <c r="I1287"/>
  <c r="J1287"/>
  <c r="B1288"/>
  <c r="H1288"/>
  <c r="I1288"/>
  <c r="J1288"/>
  <c r="A1289"/>
  <c r="B1289"/>
  <c r="C1289"/>
  <c r="H1289"/>
  <c r="I1289"/>
  <c r="J1289"/>
  <c r="A1290"/>
  <c r="B1290"/>
  <c r="C1290"/>
  <c r="H1290"/>
  <c r="I1290"/>
  <c r="J1290"/>
  <c r="A1291"/>
  <c r="B1291"/>
  <c r="C1291"/>
  <c r="H1291"/>
  <c r="I1291"/>
  <c r="J1291"/>
  <c r="A1292"/>
  <c r="B1292"/>
  <c r="C1292"/>
  <c r="H1292"/>
  <c r="I1292"/>
  <c r="J1292"/>
  <c r="A1293"/>
  <c r="B1293"/>
  <c r="C1293"/>
  <c r="H1293"/>
  <c r="I1293"/>
  <c r="J1293"/>
  <c r="A1294"/>
  <c r="B1294"/>
  <c r="C1294"/>
  <c r="H1294"/>
  <c r="I1294"/>
  <c r="J1294"/>
  <c r="A1295"/>
  <c r="B1295"/>
  <c r="C1295"/>
  <c r="H1295"/>
  <c r="I1295"/>
  <c r="J1295"/>
  <c r="A1296"/>
  <c r="B1296"/>
  <c r="C1296"/>
  <c r="H1296"/>
  <c r="I1296"/>
  <c r="J1296"/>
  <c r="A1297"/>
  <c r="B1297"/>
  <c r="C1297"/>
  <c r="H1297"/>
  <c r="I1297"/>
  <c r="J1297"/>
  <c r="A1298"/>
  <c r="B1298"/>
  <c r="C1298"/>
  <c r="H1298"/>
  <c r="I1298"/>
  <c r="J1298"/>
  <c r="A1299"/>
  <c r="B1299"/>
  <c r="C1299"/>
  <c r="H1299"/>
  <c r="I1299"/>
  <c r="J1299"/>
  <c r="A1300"/>
  <c r="B1300"/>
  <c r="C1300"/>
  <c r="H1300"/>
  <c r="I1300"/>
  <c r="J1300"/>
  <c r="A1301"/>
  <c r="B1301"/>
  <c r="C1301"/>
  <c r="H1301"/>
  <c r="I1301"/>
  <c r="J1301"/>
  <c r="A1302"/>
  <c r="B1302"/>
  <c r="C1302"/>
  <c r="H1302"/>
  <c r="I1302"/>
  <c r="J1302"/>
  <c r="A1303"/>
  <c r="B1303"/>
  <c r="C1303"/>
  <c r="H1303"/>
  <c r="I1303"/>
  <c r="J1303"/>
  <c r="A1304"/>
  <c r="B1304"/>
  <c r="C1304"/>
  <c r="H1304"/>
  <c r="I1304"/>
  <c r="J1304"/>
  <c r="A1305"/>
  <c r="B1305"/>
  <c r="C1305"/>
  <c r="H1305"/>
  <c r="I1305"/>
  <c r="J1305"/>
  <c r="A1306"/>
  <c r="B1306"/>
  <c r="C1306"/>
  <c r="H1306"/>
  <c r="I1306"/>
  <c r="J1306"/>
  <c r="A1307"/>
  <c r="B1307"/>
  <c r="C1307"/>
  <c r="H1307"/>
  <c r="I1307"/>
  <c r="J1307"/>
  <c r="A1308"/>
  <c r="B1308"/>
  <c r="C1308"/>
  <c r="H1308"/>
  <c r="I1308"/>
  <c r="J1308"/>
  <c r="A1309"/>
  <c r="B1309"/>
  <c r="C1309"/>
  <c r="H1309"/>
  <c r="I1309"/>
  <c r="J1309"/>
  <c r="A1310"/>
  <c r="B1310"/>
  <c r="C1310"/>
  <c r="H1310"/>
  <c r="I1310"/>
  <c r="J1310"/>
  <c r="A1311"/>
  <c r="B1311"/>
  <c r="C1311"/>
  <c r="H1311"/>
  <c r="I1311"/>
  <c r="J1311"/>
  <c r="A1312"/>
  <c r="B1312"/>
  <c r="C1312"/>
  <c r="H1312"/>
  <c r="I1312"/>
  <c r="J1312"/>
  <c r="A1313"/>
  <c r="B1313"/>
  <c r="C1313"/>
  <c r="H1313"/>
  <c r="I1313"/>
  <c r="J1313"/>
  <c r="B1314"/>
  <c r="H1314"/>
  <c r="I1314"/>
  <c r="J1314"/>
  <c r="B1315"/>
  <c r="C1315"/>
  <c r="H1315"/>
  <c r="I1315"/>
  <c r="J1315"/>
  <c r="B1316"/>
  <c r="C1316"/>
  <c r="H1316"/>
  <c r="I1316"/>
  <c r="J1316"/>
  <c r="B1317"/>
  <c r="C1317"/>
  <c r="H1317"/>
  <c r="I1317"/>
  <c r="J1317"/>
  <c r="B1318"/>
  <c r="C1318"/>
  <c r="H1318"/>
  <c r="I1318"/>
  <c r="J1318"/>
  <c r="B1319"/>
  <c r="C1319"/>
  <c r="H1319"/>
  <c r="I1319"/>
  <c r="J1319"/>
  <c r="B1320"/>
  <c r="C1320"/>
  <c r="H1320"/>
  <c r="I1320"/>
  <c r="J1320"/>
  <c r="B1321"/>
  <c r="C1321"/>
  <c r="H1321"/>
  <c r="I1321"/>
  <c r="J1321"/>
  <c r="B1322"/>
  <c r="C1322"/>
  <c r="H1322"/>
  <c r="I1322"/>
  <c r="J1322"/>
  <c r="B1323"/>
  <c r="C1323"/>
  <c r="H1323"/>
  <c r="I1323"/>
  <c r="J1323"/>
  <c r="B1324"/>
  <c r="C1324"/>
  <c r="H1324"/>
  <c r="I1324"/>
  <c r="J1324"/>
  <c r="B1325"/>
  <c r="C1325"/>
  <c r="H1325"/>
  <c r="I1325"/>
  <c r="J1325"/>
  <c r="B1326"/>
  <c r="C1326"/>
  <c r="H1326"/>
  <c r="I1326"/>
  <c r="J1326"/>
  <c r="B1327"/>
  <c r="C1327"/>
  <c r="H1327"/>
  <c r="I1327"/>
  <c r="J1327"/>
  <c r="B1328"/>
  <c r="C1328"/>
  <c r="H1328"/>
  <c r="I1328"/>
  <c r="J1328"/>
  <c r="B1329"/>
  <c r="C1329"/>
  <c r="H1329"/>
  <c r="I1329"/>
  <c r="J1329"/>
  <c r="B1330"/>
  <c r="C1330"/>
  <c r="H1330"/>
  <c r="I1330"/>
  <c r="J1330"/>
  <c r="B1331"/>
  <c r="C1331"/>
  <c r="H1331"/>
  <c r="I1331"/>
  <c r="J1331"/>
  <c r="B1332"/>
  <c r="C1332"/>
  <c r="H1332"/>
  <c r="I1332"/>
  <c r="J1332"/>
  <c r="B1333"/>
  <c r="C1333"/>
  <c r="H1333"/>
  <c r="I1333"/>
  <c r="J1333"/>
  <c r="B1334"/>
  <c r="C1334"/>
  <c r="H1334"/>
  <c r="I1334"/>
  <c r="J1334"/>
  <c r="B1335"/>
  <c r="C1335"/>
  <c r="H1335"/>
  <c r="I1335"/>
  <c r="J1335"/>
  <c r="B1336"/>
  <c r="H1336"/>
  <c r="I1336"/>
  <c r="J1336"/>
  <c r="B1337"/>
  <c r="C1337"/>
  <c r="H1337"/>
  <c r="I1337"/>
  <c r="J1337"/>
  <c r="B1338"/>
  <c r="C1338"/>
  <c r="H1338"/>
  <c r="I1338"/>
  <c r="J1338"/>
  <c r="B1339"/>
  <c r="C1339"/>
  <c r="H1339"/>
  <c r="I1339"/>
  <c r="J1339"/>
  <c r="B1340"/>
  <c r="C1340"/>
  <c r="H1340"/>
  <c r="I1340"/>
  <c r="J1340"/>
  <c r="B1341"/>
  <c r="C1341"/>
  <c r="H1341"/>
  <c r="I1341"/>
  <c r="J1341"/>
  <c r="B1342"/>
  <c r="C1342"/>
  <c r="H1342"/>
  <c r="I1342"/>
  <c r="J1342"/>
  <c r="B1343"/>
  <c r="C1343"/>
  <c r="H1343"/>
  <c r="I1343"/>
  <c r="J1343"/>
  <c r="B1344"/>
  <c r="C1344"/>
  <c r="H1344"/>
  <c r="I1344"/>
  <c r="J1344"/>
  <c r="B1345"/>
  <c r="C1345"/>
  <c r="H1345"/>
  <c r="I1345"/>
  <c r="J1345"/>
  <c r="B1346"/>
  <c r="C1346"/>
  <c r="H1346"/>
  <c r="I1346"/>
  <c r="J1346"/>
  <c r="B1347"/>
  <c r="C1347"/>
  <c r="H1347"/>
  <c r="I1347"/>
  <c r="J1347"/>
  <c r="B1348"/>
  <c r="C1348"/>
  <c r="H1348"/>
  <c r="I1348"/>
  <c r="J1348"/>
  <c r="B1349"/>
  <c r="C1349"/>
  <c r="H1349"/>
  <c r="I1349"/>
  <c r="J1349"/>
  <c r="B1350"/>
  <c r="C1350"/>
  <c r="H1350"/>
  <c r="I1350"/>
  <c r="J1350"/>
  <c r="B1351"/>
  <c r="C1351"/>
  <c r="H1351"/>
  <c r="I1351"/>
  <c r="J1351"/>
  <c r="B1352"/>
  <c r="C1352"/>
  <c r="H1352"/>
  <c r="I1352"/>
  <c r="J1352"/>
  <c r="B1353"/>
  <c r="C1353"/>
  <c r="H1353"/>
  <c r="I1353"/>
  <c r="J1353"/>
  <c r="B1354"/>
  <c r="C1354"/>
  <c r="H1354"/>
  <c r="I1354"/>
  <c r="J1354"/>
  <c r="B1355"/>
  <c r="C1355"/>
  <c r="H1355"/>
  <c r="I1355"/>
  <c r="J1355"/>
  <c r="B1356"/>
  <c r="H1356"/>
  <c r="I1356"/>
  <c r="J1356"/>
  <c r="B1357"/>
  <c r="C1357"/>
  <c r="H1357"/>
  <c r="I1357"/>
  <c r="J1357"/>
  <c r="B1358"/>
  <c r="C1358"/>
  <c r="H1358"/>
  <c r="I1358"/>
  <c r="J1358"/>
  <c r="A1359"/>
  <c r="B1359"/>
  <c r="C1359"/>
  <c r="H1359"/>
  <c r="I1359"/>
  <c r="J1359"/>
  <c r="B1360"/>
  <c r="C1360"/>
  <c r="H1360"/>
  <c r="I1360"/>
  <c r="J1360"/>
  <c r="A1361"/>
  <c r="B1361"/>
  <c r="C1361"/>
  <c r="H1361"/>
  <c r="I1361"/>
  <c r="J1361"/>
  <c r="B1362"/>
  <c r="C1362"/>
  <c r="H1362"/>
  <c r="I1362"/>
  <c r="J1362"/>
  <c r="A1363"/>
  <c r="B1363"/>
  <c r="C1363"/>
  <c r="H1363"/>
  <c r="I1363"/>
  <c r="J1363"/>
  <c r="B1364"/>
  <c r="C1364"/>
  <c r="H1364"/>
  <c r="I1364"/>
  <c r="J1364"/>
  <c r="A1365"/>
  <c r="B1365"/>
  <c r="C1365"/>
  <c r="H1365"/>
  <c r="I1365"/>
  <c r="J1365"/>
  <c r="B1366"/>
  <c r="C1366"/>
  <c r="H1366"/>
  <c r="I1366"/>
  <c r="J1366"/>
  <c r="A1367"/>
  <c r="B1367"/>
  <c r="C1367"/>
  <c r="H1367"/>
  <c r="I1367"/>
  <c r="J1367"/>
  <c r="B1368"/>
  <c r="C1368"/>
  <c r="H1368"/>
  <c r="I1368"/>
  <c r="J1368"/>
  <c r="A1369"/>
  <c r="B1369"/>
  <c r="C1369"/>
  <c r="H1369"/>
  <c r="I1369"/>
  <c r="J1369"/>
  <c r="B1370"/>
  <c r="H1370"/>
  <c r="I1370"/>
  <c r="J1370"/>
  <c r="B1371"/>
  <c r="C1371"/>
  <c r="H1371"/>
  <c r="I1371"/>
  <c r="J1371"/>
  <c r="B1372"/>
  <c r="C1372"/>
  <c r="H1372"/>
  <c r="I1372"/>
  <c r="J1372"/>
  <c r="B1373"/>
  <c r="C1373"/>
  <c r="H1373"/>
  <c r="I1373"/>
  <c r="J1373"/>
  <c r="B1374"/>
  <c r="C1374"/>
  <c r="H1374"/>
  <c r="I1374"/>
  <c r="J1374"/>
  <c r="B1375"/>
  <c r="C1375"/>
  <c r="H1375"/>
  <c r="I1375"/>
  <c r="J1375"/>
  <c r="B1376"/>
  <c r="C1376"/>
  <c r="H1376"/>
  <c r="I1376"/>
  <c r="J1376"/>
  <c r="B1377"/>
  <c r="C1377"/>
  <c r="H1377"/>
  <c r="I1377"/>
  <c r="J1377"/>
  <c r="B1378"/>
  <c r="C1378"/>
  <c r="H1378"/>
  <c r="I1378"/>
  <c r="J1378"/>
  <c r="B1379"/>
  <c r="C1379"/>
  <c r="H1379"/>
  <c r="I1379"/>
  <c r="J1379"/>
  <c r="B1380"/>
  <c r="C1380"/>
  <c r="H1380"/>
  <c r="I1380"/>
  <c r="J1380"/>
  <c r="B1381"/>
  <c r="C1381"/>
  <c r="H1381"/>
  <c r="I1381"/>
  <c r="J1381"/>
  <c r="B1382"/>
  <c r="C1382"/>
  <c r="H1382"/>
  <c r="I1382"/>
  <c r="J1382"/>
  <c r="B1383"/>
  <c r="H1383"/>
  <c r="I1383"/>
  <c r="J1383"/>
  <c r="A1384"/>
  <c r="B1384"/>
  <c r="C1384"/>
  <c r="I1384"/>
  <c r="J1384"/>
  <c r="A1385"/>
  <c r="B1385"/>
  <c r="C1385"/>
  <c r="I1385"/>
  <c r="J1385"/>
  <c r="A1386"/>
  <c r="B1386"/>
  <c r="C1386"/>
  <c r="I1386"/>
  <c r="J1386"/>
  <c r="A1387"/>
  <c r="B1387"/>
  <c r="C1387"/>
  <c r="I1387"/>
  <c r="J1387"/>
  <c r="A1388"/>
  <c r="B1388"/>
  <c r="C1388"/>
  <c r="I1388"/>
  <c r="J1388"/>
  <c r="A1389"/>
  <c r="B1389"/>
  <c r="C1389"/>
  <c r="I1389"/>
  <c r="J1389"/>
  <c r="A1390"/>
  <c r="B1390"/>
  <c r="C1390"/>
  <c r="I1390"/>
  <c r="J1390"/>
  <c r="A1391"/>
  <c r="B1391"/>
  <c r="C1391"/>
  <c r="I1391"/>
  <c r="J1391"/>
  <c r="A1392"/>
  <c r="B1392"/>
  <c r="C1392"/>
  <c r="I1392"/>
  <c r="J1392"/>
  <c r="A1393"/>
  <c r="B1393"/>
  <c r="C1393"/>
  <c r="I1393"/>
  <c r="J1393"/>
  <c r="A1394"/>
  <c r="B1394"/>
  <c r="C1394"/>
  <c r="I1394"/>
  <c r="J1394"/>
  <c r="A1395"/>
  <c r="B1395"/>
  <c r="C1395"/>
  <c r="I1395"/>
  <c r="J1395"/>
  <c r="A1396"/>
  <c r="B1396"/>
  <c r="C1396"/>
  <c r="I1396"/>
  <c r="J1396"/>
  <c r="A1397"/>
  <c r="B1397"/>
  <c r="C1397"/>
  <c r="I1397"/>
  <c r="J1397"/>
  <c r="A1398"/>
  <c r="B1398"/>
  <c r="C1398"/>
  <c r="I1398"/>
  <c r="J1398"/>
  <c r="A1399"/>
  <c r="B1399"/>
  <c r="C1399"/>
  <c r="I1399"/>
  <c r="J1399"/>
  <c r="A1400"/>
  <c r="B1400"/>
  <c r="C1400"/>
  <c r="I1400"/>
  <c r="J1400"/>
  <c r="A1401"/>
  <c r="B1401"/>
  <c r="H1401"/>
  <c r="I1401"/>
  <c r="J1401"/>
  <c r="B1402"/>
  <c r="H1402"/>
  <c r="I1402"/>
  <c r="J1402"/>
  <c r="A1403"/>
  <c r="B1403"/>
  <c r="C1403"/>
  <c r="H1403"/>
  <c r="I1403"/>
  <c r="J1403"/>
  <c r="B1404"/>
  <c r="C1404"/>
  <c r="H1404"/>
  <c r="I1404"/>
  <c r="J1404"/>
  <c r="B1405"/>
  <c r="C1405"/>
  <c r="H1405"/>
  <c r="I1405"/>
  <c r="J1405"/>
  <c r="B1406"/>
  <c r="H1406"/>
  <c r="I1406"/>
  <c r="J1406"/>
  <c r="A1407"/>
  <c r="B1407"/>
  <c r="C1407"/>
  <c r="H1407"/>
  <c r="I1407"/>
  <c r="J1407"/>
  <c r="B1408"/>
  <c r="C1408"/>
  <c r="H1408"/>
  <c r="I1408"/>
  <c r="J1408"/>
  <c r="B1409"/>
  <c r="C1409"/>
  <c r="H1409"/>
  <c r="I1409"/>
  <c r="J1409"/>
  <c r="B1410"/>
  <c r="C1410"/>
  <c r="H1410"/>
  <c r="I1410"/>
  <c r="J1410"/>
  <c r="B1411"/>
  <c r="C1411"/>
  <c r="H1411"/>
  <c r="I1411"/>
  <c r="J1411"/>
  <c r="B1412"/>
  <c r="C1412"/>
  <c r="H1412"/>
  <c r="I1412"/>
  <c r="J1412"/>
  <c r="B1413"/>
  <c r="C1413"/>
  <c r="H1413"/>
  <c r="I1413"/>
  <c r="J1413"/>
  <c r="B1414"/>
  <c r="C1414"/>
  <c r="H1414"/>
  <c r="I1414"/>
  <c r="J1414"/>
  <c r="B1415"/>
  <c r="C1415"/>
  <c r="H1415"/>
  <c r="I1415"/>
  <c r="J1415"/>
  <c r="A1416"/>
  <c r="B1416"/>
  <c r="H1416"/>
  <c r="I1416"/>
  <c r="J1416"/>
  <c r="B1417"/>
  <c r="H1417"/>
  <c r="I1417"/>
  <c r="J1417"/>
  <c r="A1418"/>
  <c r="B1418"/>
  <c r="C1418"/>
  <c r="H1418"/>
  <c r="I1418"/>
  <c r="J1418"/>
  <c r="B1419"/>
  <c r="C1419"/>
  <c r="H1419"/>
  <c r="I1419"/>
  <c r="J1419"/>
  <c r="B1420"/>
  <c r="C1420"/>
  <c r="H1420"/>
  <c r="I1420"/>
  <c r="J1420"/>
  <c r="B1421"/>
  <c r="C1421"/>
  <c r="H1421"/>
  <c r="I1421"/>
  <c r="J1421"/>
  <c r="B1422"/>
  <c r="C1422"/>
  <c r="H1422"/>
  <c r="I1422"/>
  <c r="J1422"/>
  <c r="B1423"/>
  <c r="C1423"/>
  <c r="H1423"/>
  <c r="I1423"/>
  <c r="J1423"/>
  <c r="B1424"/>
  <c r="C1424"/>
  <c r="H1424"/>
  <c r="I1424"/>
  <c r="J1424"/>
  <c r="B1425"/>
  <c r="C1425"/>
  <c r="H1425"/>
  <c r="I1425"/>
  <c r="J1425"/>
  <c r="B1426"/>
  <c r="C1426"/>
  <c r="H1426"/>
  <c r="I1426"/>
  <c r="J1426"/>
  <c r="B1427"/>
  <c r="C1427"/>
  <c r="H1427"/>
  <c r="I1427"/>
  <c r="J1427"/>
  <c r="B1428"/>
  <c r="C1428"/>
  <c r="H1428"/>
  <c r="I1428"/>
  <c r="J1428"/>
  <c r="B1429"/>
  <c r="C1429"/>
  <c r="H1429"/>
  <c r="I1429"/>
  <c r="J1429"/>
  <c r="B1430"/>
  <c r="C1430"/>
  <c r="H1430"/>
  <c r="I1430"/>
  <c r="J1430"/>
  <c r="B1431"/>
  <c r="C1431"/>
  <c r="H1431"/>
  <c r="I1431"/>
  <c r="J1431"/>
  <c r="B1432"/>
  <c r="C1432"/>
  <c r="H1432"/>
  <c r="I1432"/>
  <c r="J1432"/>
  <c r="B1433"/>
  <c r="C1433"/>
  <c r="H1433"/>
  <c r="I1433"/>
  <c r="J1433"/>
  <c r="B1434"/>
  <c r="H1434"/>
  <c r="I1434"/>
  <c r="J1434"/>
  <c r="A1435"/>
  <c r="B1435"/>
  <c r="C1435"/>
  <c r="H1435"/>
  <c r="I1435"/>
  <c r="J1435"/>
  <c r="B1436"/>
  <c r="C1436"/>
  <c r="H1436"/>
  <c r="I1436"/>
  <c r="J1436"/>
  <c r="B1437"/>
  <c r="C1437"/>
  <c r="H1437"/>
  <c r="I1437"/>
  <c r="J1437"/>
  <c r="B1438"/>
  <c r="C1438"/>
  <c r="H1438"/>
  <c r="I1438"/>
  <c r="J1438"/>
  <c r="B1439"/>
  <c r="H1439"/>
  <c r="I1439"/>
  <c r="J1439"/>
  <c r="A1440"/>
  <c r="B1440"/>
  <c r="C1440"/>
  <c r="H1440"/>
  <c r="I1440"/>
  <c r="J1440"/>
  <c r="B1441"/>
  <c r="C1441"/>
  <c r="H1441"/>
  <c r="I1441"/>
  <c r="J1441"/>
  <c r="B1442"/>
  <c r="C1442"/>
  <c r="H1442"/>
  <c r="I1442"/>
  <c r="J1442"/>
  <c r="B1443"/>
  <c r="H1443"/>
  <c r="I1443"/>
  <c r="J1443"/>
  <c r="A1444"/>
  <c r="B1444"/>
  <c r="C1444"/>
  <c r="H1444"/>
  <c r="I1444"/>
  <c r="J1444"/>
  <c r="B1445"/>
  <c r="C1445"/>
  <c r="H1445"/>
  <c r="I1445"/>
  <c r="J1445"/>
  <c r="B1446"/>
  <c r="C1446"/>
  <c r="H1446"/>
  <c r="I1446"/>
  <c r="J1446"/>
  <c r="B1447"/>
  <c r="C1447"/>
  <c r="H1447"/>
  <c r="I1447"/>
  <c r="J1447"/>
  <c r="B1448"/>
  <c r="C1448"/>
  <c r="H1448"/>
  <c r="I1448"/>
  <c r="J1448"/>
  <c r="B1449"/>
  <c r="C1449"/>
  <c r="H1449"/>
  <c r="I1449"/>
  <c r="J1449"/>
  <c r="B1450"/>
  <c r="C1450"/>
  <c r="H1450"/>
  <c r="I1450"/>
  <c r="J1450"/>
  <c r="B1451"/>
  <c r="C1451"/>
  <c r="H1451"/>
  <c r="I1451"/>
  <c r="J1451"/>
  <c r="B1452"/>
  <c r="C1452"/>
  <c r="H1452"/>
  <c r="I1452"/>
  <c r="J1452"/>
  <c r="B1453"/>
  <c r="C1453"/>
  <c r="H1453"/>
  <c r="I1453"/>
  <c r="J1453"/>
  <c r="B1454"/>
  <c r="H1454"/>
  <c r="I1454"/>
  <c r="J1454"/>
  <c r="A1455"/>
  <c r="B1455"/>
  <c r="H1455"/>
  <c r="I1455"/>
  <c r="J1455"/>
  <c r="A1456"/>
  <c r="B1456"/>
  <c r="C1456"/>
  <c r="H1456"/>
  <c r="I1456"/>
  <c r="J1456"/>
  <c r="B1457"/>
  <c r="C1457"/>
  <c r="H1457"/>
  <c r="I1457"/>
  <c r="J1457"/>
  <c r="B1458"/>
  <c r="H1458"/>
  <c r="I1458"/>
  <c r="J1458"/>
  <c r="B1459"/>
  <c r="C1459"/>
  <c r="H1459"/>
  <c r="I1459"/>
  <c r="J1459"/>
  <c r="B1460"/>
  <c r="C1460"/>
  <c r="H1460"/>
  <c r="I1460"/>
  <c r="J1460"/>
  <c r="A1461"/>
  <c r="B1461"/>
  <c r="C1461"/>
  <c r="D1461"/>
  <c r="E1461"/>
  <c r="H1461"/>
  <c r="I1461"/>
  <c r="J1461"/>
  <c r="B1462"/>
  <c r="H1462"/>
  <c r="I1462"/>
  <c r="J1462"/>
  <c r="A1463"/>
  <c r="B1463"/>
  <c r="C1463"/>
  <c r="H1463"/>
  <c r="I1463"/>
  <c r="J1463"/>
  <c r="A1464"/>
  <c r="B1464"/>
  <c r="C1464"/>
  <c r="H1464"/>
  <c r="I1464"/>
  <c r="J1464"/>
  <c r="A1465"/>
  <c r="B1465"/>
  <c r="C1465"/>
  <c r="H1465"/>
  <c r="I1465"/>
  <c r="J1465"/>
  <c r="B1466"/>
  <c r="H1466"/>
  <c r="I1466"/>
  <c r="J1466"/>
  <c r="A1467"/>
  <c r="B1467"/>
  <c r="C1467"/>
  <c r="H1467"/>
  <c r="I1467"/>
  <c r="J1467"/>
  <c r="A1468"/>
  <c r="B1468"/>
  <c r="C1468"/>
  <c r="H1468"/>
  <c r="I1468"/>
  <c r="J1468"/>
  <c r="A1469"/>
  <c r="B1469"/>
  <c r="C1469"/>
  <c r="H1469"/>
  <c r="I1469"/>
  <c r="J1469"/>
  <c r="B1470"/>
  <c r="C1470"/>
  <c r="H1470"/>
  <c r="I1470"/>
  <c r="J1470"/>
  <c r="A1471"/>
  <c r="B1471"/>
  <c r="C1471"/>
  <c r="H1471"/>
  <c r="I1471"/>
  <c r="J1471"/>
  <c r="A1472"/>
  <c r="B1472"/>
  <c r="C1472"/>
  <c r="H1472"/>
  <c r="I1472"/>
  <c r="J1472"/>
  <c r="B1473"/>
  <c r="H1473"/>
  <c r="I1473"/>
  <c r="J1473"/>
  <c r="A1474"/>
  <c r="B1474"/>
  <c r="C1474"/>
  <c r="H1474"/>
  <c r="I1474"/>
  <c r="J1474"/>
  <c r="A1475"/>
  <c r="B1475"/>
  <c r="C1475"/>
  <c r="H1475"/>
  <c r="I1475"/>
  <c r="J1475"/>
  <c r="A1476"/>
  <c r="B1476"/>
  <c r="C1476"/>
  <c r="H1476"/>
  <c r="I1476"/>
  <c r="J1476"/>
  <c r="B1477"/>
  <c r="H1477"/>
  <c r="I1477"/>
  <c r="J1477"/>
  <c r="B1478"/>
  <c r="H1478"/>
  <c r="I1478"/>
  <c r="J1478"/>
  <c r="A1479"/>
  <c r="B1479"/>
  <c r="C1479"/>
  <c r="H1479"/>
  <c r="I1479"/>
  <c r="J1479"/>
  <c r="A1480"/>
  <c r="B1480"/>
  <c r="C1480"/>
  <c r="H1480"/>
  <c r="I1480"/>
  <c r="J1480"/>
  <c r="A1481"/>
  <c r="B1481"/>
  <c r="C1481"/>
  <c r="H1481"/>
  <c r="I1481"/>
  <c r="J1481"/>
  <c r="A1482"/>
  <c r="B1482"/>
  <c r="C1482"/>
  <c r="H1482"/>
  <c r="I1482"/>
  <c r="J1482"/>
  <c r="A1483"/>
  <c r="B1483"/>
  <c r="C1483"/>
  <c r="H1483"/>
  <c r="I1483"/>
  <c r="J1483"/>
  <c r="A1484"/>
  <c r="B1484"/>
  <c r="C1484"/>
  <c r="H1484"/>
  <c r="I1484"/>
  <c r="J1484"/>
  <c r="A1485"/>
  <c r="B1485"/>
  <c r="C1485"/>
  <c r="H1485"/>
  <c r="I1485"/>
  <c r="J1485"/>
  <c r="A1486"/>
  <c r="B1486"/>
  <c r="C1486"/>
  <c r="H1486"/>
  <c r="I1486"/>
  <c r="J1486"/>
  <c r="A1487"/>
  <c r="B1487"/>
  <c r="C1487"/>
  <c r="H1487"/>
  <c r="I1487"/>
  <c r="J1487"/>
  <c r="A1488"/>
  <c r="B1488"/>
  <c r="C1488"/>
  <c r="H1488"/>
  <c r="I1488"/>
  <c r="J1488"/>
  <c r="A1489"/>
  <c r="B1489"/>
  <c r="C1489"/>
  <c r="H1489"/>
  <c r="I1489"/>
  <c r="J1489"/>
  <c r="A1490"/>
  <c r="B1490"/>
  <c r="C1490"/>
  <c r="H1490"/>
  <c r="I1490"/>
  <c r="J1490"/>
  <c r="A1491"/>
  <c r="B1491"/>
  <c r="C1491"/>
  <c r="H1491"/>
  <c r="I1491"/>
  <c r="J1491"/>
  <c r="A1492"/>
  <c r="B1492"/>
  <c r="C1492"/>
  <c r="H1492"/>
  <c r="I1492"/>
  <c r="J1492"/>
  <c r="A1493"/>
  <c r="B1493"/>
  <c r="C1493"/>
  <c r="H1493"/>
  <c r="I1493"/>
  <c r="J1493"/>
  <c r="A1494"/>
  <c r="B1494"/>
  <c r="C1494"/>
  <c r="H1494"/>
  <c r="I1494"/>
  <c r="J1494"/>
  <c r="A1495"/>
  <c r="B1495"/>
  <c r="C1495"/>
  <c r="H1495"/>
  <c r="I1495"/>
  <c r="J1495"/>
  <c r="A1496"/>
  <c r="B1496"/>
  <c r="C1496"/>
  <c r="H1496"/>
  <c r="I1496"/>
  <c r="J1496"/>
  <c r="B1497"/>
  <c r="H1497"/>
  <c r="I1497"/>
  <c r="J1497"/>
  <c r="A1498"/>
  <c r="B1498"/>
  <c r="C1498"/>
  <c r="H1498"/>
  <c r="I1498"/>
  <c r="J1498"/>
  <c r="A1499"/>
  <c r="B1499"/>
  <c r="C1499"/>
  <c r="H1499"/>
  <c r="I1499"/>
  <c r="J1499"/>
  <c r="A1500"/>
  <c r="B1500"/>
  <c r="C1500"/>
  <c r="H1500"/>
  <c r="I1500"/>
  <c r="J1500"/>
  <c r="B1501"/>
  <c r="H1501"/>
  <c r="I1501"/>
  <c r="J1501"/>
  <c r="A1502"/>
  <c r="B1502"/>
  <c r="C1502"/>
  <c r="H1502"/>
  <c r="I1502"/>
  <c r="J1502"/>
  <c r="B1503"/>
  <c r="H1503"/>
  <c r="I1503"/>
  <c r="J1503"/>
  <c r="A1504"/>
  <c r="B1504"/>
  <c r="C1504"/>
  <c r="H1504"/>
  <c r="I1504"/>
  <c r="J1504"/>
  <c r="A1505"/>
  <c r="B1505"/>
  <c r="C1505"/>
  <c r="H1505"/>
  <c r="I1505"/>
  <c r="J1505"/>
  <c r="A1506"/>
  <c r="B1506"/>
  <c r="C1506"/>
  <c r="H1506"/>
  <c r="I1506"/>
  <c r="J1506"/>
  <c r="A1507"/>
  <c r="B1507"/>
  <c r="C1507"/>
  <c r="H1507"/>
  <c r="I1507"/>
  <c r="J1507"/>
  <c r="A1508"/>
  <c r="B1508"/>
  <c r="C1508"/>
  <c r="H1508"/>
  <c r="I1508"/>
  <c r="J1508"/>
  <c r="B1509"/>
  <c r="H1509"/>
  <c r="I1509"/>
  <c r="J1509"/>
  <c r="A1510"/>
  <c r="B1510"/>
  <c r="C1510"/>
  <c r="H1510"/>
  <c r="I1510"/>
  <c r="J1510"/>
  <c r="B1511"/>
  <c r="H1511"/>
  <c r="I1511"/>
  <c r="J1511"/>
  <c r="A1512"/>
  <c r="B1512"/>
  <c r="C1512"/>
  <c r="H1512"/>
  <c r="I1512"/>
  <c r="J1512"/>
  <c r="B1513"/>
  <c r="H1513"/>
  <c r="I1513"/>
  <c r="J1513"/>
  <c r="A1514"/>
  <c r="B1514"/>
  <c r="C1514"/>
  <c r="H1514"/>
  <c r="I1514"/>
  <c r="J1514"/>
  <c r="B1515"/>
  <c r="H1515"/>
  <c r="I1515"/>
  <c r="J1515"/>
  <c r="B1516"/>
  <c r="H1516"/>
  <c r="I1516"/>
  <c r="J1516"/>
  <c r="A1517"/>
  <c r="B1517"/>
  <c r="C1517"/>
  <c r="H1517"/>
  <c r="I1517"/>
  <c r="J1517"/>
  <c r="A1518"/>
  <c r="B1518"/>
  <c r="C1518"/>
  <c r="H1518"/>
  <c r="I1518"/>
  <c r="J1518"/>
  <c r="B1519"/>
  <c r="H1519"/>
  <c r="I1519"/>
  <c r="J1519"/>
  <c r="A1520"/>
  <c r="B1520"/>
  <c r="C1520"/>
  <c r="H1520"/>
  <c r="I1520"/>
  <c r="J1520"/>
  <c r="A1521"/>
  <c r="B1521"/>
  <c r="C1521"/>
  <c r="H1521"/>
  <c r="I1521"/>
  <c r="J1521"/>
  <c r="B1522"/>
  <c r="H1522"/>
  <c r="I1522"/>
  <c r="J1522"/>
  <c r="A1523"/>
  <c r="B1523"/>
  <c r="C1523"/>
  <c r="H1523"/>
  <c r="I1523"/>
  <c r="J1523"/>
  <c r="A1524"/>
  <c r="B1524"/>
  <c r="C1524"/>
  <c r="H1524"/>
  <c r="I1524"/>
  <c r="J1524"/>
  <c r="A1525"/>
  <c r="B1525"/>
  <c r="C1525"/>
  <c r="H1525"/>
  <c r="I1525"/>
  <c r="J1525"/>
  <c r="B1526"/>
  <c r="H1526"/>
  <c r="I1526"/>
  <c r="J1526"/>
  <c r="A1527"/>
  <c r="B1527"/>
  <c r="C1527"/>
  <c r="H1527"/>
  <c r="I1527"/>
  <c r="J1527"/>
  <c r="A1528"/>
  <c r="B1528"/>
  <c r="C1528"/>
  <c r="H1528"/>
  <c r="I1528"/>
  <c r="J1528"/>
  <c r="A1529"/>
  <c r="B1529"/>
  <c r="C1529"/>
  <c r="H1529"/>
  <c r="I1529"/>
  <c r="J1529"/>
  <c r="A1530"/>
  <c r="B1530"/>
  <c r="C1530"/>
  <c r="H1530"/>
  <c r="I1530"/>
  <c r="J1530"/>
  <c r="A1531"/>
  <c r="B1531"/>
  <c r="C1531"/>
  <c r="H1531"/>
  <c r="I1531"/>
  <c r="J1531"/>
  <c r="A1532"/>
  <c r="B1532"/>
  <c r="C1532"/>
  <c r="H1532"/>
  <c r="I1532"/>
  <c r="J1532"/>
  <c r="A1533"/>
  <c r="B1533"/>
  <c r="C1533"/>
  <c r="H1533"/>
  <c r="I1533"/>
  <c r="J1533"/>
  <c r="A1534"/>
  <c r="B1534"/>
  <c r="C1534"/>
  <c r="H1534"/>
  <c r="I1534"/>
  <c r="J1534"/>
  <c r="A1535"/>
  <c r="B1535"/>
  <c r="C1535"/>
  <c r="H1535"/>
  <c r="I1535"/>
  <c r="J1535"/>
  <c r="A1536"/>
  <c r="B1536"/>
  <c r="C1536"/>
  <c r="H1536"/>
  <c r="I1536"/>
  <c r="J1536"/>
  <c r="A1537"/>
  <c r="B1537"/>
  <c r="C1537"/>
  <c r="H1537"/>
  <c r="I1537"/>
  <c r="J1537"/>
  <c r="A1538"/>
  <c r="B1538"/>
  <c r="C1538"/>
  <c r="H1538"/>
  <c r="I1538"/>
  <c r="J1538"/>
  <c r="B1539"/>
  <c r="H1539"/>
  <c r="I1539"/>
  <c r="J1539"/>
  <c r="A1540"/>
  <c r="B1540"/>
  <c r="C1540"/>
  <c r="H1540"/>
  <c r="I1540"/>
  <c r="J1540"/>
  <c r="A1541"/>
  <c r="B1541"/>
  <c r="C1541"/>
  <c r="H1541"/>
  <c r="I1541"/>
  <c r="J1541"/>
  <c r="A1542"/>
  <c r="B1542"/>
  <c r="C1542"/>
  <c r="H1542"/>
  <c r="I1542"/>
  <c r="J1542"/>
  <c r="A1543"/>
  <c r="B1543"/>
  <c r="C1543"/>
  <c r="H1543"/>
  <c r="I1543"/>
  <c r="J1543"/>
  <c r="A1544"/>
  <c r="B1544"/>
  <c r="C1544"/>
  <c r="H1544"/>
  <c r="I1544"/>
  <c r="J1544"/>
  <c r="A1545"/>
  <c r="B1545"/>
  <c r="C1545"/>
  <c r="H1545"/>
  <c r="I1545"/>
  <c r="J1545"/>
  <c r="A1546"/>
  <c r="B1546"/>
  <c r="C1546"/>
  <c r="H1546"/>
  <c r="I1546"/>
  <c r="J1546"/>
  <c r="A1547"/>
  <c r="B1547"/>
  <c r="C1547"/>
  <c r="D1547"/>
  <c r="E1547"/>
  <c r="H1547"/>
  <c r="I1547"/>
  <c r="J1547"/>
  <c r="A1548"/>
  <c r="B1548"/>
  <c r="C1548"/>
  <c r="H1548"/>
  <c r="I1548"/>
  <c r="J1548"/>
  <c r="A1549"/>
  <c r="B1549"/>
  <c r="C1549"/>
  <c r="H1549"/>
  <c r="I1549"/>
  <c r="J1549"/>
  <c r="A1550"/>
  <c r="B1550"/>
  <c r="C1550"/>
  <c r="H1550"/>
  <c r="I1550"/>
  <c r="J1550"/>
  <c r="A1551"/>
  <c r="B1551"/>
  <c r="C1551"/>
  <c r="H1551"/>
  <c r="I1551"/>
  <c r="J1551"/>
  <c r="A1552"/>
  <c r="B1552"/>
  <c r="C1552"/>
  <c r="H1552"/>
  <c r="I1552"/>
  <c r="J1552"/>
  <c r="A1553"/>
  <c r="B1553"/>
  <c r="C1553"/>
  <c r="H1553"/>
  <c r="I1553"/>
  <c r="J1553"/>
  <c r="B1554"/>
  <c r="H1554"/>
  <c r="I1554"/>
  <c r="J1554"/>
  <c r="A1555"/>
  <c r="B1555"/>
  <c r="C1555"/>
  <c r="H1555"/>
  <c r="I1555"/>
  <c r="J1555"/>
  <c r="A1556"/>
  <c r="B1556"/>
  <c r="C1556"/>
  <c r="H1556"/>
  <c r="I1556"/>
  <c r="J1556"/>
  <c r="A1557"/>
  <c r="B1557"/>
  <c r="C1557"/>
  <c r="H1557"/>
  <c r="I1557"/>
  <c r="J1557"/>
  <c r="B1558"/>
  <c r="H1558"/>
  <c r="I1558"/>
  <c r="J1558"/>
  <c r="A1559"/>
  <c r="B1559"/>
  <c r="C1559"/>
  <c r="H1559"/>
  <c r="I1559"/>
  <c r="J1559"/>
  <c r="A1560"/>
  <c r="B1560"/>
  <c r="C1560"/>
  <c r="H1560"/>
  <c r="I1560"/>
  <c r="J1560"/>
  <c r="A1561"/>
  <c r="B1561"/>
  <c r="C1561"/>
  <c r="H1561"/>
  <c r="I1561"/>
  <c r="J1561"/>
  <c r="A1695"/>
  <c r="B1695"/>
  <c r="H1695"/>
  <c r="I1695"/>
  <c r="J1695"/>
  <c r="B1696"/>
  <c r="H1696"/>
  <c r="I1696"/>
  <c r="J1696"/>
  <c r="B1697"/>
  <c r="H1697"/>
  <c r="I1697"/>
  <c r="J1697"/>
  <c r="A1698"/>
  <c r="B1698"/>
  <c r="C1698"/>
  <c r="H1698"/>
  <c r="I1698"/>
  <c r="J1698"/>
  <c r="B1699"/>
  <c r="C1699"/>
  <c r="H1699"/>
  <c r="I1699"/>
  <c r="J1699"/>
  <c r="B1700"/>
  <c r="C1700"/>
  <c r="H1700"/>
  <c r="I1700"/>
  <c r="J1700"/>
  <c r="B1701"/>
  <c r="C1701"/>
  <c r="H1701"/>
  <c r="I1701"/>
  <c r="J1701"/>
  <c r="B1702"/>
  <c r="C1702"/>
  <c r="H1702"/>
  <c r="I1702"/>
  <c r="J1702"/>
  <c r="B1703"/>
  <c r="C1703"/>
  <c r="H1703"/>
  <c r="I1703"/>
  <c r="J1703"/>
  <c r="B1704"/>
  <c r="C1704"/>
  <c r="H1704"/>
  <c r="I1704"/>
  <c r="J1704"/>
  <c r="B1705"/>
  <c r="H1705"/>
  <c r="I1705"/>
  <c r="J1705"/>
  <c r="B1706"/>
  <c r="C1706"/>
  <c r="H1706"/>
  <c r="I1706"/>
  <c r="J1706"/>
  <c r="B1707"/>
  <c r="C1707"/>
  <c r="H1707"/>
  <c r="I1707"/>
  <c r="J1707"/>
  <c r="B1708"/>
  <c r="C1708"/>
  <c r="H1708"/>
  <c r="I1708"/>
  <c r="J1708"/>
  <c r="B1709"/>
  <c r="H1709"/>
  <c r="I1709"/>
  <c r="J1709"/>
  <c r="A1710"/>
  <c r="B1710"/>
  <c r="C1710"/>
  <c r="H1710"/>
  <c r="I1710"/>
  <c r="J1710"/>
  <c r="A1711"/>
  <c r="B1711"/>
  <c r="C1711"/>
  <c r="H1711"/>
  <c r="I1711"/>
  <c r="J1711"/>
  <c r="A1712"/>
  <c r="B1712"/>
  <c r="C1712"/>
  <c r="H1712"/>
  <c r="I1712"/>
  <c r="J1712"/>
  <c r="A1713"/>
  <c r="B1713"/>
  <c r="C1713"/>
  <c r="H1713"/>
  <c r="I1713"/>
  <c r="J1713"/>
  <c r="A1714"/>
  <c r="B1714"/>
  <c r="C1714"/>
  <c r="H1714"/>
  <c r="I1714"/>
  <c r="J1714"/>
  <c r="A1715"/>
  <c r="B1715"/>
  <c r="C1715"/>
  <c r="H1715"/>
  <c r="I1715"/>
  <c r="J1715"/>
  <c r="A1716"/>
  <c r="B1716"/>
  <c r="C1716"/>
  <c r="H1716"/>
  <c r="I1716"/>
  <c r="J1716"/>
  <c r="A1717"/>
  <c r="B1717"/>
  <c r="C1717"/>
  <c r="H1717"/>
  <c r="I1717"/>
  <c r="J1717"/>
  <c r="A1718"/>
  <c r="B1718"/>
  <c r="C1718"/>
  <c r="H1718"/>
  <c r="I1718"/>
  <c r="J1718"/>
  <c r="A1719"/>
  <c r="B1719"/>
  <c r="C1719"/>
  <c r="H1719"/>
  <c r="I1719"/>
  <c r="J1719"/>
  <c r="B1720"/>
  <c r="H1720"/>
  <c r="I1720"/>
  <c r="J1720"/>
  <c r="B1721"/>
  <c r="H1721"/>
  <c r="I1721"/>
  <c r="J1721"/>
  <c r="A1722"/>
  <c r="B1722"/>
  <c r="C1722"/>
  <c r="H1722"/>
  <c r="I1722"/>
  <c r="J1722"/>
  <c r="A1723"/>
  <c r="B1723"/>
  <c r="C1723"/>
  <c r="H1723"/>
  <c r="I1723"/>
  <c r="J1723"/>
  <c r="A1724"/>
  <c r="B1724"/>
  <c r="C1724"/>
  <c r="H1724"/>
  <c r="I1724"/>
  <c r="J1724"/>
  <c r="A1725"/>
  <c r="B1725"/>
  <c r="C1725"/>
  <c r="H1725"/>
  <c r="I1725"/>
  <c r="J1725"/>
  <c r="A1726"/>
  <c r="B1726"/>
  <c r="C1726"/>
  <c r="H1726"/>
  <c r="I1726"/>
  <c r="J1726"/>
  <c r="A1727"/>
  <c r="B1727"/>
  <c r="C1727"/>
  <c r="H1727"/>
  <c r="I1727"/>
  <c r="J1727"/>
  <c r="B1728"/>
  <c r="H1728"/>
  <c r="I1728"/>
  <c r="J1728"/>
  <c r="A1729"/>
  <c r="B1729"/>
  <c r="C1729"/>
  <c r="H1729"/>
  <c r="I1729"/>
  <c r="J1729"/>
  <c r="A1730"/>
  <c r="B1730"/>
  <c r="C1730"/>
  <c r="H1730"/>
  <c r="I1730"/>
  <c r="J1730"/>
  <c r="A1731"/>
  <c r="B1731"/>
  <c r="C1731"/>
  <c r="H1731"/>
  <c r="I1731"/>
  <c r="J1731"/>
  <c r="A1732"/>
  <c r="B1732"/>
  <c r="C1732"/>
  <c r="H1732"/>
  <c r="I1732"/>
  <c r="J1732"/>
  <c r="A1733"/>
  <c r="B1733"/>
  <c r="C1733"/>
  <c r="H1733"/>
  <c r="I1733"/>
  <c r="J1733"/>
  <c r="A1734"/>
  <c r="B1734"/>
  <c r="C1734"/>
  <c r="H1734"/>
  <c r="I1734"/>
  <c r="J1734"/>
  <c r="A1776"/>
  <c r="B1776"/>
  <c r="H1776"/>
  <c r="I1776"/>
  <c r="J1776"/>
  <c r="B1777"/>
  <c r="H1777"/>
  <c r="I1777"/>
  <c r="J1777"/>
  <c r="B1778"/>
  <c r="H1778"/>
  <c r="I1778"/>
  <c r="J1778"/>
  <c r="A1779"/>
  <c r="B1779"/>
  <c r="C1779"/>
  <c r="H1779"/>
  <c r="I1779"/>
  <c r="J1779"/>
  <c r="B1780"/>
  <c r="C1780"/>
  <c r="H1780"/>
  <c r="I1780"/>
  <c r="J1780"/>
  <c r="B1781"/>
  <c r="H1781"/>
  <c r="I1781"/>
  <c r="J1781"/>
  <c r="B1782"/>
  <c r="C1782"/>
  <c r="H1782"/>
  <c r="I1782"/>
  <c r="J1782"/>
  <c r="B1783"/>
  <c r="C1783"/>
  <c r="H1783"/>
  <c r="I1783"/>
  <c r="J1783"/>
  <c r="B1784"/>
  <c r="H1784"/>
  <c r="I1784"/>
  <c r="J1784"/>
  <c r="B1785"/>
  <c r="C1785"/>
  <c r="H1785"/>
  <c r="I1785"/>
  <c r="J1785"/>
  <c r="B1786"/>
  <c r="C1786"/>
  <c r="H1786"/>
  <c r="I1786"/>
  <c r="J1786"/>
  <c r="A1787"/>
  <c r="B1787"/>
  <c r="C1787"/>
  <c r="D1787"/>
  <c r="E1787"/>
  <c r="H1787"/>
  <c r="I1787"/>
  <c r="J1787"/>
  <c r="B1788"/>
  <c r="C1788"/>
  <c r="H1788"/>
  <c r="I1788"/>
  <c r="J1788"/>
  <c r="B1789"/>
  <c r="C1789"/>
  <c r="H1789"/>
  <c r="I1789"/>
  <c r="J1789"/>
  <c r="B1790"/>
  <c r="H1790"/>
  <c r="I1790"/>
  <c r="J1790"/>
  <c r="B1791"/>
  <c r="C1791"/>
  <c r="H1791"/>
  <c r="I1791"/>
  <c r="J1791"/>
  <c r="B1792"/>
  <c r="C1792"/>
  <c r="H1792"/>
  <c r="I1792"/>
  <c r="J1792"/>
  <c r="B1793"/>
  <c r="H1793"/>
  <c r="I1793"/>
  <c r="J1793"/>
  <c r="B1794"/>
  <c r="C1794"/>
  <c r="H1794"/>
  <c r="I1794"/>
  <c r="J1794"/>
  <c r="B1795"/>
  <c r="C1795"/>
  <c r="H1795"/>
  <c r="I1795"/>
  <c r="J1795"/>
  <c r="B1796"/>
  <c r="H1796"/>
  <c r="I1796"/>
  <c r="J1796"/>
  <c r="B1797"/>
  <c r="C1797"/>
  <c r="H1797"/>
  <c r="I1797"/>
  <c r="J1797"/>
  <c r="B1798"/>
  <c r="C1798"/>
  <c r="H1798"/>
  <c r="I1798"/>
  <c r="J1798"/>
  <c r="B1799"/>
  <c r="H1799"/>
  <c r="I1799"/>
  <c r="J1799"/>
  <c r="B1800"/>
  <c r="C1800"/>
  <c r="H1800"/>
  <c r="I1800"/>
  <c r="J1800"/>
  <c r="B1801"/>
  <c r="C1801"/>
  <c r="H1801"/>
  <c r="I1801"/>
  <c r="J1801"/>
  <c r="B1802"/>
  <c r="H1802"/>
  <c r="I1802"/>
  <c r="J1802"/>
  <c r="B1803"/>
  <c r="C1803"/>
  <c r="H1803"/>
  <c r="I1803"/>
  <c r="J1803"/>
  <c r="B1804"/>
  <c r="C1804"/>
  <c r="H1804"/>
  <c r="I1804"/>
  <c r="J1804"/>
  <c r="B1805"/>
  <c r="H1805"/>
  <c r="I1805"/>
  <c r="J1805"/>
  <c r="B1806"/>
  <c r="C1806"/>
  <c r="H1806"/>
  <c r="I1806"/>
  <c r="J1806"/>
  <c r="B1807"/>
  <c r="C1807"/>
  <c r="H1807"/>
  <c r="I1807"/>
  <c r="J1807"/>
  <c r="B1808"/>
  <c r="H1808"/>
  <c r="I1808"/>
  <c r="J1808"/>
  <c r="B1809"/>
  <c r="C1809"/>
  <c r="H1809"/>
  <c r="I1809"/>
  <c r="J1809"/>
  <c r="B1810"/>
  <c r="C1810"/>
  <c r="H1810"/>
  <c r="I1810"/>
  <c r="J1810"/>
  <c r="B1811"/>
  <c r="H1811"/>
  <c r="I1811"/>
  <c r="J1811"/>
  <c r="B1812"/>
  <c r="C1812"/>
  <c r="H1812"/>
  <c r="I1812"/>
  <c r="J1812"/>
  <c r="B1813"/>
  <c r="C1813"/>
  <c r="H1813"/>
  <c r="I1813"/>
  <c r="J1813"/>
  <c r="B1814"/>
  <c r="H1814"/>
  <c r="I1814"/>
  <c r="J1814"/>
  <c r="B1815"/>
  <c r="C1815"/>
  <c r="H1815"/>
  <c r="I1815"/>
  <c r="J1815"/>
  <c r="B1816"/>
  <c r="C1816"/>
  <c r="H1816"/>
  <c r="I1816"/>
  <c r="J1816"/>
  <c r="B1817"/>
  <c r="C1817"/>
  <c r="H1817"/>
  <c r="I1817"/>
  <c r="J1817"/>
  <c r="B1818"/>
  <c r="H1818"/>
  <c r="I1818"/>
  <c r="J1818"/>
  <c r="B1819"/>
  <c r="C1819"/>
  <c r="H1819"/>
  <c r="I1819"/>
  <c r="J1819"/>
  <c r="B1820"/>
  <c r="C1820"/>
  <c r="H1820"/>
  <c r="I1820"/>
  <c r="J1820"/>
  <c r="B1821"/>
  <c r="C1821"/>
  <c r="H1821"/>
  <c r="I1821"/>
  <c r="J1821"/>
  <c r="B1822"/>
  <c r="C1822"/>
  <c r="H1822"/>
  <c r="I1822"/>
  <c r="J1822"/>
  <c r="B1823"/>
  <c r="C1823"/>
  <c r="H1823"/>
  <c r="I1823"/>
  <c r="J1823"/>
  <c r="B1824"/>
  <c r="C1824"/>
  <c r="H1824"/>
  <c r="I1824"/>
  <c r="J1824"/>
  <c r="B1825"/>
  <c r="C1825"/>
  <c r="H1825"/>
  <c r="I1825"/>
  <c r="J1825"/>
  <c r="B1826"/>
  <c r="H1826"/>
  <c r="I1826"/>
  <c r="J1826"/>
  <c r="B1827"/>
  <c r="C1827"/>
  <c r="H1827"/>
  <c r="I1827"/>
  <c r="J1827"/>
  <c r="B1828"/>
  <c r="C1828"/>
  <c r="H1828"/>
  <c r="I1828"/>
  <c r="J1828"/>
  <c r="B1829"/>
  <c r="C1829"/>
  <c r="H1829"/>
  <c r="I1829"/>
  <c r="J1829"/>
  <c r="B1830"/>
  <c r="C1830"/>
  <c r="H1830"/>
  <c r="I1830"/>
  <c r="J1830"/>
  <c r="B1831"/>
  <c r="C1831"/>
  <c r="H1831"/>
  <c r="I1831"/>
  <c r="J1831"/>
  <c r="B1832"/>
  <c r="C1832"/>
  <c r="H1832"/>
  <c r="I1832"/>
  <c r="J1832"/>
  <c r="B1833"/>
  <c r="H1833"/>
  <c r="I1833"/>
  <c r="J1833"/>
  <c r="B1834"/>
  <c r="C1834"/>
  <c r="D1834"/>
  <c r="E1834"/>
  <c r="H1834"/>
  <c r="I1834"/>
  <c r="J1834"/>
  <c r="B1835"/>
  <c r="C1835"/>
  <c r="H1835"/>
  <c r="I1835"/>
  <c r="J1835"/>
  <c r="B1836"/>
  <c r="C1836"/>
  <c r="H1836"/>
  <c r="I1836"/>
  <c r="J1836"/>
  <c r="B1837"/>
  <c r="C1837"/>
  <c r="D1837"/>
  <c r="E1837"/>
  <c r="H1837"/>
  <c r="I1837"/>
  <c r="J1837"/>
  <c r="B1838"/>
  <c r="C1838"/>
  <c r="H1838"/>
  <c r="I1838"/>
  <c r="J1838"/>
  <c r="B1839"/>
  <c r="C1839"/>
  <c r="H1839"/>
  <c r="I1839"/>
  <c r="J1839"/>
  <c r="B1840"/>
  <c r="H1840"/>
  <c r="I1840"/>
  <c r="J1840"/>
  <c r="B1841"/>
  <c r="C1841"/>
  <c r="H1841"/>
  <c r="I1841"/>
  <c r="J1841"/>
  <c r="B1842"/>
  <c r="C1842"/>
  <c r="H1842"/>
  <c r="I1842"/>
  <c r="J1842"/>
  <c r="B1843"/>
  <c r="C1843"/>
  <c r="D1843"/>
  <c r="E1843"/>
  <c r="H1843"/>
  <c r="I1843"/>
  <c r="J1843"/>
  <c r="B1844"/>
  <c r="C1844"/>
  <c r="H1844"/>
  <c r="I1844"/>
  <c r="J1844"/>
  <c r="B1845"/>
  <c r="C1845"/>
  <c r="H1845"/>
  <c r="I1845"/>
  <c r="J1845"/>
  <c r="B1846"/>
  <c r="C1846"/>
  <c r="D1846"/>
  <c r="E1846"/>
  <c r="H1846"/>
  <c r="I1846"/>
  <c r="J1846"/>
  <c r="B1847"/>
  <c r="C1847"/>
  <c r="H1847"/>
  <c r="I1847"/>
  <c r="J1847"/>
  <c r="B1848"/>
  <c r="C1848"/>
  <c r="H1848"/>
  <c r="I1848"/>
  <c r="J1848"/>
  <c r="B1849"/>
  <c r="C1849"/>
  <c r="D1849"/>
  <c r="E1849"/>
  <c r="H1849"/>
  <c r="I1849"/>
  <c r="J1849"/>
  <c r="B1850"/>
  <c r="C1850"/>
  <c r="H1850"/>
  <c r="I1850"/>
  <c r="J1850"/>
  <c r="B1851"/>
  <c r="C1851"/>
  <c r="H1851"/>
  <c r="I1851"/>
  <c r="J1851"/>
  <c r="B1852"/>
  <c r="C1852"/>
  <c r="D1852"/>
  <c r="E1852"/>
  <c r="H1852"/>
  <c r="I1852"/>
  <c r="J1852"/>
  <c r="B1853"/>
  <c r="C1853"/>
  <c r="H1853"/>
  <c r="I1853"/>
  <c r="J1853"/>
  <c r="B1854"/>
  <c r="C1854"/>
  <c r="H1854"/>
  <c r="I1854"/>
  <c r="J1854"/>
  <c r="B1855"/>
  <c r="C1855"/>
  <c r="D1855"/>
  <c r="E1855"/>
  <c r="H1855"/>
  <c r="I1855"/>
  <c r="J1855"/>
  <c r="B1856"/>
  <c r="C1856"/>
  <c r="H1856"/>
  <c r="I1856"/>
  <c r="J1856"/>
  <c r="B1857"/>
  <c r="C1857"/>
  <c r="H1857"/>
  <c r="I1857"/>
  <c r="J1857"/>
  <c r="B1858"/>
  <c r="C1858"/>
  <c r="D1858"/>
  <c r="E1858"/>
  <c r="H1858"/>
  <c r="I1858"/>
  <c r="J1858"/>
  <c r="B1859"/>
  <c r="C1859"/>
  <c r="H1859"/>
  <c r="I1859"/>
  <c r="J1859"/>
  <c r="B1860"/>
  <c r="C1860"/>
  <c r="H1860"/>
  <c r="I1860"/>
  <c r="J1860"/>
  <c r="B1861"/>
  <c r="C1861"/>
  <c r="D1861"/>
  <c r="E1861"/>
  <c r="H1861"/>
  <c r="I1861"/>
  <c r="J1861"/>
  <c r="B1862"/>
  <c r="C1862"/>
  <c r="H1862"/>
  <c r="I1862"/>
  <c r="J1862"/>
  <c r="B1863"/>
  <c r="C1863"/>
  <c r="H1863"/>
  <c r="I1863"/>
  <c r="J1863"/>
  <c r="B1864"/>
  <c r="C1864"/>
  <c r="H1864"/>
  <c r="I1864"/>
  <c r="J1864"/>
  <c r="B1865"/>
  <c r="C1865"/>
  <c r="H1865"/>
  <c r="I1865"/>
  <c r="J1865"/>
  <c r="A1939"/>
  <c r="B1939"/>
  <c r="C1939"/>
  <c r="H1939"/>
  <c r="I1939"/>
  <c r="J1939"/>
  <c r="B1940"/>
  <c r="C1940"/>
  <c r="H1940"/>
  <c r="I1940"/>
  <c r="J1940"/>
  <c r="B1941"/>
  <c r="C1941"/>
  <c r="H1941"/>
  <c r="I1941"/>
  <c r="J1941"/>
  <c r="B1942"/>
  <c r="C1942"/>
  <c r="H1942"/>
  <c r="I1942"/>
  <c r="J1942"/>
  <c r="B1943"/>
  <c r="C1943"/>
  <c r="H1943"/>
  <c r="I1943"/>
  <c r="J1943"/>
  <c r="B1944"/>
  <c r="C1944"/>
  <c r="H1944"/>
  <c r="I1944"/>
  <c r="J1944"/>
  <c r="B1945"/>
  <c r="C1945"/>
  <c r="H1945"/>
  <c r="I1945"/>
  <c r="J1945"/>
  <c r="B1946"/>
  <c r="C1946"/>
  <c r="H1946"/>
  <c r="I1946"/>
  <c r="J1946"/>
  <c r="B1947"/>
  <c r="C1947"/>
  <c r="H1947"/>
  <c r="I1947"/>
  <c r="J1947"/>
  <c r="B1948"/>
  <c r="C1948"/>
  <c r="H1948"/>
  <c r="I1948"/>
  <c r="J1948"/>
  <c r="B1949"/>
  <c r="C1949"/>
  <c r="H1949"/>
  <c r="I1949"/>
  <c r="J1949"/>
  <c r="B1950"/>
  <c r="C1950"/>
  <c r="H1950"/>
  <c r="I1950"/>
  <c r="J1950"/>
  <c r="B1951"/>
  <c r="C1951"/>
  <c r="H1951"/>
  <c r="I1951"/>
  <c r="J1951"/>
  <c r="A1952"/>
  <c r="B1952"/>
  <c r="H1952"/>
  <c r="I1952"/>
  <c r="J1952"/>
  <c r="B1953"/>
  <c r="H1953"/>
  <c r="I1953"/>
  <c r="J1953"/>
  <c r="A1954"/>
  <c r="B1954"/>
  <c r="C1954"/>
  <c r="H1954"/>
  <c r="I1954"/>
  <c r="A1955"/>
  <c r="B1955"/>
  <c r="C1955"/>
  <c r="H1955"/>
  <c r="I1955"/>
  <c r="A1956"/>
  <c r="B1956"/>
  <c r="C1956"/>
  <c r="H1956"/>
  <c r="I1956"/>
  <c r="A1957"/>
  <c r="B1957"/>
  <c r="C1957"/>
  <c r="H1957"/>
  <c r="I1957"/>
  <c r="A1958"/>
  <c r="B1958"/>
  <c r="C1958"/>
  <c r="H1958"/>
  <c r="I1958"/>
  <c r="H1965"/>
  <c r="I1965"/>
  <c r="J1965"/>
  <c r="H1966"/>
  <c r="I1966"/>
  <c r="J1966"/>
  <c r="H1967"/>
  <c r="I1967"/>
  <c r="J1967"/>
  <c r="H1968"/>
  <c r="I1968"/>
  <c r="J1968"/>
  <c r="H1969"/>
  <c r="I1969"/>
  <c r="J1969"/>
  <c r="H1970"/>
  <c r="I1970"/>
  <c r="J1970"/>
  <c r="H1971"/>
  <c r="I1971"/>
  <c r="J1971"/>
  <c r="H1972"/>
  <c r="I1972"/>
  <c r="J1972"/>
  <c r="H1973"/>
  <c r="I1973"/>
  <c r="J1973"/>
  <c r="H1974"/>
  <c r="I1974"/>
  <c r="J1974"/>
  <c r="H1975"/>
  <c r="I1975"/>
  <c r="J1975"/>
  <c r="H1976"/>
  <c r="I1976"/>
  <c r="J1976"/>
  <c r="H1977"/>
  <c r="I1977"/>
  <c r="J1977"/>
  <c r="H1978"/>
  <c r="I1978"/>
  <c r="J1978"/>
  <c r="H1979"/>
  <c r="I1979"/>
  <c r="J1979"/>
  <c r="H1980"/>
  <c r="I1980"/>
  <c r="J1980"/>
  <c r="H1981"/>
  <c r="I1981"/>
  <c r="J1981"/>
  <c r="H1982"/>
  <c r="I1982"/>
  <c r="J1982"/>
  <c r="H1983"/>
  <c r="I1983"/>
  <c r="J1983"/>
  <c r="H1984"/>
  <c r="I1984"/>
  <c r="J1984"/>
  <c r="H1985"/>
  <c r="I1985"/>
  <c r="J1985"/>
  <c r="H1986"/>
  <c r="I1986"/>
  <c r="J1986"/>
  <c r="H1987"/>
  <c r="I1987"/>
  <c r="J1987"/>
  <c r="H1988"/>
  <c r="I1988"/>
  <c r="J1988"/>
  <c r="H1989"/>
  <c r="I1989"/>
  <c r="J1989"/>
  <c r="H1990"/>
  <c r="I1990"/>
  <c r="J1990"/>
  <c r="H1991"/>
  <c r="I1991"/>
  <c r="J1991"/>
  <c r="H1992"/>
  <c r="I1992"/>
  <c r="J1992"/>
  <c r="H1993"/>
  <c r="I1993"/>
  <c r="J1993"/>
  <c r="H1994"/>
  <c r="I1994"/>
  <c r="J1994"/>
  <c r="H1995"/>
  <c r="I1995"/>
  <c r="J1995"/>
  <c r="H1996"/>
  <c r="I1996"/>
  <c r="J1996"/>
  <c r="H1997"/>
  <c r="I1997"/>
  <c r="J1997"/>
  <c r="H1998"/>
  <c r="I1998"/>
  <c r="J1998"/>
  <c r="H1999"/>
  <c r="I1999"/>
  <c r="J1999"/>
  <c r="H2000"/>
  <c r="I2000"/>
  <c r="J2000"/>
  <c r="H2001"/>
  <c r="I2001"/>
  <c r="J2001"/>
  <c r="H2002"/>
  <c r="I2002"/>
  <c r="J2002"/>
  <c r="H2003"/>
  <c r="I2003"/>
  <c r="J2003"/>
  <c r="H2004"/>
  <c r="I2004"/>
  <c r="J2004"/>
  <c r="H2005"/>
  <c r="I2005"/>
  <c r="J2005"/>
  <c r="H2006"/>
  <c r="I2006"/>
  <c r="J2006"/>
  <c r="H2007"/>
  <c r="I2007"/>
  <c r="J2007"/>
  <c r="H2008"/>
  <c r="I2008"/>
  <c r="J2008"/>
  <c r="H2009"/>
  <c r="I2009"/>
  <c r="J2009"/>
  <c r="H2010"/>
  <c r="I2010"/>
  <c r="J2010"/>
  <c r="H2011"/>
  <c r="I2011"/>
  <c r="J2011"/>
  <c r="H2012"/>
  <c r="I2012"/>
  <c r="J2012"/>
  <c r="H2013"/>
  <c r="I2013"/>
  <c r="J2013"/>
  <c r="H2014"/>
  <c r="I2014"/>
  <c r="J2014"/>
  <c r="H2015"/>
  <c r="I2015"/>
  <c r="J2015"/>
  <c r="H2016"/>
  <c r="I2016"/>
  <c r="J2016"/>
  <c r="H2017"/>
  <c r="I2017"/>
  <c r="J2017"/>
  <c r="H2018"/>
  <c r="I2018"/>
  <c r="J2018"/>
  <c r="H2019"/>
  <c r="I2019"/>
  <c r="J2019"/>
  <c r="H2020"/>
  <c r="I2020"/>
  <c r="J2020"/>
  <c r="H2021"/>
  <c r="I2021"/>
  <c r="J2021"/>
  <c r="H2022"/>
  <c r="I2022"/>
  <c r="J2022"/>
  <c r="H2023"/>
  <c r="I2023"/>
  <c r="J2023"/>
  <c r="H2024"/>
  <c r="I2024"/>
  <c r="J2024"/>
  <c r="H2025"/>
  <c r="I2025"/>
  <c r="J2025"/>
  <c r="H2026"/>
  <c r="I2026"/>
  <c r="J2026"/>
  <c r="H2027"/>
  <c r="I2027"/>
  <c r="J2027"/>
  <c r="H2028"/>
  <c r="I2028"/>
  <c r="J2028"/>
  <c r="H2029"/>
  <c r="I2029"/>
  <c r="J2029"/>
  <c r="H2030"/>
  <c r="I2030"/>
  <c r="J2030"/>
  <c r="H2031"/>
  <c r="I2031"/>
  <c r="J2031"/>
  <c r="H2032"/>
  <c r="I2032"/>
  <c r="J2032"/>
  <c r="H2033"/>
  <c r="I2033"/>
  <c r="J2033"/>
  <c r="H2034"/>
  <c r="I2034"/>
  <c r="J2034"/>
  <c r="H2035"/>
  <c r="I2035"/>
  <c r="J2035"/>
  <c r="H2036"/>
  <c r="I2036"/>
  <c r="J2036"/>
  <c r="H2037"/>
  <c r="I2037"/>
  <c r="J2037"/>
  <c r="H2038"/>
  <c r="I2038"/>
  <c r="J2038"/>
  <c r="H2039"/>
  <c r="I2039"/>
  <c r="J2039"/>
  <c r="H2040"/>
  <c r="I2040"/>
  <c r="J2040"/>
  <c r="H2041"/>
  <c r="I2041"/>
  <c r="J2041"/>
  <c r="H2042"/>
  <c r="I2042"/>
  <c r="J2042"/>
  <c r="H2043"/>
  <c r="I2043"/>
  <c r="J2043"/>
  <c r="H2044"/>
  <c r="I2044"/>
  <c r="J2044"/>
  <c r="H2045"/>
  <c r="I2045"/>
  <c r="J2045"/>
  <c r="H2046"/>
  <c r="I2046"/>
  <c r="J2046"/>
  <c r="H2047"/>
  <c r="I2047"/>
  <c r="J2047"/>
  <c r="H2048"/>
  <c r="I2048"/>
  <c r="J2048"/>
  <c r="H2049"/>
  <c r="I2049"/>
  <c r="J2049"/>
  <c r="H2050"/>
  <c r="I2050"/>
  <c r="J2050"/>
  <c r="H2051"/>
  <c r="I2051"/>
  <c r="J2051"/>
  <c r="H2052"/>
  <c r="I2052"/>
  <c r="J2052"/>
  <c r="H2053"/>
  <c r="I2053"/>
  <c r="J2053"/>
  <c r="H2054"/>
  <c r="I2054"/>
  <c r="J2054"/>
  <c r="H2055"/>
  <c r="I2055"/>
  <c r="J2055"/>
  <c r="H2056"/>
  <c r="I2056"/>
  <c r="J2056"/>
  <c r="H2057"/>
  <c r="I2057"/>
  <c r="J2057"/>
  <c r="H2058"/>
  <c r="I2058"/>
  <c r="J2058"/>
  <c r="H2059"/>
  <c r="I2059"/>
  <c r="J2059"/>
  <c r="H2060"/>
  <c r="I2060"/>
  <c r="J2060"/>
  <c r="H2061"/>
  <c r="I2061"/>
  <c r="J2061"/>
  <c r="H2062"/>
  <c r="I2062"/>
  <c r="J2062"/>
  <c r="H2063"/>
  <c r="I2063"/>
  <c r="J2063"/>
  <c r="H2064"/>
  <c r="I2064"/>
  <c r="J2064"/>
  <c r="H2065"/>
  <c r="I2065"/>
  <c r="J2065"/>
  <c r="H2066"/>
  <c r="I2066"/>
  <c r="J2066"/>
  <c r="H2067"/>
  <c r="I2067"/>
  <c r="J2067"/>
  <c r="H2068"/>
  <c r="I2068"/>
  <c r="J2068"/>
  <c r="H2069"/>
  <c r="I2069"/>
  <c r="J2069"/>
  <c r="H2070"/>
  <c r="I2070"/>
  <c r="J2070"/>
  <c r="H2071"/>
  <c r="I2071"/>
  <c r="J2071"/>
  <c r="H2072"/>
  <c r="I2072"/>
  <c r="J2072"/>
  <c r="H2073"/>
  <c r="I2073"/>
  <c r="J2073"/>
  <c r="H2074"/>
  <c r="I2074"/>
  <c r="J2074"/>
  <c r="H2075"/>
  <c r="I2075"/>
  <c r="J2075"/>
  <c r="H2076"/>
  <c r="I2076"/>
  <c r="J2076"/>
  <c r="H2077"/>
  <c r="I2077"/>
  <c r="J2077"/>
  <c r="H2078"/>
  <c r="I2078"/>
  <c r="J2078"/>
  <c r="H2079"/>
  <c r="I2079"/>
  <c r="J2079"/>
  <c r="H2080"/>
  <c r="I2080"/>
  <c r="J2080"/>
  <c r="H2081"/>
  <c r="I2081"/>
  <c r="J2081"/>
  <c r="H2082"/>
  <c r="I2082"/>
  <c r="J2082"/>
  <c r="H2083"/>
  <c r="I2083"/>
  <c r="J2083"/>
  <c r="H2084"/>
  <c r="I2084"/>
  <c r="J2084"/>
  <c r="H2085"/>
  <c r="I2085"/>
  <c r="J2085"/>
  <c r="H2086"/>
  <c r="I2086"/>
  <c r="J2086"/>
  <c r="H2087"/>
  <c r="I2087"/>
  <c r="J2087"/>
  <c r="H2088"/>
  <c r="I2088"/>
  <c r="J2088"/>
  <c r="H2089"/>
  <c r="I2089"/>
  <c r="J2089"/>
  <c r="H2090"/>
  <c r="I2090"/>
  <c r="J2090"/>
  <c r="H2091"/>
  <c r="I2091"/>
  <c r="J2091"/>
  <c r="H2092"/>
  <c r="I2092"/>
  <c r="J2092"/>
  <c r="H2093"/>
  <c r="I2093"/>
  <c r="J2093"/>
  <c r="H2094"/>
  <c r="I2094"/>
  <c r="J2094"/>
  <c r="H2095"/>
  <c r="I2095"/>
  <c r="J2095"/>
  <c r="H2096"/>
  <c r="I2096"/>
  <c r="J2096"/>
  <c r="H2097"/>
  <c r="I2097"/>
  <c r="J2097"/>
  <c r="H2098"/>
  <c r="I2098"/>
  <c r="J2098"/>
  <c r="H2099"/>
  <c r="I2099"/>
  <c r="J2099"/>
  <c r="H2100"/>
  <c r="I2100"/>
  <c r="J2100"/>
  <c r="H2101"/>
  <c r="I2101"/>
  <c r="J2101"/>
  <c r="H2102"/>
  <c r="I2102"/>
  <c r="J2102"/>
  <c r="H2103"/>
  <c r="I2103"/>
  <c r="J2103"/>
  <c r="H2104"/>
  <c r="I2104"/>
  <c r="J2104"/>
  <c r="H2105"/>
  <c r="I2105"/>
  <c r="J2105"/>
  <c r="H2106"/>
  <c r="I2106"/>
  <c r="J2106"/>
  <c r="H2107"/>
  <c r="I2107"/>
  <c r="J2107"/>
  <c r="H2108"/>
  <c r="I2108"/>
  <c r="J2108"/>
  <c r="H2109"/>
  <c r="I2109"/>
  <c r="J2109"/>
  <c r="H2110"/>
  <c r="I2110"/>
  <c r="J2110"/>
  <c r="H2111"/>
  <c r="I2111"/>
  <c r="J2111"/>
  <c r="H2112"/>
  <c r="I2112"/>
  <c r="J2112"/>
  <c r="H2113"/>
  <c r="I2113"/>
  <c r="J2113"/>
  <c r="H2114"/>
  <c r="I2114"/>
  <c r="J2114"/>
  <c r="H2115"/>
  <c r="I2115"/>
  <c r="J2115"/>
  <c r="H2116"/>
  <c r="I2116"/>
  <c r="J2116"/>
  <c r="H2117"/>
  <c r="I2117"/>
  <c r="J2117"/>
  <c r="H2118"/>
  <c r="I2118"/>
  <c r="J2118"/>
  <c r="H2119"/>
  <c r="I2119"/>
  <c r="J2119"/>
  <c r="H2120"/>
  <c r="I2120"/>
  <c r="J2120"/>
  <c r="H2121"/>
  <c r="I2121"/>
  <c r="J2121"/>
  <c r="H2122"/>
  <c r="I2122"/>
  <c r="J2122"/>
  <c r="H2123"/>
  <c r="I2123"/>
  <c r="J2123"/>
  <c r="H2124"/>
  <c r="I2124"/>
  <c r="J2124"/>
  <c r="H2125"/>
  <c r="I2125"/>
  <c r="J2125"/>
  <c r="H2126"/>
  <c r="I2126"/>
  <c r="J2126"/>
  <c r="H2127"/>
  <c r="I2127"/>
  <c r="J2127"/>
  <c r="H2128"/>
  <c r="I2128"/>
  <c r="J2128"/>
  <c r="H2129"/>
  <c r="I2129"/>
  <c r="J2129"/>
  <c r="H2130"/>
  <c r="I2130"/>
  <c r="J2130"/>
  <c r="H2131"/>
  <c r="I2131"/>
  <c r="J2131"/>
  <c r="H2132"/>
  <c r="I2132"/>
  <c r="J2132"/>
  <c r="H2133"/>
  <c r="I2133"/>
  <c r="J2133"/>
  <c r="H2134"/>
  <c r="I2134"/>
  <c r="J2134"/>
  <c r="H2135"/>
  <c r="I2135"/>
  <c r="J2135"/>
  <c r="H2136"/>
  <c r="I2136"/>
  <c r="J2136"/>
  <c r="H2137"/>
  <c r="I2137"/>
  <c r="J2137"/>
  <c r="H2138"/>
  <c r="I2138"/>
  <c r="J2138"/>
  <c r="H2139"/>
  <c r="I2139"/>
  <c r="J2139"/>
  <c r="H2140"/>
  <c r="I2140"/>
  <c r="J2140"/>
  <c r="H2141"/>
  <c r="I2141"/>
  <c r="J2141"/>
  <c r="H2142"/>
  <c r="I2142"/>
  <c r="J2142"/>
  <c r="H2143"/>
  <c r="I2143"/>
  <c r="J2143"/>
  <c r="H2144"/>
  <c r="I2144"/>
  <c r="J2144"/>
  <c r="H2145"/>
  <c r="I2145"/>
  <c r="J2145"/>
  <c r="H2146"/>
  <c r="I2146"/>
  <c r="J2146"/>
  <c r="H2147"/>
  <c r="I2147"/>
  <c r="J2147"/>
  <c r="H2148"/>
  <c r="I2148"/>
  <c r="J2148"/>
  <c r="H2149"/>
  <c r="I2149"/>
  <c r="J2149"/>
  <c r="H2150"/>
  <c r="I2150"/>
  <c r="J2150"/>
  <c r="H2151"/>
  <c r="I2151"/>
  <c r="J2151"/>
  <c r="H2152"/>
  <c r="I2152"/>
  <c r="J2152"/>
  <c r="H2153"/>
  <c r="I2153"/>
  <c r="J2153"/>
  <c r="H2154"/>
  <c r="I2154"/>
  <c r="J2154"/>
  <c r="H2155"/>
  <c r="I2155"/>
  <c r="J2155"/>
  <c r="H2156"/>
  <c r="I2156"/>
  <c r="J2156"/>
  <c r="H2157"/>
  <c r="I2157"/>
  <c r="J2157"/>
  <c r="H2158"/>
  <c r="I2158"/>
  <c r="J2158"/>
  <c r="H2159"/>
  <c r="I2159"/>
  <c r="J2159"/>
  <c r="H2160"/>
  <c r="I2160"/>
  <c r="J2160"/>
  <c r="H2161"/>
  <c r="I2161"/>
  <c r="J2161"/>
  <c r="H2162"/>
  <c r="I2162"/>
  <c r="J2162"/>
  <c r="H2163"/>
  <c r="I2163"/>
  <c r="J2163"/>
  <c r="H2164"/>
  <c r="I2164"/>
  <c r="J2164"/>
  <c r="H2165"/>
  <c r="I2165"/>
  <c r="J2165"/>
  <c r="H2166"/>
  <c r="I2166"/>
  <c r="J2166"/>
  <c r="H2167"/>
  <c r="I2167"/>
  <c r="J2167"/>
  <c r="H2168"/>
  <c r="I2168"/>
  <c r="J2168"/>
  <c r="H2169"/>
  <c r="I2169"/>
  <c r="J2169"/>
  <c r="H2170"/>
  <c r="I2170"/>
  <c r="J2170"/>
  <c r="H2171"/>
  <c r="I2171"/>
  <c r="J2171"/>
  <c r="H2172"/>
  <c r="I2172"/>
  <c r="J2172"/>
  <c r="H2173"/>
  <c r="I2173"/>
  <c r="J2173"/>
  <c r="H2174"/>
  <c r="I2174"/>
  <c r="J2174"/>
  <c r="H2175"/>
  <c r="I2175"/>
  <c r="J2175"/>
  <c r="H2176"/>
  <c r="I2176"/>
  <c r="J2176"/>
  <c r="H2177"/>
  <c r="I2177"/>
  <c r="J2177"/>
  <c r="H2178"/>
  <c r="I2178"/>
  <c r="J2178"/>
  <c r="H2179"/>
  <c r="I2179"/>
  <c r="J2179"/>
  <c r="H2180"/>
  <c r="I2180"/>
  <c r="J2180"/>
  <c r="H2181"/>
  <c r="I2181"/>
  <c r="J2181"/>
  <c r="H2182"/>
  <c r="I2182"/>
  <c r="J2182"/>
  <c r="H2183"/>
  <c r="I2183"/>
  <c r="J2183"/>
  <c r="H2184"/>
  <c r="I2184"/>
  <c r="J2184"/>
  <c r="H2185"/>
  <c r="I2185"/>
  <c r="J2185"/>
  <c r="H2186"/>
  <c r="I2186"/>
  <c r="J2186"/>
  <c r="H2187"/>
  <c r="I2187"/>
  <c r="J2187"/>
  <c r="H2188"/>
  <c r="I2188"/>
  <c r="J2188"/>
  <c r="H2189"/>
  <c r="I2189"/>
  <c r="J2189"/>
  <c r="H2190"/>
  <c r="I2190"/>
  <c r="J2190"/>
  <c r="H2191"/>
  <c r="I2191"/>
  <c r="J2191"/>
  <c r="H2192"/>
  <c r="I2192"/>
  <c r="J2192"/>
  <c r="H2193"/>
  <c r="I2193"/>
  <c r="J2193"/>
  <c r="H2194"/>
  <c r="I2194"/>
  <c r="J2194"/>
  <c r="H2195"/>
  <c r="I2195"/>
  <c r="J2195"/>
  <c r="H2196"/>
  <c r="I2196"/>
  <c r="J2196"/>
  <c r="H2197"/>
  <c r="I2197"/>
  <c r="J2197"/>
  <c r="H2198"/>
  <c r="I2198"/>
  <c r="J2198"/>
  <c r="H2199"/>
  <c r="I2199"/>
  <c r="J2199"/>
  <c r="H2200"/>
  <c r="I2200"/>
  <c r="J2200"/>
  <c r="H2201"/>
  <c r="I2201"/>
  <c r="J2201"/>
  <c r="H2202"/>
  <c r="I2202"/>
  <c r="J2202"/>
  <c r="H2203"/>
  <c r="I2203"/>
  <c r="J2203"/>
  <c r="H2204"/>
  <c r="I2204"/>
  <c r="J2204"/>
  <c r="H2205"/>
  <c r="I2205"/>
  <c r="J2205"/>
  <c r="H2206"/>
  <c r="I2206"/>
  <c r="J2206"/>
  <c r="H2207"/>
  <c r="I2207"/>
  <c r="J2207"/>
  <c r="H2208"/>
  <c r="I2208"/>
  <c r="J2208"/>
  <c r="H2209"/>
  <c r="I2209"/>
  <c r="J2209"/>
  <c r="H2210"/>
  <c r="I2210"/>
  <c r="J2210"/>
  <c r="H2211"/>
  <c r="I2211"/>
  <c r="J2211"/>
  <c r="H2212"/>
  <c r="I2212"/>
  <c r="J2212"/>
  <c r="H2213"/>
  <c r="I2213"/>
  <c r="J2213"/>
  <c r="H2214"/>
  <c r="I2214"/>
  <c r="J2214"/>
  <c r="H2215"/>
  <c r="I2215"/>
  <c r="J2215"/>
  <c r="H2216"/>
  <c r="I2216"/>
  <c r="J2216"/>
  <c r="H2217"/>
  <c r="I2217"/>
  <c r="J2217"/>
  <c r="H2218"/>
  <c r="I2218"/>
  <c r="J2218"/>
  <c r="H2219"/>
  <c r="I2219"/>
  <c r="J2219"/>
  <c r="H2220"/>
  <c r="I2220"/>
  <c r="J2220"/>
  <c r="H2221"/>
  <c r="I2221"/>
  <c r="J2221"/>
  <c r="H2222"/>
  <c r="I2222"/>
  <c r="J2222"/>
  <c r="H2223"/>
  <c r="I2223"/>
  <c r="J2223"/>
  <c r="H2224"/>
  <c r="I2224"/>
  <c r="J2224"/>
  <c r="H2225"/>
  <c r="I2225"/>
  <c r="J2225"/>
  <c r="H2226"/>
  <c r="I2226"/>
  <c r="J2226"/>
  <c r="H2227"/>
  <c r="I2227"/>
  <c r="J2227"/>
  <c r="H2228"/>
  <c r="I2228"/>
  <c r="J2228"/>
  <c r="H2229"/>
  <c r="I2229"/>
  <c r="J2229"/>
  <c r="H2230"/>
  <c r="I2230"/>
  <c r="J2230"/>
  <c r="H2231"/>
  <c r="I2231"/>
  <c r="J2231"/>
  <c r="H2232"/>
  <c r="I2232"/>
  <c r="J2232"/>
  <c r="H2233"/>
  <c r="I2233"/>
  <c r="J2233"/>
  <c r="H2234"/>
  <c r="I2234"/>
  <c r="J2234"/>
  <c r="H2235"/>
  <c r="I2235"/>
  <c r="J2235"/>
  <c r="H2236"/>
  <c r="I2236"/>
  <c r="J2236"/>
  <c r="H2237"/>
  <c r="I2237"/>
  <c r="J2237"/>
  <c r="H2238"/>
  <c r="I2238"/>
  <c r="J2238"/>
  <c r="H2239"/>
  <c r="I2239"/>
  <c r="J2239"/>
  <c r="H2240"/>
  <c r="I2240"/>
  <c r="J2240"/>
  <c r="H2241"/>
  <c r="I2241"/>
  <c r="J2241"/>
  <c r="H2242"/>
  <c r="I2242"/>
  <c r="J2242"/>
  <c r="H2243"/>
  <c r="I2243"/>
  <c r="J2243"/>
  <c r="H2244"/>
  <c r="I2244"/>
  <c r="J2244"/>
  <c r="H2245"/>
  <c r="I2245"/>
  <c r="J2245"/>
  <c r="H2246"/>
  <c r="I2246"/>
  <c r="J2246"/>
  <c r="H2247"/>
  <c r="I2247"/>
  <c r="J2247"/>
  <c r="H2248"/>
  <c r="I2248"/>
  <c r="J2248"/>
  <c r="H2249"/>
  <c r="I2249"/>
  <c r="J2249"/>
  <c r="H2250"/>
  <c r="I2250"/>
  <c r="J2250"/>
  <c r="H2251"/>
  <c r="I2251"/>
  <c r="J2251"/>
  <c r="H2252"/>
  <c r="I2252"/>
  <c r="J2252"/>
  <c r="H2253"/>
  <c r="I2253"/>
  <c r="J2253"/>
  <c r="H2254"/>
  <c r="I2254"/>
  <c r="J2254"/>
  <c r="H2255"/>
  <c r="I2255"/>
  <c r="J2255"/>
  <c r="H2256"/>
  <c r="I2256"/>
  <c r="J2256"/>
  <c r="H2257"/>
  <c r="I2257"/>
  <c r="J2257"/>
  <c r="H2258"/>
  <c r="I2258"/>
  <c r="J2258"/>
  <c r="H2259"/>
  <c r="I2259"/>
  <c r="J2259"/>
  <c r="H2260"/>
  <c r="I2260"/>
  <c r="J2260"/>
  <c r="H2261"/>
  <c r="I2261"/>
  <c r="J2261"/>
  <c r="H2262"/>
  <c r="I2262"/>
  <c r="J2262"/>
  <c r="H2263"/>
  <c r="I2263"/>
  <c r="J2263"/>
  <c r="H2264"/>
  <c r="I2264"/>
  <c r="J2264"/>
  <c r="H2265"/>
  <c r="I2265"/>
  <c r="J2265"/>
  <c r="H2266"/>
  <c r="I2266"/>
  <c r="J2266"/>
  <c r="H2267"/>
  <c r="I2267"/>
  <c r="J2267"/>
  <c r="H2268"/>
  <c r="I2268"/>
  <c r="J2268"/>
  <c r="H2269"/>
  <c r="I2269"/>
  <c r="J2269"/>
  <c r="H2270"/>
  <c r="I2270"/>
  <c r="J2270"/>
  <c r="H2271"/>
  <c r="I2271"/>
  <c r="J2271"/>
  <c r="H2272"/>
  <c r="I2272"/>
  <c r="J2272"/>
  <c r="H2273"/>
  <c r="I2273"/>
  <c r="J2273"/>
  <c r="H2274"/>
  <c r="I2274"/>
  <c r="J2274"/>
  <c r="H2275"/>
  <c r="I2275"/>
  <c r="J2275"/>
  <c r="H2276"/>
  <c r="I2276"/>
  <c r="J2276"/>
  <c r="H2277"/>
  <c r="I2277"/>
  <c r="J2277"/>
  <c r="H2278"/>
  <c r="I2278"/>
  <c r="J2278"/>
  <c r="H2279"/>
  <c r="I2279"/>
  <c r="J2279"/>
  <c r="H2280"/>
  <c r="I2280"/>
  <c r="J2280"/>
  <c r="H2281"/>
  <c r="I2281"/>
  <c r="J2281"/>
  <c r="H2282"/>
  <c r="I2282"/>
  <c r="J2282"/>
  <c r="H2283"/>
  <c r="I2283"/>
  <c r="J2283"/>
  <c r="H2284"/>
  <c r="I2284"/>
  <c r="J2284"/>
  <c r="H2285"/>
  <c r="I2285"/>
  <c r="J2285"/>
  <c r="H2286"/>
  <c r="I2286"/>
  <c r="J2286"/>
  <c r="H2287"/>
  <c r="I2287"/>
  <c r="J2287"/>
  <c r="H2288"/>
  <c r="I2288"/>
  <c r="J2288"/>
  <c r="H2289"/>
  <c r="I2289"/>
  <c r="J2289"/>
  <c r="H2290"/>
  <c r="I2290"/>
  <c r="J2290"/>
  <c r="H2291"/>
  <c r="I2291"/>
  <c r="J2291"/>
  <c r="H2292"/>
  <c r="I2292"/>
  <c r="J2292"/>
  <c r="H2293"/>
  <c r="I2293"/>
  <c r="J2293"/>
  <c r="H2294"/>
  <c r="I2294"/>
  <c r="J2294"/>
  <c r="H2295"/>
  <c r="I2295"/>
  <c r="J2295"/>
  <c r="H2296"/>
  <c r="I2296"/>
  <c r="J2296"/>
  <c r="H2297"/>
  <c r="I2297"/>
  <c r="J2297"/>
  <c r="H2298"/>
  <c r="I2298"/>
  <c r="J2298"/>
  <c r="H2299"/>
  <c r="I2299"/>
  <c r="J2299"/>
  <c r="H2300"/>
  <c r="I2300"/>
  <c r="J2300"/>
  <c r="H2301"/>
  <c r="I2301"/>
  <c r="J2301"/>
  <c r="H2302"/>
  <c r="I2302"/>
  <c r="J2302"/>
  <c r="H2303"/>
  <c r="I2303"/>
  <c r="J2303"/>
  <c r="H2304"/>
  <c r="I2304"/>
  <c r="J2304"/>
  <c r="H2305"/>
  <c r="I2305"/>
  <c r="J2305"/>
  <c r="H2306"/>
  <c r="I2306"/>
  <c r="J2306"/>
  <c r="H2307"/>
  <c r="I2307"/>
  <c r="J2307"/>
  <c r="H2308"/>
  <c r="I2308"/>
  <c r="J2308"/>
  <c r="H2309"/>
  <c r="I2309"/>
  <c r="J2309"/>
  <c r="H2310"/>
  <c r="I2310"/>
  <c r="J2310"/>
  <c r="H2311"/>
  <c r="I2311"/>
  <c r="J2311"/>
  <c r="H2312"/>
  <c r="I2312"/>
  <c r="J2312"/>
  <c r="H2313"/>
  <c r="I2313"/>
  <c r="J2313"/>
  <c r="H2314"/>
  <c r="I2314"/>
  <c r="J2314"/>
  <c r="H2315"/>
  <c r="I2315"/>
  <c r="J2315"/>
  <c r="H2316"/>
  <c r="I2316"/>
  <c r="J2316"/>
  <c r="H2317"/>
  <c r="I2317"/>
  <c r="J2317"/>
  <c r="H2318"/>
  <c r="I2318"/>
  <c r="J2318"/>
  <c r="H2319"/>
  <c r="I2319"/>
  <c r="J2319"/>
  <c r="H2320"/>
  <c r="I2320"/>
  <c r="J2320"/>
  <c r="H2321"/>
  <c r="I2321"/>
  <c r="J2321"/>
  <c r="H2322"/>
  <c r="I2322"/>
  <c r="J2322"/>
  <c r="H2323"/>
  <c r="I2323"/>
  <c r="J2323"/>
  <c r="H2324"/>
  <c r="I2324"/>
  <c r="J2324"/>
  <c r="H2325"/>
  <c r="I2325"/>
  <c r="J2325"/>
  <c r="H2326"/>
  <c r="I2326"/>
  <c r="J2326"/>
  <c r="H2327"/>
  <c r="I2327"/>
  <c r="J2327"/>
  <c r="H2328"/>
  <c r="I2328"/>
  <c r="J2328"/>
  <c r="H2329"/>
  <c r="I2329"/>
  <c r="J2329"/>
  <c r="H2330"/>
  <c r="I2330"/>
  <c r="J2330"/>
  <c r="H2331"/>
  <c r="I2331"/>
  <c r="J2331"/>
  <c r="H2332"/>
  <c r="I2332"/>
  <c r="J2332"/>
  <c r="H2333"/>
  <c r="I2333"/>
  <c r="J2333"/>
  <c r="H2334"/>
  <c r="I2334"/>
  <c r="J2334"/>
  <c r="H2335"/>
  <c r="I2335"/>
  <c r="J2335"/>
  <c r="H2336"/>
  <c r="I2336"/>
  <c r="J2336"/>
  <c r="H2337"/>
  <c r="I2337"/>
  <c r="J2337"/>
  <c r="H2338"/>
  <c r="I2338"/>
  <c r="J2338"/>
  <c r="H2339"/>
  <c r="I2339"/>
  <c r="J2339"/>
  <c r="H2340"/>
  <c r="I2340"/>
  <c r="J2340"/>
  <c r="H2341"/>
  <c r="I2341"/>
  <c r="J2341"/>
  <c r="H2342"/>
  <c r="I2342"/>
  <c r="J2342"/>
  <c r="H2343"/>
  <c r="I2343"/>
  <c r="J2343"/>
  <c r="H2344"/>
  <c r="I2344"/>
  <c r="J2344"/>
  <c r="H2345"/>
  <c r="I2345"/>
  <c r="J2345"/>
  <c r="H2346"/>
  <c r="I2346"/>
  <c r="J2346"/>
  <c r="H2347"/>
  <c r="I2347"/>
  <c r="J2347"/>
  <c r="H2348"/>
  <c r="I2348"/>
  <c r="J2348"/>
  <c r="H2349"/>
  <c r="I2349"/>
  <c r="J2349"/>
  <c r="H2350"/>
  <c r="I2350"/>
  <c r="J2350"/>
  <c r="H2351"/>
  <c r="I2351"/>
  <c r="J2351"/>
  <c r="H2352"/>
  <c r="I2352"/>
  <c r="J2352"/>
  <c r="H2353"/>
  <c r="I2353"/>
  <c r="J2353"/>
  <c r="H2354"/>
  <c r="I2354"/>
  <c r="J2354"/>
  <c r="H2355"/>
  <c r="I2355"/>
  <c r="J2355"/>
  <c r="H2356"/>
  <c r="I2356"/>
  <c r="J2356"/>
  <c r="H2357"/>
  <c r="I2357"/>
  <c r="J2357"/>
  <c r="H2358"/>
  <c r="I2358"/>
  <c r="J2358"/>
  <c r="H2359"/>
  <c r="I2359"/>
  <c r="J2359"/>
  <c r="H2360"/>
  <c r="I2360"/>
  <c r="J2360"/>
  <c r="H2361"/>
  <c r="I2361"/>
  <c r="J2361"/>
  <c r="H2362"/>
  <c r="I2362"/>
  <c r="J2362"/>
  <c r="H2363"/>
  <c r="I2363"/>
  <c r="J2363"/>
  <c r="H2364"/>
  <c r="I2364"/>
  <c r="J2364"/>
  <c r="H2365"/>
  <c r="I2365"/>
  <c r="J2365"/>
  <c r="H2366"/>
  <c r="I2366"/>
  <c r="J2366"/>
  <c r="H2367"/>
  <c r="I2367"/>
  <c r="J2367"/>
  <c r="H2368"/>
  <c r="I2368"/>
  <c r="J2368"/>
  <c r="H2369"/>
  <c r="I2369"/>
  <c r="J2369"/>
  <c r="H2370"/>
  <c r="I2370"/>
  <c r="J2370"/>
  <c r="H2371"/>
  <c r="I2371"/>
  <c r="J2371"/>
  <c r="H2372"/>
  <c r="I2372"/>
  <c r="J2372"/>
  <c r="H2373"/>
  <c r="I2373"/>
  <c r="J2373"/>
  <c r="H2374"/>
  <c r="I2374"/>
  <c r="J2374"/>
  <c r="H2375"/>
  <c r="I2375"/>
  <c r="J2375"/>
  <c r="H2376"/>
  <c r="I2376"/>
  <c r="J2376"/>
  <c r="H2377"/>
  <c r="I2377"/>
  <c r="J2377"/>
  <c r="H2378"/>
  <c r="I2378"/>
  <c r="J2378"/>
  <c r="H2379"/>
  <c r="I2379"/>
  <c r="J2379"/>
  <c r="H2380"/>
  <c r="I2380"/>
  <c r="J2380"/>
  <c r="H2381"/>
  <c r="I2381"/>
  <c r="J2381"/>
  <c r="H2382"/>
  <c r="I2382"/>
  <c r="J2382"/>
  <c r="H2383"/>
  <c r="I2383"/>
  <c r="J2383"/>
  <c r="H2384"/>
  <c r="I2384"/>
  <c r="J2384"/>
  <c r="P19" i="1"/>
  <c r="E7" i="2"/>
  <c r="O19" i="1"/>
  <c r="D7" i="2"/>
  <c r="A8"/>
  <c r="P20" i="1"/>
  <c r="E8" i="2"/>
  <c r="O20" i="1"/>
  <c r="D8" i="2"/>
  <c r="O21" i="1"/>
  <c r="D9" i="2"/>
  <c r="O22" i="1"/>
  <c r="D10" i="2"/>
  <c r="P23" i="1"/>
  <c r="E11" i="2"/>
  <c r="O23" i="1"/>
  <c r="D11" i="2"/>
  <c r="A12"/>
  <c r="O24" i="1"/>
  <c r="D12" i="2"/>
  <c r="F12" s="1"/>
  <c r="O25" i="1"/>
  <c r="D13" i="2"/>
  <c r="O26" i="1"/>
  <c r="D14" i="2"/>
  <c r="O27" i="1"/>
  <c r="D15" i="2"/>
  <c r="F15"/>
  <c r="O28" i="1"/>
  <c r="D16" i="2"/>
  <c r="O31" i="1"/>
  <c r="D19" i="2"/>
  <c r="O32" i="1"/>
  <c r="D20" i="2"/>
  <c r="F20"/>
  <c r="O33" i="1"/>
  <c r="D21" i="2"/>
  <c r="P34" i="1"/>
  <c r="E22" i="2"/>
  <c r="O34" i="1"/>
  <c r="D22" i="2"/>
  <c r="O35" i="1"/>
  <c r="D23" i="2"/>
  <c r="O36" i="1"/>
  <c r="D24" i="2"/>
  <c r="O37" i="1"/>
  <c r="D25" i="2"/>
  <c r="F25"/>
  <c r="P38" i="1"/>
  <c r="E26" i="2"/>
  <c r="O38" i="1"/>
  <c r="D26" i="2"/>
  <c r="O39" i="1"/>
  <c r="D27" i="2"/>
  <c r="O40" i="1"/>
  <c r="D28" i="2"/>
  <c r="F28" s="1"/>
  <c r="O41" i="1"/>
  <c r="D29" i="2"/>
  <c r="O42" i="1"/>
  <c r="D30" i="2"/>
  <c r="F30" s="1"/>
  <c r="O43" i="1"/>
  <c r="D31" i="2"/>
  <c r="F31" s="1"/>
  <c r="O44" i="1"/>
  <c r="D32" i="2"/>
  <c r="O45" i="1"/>
  <c r="D33" i="2"/>
  <c r="P45" i="1"/>
  <c r="E33" i="2"/>
  <c r="L47" i="1"/>
  <c r="P47"/>
  <c r="E35" i="2"/>
  <c r="O47" i="1"/>
  <c r="D35" i="2"/>
  <c r="L48" i="1"/>
  <c r="P48"/>
  <c r="E36" i="2"/>
  <c r="O48" i="1"/>
  <c r="D36" i="2"/>
  <c r="L49" i="1"/>
  <c r="P49"/>
  <c r="E37" i="2"/>
  <c r="O49" i="1"/>
  <c r="D37" i="2"/>
  <c r="L50" i="1"/>
  <c r="P50"/>
  <c r="E38" i="2"/>
  <c r="O50" i="1"/>
  <c r="D38" i="2"/>
  <c r="L51" i="1"/>
  <c r="P51"/>
  <c r="E39" i="2"/>
  <c r="O51" i="1"/>
  <c r="D39" i="2"/>
  <c r="L52" i="1"/>
  <c r="P52"/>
  <c r="E40" i="2"/>
  <c r="O52" i="1"/>
  <c r="D40" i="2"/>
  <c r="L53" i="1"/>
  <c r="P53"/>
  <c r="E41" i="2"/>
  <c r="O53" i="1"/>
  <c r="D41" i="2"/>
  <c r="L54" i="1"/>
  <c r="P54"/>
  <c r="E42" i="2"/>
  <c r="O54" i="1"/>
  <c r="D42" i="2"/>
  <c r="L55" i="1"/>
  <c r="P55"/>
  <c r="E43" i="2"/>
  <c r="O55" i="1"/>
  <c r="D43" i="2"/>
  <c r="L56" i="1"/>
  <c r="P56"/>
  <c r="E44" i="2"/>
  <c r="O56" i="1"/>
  <c r="D44" i="2"/>
  <c r="L57" i="1"/>
  <c r="P57"/>
  <c r="E45" i="2"/>
  <c r="O57" i="1"/>
  <c r="D45" i="2"/>
  <c r="L58" i="1"/>
  <c r="P58"/>
  <c r="E46" i="2"/>
  <c r="O58" i="1"/>
  <c r="D46" i="2"/>
  <c r="L59" i="1"/>
  <c r="P59"/>
  <c r="E47" i="2"/>
  <c r="O59" i="1"/>
  <c r="D47" i="2"/>
  <c r="L60" i="1"/>
  <c r="P60"/>
  <c r="E48" i="2"/>
  <c r="O60" i="1"/>
  <c r="D48" i="2"/>
  <c r="L61" i="1"/>
  <c r="P61"/>
  <c r="E49" i="2"/>
  <c r="O61" i="1"/>
  <c r="D49" i="2"/>
  <c r="L62" i="1"/>
  <c r="P62"/>
  <c r="E50" i="2"/>
  <c r="O62" i="1"/>
  <c r="D50" i="2"/>
  <c r="L63" i="1"/>
  <c r="P63"/>
  <c r="E51" i="2"/>
  <c r="O63" i="1"/>
  <c r="D51" i="2"/>
  <c r="L64" i="1"/>
  <c r="P64"/>
  <c r="E52" i="2"/>
  <c r="O64" i="1"/>
  <c r="D52" i="2"/>
  <c r="L65" i="1"/>
  <c r="P65"/>
  <c r="E53" i="2"/>
  <c r="O65" i="1"/>
  <c r="D53" i="2"/>
  <c r="L66" i="1"/>
  <c r="P66"/>
  <c r="E54" i="2"/>
  <c r="O66" i="1"/>
  <c r="D54" i="2"/>
  <c r="L67" i="1"/>
  <c r="P67"/>
  <c r="E55" i="2"/>
  <c r="O67" i="1"/>
  <c r="D55" i="2"/>
  <c r="L68" i="1"/>
  <c r="P68"/>
  <c r="E56" i="2"/>
  <c r="O68" i="1"/>
  <c r="D56" i="2"/>
  <c r="L69" i="1"/>
  <c r="P69"/>
  <c r="E57" i="2"/>
  <c r="O69" i="1"/>
  <c r="D57" i="2"/>
  <c r="L70" i="1"/>
  <c r="P70"/>
  <c r="E58" i="2"/>
  <c r="O70" i="1"/>
  <c r="D58" i="2"/>
  <c r="L71" i="1"/>
  <c r="P71"/>
  <c r="E59" i="2"/>
  <c r="O71" i="1"/>
  <c r="D59" i="2"/>
  <c r="L72" i="1"/>
  <c r="P72"/>
  <c r="E60" i="2"/>
  <c r="O72" i="1"/>
  <c r="D60" i="2"/>
  <c r="P74" i="1"/>
  <c r="E62" i="2"/>
  <c r="O74" i="1"/>
  <c r="D62" i="2"/>
  <c r="O75" i="1"/>
  <c r="D63" i="2"/>
  <c r="F63"/>
  <c r="P76" i="1"/>
  <c r="E64" i="2"/>
  <c r="O76" i="1"/>
  <c r="D64" i="2"/>
  <c r="O77" i="1"/>
  <c r="D65" i="2"/>
  <c r="P78" i="1"/>
  <c r="E66" i="2"/>
  <c r="O78" i="1"/>
  <c r="D66" i="2"/>
  <c r="O79" i="1"/>
  <c r="D67" i="2"/>
  <c r="F67" s="1"/>
  <c r="P80" i="1"/>
  <c r="E68" i="2"/>
  <c r="O80" i="1"/>
  <c r="D68" i="2"/>
  <c r="O81" i="1"/>
  <c r="D69" i="2"/>
  <c r="P82" i="1"/>
  <c r="E70" i="2"/>
  <c r="O82" i="1"/>
  <c r="D70" i="2"/>
  <c r="O83" i="1"/>
  <c r="P83"/>
  <c r="O84"/>
  <c r="P84"/>
  <c r="P85"/>
  <c r="E73" i="2"/>
  <c r="O85" i="1"/>
  <c r="D73" i="2"/>
  <c r="P86" i="1"/>
  <c r="E74" i="2"/>
  <c r="O86" i="1"/>
  <c r="D74" i="2"/>
  <c r="O87" i="1"/>
  <c r="P87"/>
  <c r="P88"/>
  <c r="E76" i="2"/>
  <c r="O88" i="1"/>
  <c r="D76" i="2"/>
  <c r="P89" i="1"/>
  <c r="E77" i="2"/>
  <c r="O89" i="1"/>
  <c r="D77" i="2"/>
  <c r="O90" i="1"/>
  <c r="P90"/>
  <c r="P91"/>
  <c r="E79" i="2"/>
  <c r="O91" i="1"/>
  <c r="D79" i="2"/>
  <c r="P92" i="1"/>
  <c r="E80" i="2"/>
  <c r="O92" i="1"/>
  <c r="D80" i="2"/>
  <c r="O93" i="1"/>
  <c r="P93"/>
  <c r="O94"/>
  <c r="D82" i="2"/>
  <c r="F82"/>
  <c r="P99" i="1"/>
  <c r="E87" i="2"/>
  <c r="O99" i="1"/>
  <c r="D87" i="2"/>
  <c r="P100" i="1"/>
  <c r="E88" i="2"/>
  <c r="O100" i="1"/>
  <c r="D88" i="2"/>
  <c r="O101" i="1"/>
  <c r="P101"/>
  <c r="P102"/>
  <c r="E90" i="2"/>
  <c r="O102" i="1"/>
  <c r="D90" i="2"/>
  <c r="O103" i="1"/>
  <c r="P103"/>
  <c r="P104"/>
  <c r="E92" i="2"/>
  <c r="O104" i="1"/>
  <c r="D92" i="2"/>
  <c r="O105" i="1"/>
  <c r="P105"/>
  <c r="P106"/>
  <c r="E94" i="2"/>
  <c r="O106" i="1"/>
  <c r="D94" i="2"/>
  <c r="O109" i="1"/>
  <c r="P109"/>
  <c r="K111"/>
  <c r="O111"/>
  <c r="D100" i="2"/>
  <c r="A112" i="1"/>
  <c r="A101" i="2"/>
  <c r="K112" i="1"/>
  <c r="P112"/>
  <c r="E101" i="2"/>
  <c r="O112" i="1"/>
  <c r="D101" i="2"/>
  <c r="K113" i="1"/>
  <c r="P113"/>
  <c r="E102" i="2"/>
  <c r="O113" i="1"/>
  <c r="D102" i="2"/>
  <c r="K114" i="1"/>
  <c r="P114"/>
  <c r="E103" i="2"/>
  <c r="O114" i="1"/>
  <c r="D103" i="2"/>
  <c r="K116" i="1"/>
  <c r="P116"/>
  <c r="E105" i="2"/>
  <c r="O116" i="1"/>
  <c r="D105" i="2"/>
  <c r="I107"/>
  <c r="K118" i="1"/>
  <c r="O118"/>
  <c r="D107" i="2"/>
  <c r="A119" i="1"/>
  <c r="A120"/>
  <c r="A109" i="2"/>
  <c r="I108"/>
  <c r="K119" i="1"/>
  <c r="O119"/>
  <c r="D108" i="2"/>
  <c r="K120" i="1"/>
  <c r="O120"/>
  <c r="D109" i="2"/>
  <c r="K122" i="1"/>
  <c r="P122"/>
  <c r="E111" i="2"/>
  <c r="O122" i="1"/>
  <c r="D111" i="2"/>
  <c r="A123" i="1"/>
  <c r="A112" i="2"/>
  <c r="K123" i="1"/>
  <c r="O123"/>
  <c r="D112" i="2"/>
  <c r="F112" s="1"/>
  <c r="K124" i="1"/>
  <c r="O124"/>
  <c r="D113" i="2"/>
  <c r="F113" s="1"/>
  <c r="K125" i="1"/>
  <c r="O125"/>
  <c r="D114" i="2"/>
  <c r="F114" s="1"/>
  <c r="K126" i="1"/>
  <c r="P126"/>
  <c r="E115" i="2"/>
  <c r="O126" i="1"/>
  <c r="D115" i="2"/>
  <c r="K127" i="1"/>
  <c r="O127"/>
  <c r="D116" i="2"/>
  <c r="K128" i="1"/>
  <c r="P128"/>
  <c r="E117" i="2"/>
  <c r="O128" i="1"/>
  <c r="D117" i="2"/>
  <c r="K130" i="1"/>
  <c r="M130"/>
  <c r="P130"/>
  <c r="E119" i="2"/>
  <c r="O130" i="1"/>
  <c r="D119" i="2"/>
  <c r="E133" i="1"/>
  <c r="M133"/>
  <c r="P133"/>
  <c r="E122" i="2"/>
  <c r="K133" i="1"/>
  <c r="A134"/>
  <c r="A123" i="2"/>
  <c r="E134" i="1"/>
  <c r="O134"/>
  <c r="D123" i="2"/>
  <c r="K134" i="1"/>
  <c r="E135"/>
  <c r="M135"/>
  <c r="P135"/>
  <c r="E124" i="2"/>
  <c r="K135" i="1"/>
  <c r="E136"/>
  <c r="O136"/>
  <c r="D125" i="2"/>
  <c r="K136" i="1"/>
  <c r="E137"/>
  <c r="M137"/>
  <c r="P137"/>
  <c r="E126" i="2"/>
  <c r="K137" i="1"/>
  <c r="E138"/>
  <c r="M138"/>
  <c r="P138"/>
  <c r="E127" i="2"/>
  <c r="K138" i="1"/>
  <c r="E139"/>
  <c r="M139"/>
  <c r="P139"/>
  <c r="E128" i="2"/>
  <c r="K139" i="1"/>
  <c r="E140"/>
  <c r="M140"/>
  <c r="P140"/>
  <c r="E129" i="2"/>
  <c r="K140" i="1"/>
  <c r="E141"/>
  <c r="M141"/>
  <c r="P141"/>
  <c r="E130" i="2"/>
  <c r="K141" i="1"/>
  <c r="E143"/>
  <c r="O143"/>
  <c r="D132" i="2"/>
  <c r="K143" i="1"/>
  <c r="A144"/>
  <c r="A133" i="2"/>
  <c r="E144" i="1"/>
  <c r="O144"/>
  <c r="D133" i="2"/>
  <c r="K144" i="1"/>
  <c r="E145"/>
  <c r="M145"/>
  <c r="P145"/>
  <c r="E134" i="2"/>
  <c r="K145" i="1"/>
  <c r="E146"/>
  <c r="O146"/>
  <c r="D135" i="2"/>
  <c r="K146" i="1"/>
  <c r="K149"/>
  <c r="L149"/>
  <c r="P149"/>
  <c r="E138" i="2"/>
  <c r="O149" i="1"/>
  <c r="D138" i="2"/>
  <c r="A150" i="1"/>
  <c r="A139" i="2"/>
  <c r="K150" i="1"/>
  <c r="L150"/>
  <c r="P150"/>
  <c r="E139" i="2"/>
  <c r="O150" i="1"/>
  <c r="D139" i="2"/>
  <c r="K151" i="1"/>
  <c r="L151"/>
  <c r="P151"/>
  <c r="E140" i="2"/>
  <c r="O151" i="1"/>
  <c r="D140" i="2"/>
  <c r="K152" i="1"/>
  <c r="L152"/>
  <c r="P152"/>
  <c r="E141" i="2"/>
  <c r="O152" i="1"/>
  <c r="D141" i="2"/>
  <c r="K153" i="1"/>
  <c r="L153"/>
  <c r="P153"/>
  <c r="E142" i="2"/>
  <c r="O153" i="1"/>
  <c r="D142" i="2"/>
  <c r="K154" i="1"/>
  <c r="L154"/>
  <c r="P154"/>
  <c r="E143" i="2"/>
  <c r="O154" i="1"/>
  <c r="D143" i="2"/>
  <c r="K155" i="1"/>
  <c r="L155"/>
  <c r="P155"/>
  <c r="E144" i="2"/>
  <c r="O155" i="1"/>
  <c r="D144" i="2"/>
  <c r="K156" i="1"/>
  <c r="L156"/>
  <c r="P156"/>
  <c r="E145" i="2"/>
  <c r="O156" i="1"/>
  <c r="D145" i="2"/>
  <c r="K157" i="1"/>
  <c r="L157"/>
  <c r="P157"/>
  <c r="E146" i="2"/>
  <c r="O157" i="1"/>
  <c r="D146" i="2"/>
  <c r="K158" i="1"/>
  <c r="L158"/>
  <c r="P158"/>
  <c r="E147" i="2"/>
  <c r="O158" i="1"/>
  <c r="D147" i="2"/>
  <c r="K159" i="1"/>
  <c r="L159"/>
  <c r="P159"/>
  <c r="E148" i="2"/>
  <c r="O159" i="1"/>
  <c r="D148" i="2"/>
  <c r="K160" i="1"/>
  <c r="L160"/>
  <c r="P160"/>
  <c r="E149" i="2"/>
  <c r="O160" i="1"/>
  <c r="D149" i="2"/>
  <c r="K161" i="1"/>
  <c r="L161"/>
  <c r="P161"/>
  <c r="E150" i="2"/>
  <c r="O161" i="1"/>
  <c r="D150" i="2"/>
  <c r="K162" i="1"/>
  <c r="L162"/>
  <c r="P162"/>
  <c r="E151" i="2"/>
  <c r="O162" i="1"/>
  <c r="D151" i="2"/>
  <c r="K163" i="1"/>
  <c r="L163"/>
  <c r="P163"/>
  <c r="E152" i="2"/>
  <c r="O163" i="1"/>
  <c r="D152" i="2"/>
  <c r="K164" i="1"/>
  <c r="L164"/>
  <c r="P164"/>
  <c r="E153" i="2"/>
  <c r="O164" i="1"/>
  <c r="D153" i="2"/>
  <c r="K165" i="1"/>
  <c r="L165"/>
  <c r="P165"/>
  <c r="E154" i="2"/>
  <c r="O165" i="1"/>
  <c r="D154" i="2"/>
  <c r="K166" i="1"/>
  <c r="L166"/>
  <c r="P166"/>
  <c r="E155" i="2"/>
  <c r="O166" i="1"/>
  <c r="D155" i="2"/>
  <c r="K167" i="1"/>
  <c r="L167"/>
  <c r="P167"/>
  <c r="E156" i="2"/>
  <c r="O167" i="1"/>
  <c r="D156" i="2"/>
  <c r="K168" i="1"/>
  <c r="L168"/>
  <c r="P168"/>
  <c r="E157" i="2"/>
  <c r="O168" i="1"/>
  <c r="D157" i="2"/>
  <c r="K169" i="1"/>
  <c r="L169"/>
  <c r="P169"/>
  <c r="E158" i="2"/>
  <c r="O169" i="1"/>
  <c r="D158" i="2"/>
  <c r="K170" i="1"/>
  <c r="L170"/>
  <c r="P170"/>
  <c r="E159" i="2"/>
  <c r="O170" i="1"/>
  <c r="D159" i="2"/>
  <c r="K171" i="1"/>
  <c r="L171"/>
  <c r="P171"/>
  <c r="E160" i="2"/>
  <c r="O171" i="1"/>
  <c r="D160" i="2"/>
  <c r="K172" i="1"/>
  <c r="L172"/>
  <c r="P172"/>
  <c r="E161" i="2"/>
  <c r="O172" i="1"/>
  <c r="D161" i="2"/>
  <c r="K173" i="1"/>
  <c r="L173"/>
  <c r="P173"/>
  <c r="E162" i="2"/>
  <c r="O173" i="1"/>
  <c r="D162" i="2"/>
  <c r="K174" i="1"/>
  <c r="L174"/>
  <c r="P174"/>
  <c r="E163" i="2"/>
  <c r="O174" i="1"/>
  <c r="D163" i="2"/>
  <c r="K175" i="1"/>
  <c r="L175"/>
  <c r="P175"/>
  <c r="E164" i="2"/>
  <c r="O175" i="1"/>
  <c r="D164" i="2"/>
  <c r="K176" i="1"/>
  <c r="L176"/>
  <c r="P176"/>
  <c r="E165" i="2"/>
  <c r="O176" i="1"/>
  <c r="D165" i="2"/>
  <c r="K180" i="1"/>
  <c r="P180"/>
  <c r="E169" i="2"/>
  <c r="O180" i="1"/>
  <c r="D169" i="2"/>
  <c r="A181" i="1"/>
  <c r="K181"/>
  <c r="P181"/>
  <c r="E170" i="2"/>
  <c r="O181" i="1"/>
  <c r="D170" i="2"/>
  <c r="K182" i="1"/>
  <c r="P182"/>
  <c r="E171" i="2"/>
  <c r="O182" i="1"/>
  <c r="D171" i="2"/>
  <c r="O183" i="1"/>
  <c r="P183"/>
  <c r="K184"/>
  <c r="O184"/>
  <c r="D173" i="2"/>
  <c r="K185" i="1"/>
  <c r="O185"/>
  <c r="D174" i="2"/>
  <c r="F174"/>
  <c r="K186" i="1"/>
  <c r="O186"/>
  <c r="D175" i="2"/>
  <c r="F175"/>
  <c r="O187" i="1"/>
  <c r="D176" i="2"/>
  <c r="P187" i="1"/>
  <c r="E176" i="2"/>
  <c r="K188" i="1"/>
  <c r="P188"/>
  <c r="E177" i="2"/>
  <c r="O188" i="1"/>
  <c r="D177" i="2"/>
  <c r="K189" i="1"/>
  <c r="O189"/>
  <c r="D178" i="2"/>
  <c r="F178" s="1"/>
  <c r="K190" i="1"/>
  <c r="O190"/>
  <c r="D179" i="2"/>
  <c r="F179" s="1"/>
  <c r="O191" i="1"/>
  <c r="P191"/>
  <c r="K192"/>
  <c r="P192"/>
  <c r="E181" i="2"/>
  <c r="O192" i="1"/>
  <c r="D181" i="2"/>
  <c r="K193" i="1"/>
  <c r="P193"/>
  <c r="E182" i="2"/>
  <c r="O193" i="1"/>
  <c r="D182" i="2"/>
  <c r="K194" i="1"/>
  <c r="O194"/>
  <c r="D183" i="2"/>
  <c r="F183" s="1"/>
  <c r="O195" i="1"/>
  <c r="D184" i="2"/>
  <c r="P195" i="1"/>
  <c r="E184" i="2"/>
  <c r="K196" i="1"/>
  <c r="O196"/>
  <c r="D185" i="2"/>
  <c r="K197" i="1"/>
  <c r="O197"/>
  <c r="D186" i="2"/>
  <c r="F186"/>
  <c r="K198" i="1"/>
  <c r="O198"/>
  <c r="D187" i="2"/>
  <c r="F187"/>
  <c r="O199" i="1"/>
  <c r="P199"/>
  <c r="K200"/>
  <c r="O200"/>
  <c r="D189" i="2"/>
  <c r="F189" s="1"/>
  <c r="K201" i="1"/>
  <c r="O201"/>
  <c r="D190" i="2"/>
  <c r="F190" s="1"/>
  <c r="K202" i="1"/>
  <c r="O202"/>
  <c r="D191" i="2"/>
  <c r="O203" i="1"/>
  <c r="P203"/>
  <c r="K204"/>
  <c r="O204"/>
  <c r="D193" i="2"/>
  <c r="K205" i="1"/>
  <c r="O205"/>
  <c r="D194" i="2"/>
  <c r="F194" s="1"/>
  <c r="K206" i="1"/>
  <c r="O206"/>
  <c r="D195" i="2"/>
  <c r="F195" s="1"/>
  <c r="K207" i="1"/>
  <c r="O207"/>
  <c r="D196" i="2"/>
  <c r="F196" s="1"/>
  <c r="O208" i="1"/>
  <c r="P208"/>
  <c r="K209"/>
  <c r="O209"/>
  <c r="D198" i="2"/>
  <c r="F198"/>
  <c r="K210" i="1"/>
  <c r="O210"/>
  <c r="D199" i="2"/>
  <c r="K211" i="1"/>
  <c r="P211"/>
  <c r="E200" i="2"/>
  <c r="O211" i="1"/>
  <c r="D200" i="2"/>
  <c r="K212" i="1"/>
  <c r="O212"/>
  <c r="D201" i="2"/>
  <c r="K213" i="1"/>
  <c r="O213"/>
  <c r="D202" i="2"/>
  <c r="F202"/>
  <c r="K214" i="1"/>
  <c r="O214"/>
  <c r="D203" i="2"/>
  <c r="K215" i="1"/>
  <c r="O215"/>
  <c r="D204" i="2"/>
  <c r="F204" s="1"/>
  <c r="K216" i="1"/>
  <c r="O216"/>
  <c r="D205" i="2"/>
  <c r="K217" i="1"/>
  <c r="O217"/>
  <c r="D206" i="2"/>
  <c r="F206" s="1"/>
  <c r="O218" i="1"/>
  <c r="P218"/>
  <c r="K219"/>
  <c r="O219"/>
  <c r="D208" i="2"/>
  <c r="F208"/>
  <c r="K220" i="1"/>
  <c r="P220"/>
  <c r="E209" i="2"/>
  <c r="O220" i="1"/>
  <c r="D209" i="2"/>
  <c r="K221" i="1"/>
  <c r="O221"/>
  <c r="D210" i="2"/>
  <c r="F210"/>
  <c r="K222" i="1"/>
  <c r="O222"/>
  <c r="D211" i="2"/>
  <c r="O223" i="1"/>
  <c r="P223"/>
  <c r="O224"/>
  <c r="P224"/>
  <c r="K225"/>
  <c r="P225"/>
  <c r="E214" i="2"/>
  <c r="O225" i="1"/>
  <c r="D214" i="2"/>
  <c r="A226" i="1"/>
  <c r="K226"/>
  <c r="P226"/>
  <c r="E215" i="2"/>
  <c r="O226" i="1"/>
  <c r="D215" i="2"/>
  <c r="K227" i="1"/>
  <c r="O227"/>
  <c r="D216" i="2"/>
  <c r="F216" s="1"/>
  <c r="K228" i="1"/>
  <c r="O228"/>
  <c r="D217" i="2"/>
  <c r="K229" i="1"/>
  <c r="O229"/>
  <c r="D218" i="2"/>
  <c r="F218" s="1"/>
  <c r="K230" i="1"/>
  <c r="O230"/>
  <c r="D219" i="2"/>
  <c r="F219" s="1"/>
  <c r="K231" i="1"/>
  <c r="O231"/>
  <c r="D220" i="2"/>
  <c r="F220" s="1"/>
  <c r="K232" i="1"/>
  <c r="P232"/>
  <c r="E221" i="2"/>
  <c r="O232" i="1"/>
  <c r="D221" i="2"/>
  <c r="K233" i="1"/>
  <c r="O233"/>
  <c r="D222" i="2"/>
  <c r="F222" s="1"/>
  <c r="K234" i="1"/>
  <c r="P234"/>
  <c r="E223" i="2"/>
  <c r="O234" i="1"/>
  <c r="D223" i="2"/>
  <c r="K235" i="1"/>
  <c r="P235"/>
  <c r="E224" i="2"/>
  <c r="O235" i="1"/>
  <c r="D224" i="2"/>
  <c r="K236" i="1"/>
  <c r="P236"/>
  <c r="E225" i="2"/>
  <c r="O236" i="1"/>
  <c r="D225" i="2"/>
  <c r="K237" i="1"/>
  <c r="O237"/>
  <c r="D226" i="2"/>
  <c r="F226" s="1"/>
  <c r="K238" i="1"/>
  <c r="P238"/>
  <c r="E227" i="2"/>
  <c r="O238" i="1"/>
  <c r="D227" i="2"/>
  <c r="K239" i="1"/>
  <c r="O239"/>
  <c r="D228" i="2"/>
  <c r="K240" i="1"/>
  <c r="O240"/>
  <c r="D229" i="2"/>
  <c r="F229" s="1"/>
  <c r="K241" i="1"/>
  <c r="O241"/>
  <c r="D230" i="2"/>
  <c r="K242" i="1"/>
  <c r="P242"/>
  <c r="E231" i="2"/>
  <c r="O242" i="1"/>
  <c r="D231" i="2"/>
  <c r="K243" i="1"/>
  <c r="P243"/>
  <c r="E232" i="2"/>
  <c r="O243" i="1"/>
  <c r="D232" i="2"/>
  <c r="K244" i="1"/>
  <c r="O244"/>
  <c r="D233" i="2"/>
  <c r="F233" s="1"/>
  <c r="K245" i="1"/>
  <c r="O245"/>
  <c r="D234" i="2"/>
  <c r="F234" s="1"/>
  <c r="O246" i="1"/>
  <c r="P246"/>
  <c r="K247"/>
  <c r="O247"/>
  <c r="D236" i="2"/>
  <c r="K248" i="1"/>
  <c r="O248"/>
  <c r="D237" i="2"/>
  <c r="K249" i="1"/>
  <c r="O249"/>
  <c r="D238" i="2"/>
  <c r="F238" s="1"/>
  <c r="K250" i="1"/>
  <c r="O250"/>
  <c r="D239" i="2"/>
  <c r="F239" s="1"/>
  <c r="O251" i="1"/>
  <c r="P251"/>
  <c r="K252"/>
  <c r="O252"/>
  <c r="D241" i="2"/>
  <c r="K253" i="1"/>
  <c r="O253"/>
  <c r="D242" i="2"/>
  <c r="K254" i="1"/>
  <c r="O254"/>
  <c r="D243" i="2"/>
  <c r="F243" s="1"/>
  <c r="K255" i="1"/>
  <c r="O255"/>
  <c r="D244" i="2"/>
  <c r="F244" s="1"/>
  <c r="K256" i="1"/>
  <c r="P256"/>
  <c r="E245" i="2"/>
  <c r="O256" i="1"/>
  <c r="D245" i="2"/>
  <c r="K257" i="1"/>
  <c r="O257"/>
  <c r="K258"/>
  <c r="O258"/>
  <c r="K259"/>
  <c r="O259"/>
  <c r="D246" i="2"/>
  <c r="F246"/>
  <c r="K260" i="1"/>
  <c r="P260"/>
  <c r="E247" i="2"/>
  <c r="O260" i="1"/>
  <c r="D247" i="2"/>
  <c r="K261" i="1"/>
  <c r="O261"/>
  <c r="D248" i="2"/>
  <c r="K262" i="1"/>
  <c r="P262"/>
  <c r="E249" i="2"/>
  <c r="O262" i="1"/>
  <c r="D249" i="2"/>
  <c r="K263" i="1"/>
  <c r="P263"/>
  <c r="O263"/>
  <c r="K264"/>
  <c r="P264"/>
  <c r="O264"/>
  <c r="K265"/>
  <c r="O265"/>
  <c r="O266"/>
  <c r="P266"/>
  <c r="K267"/>
  <c r="P267"/>
  <c r="E252" i="2"/>
  <c r="O267" i="1"/>
  <c r="D252" i="2"/>
  <c r="A268" i="1"/>
  <c r="A253" i="2"/>
  <c r="K268" i="1"/>
  <c r="P268"/>
  <c r="E253" i="2"/>
  <c r="O268" i="1"/>
  <c r="D253" i="2"/>
  <c r="K269" i="1"/>
  <c r="P269"/>
  <c r="E254" i="2"/>
  <c r="O269" i="1"/>
  <c r="D254" i="2"/>
  <c r="K274" i="1"/>
  <c r="P274"/>
  <c r="E259" i="2"/>
  <c r="O274" i="1"/>
  <c r="D259" i="2"/>
  <c r="A275" i="1"/>
  <c r="A260" i="2"/>
  <c r="K275" i="1"/>
  <c r="P275"/>
  <c r="E260" i="2"/>
  <c r="O275" i="1"/>
  <c r="D260" i="2"/>
  <c r="K276" i="1"/>
  <c r="P276"/>
  <c r="E261" i="2"/>
  <c r="O276" i="1"/>
  <c r="D261" i="2"/>
  <c r="K278" i="1"/>
  <c r="P278"/>
  <c r="E263" i="2"/>
  <c r="O278" i="1"/>
  <c r="D263" i="2"/>
  <c r="K279" i="1"/>
  <c r="P279"/>
  <c r="E264" i="2"/>
  <c r="O279" i="1"/>
  <c r="D264" i="2"/>
  <c r="K280" i="1"/>
  <c r="P280"/>
  <c r="E265" i="2"/>
  <c r="O280" i="1"/>
  <c r="D265" i="2"/>
  <c r="K282" i="1"/>
  <c r="P282"/>
  <c r="E267" i="2"/>
  <c r="O282" i="1"/>
  <c r="D267" i="2"/>
  <c r="K283" i="1"/>
  <c r="P283"/>
  <c r="E268" i="2"/>
  <c r="O283" i="1"/>
  <c r="D268" i="2"/>
  <c r="K284" i="1"/>
  <c r="P284"/>
  <c r="E269" i="2"/>
  <c r="O284" i="1"/>
  <c r="D269" i="2"/>
  <c r="K286" i="1"/>
  <c r="P286"/>
  <c r="E271" i="2"/>
  <c r="O286" i="1"/>
  <c r="D271" i="2"/>
  <c r="K287" i="1"/>
  <c r="P287"/>
  <c r="E272" i="2"/>
  <c r="O287" i="1"/>
  <c r="D272" i="2"/>
  <c r="K288" i="1"/>
  <c r="P288"/>
  <c r="E273" i="2"/>
  <c r="O288" i="1"/>
  <c r="D273" i="2"/>
  <c r="K290" i="1"/>
  <c r="P290"/>
  <c r="E275" i="2"/>
  <c r="O290" i="1"/>
  <c r="D275" i="2"/>
  <c r="K291" i="1"/>
  <c r="P291"/>
  <c r="E276" i="2"/>
  <c r="O291" i="1"/>
  <c r="D276" i="2"/>
  <c r="K292" i="1"/>
  <c r="P292"/>
  <c r="E277" i="2"/>
  <c r="O292" i="1"/>
  <c r="D277" i="2"/>
  <c r="K294" i="1"/>
  <c r="P294"/>
  <c r="E279" i="2"/>
  <c r="O294" i="1"/>
  <c r="D279" i="2"/>
  <c r="K295" i="1"/>
  <c r="P295"/>
  <c r="E280" i="2"/>
  <c r="O295" i="1"/>
  <c r="D280" i="2"/>
  <c r="K296" i="1"/>
  <c r="P296"/>
  <c r="E281" i="2"/>
  <c r="O296" i="1"/>
  <c r="D281" i="2"/>
  <c r="K299" i="1"/>
  <c r="P299"/>
  <c r="E284" i="2"/>
  <c r="O299" i="1"/>
  <c r="D284" i="2"/>
  <c r="A300" i="1"/>
  <c r="A285" i="2"/>
  <c r="K300" i="1"/>
  <c r="P300"/>
  <c r="E285" i="2"/>
  <c r="O300" i="1"/>
  <c r="D285" i="2"/>
  <c r="P301" i="1"/>
  <c r="E286" i="2"/>
  <c r="O301" i="1"/>
  <c r="D286" i="2"/>
  <c r="P302" i="1"/>
  <c r="E287" i="2"/>
  <c r="O302" i="1"/>
  <c r="D287" i="2"/>
  <c r="P303" i="1"/>
  <c r="E288" i="2"/>
  <c r="O303" i="1"/>
  <c r="D288" i="2"/>
  <c r="P304" i="1"/>
  <c r="E289" i="2"/>
  <c r="O304" i="1"/>
  <c r="D289" i="2"/>
  <c r="P305" i="1"/>
  <c r="E290" i="2"/>
  <c r="O305" i="1"/>
  <c r="D290" i="2"/>
  <c r="O307" i="1"/>
  <c r="D292" i="2"/>
  <c r="H292"/>
  <c r="K307" i="1"/>
  <c r="L307"/>
  <c r="P307"/>
  <c r="E292" i="2"/>
  <c r="A308" i="1"/>
  <c r="A293" i="2"/>
  <c r="O308" i="1"/>
  <c r="D293" i="2"/>
  <c r="K308" i="1"/>
  <c r="O309"/>
  <c r="D294" i="2"/>
  <c r="H294"/>
  <c r="K309" i="1"/>
  <c r="O311"/>
  <c r="D297" i="2"/>
  <c r="K311" i="1"/>
  <c r="P311"/>
  <c r="E297" i="2"/>
  <c r="K316" i="1"/>
  <c r="P316"/>
  <c r="E302" i="2"/>
  <c r="O316" i="1"/>
  <c r="D302" i="2"/>
  <c r="A317" i="1"/>
  <c r="K317"/>
  <c r="P317"/>
  <c r="E303" i="2"/>
  <c r="O317" i="1"/>
  <c r="D303" i="2"/>
  <c r="K318" i="1"/>
  <c r="P318"/>
  <c r="E304" i="2"/>
  <c r="O318" i="1"/>
  <c r="D304" i="2"/>
  <c r="K319" i="1"/>
  <c r="O319"/>
  <c r="D305" i="2"/>
  <c r="F305" s="1"/>
  <c r="K320" i="1"/>
  <c r="O320"/>
  <c r="D306" i="2"/>
  <c r="F306"/>
  <c r="K321" i="1"/>
  <c r="P321"/>
  <c r="E307" i="2"/>
  <c r="O321" i="1"/>
  <c r="D307" i="2"/>
  <c r="K322" i="1"/>
  <c r="O322"/>
  <c r="D308" i="2"/>
  <c r="F308" s="1"/>
  <c r="K323" i="1"/>
  <c r="O323"/>
  <c r="D309" i="2"/>
  <c r="F309" s="1"/>
  <c r="K324" i="1"/>
  <c r="O324"/>
  <c r="D310" i="2"/>
  <c r="F310" s="1"/>
  <c r="K325" i="1"/>
  <c r="P325"/>
  <c r="E311" i="2"/>
  <c r="O325" i="1"/>
  <c r="D311" i="2"/>
  <c r="K326" i="1"/>
  <c r="P326"/>
  <c r="E312" i="2"/>
  <c r="O326" i="1"/>
  <c r="D312" i="2"/>
  <c r="K327" i="1"/>
  <c r="O327"/>
  <c r="D313" i="2"/>
  <c r="K328" i="1"/>
  <c r="P328"/>
  <c r="E314" i="2"/>
  <c r="O328" i="1"/>
  <c r="D314" i="2"/>
  <c r="K329" i="1"/>
  <c r="O329"/>
  <c r="D315" i="2"/>
  <c r="F315"/>
  <c r="K330" i="1"/>
  <c r="P330"/>
  <c r="E316" i="2"/>
  <c r="O330" i="1"/>
  <c r="D316" i="2"/>
  <c r="K332" i="1"/>
  <c r="O332"/>
  <c r="D318" i="2"/>
  <c r="F318"/>
  <c r="A333" i="1"/>
  <c r="K333"/>
  <c r="O333"/>
  <c r="D319" i="2"/>
  <c r="P333" i="1"/>
  <c r="E319" i="2"/>
  <c r="K335" i="1"/>
  <c r="O335"/>
  <c r="D320" i="2"/>
  <c r="P335" i="1"/>
  <c r="E320" i="2"/>
  <c r="F320"/>
  <c r="K336" i="1"/>
  <c r="O336"/>
  <c r="D321" i="2"/>
  <c r="F321" s="1"/>
  <c r="K338" i="1"/>
  <c r="P338"/>
  <c r="O338"/>
  <c r="K339"/>
  <c r="P339"/>
  <c r="O339"/>
  <c r="A325" i="2"/>
  <c r="K340" i="1"/>
  <c r="P340"/>
  <c r="O340"/>
  <c r="K341"/>
  <c r="P341"/>
  <c r="O341"/>
  <c r="K342"/>
  <c r="P342"/>
  <c r="O342"/>
  <c r="K343"/>
  <c r="P343"/>
  <c r="O343"/>
  <c r="K344"/>
  <c r="P344"/>
  <c r="O344"/>
  <c r="K345"/>
  <c r="P345"/>
  <c r="O345"/>
  <c r="P346"/>
  <c r="O346"/>
  <c r="O347"/>
  <c r="P347"/>
  <c r="O348"/>
  <c r="P348"/>
  <c r="O349"/>
  <c r="D334" i="2"/>
  <c r="F334" s="1"/>
  <c r="I334"/>
  <c r="K349" i="1"/>
  <c r="A350"/>
  <c r="A335" i="2"/>
  <c r="O350" i="1"/>
  <c r="D335" i="2"/>
  <c r="I335"/>
  <c r="K350" i="1"/>
  <c r="O351"/>
  <c r="D336" i="2"/>
  <c r="K351" i="1"/>
  <c r="O352"/>
  <c r="D337" i="2"/>
  <c r="K352" i="1"/>
  <c r="I338" i="2"/>
  <c r="K353" i="1"/>
  <c r="O353"/>
  <c r="D338" i="2"/>
  <c r="F338"/>
  <c r="O354" i="1"/>
  <c r="D339" i="2"/>
  <c r="F339"/>
  <c r="I339"/>
  <c r="K354" i="1"/>
  <c r="O355"/>
  <c r="D340" i="2"/>
  <c r="F340"/>
  <c r="I340"/>
  <c r="K355" i="1"/>
  <c r="O356"/>
  <c r="P356"/>
  <c r="O357"/>
  <c r="D342" i="2"/>
  <c r="K357" i="1"/>
  <c r="O358"/>
  <c r="D343" i="2"/>
  <c r="I343"/>
  <c r="K358" i="1"/>
  <c r="O359"/>
  <c r="D344" i="2"/>
  <c r="I344"/>
  <c r="K359" i="1"/>
  <c r="O360"/>
  <c r="D345" i="2"/>
  <c r="F345" s="1"/>
  <c r="I345"/>
  <c r="K360" i="1"/>
  <c r="O361"/>
  <c r="D346" i="2"/>
  <c r="F346"/>
  <c r="K361" i="1"/>
  <c r="O362"/>
  <c r="D347" i="2"/>
  <c r="I347"/>
  <c r="K362" i="1"/>
  <c r="O363"/>
  <c r="P363"/>
  <c r="O364"/>
  <c r="D349" i="2"/>
  <c r="F349" s="1"/>
  <c r="K364" i="1"/>
  <c r="O365"/>
  <c r="D350" i="2"/>
  <c r="K365" i="1"/>
  <c r="O366"/>
  <c r="D351" i="2"/>
  <c r="F351"/>
  <c r="I351"/>
  <c r="K366" i="1"/>
  <c r="O367"/>
  <c r="D352" i="2"/>
  <c r="F352" s="1"/>
  <c r="I352"/>
  <c r="K367" i="1"/>
  <c r="O368"/>
  <c r="D353" i="2"/>
  <c r="F353" s="1"/>
  <c r="K368" i="1"/>
  <c r="O369"/>
  <c r="D354" i="2"/>
  <c r="F354" s="1"/>
  <c r="I354"/>
  <c r="K369" i="1"/>
  <c r="D355" i="2"/>
  <c r="I355"/>
  <c r="O370" i="1"/>
  <c r="D356" i="2"/>
  <c r="F356" s="1"/>
  <c r="I356"/>
  <c r="K370" i="1"/>
  <c r="O371"/>
  <c r="P371"/>
  <c r="O372"/>
  <c r="D358" i="2"/>
  <c r="I358"/>
  <c r="K372" i="1"/>
  <c r="O373"/>
  <c r="D359" i="2"/>
  <c r="F359"/>
  <c r="I359"/>
  <c r="K373" i="1"/>
  <c r="O374"/>
  <c r="D360" i="2"/>
  <c r="F360" s="1"/>
  <c r="I360"/>
  <c r="K374" i="1"/>
  <c r="O375"/>
  <c r="D361" i="2"/>
  <c r="F361" s="1"/>
  <c r="I361"/>
  <c r="K375" i="1"/>
  <c r="O376"/>
  <c r="D362" i="2"/>
  <c r="F362"/>
  <c r="I362"/>
  <c r="K376" i="1"/>
  <c r="O377"/>
  <c r="D363" i="2"/>
  <c r="F363"/>
  <c r="K377" i="1"/>
  <c r="O378"/>
  <c r="D364" i="2"/>
  <c r="F364"/>
  <c r="I364"/>
  <c r="K378" i="1"/>
  <c r="O379"/>
  <c r="D365" i="2"/>
  <c r="F365" s="1"/>
  <c r="I365"/>
  <c r="K379" i="1"/>
  <c r="O380"/>
  <c r="D366" i="2"/>
  <c r="I366"/>
  <c r="K380" i="1"/>
  <c r="O381"/>
  <c r="P381"/>
  <c r="O382"/>
  <c r="D368" i="2"/>
  <c r="F368"/>
  <c r="I368"/>
  <c r="K382" i="1"/>
  <c r="O383"/>
  <c r="D369" i="2"/>
  <c r="I369"/>
  <c r="K383" i="1"/>
  <c r="O384"/>
  <c r="D370" i="2"/>
  <c r="F370" s="1"/>
  <c r="I370"/>
  <c r="K384" i="1"/>
  <c r="O385"/>
  <c r="D371" i="2"/>
  <c r="F371" s="1"/>
  <c r="I371"/>
  <c r="K385" i="1"/>
  <c r="O386"/>
  <c r="D372" i="2"/>
  <c r="I372"/>
  <c r="K386" i="1"/>
  <c r="O387"/>
  <c r="D373" i="2"/>
  <c r="F373"/>
  <c r="K387" i="1"/>
  <c r="K393"/>
  <c r="P393"/>
  <c r="E379" i="2"/>
  <c r="F379"/>
  <c r="O393" i="1"/>
  <c r="A394"/>
  <c r="K394"/>
  <c r="P394"/>
  <c r="E380" i="2"/>
  <c r="F380" s="1"/>
  <c r="O394" i="1"/>
  <c r="K395"/>
  <c r="P395"/>
  <c r="E381" i="2"/>
  <c r="F381"/>
  <c r="O395" i="1"/>
  <c r="K396"/>
  <c r="P396"/>
  <c r="E382" i="2"/>
  <c r="F382"/>
  <c r="O396" i="1"/>
  <c r="K398"/>
  <c r="O398"/>
  <c r="P398"/>
  <c r="E384" i="2"/>
  <c r="F384" s="1"/>
  <c r="K400" i="1"/>
  <c r="P400"/>
  <c r="E386" i="2"/>
  <c r="O400" i="1"/>
  <c r="D386" i="2"/>
  <c r="A401" i="1"/>
  <c r="A387" i="2"/>
  <c r="K401" i="1"/>
  <c r="P401"/>
  <c r="E387" i="2"/>
  <c r="O401" i="1"/>
  <c r="D387" i="2"/>
  <c r="K402" i="1"/>
  <c r="P402"/>
  <c r="E388" i="2"/>
  <c r="O402" i="1"/>
  <c r="D388" i="2"/>
  <c r="K403" i="1"/>
  <c r="P403"/>
  <c r="E389" i="2"/>
  <c r="O403" i="1"/>
  <c r="D389" i="2"/>
  <c r="K404" i="1"/>
  <c r="O404"/>
  <c r="D390" i="2"/>
  <c r="F390"/>
  <c r="K405" i="1"/>
  <c r="P405"/>
  <c r="E391" i="2"/>
  <c r="O405" i="1"/>
  <c r="D391" i="2"/>
  <c r="K406" i="1"/>
  <c r="P406"/>
  <c r="E392" i="2"/>
  <c r="O406" i="1"/>
  <c r="D392" i="2"/>
  <c r="K410" i="1"/>
  <c r="O410"/>
  <c r="D396" i="2"/>
  <c r="F396" s="1"/>
  <c r="K411" i="1"/>
  <c r="P411"/>
  <c r="E397" i="2"/>
  <c r="O411" i="1"/>
  <c r="D397" i="2"/>
  <c r="A412" i="1"/>
  <c r="A398" i="2"/>
  <c r="K412" i="1"/>
  <c r="P412"/>
  <c r="E398" i="2"/>
  <c r="O412" i="1"/>
  <c r="D398" i="2"/>
  <c r="K413" i="1"/>
  <c r="O413"/>
  <c r="D399" i="2"/>
  <c r="F399" s="1"/>
  <c r="K414" i="1"/>
  <c r="P414"/>
  <c r="E400" i="2"/>
  <c r="O414" i="1"/>
  <c r="D400" i="2"/>
  <c r="K415" i="1"/>
  <c r="P415"/>
  <c r="E401" i="2"/>
  <c r="O415" i="1"/>
  <c r="D401" i="2"/>
  <c r="K417" i="1"/>
  <c r="P417"/>
  <c r="E403" i="2"/>
  <c r="O417" i="1"/>
  <c r="D403" i="2"/>
  <c r="K418" i="1"/>
  <c r="P418"/>
  <c r="E404" i="2"/>
  <c r="O418" i="1"/>
  <c r="D404" i="2"/>
  <c r="K419" i="1"/>
  <c r="O419"/>
  <c r="D405" i="2"/>
  <c r="F405" s="1"/>
  <c r="K420" i="1"/>
  <c r="P420"/>
  <c r="E406" i="2"/>
  <c r="O420" i="1"/>
  <c r="D406" i="2"/>
  <c r="K422" i="1"/>
  <c r="P422"/>
  <c r="E408" i="2"/>
  <c r="O422" i="1"/>
  <c r="D408" i="2"/>
  <c r="K423" i="1"/>
  <c r="O423"/>
  <c r="D409" i="2"/>
  <c r="F409"/>
  <c r="K424" i="1"/>
  <c r="O424"/>
  <c r="D410" i="2"/>
  <c r="K425" i="1"/>
  <c r="P425"/>
  <c r="E411" i="2"/>
  <c r="O425" i="1"/>
  <c r="D411" i="2"/>
  <c r="K426" i="1"/>
  <c r="O426"/>
  <c r="D412" i="2"/>
  <c r="K427" i="1"/>
  <c r="O428"/>
  <c r="D414" i="2"/>
  <c r="F414"/>
  <c r="K428" i="1"/>
  <c r="K429"/>
  <c r="O430"/>
  <c r="D416" i="2"/>
  <c r="F416"/>
  <c r="K430" i="1"/>
  <c r="O431"/>
  <c r="D417" i="2"/>
  <c r="F417"/>
  <c r="K431" i="1"/>
  <c r="K433"/>
  <c r="O433"/>
  <c r="D419" i="2"/>
  <c r="K434" i="1"/>
  <c r="P434"/>
  <c r="E420" i="2"/>
  <c r="O434" i="1"/>
  <c r="D420" i="2"/>
  <c r="K435" i="1"/>
  <c r="O435"/>
  <c r="D421" i="2"/>
  <c r="F421" s="1"/>
  <c r="K436" i="1"/>
  <c r="O436"/>
  <c r="D422" i="2"/>
  <c r="K437" i="1"/>
  <c r="O437"/>
  <c r="D423" i="2"/>
  <c r="K438" i="1"/>
  <c r="P438"/>
  <c r="E424" i="2"/>
  <c r="O438" i="1"/>
  <c r="D424" i="2"/>
  <c r="K439" i="1"/>
  <c r="P439"/>
  <c r="E425" i="2"/>
  <c r="O439" i="1"/>
  <c r="D425" i="2"/>
  <c r="K440" i="1"/>
  <c r="P440"/>
  <c r="E426" i="2"/>
  <c r="O440" i="1"/>
  <c r="D426" i="2"/>
  <c r="K441" i="1"/>
  <c r="O441"/>
  <c r="D427" i="2"/>
  <c r="K442" i="1"/>
  <c r="P442"/>
  <c r="E428" i="2"/>
  <c r="O442" i="1"/>
  <c r="D428" i="2"/>
  <c r="K443" i="1"/>
  <c r="P443"/>
  <c r="E429" i="2"/>
  <c r="O443" i="1"/>
  <c r="D429" i="2"/>
  <c r="K444" i="1"/>
  <c r="O444"/>
  <c r="D430" i="2"/>
  <c r="F430"/>
  <c r="K445" i="1"/>
  <c r="O445"/>
  <c r="D431" i="2"/>
  <c r="K446" i="1"/>
  <c r="P446"/>
  <c r="E432" i="2"/>
  <c r="O446" i="1"/>
  <c r="D432" i="2"/>
  <c r="K447" i="1"/>
  <c r="P447"/>
  <c r="E433" i="2"/>
  <c r="O447" i="1"/>
  <c r="D433" i="2"/>
  <c r="K451" i="1"/>
  <c r="P451"/>
  <c r="E437" i="2"/>
  <c r="O451" i="1"/>
  <c r="D437" i="2"/>
  <c r="A452" i="1"/>
  <c r="A453"/>
  <c r="A455"/>
  <c r="A456"/>
  <c r="K452"/>
  <c r="P452"/>
  <c r="E438" i="2"/>
  <c r="O452" i="1"/>
  <c r="D438" i="2"/>
  <c r="K453" i="1"/>
  <c r="P453"/>
  <c r="E439" i="2"/>
  <c r="O453" i="1"/>
  <c r="D439" i="2"/>
  <c r="K455" i="1"/>
  <c r="O455"/>
  <c r="D441" i="2"/>
  <c r="F441"/>
  <c r="K456" i="1"/>
  <c r="P456"/>
  <c r="E442" i="2"/>
  <c r="O456" i="1"/>
  <c r="D442" i="2"/>
  <c r="K458" i="1"/>
  <c r="P458"/>
  <c r="E444" i="2"/>
  <c r="O458" i="1"/>
  <c r="D444" i="2"/>
  <c r="K459" i="1"/>
  <c r="P459"/>
  <c r="E445" i="2"/>
  <c r="O459" i="1"/>
  <c r="D445" i="2"/>
  <c r="K463" i="1"/>
  <c r="P463"/>
  <c r="E449" i="2"/>
  <c r="O463" i="1"/>
  <c r="D449" i="2"/>
  <c r="A464" i="1"/>
  <c r="K465"/>
  <c r="P465"/>
  <c r="E451" i="2"/>
  <c r="O465" i="1"/>
  <c r="D451" i="2"/>
  <c r="K466" i="1"/>
  <c r="P466"/>
  <c r="E452" i="2"/>
  <c r="O466" i="1"/>
  <c r="D452" i="2"/>
  <c r="K467" i="1"/>
  <c r="P467"/>
  <c r="E453" i="2"/>
  <c r="O467" i="1"/>
  <c r="D453" i="2"/>
  <c r="K468" i="1"/>
  <c r="O468"/>
  <c r="D454" i="2"/>
  <c r="F454"/>
  <c r="K469" i="1"/>
  <c r="P469"/>
  <c r="E455" i="2"/>
  <c r="O469" i="1"/>
  <c r="D455" i="2"/>
  <c r="K470" i="1"/>
  <c r="O470"/>
  <c r="D456" i="2"/>
  <c r="F456"/>
  <c r="K472" i="1"/>
  <c r="O472"/>
  <c r="D458" i="2"/>
  <c r="A473" i="1"/>
  <c r="A474"/>
  <c r="A475"/>
  <c r="A461" i="2"/>
  <c r="K473" i="1"/>
  <c r="O473"/>
  <c r="D459" i="2"/>
  <c r="K474" i="1"/>
  <c r="O474"/>
  <c r="D460" i="2"/>
  <c r="K475" i="1"/>
  <c r="O475"/>
  <c r="D461" i="2"/>
  <c r="F461" s="1"/>
  <c r="K476" i="1"/>
  <c r="O476"/>
  <c r="D462" i="2"/>
  <c r="K480" i="1"/>
  <c r="P480"/>
  <c r="E466" i="2"/>
  <c r="O480" i="1"/>
  <c r="D466" i="2"/>
  <c r="A481" i="1"/>
  <c r="A467" i="2"/>
  <c r="K481" i="1"/>
  <c r="P481"/>
  <c r="E467" i="2"/>
  <c r="O481" i="1"/>
  <c r="D467" i="2"/>
  <c r="O482" i="1"/>
  <c r="P482"/>
  <c r="O483"/>
  <c r="P483"/>
  <c r="D484"/>
  <c r="L484"/>
  <c r="P484"/>
  <c r="E470" i="2"/>
  <c r="K484" i="1"/>
  <c r="A485"/>
  <c r="A471" i="2"/>
  <c r="D485" i="1"/>
  <c r="O485"/>
  <c r="D471" i="2"/>
  <c r="K485" i="1"/>
  <c r="D486"/>
  <c r="K486"/>
  <c r="D487"/>
  <c r="L487"/>
  <c r="P487"/>
  <c r="E473" i="2"/>
  <c r="K487" i="1"/>
  <c r="O488"/>
  <c r="P488"/>
  <c r="K489"/>
  <c r="L489"/>
  <c r="P489"/>
  <c r="E475" i="2"/>
  <c r="O489" i="1"/>
  <c r="D475" i="2"/>
  <c r="A490" i="1"/>
  <c r="K490"/>
  <c r="L490"/>
  <c r="P490"/>
  <c r="E476" i="2"/>
  <c r="O490" i="1"/>
  <c r="D476" i="2"/>
  <c r="K491" i="1"/>
  <c r="L491"/>
  <c r="P491"/>
  <c r="E477" i="2"/>
  <c r="O491" i="1"/>
  <c r="D477" i="2"/>
  <c r="K492" i="1"/>
  <c r="L492"/>
  <c r="P492"/>
  <c r="E478" i="2"/>
  <c r="O492" i="1"/>
  <c r="D478" i="2"/>
  <c r="O493" i="1"/>
  <c r="P493"/>
  <c r="K494"/>
  <c r="L494"/>
  <c r="P494"/>
  <c r="E480" i="2"/>
  <c r="O494" i="1"/>
  <c r="D480" i="2"/>
  <c r="A495" i="1"/>
  <c r="A481" i="2"/>
  <c r="K495" i="1"/>
  <c r="L495"/>
  <c r="P495"/>
  <c r="E481" i="2"/>
  <c r="O495" i="1"/>
  <c r="D481" i="2"/>
  <c r="K496" i="1"/>
  <c r="L496"/>
  <c r="P496"/>
  <c r="E482" i="2"/>
  <c r="O496" i="1"/>
  <c r="D482" i="2"/>
  <c r="K497" i="1"/>
  <c r="L497"/>
  <c r="P497"/>
  <c r="E483" i="2"/>
  <c r="O497" i="1"/>
  <c r="D483" i="2"/>
  <c r="O498" i="1"/>
  <c r="P498"/>
  <c r="D499"/>
  <c r="O499"/>
  <c r="D485" i="2"/>
  <c r="K499" i="1"/>
  <c r="A500"/>
  <c r="A486" i="2"/>
  <c r="D500" i="1"/>
  <c r="L500"/>
  <c r="P500"/>
  <c r="E486" i="2"/>
  <c r="K500" i="1"/>
  <c r="D501"/>
  <c r="O501"/>
  <c r="D487" i="2"/>
  <c r="K501" i="1"/>
  <c r="D502"/>
  <c r="L502"/>
  <c r="P502"/>
  <c r="E488" i="2"/>
  <c r="K502" i="1"/>
  <c r="K504"/>
  <c r="P504"/>
  <c r="E490" i="2"/>
  <c r="O504" i="1"/>
  <c r="D490" i="2"/>
  <c r="K505" i="1"/>
  <c r="P505"/>
  <c r="E491" i="2"/>
  <c r="O505" i="1"/>
  <c r="D491" i="2"/>
  <c r="K506" i="1"/>
  <c r="P506"/>
  <c r="E492" i="2"/>
  <c r="O506" i="1"/>
  <c r="D492" i="2"/>
  <c r="K507" i="1"/>
  <c r="P507"/>
  <c r="E493" i="2"/>
  <c r="O507" i="1"/>
  <c r="D493" i="2"/>
  <c r="K508" i="1"/>
  <c r="O508"/>
  <c r="D494" i="2"/>
  <c r="K509" i="1"/>
  <c r="P509"/>
  <c r="E495" i="2"/>
  <c r="O509" i="1"/>
  <c r="D495" i="2"/>
  <c r="K510" i="1"/>
  <c r="P510"/>
  <c r="E496" i="2"/>
  <c r="O510" i="1"/>
  <c r="D496" i="2"/>
  <c r="K511" i="1"/>
  <c r="P511"/>
  <c r="E497" i="2"/>
  <c r="O511" i="1"/>
  <c r="D497" i="2"/>
  <c r="K512" i="1"/>
  <c r="O512"/>
  <c r="D498" i="2"/>
  <c r="F498" s="1"/>
  <c r="K513" i="1"/>
  <c r="P513"/>
  <c r="E499" i="2"/>
  <c r="O513" i="1"/>
  <c r="D499" i="2"/>
  <c r="K514" i="1"/>
  <c r="P514"/>
  <c r="E500" i="2"/>
  <c r="O514" i="1"/>
  <c r="D500" i="2"/>
  <c r="K515" i="1"/>
  <c r="P515"/>
  <c r="E501" i="2"/>
  <c r="O515" i="1"/>
  <c r="D501" i="2"/>
  <c r="K516" i="1"/>
  <c r="O516"/>
  <c r="D502" i="2"/>
  <c r="F502" s="1"/>
  <c r="K517" i="1"/>
  <c r="P517"/>
  <c r="E503" i="2"/>
  <c r="O517" i="1"/>
  <c r="D503" i="2"/>
  <c r="K518" i="1"/>
  <c r="P518"/>
  <c r="E504" i="2"/>
  <c r="O518" i="1"/>
  <c r="D504" i="2"/>
  <c r="K519" i="1"/>
  <c r="P519"/>
  <c r="E505" i="2"/>
  <c r="O519" i="1"/>
  <c r="D505" i="2"/>
  <c r="A507"/>
  <c r="D507"/>
  <c r="E507"/>
  <c r="E508"/>
  <c r="F508"/>
  <c r="A509"/>
  <c r="D509"/>
  <c r="F509"/>
  <c r="D510"/>
  <c r="E510"/>
  <c r="K521" i="1"/>
  <c r="P521"/>
  <c r="E512" i="2"/>
  <c r="O521" i="1"/>
  <c r="D512" i="2"/>
  <c r="A522" i="1"/>
  <c r="A513" i="2"/>
  <c r="K522" i="1"/>
  <c r="P522"/>
  <c r="E513" i="2"/>
  <c r="O522" i="1"/>
  <c r="D513" i="2"/>
  <c r="E526" i="1"/>
  <c r="M526"/>
  <c r="P526"/>
  <c r="E517" i="2"/>
  <c r="K526" i="1"/>
  <c r="A527"/>
  <c r="A528"/>
  <c r="A529"/>
  <c r="A530"/>
  <c r="A521" i="2"/>
  <c r="E527" i="1"/>
  <c r="M527"/>
  <c r="P527"/>
  <c r="E518" i="2"/>
  <c r="K527" i="1"/>
  <c r="E528"/>
  <c r="O528"/>
  <c r="D519" i="2"/>
  <c r="K528" i="1"/>
  <c r="E529"/>
  <c r="M529"/>
  <c r="P529"/>
  <c r="E520" i="2"/>
  <c r="K529" i="1"/>
  <c r="E530"/>
  <c r="O530"/>
  <c r="D521" i="2"/>
  <c r="K530" i="1"/>
  <c r="E531"/>
  <c r="M531"/>
  <c r="P531"/>
  <c r="E522" i="2"/>
  <c r="K531" i="1"/>
  <c r="E532"/>
  <c r="O532"/>
  <c r="D523" i="2"/>
  <c r="K532" i="1"/>
  <c r="E534"/>
  <c r="O534"/>
  <c r="K534"/>
  <c r="E535"/>
  <c r="O535"/>
  <c r="D526" i="2"/>
  <c r="K535" i="1"/>
  <c r="E536"/>
  <c r="M536"/>
  <c r="P536"/>
  <c r="E527" i="2"/>
  <c r="K536" i="1"/>
  <c r="E537"/>
  <c r="O537"/>
  <c r="D528" i="2"/>
  <c r="K537" i="1"/>
  <c r="K539"/>
  <c r="M539"/>
  <c r="P539"/>
  <c r="E530" i="2"/>
  <c r="O539" i="1"/>
  <c r="D530" i="2"/>
  <c r="K540" i="1"/>
  <c r="M540"/>
  <c r="P540"/>
  <c r="E531" i="2"/>
  <c r="O540" i="1"/>
  <c r="D531" i="2"/>
  <c r="K541" i="1"/>
  <c r="M541"/>
  <c r="P541"/>
  <c r="E532" i="2"/>
  <c r="O541" i="1"/>
  <c r="D532" i="2"/>
  <c r="K542" i="1"/>
  <c r="M542"/>
  <c r="P542"/>
  <c r="E533" i="2"/>
  <c r="O542" i="1"/>
  <c r="D533" i="2"/>
  <c r="K543" i="1"/>
  <c r="M543"/>
  <c r="P543"/>
  <c r="E534" i="2"/>
  <c r="O543" i="1"/>
  <c r="D534" i="2"/>
  <c r="K544" i="1"/>
  <c r="M544"/>
  <c r="P544"/>
  <c r="E535" i="2"/>
  <c r="O544" i="1"/>
  <c r="D535" i="2"/>
  <c r="K545" i="1"/>
  <c r="M545"/>
  <c r="P545"/>
  <c r="E536" i="2"/>
  <c r="O545" i="1"/>
  <c r="D536" i="2"/>
  <c r="K546" i="1"/>
  <c r="M546"/>
  <c r="P546"/>
  <c r="E537" i="2"/>
  <c r="O546" i="1"/>
  <c r="D537" i="2"/>
  <c r="K547" i="1"/>
  <c r="M547"/>
  <c r="P547"/>
  <c r="E538" i="2"/>
  <c r="O547" i="1"/>
  <c r="D538" i="2"/>
  <c r="K551" i="1"/>
  <c r="P551"/>
  <c r="E542" i="2"/>
  <c r="O551" i="1"/>
  <c r="D542" i="2"/>
  <c r="A552" i="1"/>
  <c r="A543" i="2"/>
  <c r="K552" i="1"/>
  <c r="P552"/>
  <c r="E543" i="2"/>
  <c r="O552" i="1"/>
  <c r="D543" i="2"/>
  <c r="K554" i="1"/>
  <c r="P554"/>
  <c r="E545" i="2"/>
  <c r="O554" i="1"/>
  <c r="D545" i="2"/>
  <c r="A555" i="1"/>
  <c r="A546" i="2"/>
  <c r="K555" i="1"/>
  <c r="P555"/>
  <c r="E546" i="2"/>
  <c r="O555" i="1"/>
  <c r="D546" i="2"/>
  <c r="K557" i="1"/>
  <c r="P557"/>
  <c r="E548" i="2"/>
  <c r="O557" i="1"/>
  <c r="D548" i="2"/>
  <c r="K558" i="1"/>
  <c r="P558"/>
  <c r="E549" i="2"/>
  <c r="O558" i="1"/>
  <c r="D549" i="2"/>
  <c r="K560" i="1"/>
  <c r="P560"/>
  <c r="E551" i="2"/>
  <c r="O560" i="1"/>
  <c r="D551" i="2"/>
  <c r="A561" i="1"/>
  <c r="A552" i="2"/>
  <c r="K561" i="1"/>
  <c r="P561"/>
  <c r="E552" i="2"/>
  <c r="O561" i="1"/>
  <c r="D552" i="2"/>
  <c r="K563" i="1"/>
  <c r="P563"/>
  <c r="E554" i="2"/>
  <c r="O563" i="1"/>
  <c r="D554" i="2"/>
  <c r="A564" i="1"/>
  <c r="A555" i="2"/>
  <c r="K564" i="1"/>
  <c r="P564"/>
  <c r="E555" i="2"/>
  <c r="O564" i="1"/>
  <c r="D555" i="2"/>
  <c r="K566" i="1"/>
  <c r="P566"/>
  <c r="E557" i="2"/>
  <c r="O566" i="1"/>
  <c r="D557" i="2"/>
  <c r="A567" i="1"/>
  <c r="A558" i="2"/>
  <c r="K567" i="1"/>
  <c r="P567"/>
  <c r="E558" i="2"/>
  <c r="O567" i="1"/>
  <c r="D558" i="2"/>
  <c r="K569" i="1"/>
  <c r="P569"/>
  <c r="E560" i="2"/>
  <c r="O569" i="1"/>
  <c r="D560" i="2"/>
  <c r="A570" i="1"/>
  <c r="A561" i="2"/>
  <c r="K570" i="1"/>
  <c r="P570"/>
  <c r="E561" i="2"/>
  <c r="O570" i="1"/>
  <c r="D561" i="2"/>
  <c r="K572" i="1"/>
  <c r="M572"/>
  <c r="P572"/>
  <c r="E563" i="2"/>
  <c r="O572" i="1"/>
  <c r="D563" i="2"/>
  <c r="A573" i="1"/>
  <c r="K573"/>
  <c r="M573"/>
  <c r="P573"/>
  <c r="E564" i="2"/>
  <c r="O573" i="1"/>
  <c r="D564" i="2"/>
  <c r="K574" i="1"/>
  <c r="M574"/>
  <c r="P574"/>
  <c r="E565" i="2"/>
  <c r="O574" i="1"/>
  <c r="D565" i="2"/>
  <c r="K576" i="1"/>
  <c r="M576"/>
  <c r="P576"/>
  <c r="E567" i="2"/>
  <c r="O576" i="1"/>
  <c r="D567" i="2"/>
  <c r="K577" i="1"/>
  <c r="M577"/>
  <c r="P577"/>
  <c r="E568" i="2"/>
  <c r="O577" i="1"/>
  <c r="D568" i="2"/>
  <c r="K579" i="1"/>
  <c r="M579"/>
  <c r="P579"/>
  <c r="E570" i="2"/>
  <c r="O579" i="1"/>
  <c r="D570" i="2"/>
  <c r="K580" i="1"/>
  <c r="M580"/>
  <c r="P580"/>
  <c r="E571" i="2"/>
  <c r="O580" i="1"/>
  <c r="D571" i="2"/>
  <c r="K581" i="1"/>
  <c r="M581"/>
  <c r="P581"/>
  <c r="E572" i="2"/>
  <c r="O581" i="1"/>
  <c r="D572" i="2"/>
  <c r="K583" i="1"/>
  <c r="M583"/>
  <c r="P583"/>
  <c r="E574" i="2"/>
  <c r="O583" i="1"/>
  <c r="D574" i="2"/>
  <c r="K584" i="1"/>
  <c r="M584"/>
  <c r="P584"/>
  <c r="E575" i="2"/>
  <c r="O584" i="1"/>
  <c r="D575" i="2"/>
  <c r="K586" i="1"/>
  <c r="M586"/>
  <c r="P586"/>
  <c r="E577" i="2"/>
  <c r="O586" i="1"/>
  <c r="D577" i="2"/>
  <c r="K587" i="1"/>
  <c r="M587"/>
  <c r="P587"/>
  <c r="E578" i="2"/>
  <c r="O587" i="1"/>
  <c r="D578" i="2"/>
  <c r="K588" i="1"/>
  <c r="M588"/>
  <c r="P588"/>
  <c r="E579" i="2"/>
  <c r="O588" i="1"/>
  <c r="D579" i="2"/>
  <c r="E590" i="1"/>
  <c r="M590"/>
  <c r="P590"/>
  <c r="E581" i="2"/>
  <c r="K590" i="1"/>
  <c r="A591"/>
  <c r="A592"/>
  <c r="A583" i="2"/>
  <c r="E591" i="1"/>
  <c r="O591"/>
  <c r="D582" i="2"/>
  <c r="K591" i="1"/>
  <c r="E592"/>
  <c r="K592"/>
  <c r="E593"/>
  <c r="O593"/>
  <c r="D584" i="2"/>
  <c r="K593" i="1"/>
  <c r="E594"/>
  <c r="K594"/>
  <c r="E595"/>
  <c r="M595"/>
  <c r="P595"/>
  <c r="E586" i="2"/>
  <c r="K595" i="1"/>
  <c r="E596"/>
  <c r="M596"/>
  <c r="P596"/>
  <c r="E587" i="2"/>
  <c r="K596" i="1"/>
  <c r="K599"/>
  <c r="O599"/>
  <c r="D590" i="2"/>
  <c r="P599" i="1"/>
  <c r="E590" i="2"/>
  <c r="A600" i="1"/>
  <c r="A591" i="2"/>
  <c r="K600" i="1"/>
  <c r="O600"/>
  <c r="D591" i="2"/>
  <c r="F591" s="1"/>
  <c r="K601" i="1"/>
  <c r="P601"/>
  <c r="E592" i="2"/>
  <c r="O601" i="1"/>
  <c r="D592" i="2"/>
  <c r="K602" i="1"/>
  <c r="O602"/>
  <c r="D593" i="2"/>
  <c r="F593"/>
  <c r="K603" i="1"/>
  <c r="O603"/>
  <c r="D594" i="2"/>
  <c r="F594"/>
  <c r="K604" i="1"/>
  <c r="O604"/>
  <c r="D595" i="2"/>
  <c r="F595"/>
  <c r="K605" i="1"/>
  <c r="P605"/>
  <c r="E596" i="2"/>
  <c r="O605" i="1"/>
  <c r="D596" i="2"/>
  <c r="K607" i="1"/>
  <c r="P607"/>
  <c r="E598" i="2"/>
  <c r="O607" i="1"/>
  <c r="D598" i="2"/>
  <c r="A608" i="1"/>
  <c r="A609"/>
  <c r="A600" i="2"/>
  <c r="K608" i="1"/>
  <c r="P608"/>
  <c r="E599" i="2"/>
  <c r="O608" i="1"/>
  <c r="D599" i="2"/>
  <c r="K609" i="1"/>
  <c r="P609"/>
  <c r="E600" i="2"/>
  <c r="O609" i="1"/>
  <c r="D600" i="2"/>
  <c r="K610" i="1"/>
  <c r="P610"/>
  <c r="E601" i="2"/>
  <c r="O610" i="1"/>
  <c r="D601" i="2"/>
  <c r="K611" i="1"/>
  <c r="P611"/>
  <c r="E602" i="2"/>
  <c r="O611" i="1"/>
  <c r="D602" i="2"/>
  <c r="K612" i="1"/>
  <c r="P612"/>
  <c r="E603" i="2"/>
  <c r="O612" i="1"/>
  <c r="D603" i="2"/>
  <c r="K613" i="1"/>
  <c r="O613"/>
  <c r="D604" i="2"/>
  <c r="F604" s="1"/>
  <c r="K614" i="1"/>
  <c r="O614"/>
  <c r="D605" i="2"/>
  <c r="F605" s="1"/>
  <c r="E616" i="1"/>
  <c r="K616"/>
  <c r="E617"/>
  <c r="O617"/>
  <c r="D608" i="2"/>
  <c r="K617" i="1"/>
  <c r="E620"/>
  <c r="O620"/>
  <c r="D611" i="2"/>
  <c r="K620" i="1"/>
  <c r="A621"/>
  <c r="A612" i="2"/>
  <c r="E621" i="1"/>
  <c r="M621"/>
  <c r="P621"/>
  <c r="E612" i="2"/>
  <c r="K621" i="1"/>
  <c r="E622"/>
  <c r="K622"/>
  <c r="E623"/>
  <c r="M623"/>
  <c r="P623"/>
  <c r="E614" i="2"/>
  <c r="K623" i="1"/>
  <c r="E624"/>
  <c r="O624"/>
  <c r="D615" i="2"/>
  <c r="K624" i="1"/>
  <c r="E625"/>
  <c r="M625"/>
  <c r="P625"/>
  <c r="E616" i="2"/>
  <c r="K625" i="1"/>
  <c r="E626"/>
  <c r="M626"/>
  <c r="P626"/>
  <c r="E617" i="2"/>
  <c r="K626" i="1"/>
  <c r="E627"/>
  <c r="M627"/>
  <c r="P627"/>
  <c r="E618" i="2"/>
  <c r="K627" i="1"/>
  <c r="E628"/>
  <c r="O628"/>
  <c r="D619" i="2"/>
  <c r="K628" i="1"/>
  <c r="E629"/>
  <c r="M629"/>
  <c r="P629"/>
  <c r="E620" i="2"/>
  <c r="K629" i="1"/>
  <c r="E631"/>
  <c r="K631"/>
  <c r="A632"/>
  <c r="A633"/>
  <c r="A624" i="2"/>
  <c r="E632" i="1"/>
  <c r="K632"/>
  <c r="E633"/>
  <c r="F633"/>
  <c r="N633"/>
  <c r="K633"/>
  <c r="E634"/>
  <c r="M634"/>
  <c r="P634"/>
  <c r="E625" i="2"/>
  <c r="K634" i="1"/>
  <c r="E635"/>
  <c r="O635"/>
  <c r="D626" i="2"/>
  <c r="K635" i="1"/>
  <c r="E636"/>
  <c r="F636"/>
  <c r="N636"/>
  <c r="K636"/>
  <c r="E637"/>
  <c r="M637"/>
  <c r="P637"/>
  <c r="E628" i="2"/>
  <c r="K637" i="1"/>
  <c r="E638"/>
  <c r="K638"/>
  <c r="E639"/>
  <c r="M639"/>
  <c r="P639"/>
  <c r="E630" i="2"/>
  <c r="K639" i="1"/>
  <c r="E640"/>
  <c r="F640"/>
  <c r="N640"/>
  <c r="K640"/>
  <c r="E641"/>
  <c r="K641"/>
  <c r="E642"/>
  <c r="F642"/>
  <c r="N642"/>
  <c r="K642"/>
  <c r="E644"/>
  <c r="O644"/>
  <c r="D635" i="2"/>
  <c r="K644" i="1"/>
  <c r="A645"/>
  <c r="A646"/>
  <c r="A647"/>
  <c r="E645"/>
  <c r="O645"/>
  <c r="D636" i="2"/>
  <c r="K645" i="1"/>
  <c r="E646"/>
  <c r="M646"/>
  <c r="P646"/>
  <c r="E637" i="2"/>
  <c r="K646" i="1"/>
  <c r="E647"/>
  <c r="M647"/>
  <c r="P647"/>
  <c r="E638" i="2"/>
  <c r="K647" i="1"/>
  <c r="E648"/>
  <c r="F648"/>
  <c r="N648"/>
  <c r="K648"/>
  <c r="E649"/>
  <c r="K649"/>
  <c r="E650"/>
  <c r="M650"/>
  <c r="P650"/>
  <c r="E641" i="2"/>
  <c r="K650" i="1"/>
  <c r="E651"/>
  <c r="F651"/>
  <c r="N651"/>
  <c r="K651"/>
  <c r="E652"/>
  <c r="O652"/>
  <c r="D643" i="2"/>
  <c r="K652" i="1"/>
  <c r="E653"/>
  <c r="K653"/>
  <c r="E656"/>
  <c r="M656"/>
  <c r="P656"/>
  <c r="E647" i="2"/>
  <c r="K656" i="1"/>
  <c r="A657"/>
  <c r="E657"/>
  <c r="F657"/>
  <c r="N657"/>
  <c r="K657"/>
  <c r="E658"/>
  <c r="K658"/>
  <c r="E660"/>
  <c r="K660"/>
  <c r="E662"/>
  <c r="K662"/>
  <c r="E663"/>
  <c r="F663"/>
  <c r="N663"/>
  <c r="K663"/>
  <c r="E665"/>
  <c r="O665"/>
  <c r="D656" i="2"/>
  <c r="K665" i="1"/>
  <c r="E666"/>
  <c r="M666"/>
  <c r="P666"/>
  <c r="E657" i="2"/>
  <c r="K666" i="1"/>
  <c r="A668"/>
  <c r="E668"/>
  <c r="O668"/>
  <c r="D659" i="2"/>
  <c r="K668" i="1"/>
  <c r="E669"/>
  <c r="O669"/>
  <c r="D660" i="2"/>
  <c r="K669" i="1"/>
  <c r="K671"/>
  <c r="M671"/>
  <c r="P671"/>
  <c r="E662" i="2"/>
  <c r="O671" i="1"/>
  <c r="D662" i="2"/>
  <c r="K672" i="1"/>
  <c r="M672"/>
  <c r="P672"/>
  <c r="E663" i="2"/>
  <c r="O672" i="1"/>
  <c r="D663" i="2"/>
  <c r="K673" i="1"/>
  <c r="M673"/>
  <c r="P673"/>
  <c r="E664" i="2"/>
  <c r="O673" i="1"/>
  <c r="D664" i="2"/>
  <c r="K674" i="1"/>
  <c r="M674"/>
  <c r="P674"/>
  <c r="E665" i="2"/>
  <c r="O674" i="1"/>
  <c r="D665" i="2"/>
  <c r="K675" i="1"/>
  <c r="M675"/>
  <c r="P675"/>
  <c r="E666" i="2"/>
  <c r="O675" i="1"/>
  <c r="D666" i="2"/>
  <c r="K676" i="1"/>
  <c r="M676"/>
  <c r="P676"/>
  <c r="E667" i="2"/>
  <c r="O676" i="1"/>
  <c r="D667" i="2"/>
  <c r="K677" i="1"/>
  <c r="M677"/>
  <c r="P677"/>
  <c r="E668" i="2"/>
  <c r="O677" i="1"/>
  <c r="D668" i="2"/>
  <c r="K678" i="1"/>
  <c r="M678"/>
  <c r="P678"/>
  <c r="E669" i="2"/>
  <c r="O678" i="1"/>
  <c r="D669" i="2"/>
  <c r="K679" i="1"/>
  <c r="M679"/>
  <c r="P679"/>
  <c r="E670" i="2"/>
  <c r="O679" i="1"/>
  <c r="D670" i="2"/>
  <c r="K680" i="1"/>
  <c r="M680"/>
  <c r="P680"/>
  <c r="E671" i="2"/>
  <c r="O680" i="1"/>
  <c r="D671" i="2"/>
  <c r="K681" i="1"/>
  <c r="M681"/>
  <c r="P681"/>
  <c r="E672" i="2"/>
  <c r="O681" i="1"/>
  <c r="D672" i="2"/>
  <c r="K685" i="1"/>
  <c r="P685"/>
  <c r="E676" i="2"/>
  <c r="O685" i="1"/>
  <c r="D676" i="2"/>
  <c r="A686" i="1"/>
  <c r="A677" i="2"/>
  <c r="K686" i="1"/>
  <c r="P686"/>
  <c r="E677" i="2"/>
  <c r="O686" i="1"/>
  <c r="D677" i="2"/>
  <c r="K687" i="1"/>
  <c r="P687"/>
  <c r="E678" i="2"/>
  <c r="O687" i="1"/>
  <c r="D678" i="2"/>
  <c r="K688" i="1"/>
  <c r="P688"/>
  <c r="E679" i="2"/>
  <c r="O688" i="1"/>
  <c r="D679" i="2"/>
  <c r="K689" i="1"/>
  <c r="P689"/>
  <c r="E680" i="2"/>
  <c r="O689" i="1"/>
  <c r="D680" i="2"/>
  <c r="K690" i="1"/>
  <c r="P690"/>
  <c r="E681" i="2"/>
  <c r="O690" i="1"/>
  <c r="D681" i="2"/>
  <c r="K691" i="1"/>
  <c r="P691"/>
  <c r="E682" i="2"/>
  <c r="O691" i="1"/>
  <c r="D682" i="2"/>
  <c r="K692" i="1"/>
  <c r="P692"/>
  <c r="E683" i="2"/>
  <c r="O692" i="1"/>
  <c r="D683" i="2"/>
  <c r="K695" i="1"/>
  <c r="P695"/>
  <c r="E686" i="2"/>
  <c r="O695" i="1"/>
  <c r="D686" i="2"/>
  <c r="K696" i="1"/>
  <c r="P696"/>
  <c r="E687" i="2"/>
  <c r="O696" i="1"/>
  <c r="D687" i="2"/>
  <c r="K697" i="1"/>
  <c r="P697"/>
  <c r="E688" i="2"/>
  <c r="O697" i="1"/>
  <c r="D688" i="2"/>
  <c r="K699" i="1"/>
  <c r="P699"/>
  <c r="E690" i="2"/>
  <c r="F690" s="1"/>
  <c r="K700" i="1"/>
  <c r="P700"/>
  <c r="E691" i="2"/>
  <c r="F691" s="1"/>
  <c r="K701" i="1"/>
  <c r="P701"/>
  <c r="E692" i="2"/>
  <c r="F692" s="1"/>
  <c r="K728" i="1"/>
  <c r="O728"/>
  <c r="D719" i="2"/>
  <c r="F719" s="1"/>
  <c r="K733" i="1"/>
  <c r="A734"/>
  <c r="A735"/>
  <c r="A736"/>
  <c r="A727" i="2"/>
  <c r="K734" i="1"/>
  <c r="P734"/>
  <c r="E725" i="2"/>
  <c r="O734" i="1"/>
  <c r="D725" i="2"/>
  <c r="K735" i="1"/>
  <c r="P735"/>
  <c r="E726" i="2"/>
  <c r="O735" i="1"/>
  <c r="D726" i="2"/>
  <c r="K736" i="1"/>
  <c r="P736"/>
  <c r="E727" i="2"/>
  <c r="O736" i="1"/>
  <c r="D727" i="2"/>
  <c r="K738" i="1"/>
  <c r="O738"/>
  <c r="D729" i="2"/>
  <c r="F729" s="1"/>
  <c r="K739" i="1"/>
  <c r="O739"/>
  <c r="D730" i="2"/>
  <c r="F730" s="1"/>
  <c r="K740" i="1"/>
  <c r="K745"/>
  <c r="O745"/>
  <c r="D736" i="2"/>
  <c r="F736"/>
  <c r="K746" i="1"/>
  <c r="O746"/>
  <c r="D737" i="2"/>
  <c r="F737"/>
  <c r="K747" i="1"/>
  <c r="O747"/>
  <c r="D738" i="2"/>
  <c r="F738"/>
  <c r="K754" i="1"/>
  <c r="O754"/>
  <c r="D740" i="2"/>
  <c r="F740"/>
  <c r="K769" i="1"/>
  <c r="O769"/>
  <c r="D743" i="2"/>
  <c r="F743"/>
  <c r="K770" i="1"/>
  <c r="O770"/>
  <c r="D744" i="2"/>
  <c r="F744"/>
  <c r="K771" i="1"/>
  <c r="O771"/>
  <c r="D745" i="2"/>
  <c r="F745"/>
  <c r="K823" i="1"/>
  <c r="M823"/>
  <c r="P823"/>
  <c r="E797" i="2"/>
  <c r="O823" i="1"/>
  <c r="D797" i="2"/>
  <c r="A824" i="1"/>
  <c r="A798" i="2"/>
  <c r="K824" i="1"/>
  <c r="M824"/>
  <c r="P824"/>
  <c r="E798" i="2"/>
  <c r="O824" i="1"/>
  <c r="D798" i="2"/>
  <c r="K825" i="1"/>
  <c r="M825"/>
  <c r="P825"/>
  <c r="E799" i="2"/>
  <c r="O825" i="1"/>
  <c r="D799" i="2"/>
  <c r="A826" i="1"/>
  <c r="A800" i="2"/>
  <c r="K826" i="1"/>
  <c r="M826"/>
  <c r="P826"/>
  <c r="E800" i="2"/>
  <c r="O826" i="1"/>
  <c r="D800" i="2"/>
  <c r="K827" i="1"/>
  <c r="M827"/>
  <c r="P827"/>
  <c r="E801" i="2"/>
  <c r="O827" i="1"/>
  <c r="D801" i="2"/>
  <c r="O830" i="1"/>
  <c r="D804" i="2"/>
  <c r="P830" i="1"/>
  <c r="E804" i="2"/>
  <c r="O831" i="1"/>
  <c r="D805" i="2"/>
  <c r="P831" i="1"/>
  <c r="E805" i="2"/>
  <c r="O832" i="1"/>
  <c r="D806" i="2"/>
  <c r="P832" i="1"/>
  <c r="E806" i="2"/>
  <c r="O833" i="1"/>
  <c r="D807" i="2"/>
  <c r="P833" i="1"/>
  <c r="E807" i="2"/>
  <c r="O834" i="1"/>
  <c r="D808" i="2"/>
  <c r="P834" i="1"/>
  <c r="E808" i="2"/>
  <c r="O835" i="1"/>
  <c r="D809" i="2"/>
  <c r="P835" i="1"/>
  <c r="E809" i="2"/>
  <c r="O836" i="1"/>
  <c r="D810" i="2"/>
  <c r="P836" i="1"/>
  <c r="E810" i="2"/>
  <c r="O837" i="1"/>
  <c r="D811" i="2"/>
  <c r="P837" i="1"/>
  <c r="E811" i="2"/>
  <c r="O838" i="1"/>
  <c r="D812" i="2"/>
  <c r="P838" i="1"/>
  <c r="E812" i="2"/>
  <c r="O839" i="1"/>
  <c r="D813" i="2"/>
  <c r="P839" i="1"/>
  <c r="E813" i="2"/>
  <c r="O840" i="1"/>
  <c r="D814" i="2"/>
  <c r="P840" i="1"/>
  <c r="E814" i="2"/>
  <c r="O841" i="1"/>
  <c r="D815" i="2"/>
  <c r="P841" i="1"/>
  <c r="E815" i="2"/>
  <c r="O842" i="1"/>
  <c r="D816" i="2"/>
  <c r="P842" i="1"/>
  <c r="E816" i="2"/>
  <c r="O843" i="1"/>
  <c r="D817" i="2"/>
  <c r="P843" i="1"/>
  <c r="E817" i="2"/>
  <c r="O844" i="1"/>
  <c r="D818" i="2"/>
  <c r="P844" i="1"/>
  <c r="E818" i="2"/>
  <c r="O845" i="1"/>
  <c r="D819" i="2"/>
  <c r="P845" i="1"/>
  <c r="E819" i="2"/>
  <c r="O846" i="1"/>
  <c r="D820" i="2"/>
  <c r="P846" i="1"/>
  <c r="E820" i="2"/>
  <c r="O847" i="1"/>
  <c r="D821" i="2"/>
  <c r="P847" i="1"/>
  <c r="E821" i="2"/>
  <c r="O849" i="1"/>
  <c r="D823" i="2"/>
  <c r="P849" i="1"/>
  <c r="E823" i="2"/>
  <c r="O850" i="1"/>
  <c r="D824" i="2"/>
  <c r="P850" i="1"/>
  <c r="E824" i="2"/>
  <c r="O851" i="1"/>
  <c r="D825" i="2"/>
  <c r="P851" i="1"/>
  <c r="E825" i="2"/>
  <c r="O852" i="1"/>
  <c r="D826" i="2"/>
  <c r="P852" i="1"/>
  <c r="E826" i="2"/>
  <c r="O853" i="1"/>
  <c r="D827" i="2"/>
  <c r="P853" i="1"/>
  <c r="E827" i="2"/>
  <c r="O854" i="1"/>
  <c r="D828" i="2"/>
  <c r="P854" i="1"/>
  <c r="E828" i="2"/>
  <c r="O855" i="1"/>
  <c r="D829" i="2"/>
  <c r="P855" i="1"/>
  <c r="E829" i="2"/>
  <c r="E858" i="1"/>
  <c r="O858"/>
  <c r="D832" i="2"/>
  <c r="K858" i="1"/>
  <c r="E859"/>
  <c r="O859"/>
  <c r="D833" i="2"/>
  <c r="K859" i="1"/>
  <c r="E860"/>
  <c r="M860"/>
  <c r="P860"/>
  <c r="E834" i="2"/>
  <c r="K860" i="1"/>
  <c r="E861"/>
  <c r="M861"/>
  <c r="P861"/>
  <c r="E835" i="2"/>
  <c r="K861" i="1"/>
  <c r="E862"/>
  <c r="M862"/>
  <c r="P862"/>
  <c r="E836" i="2"/>
  <c r="K862" i="1"/>
  <c r="E863"/>
  <c r="K863"/>
  <c r="E864"/>
  <c r="M864"/>
  <c r="P864"/>
  <c r="E838" i="2"/>
  <c r="K864" i="1"/>
  <c r="E865"/>
  <c r="M865"/>
  <c r="P865"/>
  <c r="E839" i="2"/>
  <c r="K865" i="1"/>
  <c r="E866"/>
  <c r="K866"/>
  <c r="E867"/>
  <c r="O867"/>
  <c r="D841" i="2"/>
  <c r="K867" i="1"/>
  <c r="K869"/>
  <c r="O869"/>
  <c r="D843" i="2"/>
  <c r="F843" s="1"/>
  <c r="K870" i="1"/>
  <c r="O870"/>
  <c r="D844" i="2"/>
  <c r="F844" s="1"/>
  <c r="K871" i="1"/>
  <c r="O871"/>
  <c r="D845" i="2"/>
  <c r="F845" s="1"/>
  <c r="K872" i="1"/>
  <c r="O872"/>
  <c r="D846" i="2"/>
  <c r="F846" s="1"/>
  <c r="K873" i="1"/>
  <c r="O873"/>
  <c r="D847" i="2"/>
  <c r="F847" s="1"/>
  <c r="K874" i="1"/>
  <c r="O874"/>
  <c r="D848" i="2"/>
  <c r="F848" s="1"/>
  <c r="K875" i="1"/>
  <c r="O875"/>
  <c r="D849" i="2"/>
  <c r="F849" s="1"/>
  <c r="O877" i="1"/>
  <c r="P877"/>
  <c r="A878"/>
  <c r="A879"/>
  <c r="A880"/>
  <c r="A881"/>
  <c r="A882"/>
  <c r="A883"/>
  <c r="A884"/>
  <c r="A885"/>
  <c r="A886"/>
  <c r="A887"/>
  <c r="A888"/>
  <c r="A889"/>
  <c r="O878"/>
  <c r="P878"/>
  <c r="O879"/>
  <c r="P879"/>
  <c r="O880"/>
  <c r="P880"/>
  <c r="O881"/>
  <c r="P881"/>
  <c r="O882"/>
  <c r="P882"/>
  <c r="O883"/>
  <c r="P883"/>
  <c r="O884"/>
  <c r="P884"/>
  <c r="O885"/>
  <c r="P885"/>
  <c r="O886"/>
  <c r="P886"/>
  <c r="O887"/>
  <c r="P887"/>
  <c r="O888"/>
  <c r="P888"/>
  <c r="O889"/>
  <c r="P889"/>
  <c r="O891"/>
  <c r="P891"/>
  <c r="O892"/>
  <c r="P892"/>
  <c r="O893"/>
  <c r="P893"/>
  <c r="O894"/>
  <c r="P894"/>
  <c r="O895"/>
  <c r="P895"/>
  <c r="O896"/>
  <c r="P896"/>
  <c r="O897"/>
  <c r="P897"/>
  <c r="O898"/>
  <c r="P898"/>
  <c r="O899"/>
  <c r="P899"/>
  <c r="O900"/>
  <c r="P900"/>
  <c r="O901"/>
  <c r="P901"/>
  <c r="O902"/>
  <c r="P902"/>
  <c r="O904"/>
  <c r="P904"/>
  <c r="O905"/>
  <c r="P905"/>
  <c r="O906"/>
  <c r="P906"/>
  <c r="O907"/>
  <c r="P907"/>
  <c r="O908"/>
  <c r="P908"/>
  <c r="O909"/>
  <c r="P909"/>
  <c r="O910"/>
  <c r="P910"/>
  <c r="K912"/>
  <c r="M912"/>
  <c r="P912"/>
  <c r="E851" i="2"/>
  <c r="O912" i="1"/>
  <c r="D851" i="2"/>
  <c r="K913" i="1"/>
  <c r="M913"/>
  <c r="P913"/>
  <c r="E852" i="2"/>
  <c r="O913" i="1"/>
  <c r="D852" i="2"/>
  <c r="K914" i="1"/>
  <c r="M914"/>
  <c r="P914"/>
  <c r="E853" i="2"/>
  <c r="O914" i="1"/>
  <c r="D853" i="2"/>
  <c r="K915" i="1"/>
  <c r="M915"/>
  <c r="P915"/>
  <c r="E854" i="2"/>
  <c r="O915" i="1"/>
  <c r="D854" i="2"/>
  <c r="K916" i="1"/>
  <c r="M916"/>
  <c r="P916"/>
  <c r="E855" i="2"/>
  <c r="O916" i="1"/>
  <c r="D855" i="2"/>
  <c r="K917" i="1"/>
  <c r="M917"/>
  <c r="P917"/>
  <c r="E856" i="2"/>
  <c r="O917" i="1"/>
  <c r="D856" i="2"/>
  <c r="K918" i="1"/>
  <c r="M918"/>
  <c r="P918"/>
  <c r="E857" i="2"/>
  <c r="O918" i="1"/>
  <c r="D857" i="2"/>
  <c r="K919" i="1"/>
  <c r="M919"/>
  <c r="P919"/>
  <c r="E858" i="2"/>
  <c r="O919" i="1"/>
  <c r="D858" i="2"/>
  <c r="K920" i="1"/>
  <c r="M920"/>
  <c r="P920"/>
  <c r="E859" i="2"/>
  <c r="O920" i="1"/>
  <c r="D859" i="2"/>
  <c r="K921" i="1"/>
  <c r="M921"/>
  <c r="P921"/>
  <c r="E860" i="2"/>
  <c r="O921" i="1"/>
  <c r="D860" i="2"/>
  <c r="K922" i="1"/>
  <c r="M922"/>
  <c r="P922"/>
  <c r="E861" i="2"/>
  <c r="O922" i="1"/>
  <c r="D861" i="2"/>
  <c r="O924" i="1"/>
  <c r="P924"/>
  <c r="P925"/>
  <c r="E864" i="2"/>
  <c r="O925" i="1"/>
  <c r="D864" i="2"/>
  <c r="P926" i="1"/>
  <c r="E865" i="2"/>
  <c r="O926" i="1"/>
  <c r="D865" i="2"/>
  <c r="O927" i="1"/>
  <c r="D866" i="2"/>
  <c r="F866" s="1"/>
  <c r="P928" i="1"/>
  <c r="E867" i="2"/>
  <c r="O928" i="1"/>
  <c r="D867" i="2"/>
  <c r="O929" i="1"/>
  <c r="D868" i="2"/>
  <c r="F868" s="1"/>
  <c r="P930" i="1"/>
  <c r="E869" i="2"/>
  <c r="O930" i="1"/>
  <c r="D869" i="2"/>
  <c r="O931" i="1"/>
  <c r="D870" i="2"/>
  <c r="F870"/>
  <c r="P932" i="1"/>
  <c r="E871" i="2"/>
  <c r="O932" i="1"/>
  <c r="D871" i="2"/>
  <c r="O933" i="1"/>
  <c r="D872" i="2"/>
  <c r="P934" i="1"/>
  <c r="E873" i="2"/>
  <c r="O934" i="1"/>
  <c r="D873" i="2"/>
  <c r="O935" i="1"/>
  <c r="D874" i="2"/>
  <c r="F874" s="1"/>
  <c r="O936" i="1"/>
  <c r="D875" i="2"/>
  <c r="P936" i="1"/>
  <c r="E875" i="2"/>
  <c r="O937" i="1"/>
  <c r="D876" i="2"/>
  <c r="F876"/>
  <c r="P938" i="1"/>
  <c r="E877" i="2"/>
  <c r="O938" i="1"/>
  <c r="D877" i="2"/>
  <c r="O939" i="1"/>
  <c r="D878" i="2"/>
  <c r="F878" s="1"/>
  <c r="P940" i="1"/>
  <c r="E879" i="2"/>
  <c r="O940" i="1"/>
  <c r="D879" i="2"/>
  <c r="O941" i="1"/>
  <c r="D880" i="2"/>
  <c r="F880" s="1"/>
  <c r="P942" i="1"/>
  <c r="E881" i="2"/>
  <c r="O942" i="1"/>
  <c r="D881" i="2"/>
  <c r="O943" i="1"/>
  <c r="D882" i="2"/>
  <c r="F882" s="1"/>
  <c r="P944" i="1"/>
  <c r="E883" i="2"/>
  <c r="O944" i="1"/>
  <c r="D883" i="2"/>
  <c r="O945" i="1"/>
  <c r="D884" i="2"/>
  <c r="F884"/>
  <c r="P946" i="1"/>
  <c r="E885" i="2"/>
  <c r="O946" i="1"/>
  <c r="D885" i="2"/>
  <c r="O947" i="1"/>
  <c r="D886" i="2"/>
  <c r="F886" s="1"/>
  <c r="P948" i="1"/>
  <c r="E887" i="2"/>
  <c r="O948" i="1"/>
  <c r="D887" i="2"/>
  <c r="O949" i="1"/>
  <c r="D888" i="2"/>
  <c r="F888" s="1"/>
  <c r="P950" i="1"/>
  <c r="E889" i="2"/>
  <c r="O950" i="1"/>
  <c r="D889" i="2"/>
  <c r="O951" i="1"/>
  <c r="D890" i="2"/>
  <c r="F890" s="1"/>
  <c r="O952" i="1"/>
  <c r="P952"/>
  <c r="O953"/>
  <c r="D892" i="2"/>
  <c r="F892" s="1"/>
  <c r="P954" i="1"/>
  <c r="E893" i="2"/>
  <c r="O954" i="1"/>
  <c r="D893" i="2"/>
  <c r="O955" i="1"/>
  <c r="D894" i="2"/>
  <c r="F894" s="1"/>
  <c r="P956" i="1"/>
  <c r="E895" i="2"/>
  <c r="O956" i="1"/>
  <c r="D895" i="2"/>
  <c r="O957" i="1"/>
  <c r="D896" i="2"/>
  <c r="P958" i="1"/>
  <c r="E897" i="2"/>
  <c r="O958" i="1"/>
  <c r="D897" i="2"/>
  <c r="O959" i="1"/>
  <c r="D898" i="2"/>
  <c r="F898" s="1"/>
  <c r="P960" i="1"/>
  <c r="E899" i="2"/>
  <c r="O960" i="1"/>
  <c r="D899" i="2"/>
  <c r="O961" i="1"/>
  <c r="D900" i="2"/>
  <c r="K1122" i="1"/>
  <c r="M1122"/>
  <c r="P1122"/>
  <c r="E1032" i="2"/>
  <c r="N1122" i="1"/>
  <c r="O1122"/>
  <c r="D1032" i="2"/>
  <c r="A1123" i="1"/>
  <c r="A1033" i="2"/>
  <c r="K1123" i="1"/>
  <c r="M1123"/>
  <c r="P1123"/>
  <c r="E1033" i="2"/>
  <c r="N1123" i="1"/>
  <c r="O1123"/>
  <c r="D1033" i="2"/>
  <c r="K1124" i="1"/>
  <c r="M1124"/>
  <c r="P1124"/>
  <c r="E1034" i="2"/>
  <c r="N1124" i="1"/>
  <c r="O1124"/>
  <c r="D1034" i="2"/>
  <c r="K1125" i="1"/>
  <c r="M1125"/>
  <c r="P1125"/>
  <c r="E1035" i="2"/>
  <c r="N1125" i="1"/>
  <c r="O1125"/>
  <c r="D1035" i="2"/>
  <c r="K1126" i="1"/>
  <c r="M1126"/>
  <c r="P1126"/>
  <c r="E1036" i="2"/>
  <c r="N1126" i="1"/>
  <c r="O1126"/>
  <c r="D1036" i="2"/>
  <c r="K1127" i="1"/>
  <c r="M1127"/>
  <c r="P1127"/>
  <c r="E1037" i="2"/>
  <c r="N1127" i="1"/>
  <c r="O1127"/>
  <c r="D1037" i="2"/>
  <c r="K1128" i="1"/>
  <c r="M1128"/>
  <c r="P1128"/>
  <c r="E1038" i="2"/>
  <c r="N1128" i="1"/>
  <c r="O1128"/>
  <c r="D1038" i="2"/>
  <c r="K1129" i="1"/>
  <c r="M1129"/>
  <c r="P1129"/>
  <c r="E1039" i="2"/>
  <c r="N1129" i="1"/>
  <c r="O1129"/>
  <c r="D1039" i="2"/>
  <c r="K1130" i="1"/>
  <c r="M1130"/>
  <c r="P1130"/>
  <c r="E1040" i="2"/>
  <c r="N1130" i="1"/>
  <c r="O1130"/>
  <c r="D1040" i="2"/>
  <c r="K1131" i="1"/>
  <c r="M1131"/>
  <c r="P1131"/>
  <c r="E1041" i="2"/>
  <c r="N1131" i="1"/>
  <c r="O1131"/>
  <c r="D1041" i="2"/>
  <c r="K1132" i="1"/>
  <c r="M1132"/>
  <c r="P1132"/>
  <c r="E1042" i="2"/>
  <c r="N1132" i="1"/>
  <c r="O1132"/>
  <c r="D1042" i="2"/>
  <c r="K1133" i="1"/>
  <c r="M1133"/>
  <c r="P1133"/>
  <c r="E1043" i="2"/>
  <c r="N1133" i="1"/>
  <c r="O1133"/>
  <c r="D1043" i="2"/>
  <c r="K1134" i="1"/>
  <c r="M1134"/>
  <c r="P1134"/>
  <c r="E1044" i="2"/>
  <c r="N1134" i="1"/>
  <c r="O1134"/>
  <c r="D1044" i="2"/>
  <c r="K1135" i="1"/>
  <c r="M1135"/>
  <c r="P1135"/>
  <c r="E1045" i="2"/>
  <c r="N1135" i="1"/>
  <c r="O1135"/>
  <c r="D1045" i="2"/>
  <c r="K1136" i="1"/>
  <c r="M1136"/>
  <c r="P1136"/>
  <c r="E1046" i="2"/>
  <c r="N1136" i="1"/>
  <c r="O1136"/>
  <c r="D1046" i="2"/>
  <c r="E1138" i="1"/>
  <c r="O1138"/>
  <c r="D1048" i="2"/>
  <c r="F1138" i="1"/>
  <c r="N1138"/>
  <c r="K1138"/>
  <c r="E1139"/>
  <c r="O1139"/>
  <c r="D1049" i="2"/>
  <c r="F1139" i="1"/>
  <c r="N1139"/>
  <c r="K1139"/>
  <c r="E1140"/>
  <c r="O1140"/>
  <c r="D1050" i="2"/>
  <c r="F1140" i="1"/>
  <c r="N1140"/>
  <c r="K1140"/>
  <c r="E1141"/>
  <c r="O1141"/>
  <c r="D1051" i="2"/>
  <c r="F1141" i="1"/>
  <c r="N1141"/>
  <c r="K1141"/>
  <c r="E1142"/>
  <c r="F1142"/>
  <c r="N1142"/>
  <c r="K1142"/>
  <c r="E1143"/>
  <c r="M1143"/>
  <c r="P1143"/>
  <c r="E1053" i="2"/>
  <c r="F1143" i="1"/>
  <c r="N1143"/>
  <c r="K1143"/>
  <c r="E1144"/>
  <c r="M1144"/>
  <c r="P1144"/>
  <c r="E1054" i="2"/>
  <c r="F1144" i="1"/>
  <c r="N1144"/>
  <c r="K1144"/>
  <c r="E1145"/>
  <c r="M1145"/>
  <c r="P1145"/>
  <c r="E1055" i="2"/>
  <c r="F1145" i="1"/>
  <c r="N1145"/>
  <c r="K1145"/>
  <c r="E1146"/>
  <c r="O1146"/>
  <c r="D1056" i="2"/>
  <c r="F1146" i="1"/>
  <c r="N1146"/>
  <c r="K1146"/>
  <c r="E1147"/>
  <c r="O1147"/>
  <c r="D1057" i="2"/>
  <c r="F1147" i="1"/>
  <c r="N1147"/>
  <c r="K1147"/>
  <c r="E1148"/>
  <c r="O1148"/>
  <c r="D1058" i="2"/>
  <c r="F1148" i="1"/>
  <c r="N1148"/>
  <c r="K1148"/>
  <c r="E1149"/>
  <c r="O1149"/>
  <c r="D1059" i="2"/>
  <c r="F1149" i="1"/>
  <c r="N1149"/>
  <c r="K1149"/>
  <c r="E1150"/>
  <c r="M1150"/>
  <c r="P1150"/>
  <c r="E1060" i="2"/>
  <c r="F1150" i="1"/>
  <c r="N1150"/>
  <c r="K1150"/>
  <c r="E1151"/>
  <c r="F1151"/>
  <c r="N1151"/>
  <c r="K1151"/>
  <c r="E1152"/>
  <c r="M1152"/>
  <c r="P1152"/>
  <c r="E1062" i="2"/>
  <c r="F1152" i="1"/>
  <c r="N1152"/>
  <c r="K1152"/>
  <c r="E1153"/>
  <c r="O1153"/>
  <c r="D1063" i="2"/>
  <c r="F1153" i="1"/>
  <c r="N1153"/>
  <c r="K1153"/>
  <c r="E1154"/>
  <c r="O1154"/>
  <c r="D1064" i="2"/>
  <c r="F1154" i="1"/>
  <c r="N1154"/>
  <c r="K1154"/>
  <c r="E1155"/>
  <c r="M1155"/>
  <c r="P1155"/>
  <c r="E1065" i="2"/>
  <c r="F1155" i="1"/>
  <c r="N1155"/>
  <c r="K1155"/>
  <c r="E1156"/>
  <c r="O1156"/>
  <c r="D1066" i="2"/>
  <c r="F1156" i="1"/>
  <c r="N1156"/>
  <c r="K1156"/>
  <c r="E1157"/>
  <c r="O1157"/>
  <c r="D1067" i="2"/>
  <c r="F1157" i="1"/>
  <c r="N1157"/>
  <c r="K1157"/>
  <c r="E1158"/>
  <c r="M1158"/>
  <c r="P1158"/>
  <c r="E1068" i="2"/>
  <c r="F1158" i="1"/>
  <c r="N1158"/>
  <c r="K1158"/>
  <c r="E1159"/>
  <c r="M1159"/>
  <c r="P1159"/>
  <c r="E1069" i="2"/>
  <c r="F1159" i="1"/>
  <c r="N1159"/>
  <c r="K1159"/>
  <c r="E1160"/>
  <c r="O1160"/>
  <c r="D1070" i="2"/>
  <c r="F1160" i="1"/>
  <c r="N1160"/>
  <c r="K1160"/>
  <c r="E1161"/>
  <c r="M1161"/>
  <c r="P1161"/>
  <c r="E1071" i="2"/>
  <c r="F1161" i="1"/>
  <c r="N1161"/>
  <c r="K1161"/>
  <c r="E1163"/>
  <c r="O1163"/>
  <c r="D1073" i="2"/>
  <c r="F1163" i="1"/>
  <c r="N1163"/>
  <c r="K1163"/>
  <c r="E1164"/>
  <c r="O1164"/>
  <c r="D1074" i="2"/>
  <c r="F1164" i="1"/>
  <c r="N1164"/>
  <c r="K1164"/>
  <c r="E1165"/>
  <c r="O1165"/>
  <c r="D1075" i="2"/>
  <c r="F1165" i="1"/>
  <c r="N1165"/>
  <c r="K1165"/>
  <c r="E1166"/>
  <c r="M1166"/>
  <c r="P1166"/>
  <c r="E1076" i="2"/>
  <c r="F1166" i="1"/>
  <c r="N1166"/>
  <c r="K1166"/>
  <c r="E1167"/>
  <c r="F1167"/>
  <c r="N1167"/>
  <c r="K1167"/>
  <c r="E1168"/>
  <c r="O1168"/>
  <c r="D1078" i="2"/>
  <c r="F1168" i="1"/>
  <c r="N1168"/>
  <c r="K1168"/>
  <c r="E1169"/>
  <c r="M1169"/>
  <c r="P1169"/>
  <c r="E1079" i="2"/>
  <c r="F1169" i="1"/>
  <c r="N1169"/>
  <c r="K1169"/>
  <c r="E1170"/>
  <c r="O1170"/>
  <c r="D1080" i="2"/>
  <c r="F1170" i="1"/>
  <c r="N1170"/>
  <c r="K1170"/>
  <c r="E1171"/>
  <c r="O1171"/>
  <c r="D1081" i="2"/>
  <c r="F1171" i="1"/>
  <c r="N1171"/>
  <c r="K1171"/>
  <c r="E1172"/>
  <c r="O1172"/>
  <c r="D1082" i="2"/>
  <c r="F1172" i="1"/>
  <c r="N1172"/>
  <c r="K1172"/>
  <c r="E1173"/>
  <c r="F1173"/>
  <c r="N1173"/>
  <c r="K1173"/>
  <c r="E1174"/>
  <c r="F1174"/>
  <c r="N1174"/>
  <c r="K1174"/>
  <c r="E1175"/>
  <c r="F1175"/>
  <c r="N1175"/>
  <c r="K1175"/>
  <c r="E1176"/>
  <c r="M1176"/>
  <c r="P1176"/>
  <c r="E1086" i="2"/>
  <c r="F1176" i="1"/>
  <c r="N1176"/>
  <c r="K1176"/>
  <c r="E1177"/>
  <c r="M1177"/>
  <c r="P1177"/>
  <c r="E1087" i="2"/>
  <c r="F1177" i="1"/>
  <c r="N1177"/>
  <c r="K1177"/>
  <c r="E1178"/>
  <c r="M1178"/>
  <c r="P1178"/>
  <c r="E1088" i="2"/>
  <c r="F1178" i="1"/>
  <c r="N1178"/>
  <c r="K1178"/>
  <c r="E1179"/>
  <c r="O1179"/>
  <c r="D1089" i="2"/>
  <c r="F1179" i="1"/>
  <c r="N1179"/>
  <c r="K1179"/>
  <c r="E1180"/>
  <c r="F1180"/>
  <c r="N1180"/>
  <c r="K1180"/>
  <c r="E1181"/>
  <c r="O1181"/>
  <c r="D1091" i="2"/>
  <c r="F1181" i="1"/>
  <c r="N1181"/>
  <c r="K1181"/>
  <c r="E1182"/>
  <c r="O1182"/>
  <c r="D1092" i="2"/>
  <c r="F1182" i="1"/>
  <c r="N1182"/>
  <c r="K1182"/>
  <c r="E1183"/>
  <c r="M1183"/>
  <c r="P1183"/>
  <c r="E1093" i="2"/>
  <c r="F1183" i="1"/>
  <c r="N1183"/>
  <c r="K1183"/>
  <c r="E1184"/>
  <c r="M1184"/>
  <c r="P1184"/>
  <c r="E1094" i="2"/>
  <c r="F1184" i="1"/>
  <c r="N1184"/>
  <c r="K1184"/>
  <c r="E1185"/>
  <c r="M1185"/>
  <c r="P1185"/>
  <c r="E1095" i="2"/>
  <c r="F1185" i="1"/>
  <c r="N1185"/>
  <c r="K1185"/>
  <c r="K1188"/>
  <c r="M1188"/>
  <c r="P1188"/>
  <c r="E1098" i="2"/>
  <c r="N1188" i="1"/>
  <c r="O1188"/>
  <c r="D1098" i="2"/>
  <c r="A1189" i="1"/>
  <c r="A1190"/>
  <c r="A1191"/>
  <c r="A1101" i="2"/>
  <c r="K1189" i="1"/>
  <c r="M1189"/>
  <c r="P1189"/>
  <c r="E1099" i="2"/>
  <c r="N1189" i="1"/>
  <c r="O1189"/>
  <c r="D1099" i="2"/>
  <c r="M1190" i="1"/>
  <c r="P1190"/>
  <c r="E1100" i="2"/>
  <c r="N1190" i="1"/>
  <c r="O1190"/>
  <c r="D1100" i="2"/>
  <c r="K1191" i="1"/>
  <c r="M1191"/>
  <c r="P1191"/>
  <c r="E1101" i="2"/>
  <c r="N1191" i="1"/>
  <c r="O1191"/>
  <c r="D1101" i="2"/>
  <c r="K1192" i="1"/>
  <c r="M1192"/>
  <c r="P1192"/>
  <c r="E1102" i="2"/>
  <c r="N1192" i="1"/>
  <c r="O1192"/>
  <c r="D1102" i="2"/>
  <c r="K1193" i="1"/>
  <c r="M1193"/>
  <c r="P1193"/>
  <c r="E1103" i="2"/>
  <c r="N1193" i="1"/>
  <c r="O1193"/>
  <c r="D1103" i="2"/>
  <c r="K1194" i="1"/>
  <c r="M1194"/>
  <c r="P1194"/>
  <c r="E1104" i="2"/>
  <c r="N1194" i="1"/>
  <c r="O1194"/>
  <c r="D1104" i="2"/>
  <c r="K1195" i="1"/>
  <c r="M1195"/>
  <c r="P1195"/>
  <c r="E1105" i="2"/>
  <c r="N1195" i="1"/>
  <c r="O1195"/>
  <c r="D1105" i="2"/>
  <c r="K1196" i="1"/>
  <c r="M1196"/>
  <c r="P1196"/>
  <c r="E1106" i="2"/>
  <c r="N1196" i="1"/>
  <c r="O1196"/>
  <c r="D1106" i="2"/>
  <c r="K1197" i="1"/>
  <c r="M1197"/>
  <c r="P1197"/>
  <c r="E1107" i="2"/>
  <c r="N1197" i="1"/>
  <c r="O1197"/>
  <c r="D1107" i="2"/>
  <c r="K1198" i="1"/>
  <c r="M1198"/>
  <c r="P1198"/>
  <c r="E1108" i="2"/>
  <c r="N1198" i="1"/>
  <c r="O1198"/>
  <c r="D1108" i="2"/>
  <c r="K1200" i="1"/>
  <c r="M1200"/>
  <c r="P1200"/>
  <c r="E1110" i="2"/>
  <c r="N1200" i="1"/>
  <c r="O1200"/>
  <c r="D1110" i="2"/>
  <c r="K1201" i="1"/>
  <c r="M1201"/>
  <c r="P1201"/>
  <c r="E1111" i="2"/>
  <c r="N1201" i="1"/>
  <c r="O1201"/>
  <c r="D1111" i="2"/>
  <c r="K1202" i="1"/>
  <c r="M1202"/>
  <c r="P1202"/>
  <c r="E1112" i="2"/>
  <c r="N1202" i="1"/>
  <c r="O1202"/>
  <c r="D1112" i="2"/>
  <c r="K1203" i="1"/>
  <c r="M1203"/>
  <c r="P1203"/>
  <c r="E1113" i="2"/>
  <c r="N1203" i="1"/>
  <c r="O1203"/>
  <c r="D1113" i="2"/>
  <c r="K1204" i="1"/>
  <c r="M1204"/>
  <c r="P1204"/>
  <c r="E1114" i="2"/>
  <c r="N1204" i="1"/>
  <c r="O1204"/>
  <c r="D1114" i="2"/>
  <c r="K1205" i="1"/>
  <c r="M1205"/>
  <c r="P1205"/>
  <c r="E1115" i="2"/>
  <c r="N1205" i="1"/>
  <c r="O1205"/>
  <c r="D1115" i="2"/>
  <c r="K1206" i="1"/>
  <c r="M1206"/>
  <c r="P1206"/>
  <c r="E1116" i="2"/>
  <c r="N1206" i="1"/>
  <c r="O1206"/>
  <c r="D1116" i="2"/>
  <c r="K1207" i="1"/>
  <c r="M1207"/>
  <c r="P1207"/>
  <c r="E1117" i="2"/>
  <c r="N1207" i="1"/>
  <c r="O1207"/>
  <c r="D1117" i="2"/>
  <c r="K1208" i="1"/>
  <c r="M1208"/>
  <c r="P1208"/>
  <c r="E1118" i="2"/>
  <c r="N1208" i="1"/>
  <c r="O1208"/>
  <c r="D1118" i="2"/>
  <c r="K1210" i="1"/>
  <c r="M1210"/>
  <c r="P1210"/>
  <c r="E1120" i="2"/>
  <c r="N1210" i="1"/>
  <c r="O1210"/>
  <c r="D1120" i="2"/>
  <c r="K1211" i="1"/>
  <c r="M1211"/>
  <c r="P1211"/>
  <c r="E1121" i="2"/>
  <c r="N1211" i="1"/>
  <c r="O1211"/>
  <c r="D1121" i="2"/>
  <c r="K1213" i="1"/>
  <c r="M1213"/>
  <c r="P1213"/>
  <c r="E1123" i="2"/>
  <c r="N1213" i="1"/>
  <c r="O1213"/>
  <c r="D1123" i="2"/>
  <c r="K1214" i="1"/>
  <c r="M1214"/>
  <c r="P1214"/>
  <c r="E1124" i="2"/>
  <c r="N1214" i="1"/>
  <c r="O1214"/>
  <c r="D1124" i="2"/>
  <c r="K1216" i="1"/>
  <c r="M1216"/>
  <c r="P1216"/>
  <c r="E1126" i="2"/>
  <c r="N1216" i="1"/>
  <c r="O1216"/>
  <c r="D1126" i="2"/>
  <c r="K1217" i="1"/>
  <c r="M1217"/>
  <c r="P1217"/>
  <c r="E1127" i="2"/>
  <c r="N1217" i="1"/>
  <c r="O1217"/>
  <c r="D1127" i="2"/>
  <c r="K1218" i="1"/>
  <c r="M1218"/>
  <c r="P1218"/>
  <c r="E1128" i="2"/>
  <c r="N1218" i="1"/>
  <c r="O1218"/>
  <c r="D1128" i="2"/>
  <c r="K1219" i="1"/>
  <c r="M1219"/>
  <c r="P1219"/>
  <c r="E1129" i="2"/>
  <c r="N1219" i="1"/>
  <c r="O1219"/>
  <c r="D1129" i="2"/>
  <c r="K1220" i="1"/>
  <c r="M1220"/>
  <c r="P1220"/>
  <c r="E1130" i="2"/>
  <c r="N1220" i="1"/>
  <c r="O1220"/>
  <c r="D1130" i="2"/>
  <c r="K1221" i="1"/>
  <c r="M1221"/>
  <c r="P1221"/>
  <c r="E1131" i="2"/>
  <c r="N1221" i="1"/>
  <c r="O1221"/>
  <c r="D1131" i="2"/>
  <c r="K1222" i="1"/>
  <c r="M1222"/>
  <c r="P1222"/>
  <c r="E1132" i="2"/>
  <c r="N1222" i="1"/>
  <c r="O1222"/>
  <c r="D1132" i="2"/>
  <c r="K1223" i="1"/>
  <c r="M1223"/>
  <c r="P1223"/>
  <c r="E1133" i="2"/>
  <c r="N1223" i="1"/>
  <c r="O1223"/>
  <c r="D1133" i="2"/>
  <c r="K1224" i="1"/>
  <c r="M1224"/>
  <c r="P1224"/>
  <c r="E1134" i="2"/>
  <c r="N1224" i="1"/>
  <c r="O1224"/>
  <c r="D1134" i="2"/>
  <c r="K1225" i="1"/>
  <c r="M1225"/>
  <c r="P1225"/>
  <c r="E1135" i="2"/>
  <c r="N1225" i="1"/>
  <c r="O1225"/>
  <c r="D1135" i="2"/>
  <c r="K1226" i="1"/>
  <c r="M1226"/>
  <c r="P1226"/>
  <c r="E1136" i="2"/>
  <c r="N1226" i="1"/>
  <c r="O1226"/>
  <c r="D1136" i="2"/>
  <c r="K1227" i="1"/>
  <c r="M1227"/>
  <c r="P1227"/>
  <c r="E1137" i="2"/>
  <c r="N1227" i="1"/>
  <c r="O1227"/>
  <c r="D1137" i="2"/>
  <c r="K1228" i="1"/>
  <c r="M1228"/>
  <c r="P1228"/>
  <c r="E1138" i="2"/>
  <c r="N1228" i="1"/>
  <c r="O1228"/>
  <c r="D1138" i="2"/>
  <c r="K1229" i="1"/>
  <c r="M1229"/>
  <c r="P1229"/>
  <c r="E1139" i="2"/>
  <c r="N1229" i="1"/>
  <c r="O1229"/>
  <c r="D1139" i="2"/>
  <c r="K1230" i="1"/>
  <c r="M1230"/>
  <c r="P1230"/>
  <c r="E1140" i="2"/>
  <c r="N1230" i="1"/>
  <c r="O1230"/>
  <c r="D1140" i="2"/>
  <c r="K1231" i="1"/>
  <c r="M1231"/>
  <c r="P1231"/>
  <c r="E1141" i="2"/>
  <c r="N1231" i="1"/>
  <c r="O1231"/>
  <c r="D1141" i="2"/>
  <c r="K1232" i="1"/>
  <c r="M1232"/>
  <c r="P1232"/>
  <c r="E1142" i="2"/>
  <c r="N1232" i="1"/>
  <c r="O1232"/>
  <c r="D1142" i="2"/>
  <c r="K1233" i="1"/>
  <c r="M1233"/>
  <c r="P1233"/>
  <c r="E1143" i="2"/>
  <c r="N1233" i="1"/>
  <c r="O1233"/>
  <c r="D1143" i="2"/>
  <c r="K1234" i="1"/>
  <c r="M1234"/>
  <c r="P1234"/>
  <c r="E1144" i="2"/>
  <c r="N1234" i="1"/>
  <c r="O1234"/>
  <c r="D1144" i="2"/>
  <c r="K1235" i="1"/>
  <c r="M1235"/>
  <c r="P1235"/>
  <c r="E1145" i="2"/>
  <c r="N1235" i="1"/>
  <c r="O1235"/>
  <c r="D1145" i="2"/>
  <c r="K1236" i="1"/>
  <c r="M1236"/>
  <c r="P1236"/>
  <c r="E1146" i="2"/>
  <c r="N1236" i="1"/>
  <c r="O1236"/>
  <c r="D1146" i="2"/>
  <c r="K1237" i="1"/>
  <c r="M1237"/>
  <c r="P1237"/>
  <c r="E1147" i="2"/>
  <c r="N1237" i="1"/>
  <c r="O1237"/>
  <c r="D1147" i="2"/>
  <c r="K1238" i="1"/>
  <c r="M1238"/>
  <c r="P1238"/>
  <c r="E1148" i="2"/>
  <c r="N1238" i="1"/>
  <c r="O1238"/>
  <c r="D1148" i="2"/>
  <c r="K1239" i="1"/>
  <c r="M1239"/>
  <c r="P1239"/>
  <c r="E1149" i="2"/>
  <c r="N1239" i="1"/>
  <c r="O1239"/>
  <c r="D1149" i="2"/>
  <c r="K1240" i="1"/>
  <c r="M1240"/>
  <c r="P1240"/>
  <c r="E1150" i="2"/>
  <c r="N1240" i="1"/>
  <c r="O1240"/>
  <c r="D1150" i="2"/>
  <c r="K1241" i="1"/>
  <c r="M1241"/>
  <c r="P1241"/>
  <c r="E1151" i="2"/>
  <c r="N1241" i="1"/>
  <c r="O1241"/>
  <c r="D1151" i="2"/>
  <c r="K1242" i="1"/>
  <c r="M1242"/>
  <c r="P1242"/>
  <c r="E1152" i="2"/>
  <c r="N1242" i="1"/>
  <c r="O1242"/>
  <c r="D1152" i="2"/>
  <c r="K1243" i="1"/>
  <c r="M1243"/>
  <c r="P1243"/>
  <c r="E1153" i="2"/>
  <c r="N1243" i="1"/>
  <c r="O1243"/>
  <c r="D1153" i="2"/>
  <c r="K1244" i="1"/>
  <c r="M1244"/>
  <c r="P1244"/>
  <c r="E1154" i="2"/>
  <c r="N1244" i="1"/>
  <c r="O1244"/>
  <c r="D1154" i="2"/>
  <c r="K1245" i="1"/>
  <c r="M1245"/>
  <c r="P1245"/>
  <c r="E1155" i="2"/>
  <c r="N1245" i="1"/>
  <c r="O1245"/>
  <c r="D1155" i="2"/>
  <c r="K1246" i="1"/>
  <c r="M1246"/>
  <c r="P1246"/>
  <c r="E1156" i="2"/>
  <c r="N1246" i="1"/>
  <c r="O1246"/>
  <c r="D1156" i="2"/>
  <c r="K1247" i="1"/>
  <c r="M1247"/>
  <c r="P1247"/>
  <c r="E1157" i="2"/>
  <c r="N1247" i="1"/>
  <c r="O1247"/>
  <c r="D1157" i="2"/>
  <c r="K1248" i="1"/>
  <c r="M1248"/>
  <c r="P1248"/>
  <c r="E1158" i="2"/>
  <c r="N1248" i="1"/>
  <c r="O1248"/>
  <c r="D1158" i="2"/>
  <c r="K1249" i="1"/>
  <c r="M1249"/>
  <c r="P1249"/>
  <c r="E1159" i="2"/>
  <c r="N1249" i="1"/>
  <c r="O1249"/>
  <c r="D1159" i="2"/>
  <c r="K1250" i="1"/>
  <c r="M1250"/>
  <c r="P1250"/>
  <c r="E1160" i="2"/>
  <c r="N1250" i="1"/>
  <c r="O1250"/>
  <c r="D1160" i="2"/>
  <c r="K1251" i="1"/>
  <c r="M1251"/>
  <c r="P1251"/>
  <c r="E1161" i="2"/>
  <c r="N1251" i="1"/>
  <c r="O1251"/>
  <c r="D1161" i="2"/>
  <c r="K1252" i="1"/>
  <c r="M1252"/>
  <c r="P1252"/>
  <c r="E1162" i="2"/>
  <c r="N1252" i="1"/>
  <c r="O1252"/>
  <c r="D1162" i="2"/>
  <c r="K1253" i="1"/>
  <c r="M1253"/>
  <c r="P1253"/>
  <c r="E1163" i="2"/>
  <c r="N1253" i="1"/>
  <c r="O1253"/>
  <c r="D1163" i="2"/>
  <c r="K1255" i="1"/>
  <c r="M1255"/>
  <c r="P1255"/>
  <c r="E1165" i="2"/>
  <c r="N1255" i="1"/>
  <c r="O1255"/>
  <c r="D1165" i="2"/>
  <c r="K1256" i="1"/>
  <c r="M1256"/>
  <c r="P1256"/>
  <c r="E1166" i="2"/>
  <c r="N1256" i="1"/>
  <c r="O1256"/>
  <c r="D1166" i="2"/>
  <c r="K1257" i="1"/>
  <c r="M1257"/>
  <c r="P1257"/>
  <c r="E1167" i="2"/>
  <c r="N1257" i="1"/>
  <c r="O1257"/>
  <c r="D1167" i="2"/>
  <c r="K1258" i="1"/>
  <c r="M1258"/>
  <c r="P1258"/>
  <c r="E1168" i="2"/>
  <c r="N1258" i="1"/>
  <c r="O1258"/>
  <c r="D1168" i="2"/>
  <c r="K1259" i="1"/>
  <c r="M1259"/>
  <c r="P1259"/>
  <c r="E1169" i="2"/>
  <c r="N1259" i="1"/>
  <c r="O1259"/>
  <c r="D1169" i="2"/>
  <c r="K1260" i="1"/>
  <c r="M1260"/>
  <c r="P1260"/>
  <c r="E1170" i="2"/>
  <c r="N1260" i="1"/>
  <c r="O1260"/>
  <c r="D1170" i="2"/>
  <c r="K1261" i="1"/>
  <c r="M1261"/>
  <c r="P1261"/>
  <c r="E1171" i="2"/>
  <c r="N1261" i="1"/>
  <c r="O1261"/>
  <c r="D1171" i="2"/>
  <c r="K1262" i="1"/>
  <c r="M1262"/>
  <c r="P1262"/>
  <c r="E1172" i="2"/>
  <c r="N1262" i="1"/>
  <c r="O1262"/>
  <c r="D1172" i="2"/>
  <c r="K1263" i="1"/>
  <c r="M1263"/>
  <c r="P1263"/>
  <c r="E1173" i="2"/>
  <c r="N1263" i="1"/>
  <c r="O1263"/>
  <c r="D1173" i="2"/>
  <c r="K1264" i="1"/>
  <c r="M1264"/>
  <c r="P1264"/>
  <c r="E1174" i="2"/>
  <c r="N1264" i="1"/>
  <c r="O1264"/>
  <c r="D1174" i="2"/>
  <c r="K1265" i="1"/>
  <c r="M1265"/>
  <c r="P1265"/>
  <c r="E1175" i="2"/>
  <c r="N1265" i="1"/>
  <c r="O1265"/>
  <c r="D1175" i="2"/>
  <c r="K1266" i="1"/>
  <c r="M1266"/>
  <c r="P1266"/>
  <c r="E1176" i="2"/>
  <c r="N1266" i="1"/>
  <c r="O1266"/>
  <c r="D1176" i="2"/>
  <c r="K1267" i="1"/>
  <c r="M1267"/>
  <c r="P1267"/>
  <c r="E1177" i="2"/>
  <c r="N1267" i="1"/>
  <c r="O1267"/>
  <c r="D1177" i="2"/>
  <c r="K1268" i="1"/>
  <c r="M1268"/>
  <c r="P1268"/>
  <c r="E1178" i="2"/>
  <c r="N1268" i="1"/>
  <c r="O1268"/>
  <c r="D1178" i="2"/>
  <c r="K1269" i="1"/>
  <c r="M1269"/>
  <c r="P1269"/>
  <c r="E1179" i="2"/>
  <c r="N1269" i="1"/>
  <c r="O1269"/>
  <c r="D1179" i="2"/>
  <c r="K1270" i="1"/>
  <c r="M1270"/>
  <c r="P1270"/>
  <c r="E1180" i="2"/>
  <c r="N1270" i="1"/>
  <c r="O1270"/>
  <c r="D1180" i="2"/>
  <c r="K1271" i="1"/>
  <c r="M1271"/>
  <c r="P1271"/>
  <c r="E1181" i="2"/>
  <c r="N1271" i="1"/>
  <c r="O1271"/>
  <c r="D1181" i="2"/>
  <c r="K1272" i="1"/>
  <c r="M1272"/>
  <c r="P1272"/>
  <c r="E1182" i="2"/>
  <c r="N1272" i="1"/>
  <c r="O1272"/>
  <c r="D1182" i="2"/>
  <c r="F1274" i="1"/>
  <c r="N1274"/>
  <c r="K1274"/>
  <c r="M1274"/>
  <c r="P1274"/>
  <c r="E1184" i="2"/>
  <c r="O1274" i="1"/>
  <c r="D1184" i="2"/>
  <c r="F1275" i="1"/>
  <c r="N1275"/>
  <c r="K1275"/>
  <c r="M1275"/>
  <c r="P1275"/>
  <c r="E1185" i="2"/>
  <c r="O1275" i="1"/>
  <c r="D1185" i="2"/>
  <c r="F1276" i="1"/>
  <c r="N1276"/>
  <c r="K1276"/>
  <c r="M1276"/>
  <c r="P1276"/>
  <c r="E1186" i="2"/>
  <c r="O1276" i="1"/>
  <c r="D1186" i="2"/>
  <c r="F1277" i="1"/>
  <c r="N1277"/>
  <c r="K1277"/>
  <c r="M1277"/>
  <c r="P1277"/>
  <c r="E1187" i="2"/>
  <c r="O1277" i="1"/>
  <c r="D1187" i="2"/>
  <c r="F1278" i="1"/>
  <c r="N1278"/>
  <c r="K1278"/>
  <c r="M1278"/>
  <c r="P1278"/>
  <c r="E1188" i="2"/>
  <c r="O1278" i="1"/>
  <c r="D1188" i="2"/>
  <c r="F1279" i="1"/>
  <c r="N1279"/>
  <c r="K1279"/>
  <c r="M1279"/>
  <c r="P1279"/>
  <c r="E1189" i="2"/>
  <c r="O1279" i="1"/>
  <c r="D1189" i="2"/>
  <c r="F1280" i="1"/>
  <c r="N1280"/>
  <c r="K1280"/>
  <c r="M1280"/>
  <c r="P1280"/>
  <c r="E1190" i="2"/>
  <c r="O1280" i="1"/>
  <c r="D1190" i="2"/>
  <c r="F1283" i="1"/>
  <c r="N1283"/>
  <c r="K1283"/>
  <c r="M1283"/>
  <c r="P1283"/>
  <c r="E1193" i="2"/>
  <c r="O1283" i="1"/>
  <c r="D1193" i="2"/>
  <c r="A1284" i="1"/>
  <c r="A1194" i="2"/>
  <c r="F1284" i="1"/>
  <c r="N1284"/>
  <c r="K1284"/>
  <c r="M1284"/>
  <c r="P1284"/>
  <c r="E1194" i="2"/>
  <c r="O1284" i="1"/>
  <c r="D1194" i="2"/>
  <c r="F1285" i="1"/>
  <c r="N1285"/>
  <c r="K1285"/>
  <c r="M1285"/>
  <c r="P1285"/>
  <c r="E1195" i="2"/>
  <c r="O1285" i="1"/>
  <c r="D1195" i="2"/>
  <c r="F1286" i="1"/>
  <c r="N1286"/>
  <c r="K1286"/>
  <c r="M1286"/>
  <c r="P1286"/>
  <c r="E1196" i="2"/>
  <c r="O1286" i="1"/>
  <c r="D1196" i="2"/>
  <c r="F1287" i="1"/>
  <c r="N1287"/>
  <c r="K1287"/>
  <c r="M1287"/>
  <c r="P1287"/>
  <c r="E1197" i="2"/>
  <c r="O1287" i="1"/>
  <c r="D1197" i="2"/>
  <c r="F1288" i="1"/>
  <c r="N1288"/>
  <c r="K1288"/>
  <c r="M1288"/>
  <c r="P1288"/>
  <c r="E1198" i="2"/>
  <c r="O1288" i="1"/>
  <c r="D1198" i="2"/>
  <c r="F1289" i="1"/>
  <c r="N1289"/>
  <c r="K1289"/>
  <c r="M1289"/>
  <c r="P1289"/>
  <c r="E1199" i="2"/>
  <c r="O1289" i="1"/>
  <c r="D1199" i="2"/>
  <c r="F1290" i="1"/>
  <c r="N1290"/>
  <c r="K1290"/>
  <c r="M1290"/>
  <c r="P1290"/>
  <c r="E1200" i="2"/>
  <c r="O1290" i="1"/>
  <c r="D1200" i="2"/>
  <c r="F1291" i="1"/>
  <c r="N1291"/>
  <c r="K1291"/>
  <c r="M1291"/>
  <c r="P1291"/>
  <c r="E1201" i="2"/>
  <c r="O1291" i="1"/>
  <c r="D1201" i="2"/>
  <c r="F1292" i="1"/>
  <c r="N1292"/>
  <c r="K1292"/>
  <c r="M1292"/>
  <c r="P1292"/>
  <c r="E1202" i="2"/>
  <c r="O1292" i="1"/>
  <c r="D1202" i="2"/>
  <c r="F1293" i="1"/>
  <c r="N1293"/>
  <c r="K1293"/>
  <c r="M1293"/>
  <c r="P1293"/>
  <c r="E1203" i="2"/>
  <c r="O1293" i="1"/>
  <c r="D1203" i="2"/>
  <c r="F1294" i="1"/>
  <c r="N1294"/>
  <c r="K1294"/>
  <c r="M1294"/>
  <c r="P1294"/>
  <c r="E1204" i="2"/>
  <c r="O1294" i="1"/>
  <c r="D1204" i="2"/>
  <c r="F1295" i="1"/>
  <c r="N1295"/>
  <c r="K1295"/>
  <c r="M1295"/>
  <c r="P1295"/>
  <c r="E1205" i="2"/>
  <c r="O1295" i="1"/>
  <c r="D1205" i="2"/>
  <c r="F1296" i="1"/>
  <c r="N1296"/>
  <c r="K1296"/>
  <c r="M1296"/>
  <c r="P1296"/>
  <c r="E1206" i="2"/>
  <c r="O1296" i="1"/>
  <c r="D1206" i="2"/>
  <c r="K1298" i="1"/>
  <c r="M1298"/>
  <c r="P1298"/>
  <c r="E1208" i="2"/>
  <c r="N1298" i="1"/>
  <c r="O1298"/>
  <c r="D1208" i="2"/>
  <c r="K1299" i="1"/>
  <c r="M1299"/>
  <c r="P1299"/>
  <c r="E1209" i="2"/>
  <c r="N1299" i="1"/>
  <c r="O1299"/>
  <c r="D1209" i="2"/>
  <c r="K1300" i="1"/>
  <c r="M1300"/>
  <c r="P1300"/>
  <c r="E1210" i="2"/>
  <c r="N1300" i="1"/>
  <c r="O1300"/>
  <c r="D1210" i="2"/>
  <c r="K1301" i="1"/>
  <c r="M1301"/>
  <c r="P1301"/>
  <c r="E1211" i="2"/>
  <c r="N1301" i="1"/>
  <c r="O1301"/>
  <c r="D1211" i="2"/>
  <c r="K1302" i="1"/>
  <c r="M1302"/>
  <c r="P1302"/>
  <c r="E1212" i="2"/>
  <c r="N1302" i="1"/>
  <c r="O1302"/>
  <c r="D1212" i="2"/>
  <c r="K1304" i="1"/>
  <c r="M1304"/>
  <c r="P1304"/>
  <c r="E1214" i="2"/>
  <c r="N1304" i="1"/>
  <c r="O1304"/>
  <c r="D1214" i="2"/>
  <c r="K1305" i="1"/>
  <c r="M1305"/>
  <c r="P1305"/>
  <c r="E1215" i="2"/>
  <c r="N1305" i="1"/>
  <c r="O1305"/>
  <c r="D1215" i="2"/>
  <c r="K1306" i="1"/>
  <c r="M1306"/>
  <c r="P1306"/>
  <c r="E1216" i="2"/>
  <c r="N1306" i="1"/>
  <c r="O1306"/>
  <c r="D1216" i="2"/>
  <c r="K1308" i="1"/>
  <c r="M1308"/>
  <c r="P1308"/>
  <c r="E1218" i="2"/>
  <c r="N1308" i="1"/>
  <c r="O1308"/>
  <c r="D1218" i="2"/>
  <c r="K1309" i="1"/>
  <c r="M1309"/>
  <c r="P1309"/>
  <c r="E1219" i="2"/>
  <c r="N1309" i="1"/>
  <c r="O1309"/>
  <c r="D1219" i="2"/>
  <c r="K1310" i="1"/>
  <c r="M1310"/>
  <c r="P1310"/>
  <c r="E1220" i="2"/>
  <c r="N1310" i="1"/>
  <c r="O1310"/>
  <c r="D1220" i="2"/>
  <c r="K1312" i="1"/>
  <c r="M1312"/>
  <c r="P1312"/>
  <c r="E1222" i="2"/>
  <c r="N1312" i="1"/>
  <c r="O1312"/>
  <c r="D1222" i="2"/>
  <c r="K1313" i="1"/>
  <c r="M1313"/>
  <c r="P1313"/>
  <c r="E1223" i="2"/>
  <c r="N1313" i="1"/>
  <c r="O1313"/>
  <c r="D1223" i="2"/>
  <c r="K1314" i="1"/>
  <c r="M1314"/>
  <c r="P1314"/>
  <c r="E1224" i="2"/>
  <c r="N1314" i="1"/>
  <c r="O1314"/>
  <c r="D1224" i="2"/>
  <c r="K1315" i="1"/>
  <c r="M1315"/>
  <c r="P1315"/>
  <c r="E1225" i="2"/>
  <c r="N1315" i="1"/>
  <c r="O1315"/>
  <c r="D1225" i="2"/>
  <c r="K1316" i="1"/>
  <c r="M1316"/>
  <c r="P1316"/>
  <c r="E1226" i="2"/>
  <c r="N1316" i="1"/>
  <c r="O1316"/>
  <c r="D1226" i="2"/>
  <c r="K1317" i="1"/>
  <c r="M1317"/>
  <c r="P1317"/>
  <c r="E1227" i="2"/>
  <c r="N1317" i="1"/>
  <c r="O1317"/>
  <c r="D1227" i="2"/>
  <c r="K1318" i="1"/>
  <c r="M1318"/>
  <c r="P1318"/>
  <c r="E1228" i="2"/>
  <c r="N1318" i="1"/>
  <c r="O1318"/>
  <c r="D1228" i="2"/>
  <c r="K1319" i="1"/>
  <c r="M1319"/>
  <c r="P1319"/>
  <c r="E1229" i="2"/>
  <c r="N1319" i="1"/>
  <c r="O1319"/>
  <c r="D1229" i="2"/>
  <c r="K1320" i="1"/>
  <c r="M1320"/>
  <c r="P1320"/>
  <c r="E1230" i="2"/>
  <c r="N1320" i="1"/>
  <c r="O1320"/>
  <c r="D1230" i="2"/>
  <c r="K1321" i="1"/>
  <c r="M1321"/>
  <c r="P1321"/>
  <c r="E1231" i="2"/>
  <c r="N1321" i="1"/>
  <c r="O1321"/>
  <c r="D1231" i="2"/>
  <c r="K1322" i="1"/>
  <c r="M1322"/>
  <c r="P1322"/>
  <c r="E1232" i="2"/>
  <c r="N1322" i="1"/>
  <c r="O1322"/>
  <c r="D1232" i="2"/>
  <c r="K1323" i="1"/>
  <c r="M1323"/>
  <c r="P1323"/>
  <c r="E1233" i="2"/>
  <c r="N1323" i="1"/>
  <c r="O1323"/>
  <c r="D1233" i="2"/>
  <c r="K1324" i="1"/>
  <c r="M1324"/>
  <c r="P1324"/>
  <c r="E1234" i="2"/>
  <c r="N1324" i="1"/>
  <c r="O1324"/>
  <c r="D1234" i="2"/>
  <c r="K1325" i="1"/>
  <c r="M1325"/>
  <c r="P1325"/>
  <c r="E1235" i="2"/>
  <c r="N1325" i="1"/>
  <c r="O1325"/>
  <c r="D1235" i="2"/>
  <c r="F1328" i="1"/>
  <c r="N1328"/>
  <c r="K1328"/>
  <c r="M1328"/>
  <c r="P1328"/>
  <c r="E1238" i="2"/>
  <c r="O1328" i="1"/>
  <c r="D1238" i="2"/>
  <c r="A1329" i="1"/>
  <c r="F1329"/>
  <c r="N1329"/>
  <c r="K1329"/>
  <c r="M1329"/>
  <c r="P1329"/>
  <c r="E1239" i="2"/>
  <c r="O1329" i="1"/>
  <c r="D1239" i="2"/>
  <c r="F1330" i="1"/>
  <c r="N1330"/>
  <c r="K1330"/>
  <c r="M1330"/>
  <c r="P1330"/>
  <c r="E1240" i="2"/>
  <c r="O1330" i="1"/>
  <c r="D1240" i="2"/>
  <c r="F1331" i="1"/>
  <c r="N1331"/>
  <c r="K1331"/>
  <c r="M1331"/>
  <c r="P1331"/>
  <c r="E1241" i="2"/>
  <c r="O1331" i="1"/>
  <c r="D1241" i="2"/>
  <c r="F1332" i="1"/>
  <c r="N1332"/>
  <c r="K1332"/>
  <c r="M1332"/>
  <c r="P1332"/>
  <c r="E1242" i="2"/>
  <c r="O1332" i="1"/>
  <c r="D1242" i="2"/>
  <c r="F1333" i="1"/>
  <c r="N1333"/>
  <c r="K1333"/>
  <c r="M1333"/>
  <c r="P1333"/>
  <c r="E1243" i="2"/>
  <c r="O1333" i="1"/>
  <c r="D1243" i="2"/>
  <c r="F1334" i="1"/>
  <c r="N1334"/>
  <c r="K1334"/>
  <c r="M1334"/>
  <c r="P1334"/>
  <c r="E1244" i="2"/>
  <c r="O1334" i="1"/>
  <c r="D1244" i="2"/>
  <c r="F1335" i="1"/>
  <c r="N1335"/>
  <c r="K1335"/>
  <c r="M1335"/>
  <c r="P1335"/>
  <c r="E1245" i="2"/>
  <c r="O1335" i="1"/>
  <c r="D1245" i="2"/>
  <c r="F1336" i="1"/>
  <c r="N1336"/>
  <c r="K1336"/>
  <c r="M1336"/>
  <c r="P1336"/>
  <c r="E1246" i="2"/>
  <c r="O1336" i="1"/>
  <c r="D1246" i="2"/>
  <c r="F1337" i="1"/>
  <c r="N1337"/>
  <c r="K1337"/>
  <c r="M1337"/>
  <c r="P1337"/>
  <c r="E1247" i="2"/>
  <c r="O1337" i="1"/>
  <c r="D1247" i="2"/>
  <c r="F1338" i="1"/>
  <c r="N1338"/>
  <c r="K1338"/>
  <c r="M1338"/>
  <c r="P1338"/>
  <c r="E1248" i="2"/>
  <c r="O1338" i="1"/>
  <c r="D1248" i="2"/>
  <c r="F1339" i="1"/>
  <c r="N1339"/>
  <c r="K1339"/>
  <c r="M1339"/>
  <c r="P1339"/>
  <c r="E1249" i="2"/>
  <c r="O1339" i="1"/>
  <c r="D1249" i="2"/>
  <c r="F1340" i="1"/>
  <c r="N1340"/>
  <c r="K1340"/>
  <c r="M1340"/>
  <c r="P1340"/>
  <c r="E1250" i="2"/>
  <c r="O1340" i="1"/>
  <c r="D1250" i="2"/>
  <c r="F1342" i="1"/>
  <c r="N1342"/>
  <c r="K1342"/>
  <c r="M1342"/>
  <c r="P1342"/>
  <c r="E1252" i="2"/>
  <c r="O1342" i="1"/>
  <c r="D1252" i="2"/>
  <c r="F1343" i="1"/>
  <c r="N1343"/>
  <c r="K1343"/>
  <c r="M1343"/>
  <c r="P1343"/>
  <c r="E1253" i="2"/>
  <c r="O1343" i="1"/>
  <c r="D1253" i="2"/>
  <c r="F1344" i="1"/>
  <c r="N1344"/>
  <c r="K1344"/>
  <c r="M1344"/>
  <c r="P1344"/>
  <c r="E1254" i="2"/>
  <c r="O1344" i="1"/>
  <c r="D1254" i="2"/>
  <c r="F1345" i="1"/>
  <c r="N1345"/>
  <c r="K1345"/>
  <c r="M1345"/>
  <c r="P1345"/>
  <c r="E1255" i="2"/>
  <c r="O1345" i="1"/>
  <c r="D1255" i="2"/>
  <c r="F1346" i="1"/>
  <c r="N1346"/>
  <c r="K1346"/>
  <c r="M1346"/>
  <c r="P1346"/>
  <c r="E1256" i="2"/>
  <c r="O1346" i="1"/>
  <c r="D1256" i="2"/>
  <c r="F1347" i="1"/>
  <c r="N1347"/>
  <c r="K1347"/>
  <c r="M1347"/>
  <c r="P1347"/>
  <c r="E1257" i="2"/>
  <c r="O1347" i="1"/>
  <c r="D1257" i="2"/>
  <c r="F1348" i="1"/>
  <c r="N1348"/>
  <c r="K1348"/>
  <c r="M1348"/>
  <c r="P1348"/>
  <c r="E1258" i="2"/>
  <c r="O1348" i="1"/>
  <c r="D1258" i="2"/>
  <c r="F1349" i="1"/>
  <c r="N1349"/>
  <c r="K1349"/>
  <c r="M1349"/>
  <c r="P1349"/>
  <c r="E1259" i="2"/>
  <c r="O1349" i="1"/>
  <c r="D1259" i="2"/>
  <c r="F1350" i="1"/>
  <c r="N1350"/>
  <c r="K1350"/>
  <c r="M1350"/>
  <c r="P1350"/>
  <c r="E1260" i="2"/>
  <c r="O1350" i="1"/>
  <c r="D1260" i="2"/>
  <c r="F1351" i="1"/>
  <c r="N1351"/>
  <c r="K1351"/>
  <c r="M1351"/>
  <c r="P1351"/>
  <c r="E1261" i="2"/>
  <c r="O1351" i="1"/>
  <c r="D1261" i="2"/>
  <c r="F1352" i="1"/>
  <c r="N1352"/>
  <c r="K1352"/>
  <c r="M1352"/>
  <c r="P1352"/>
  <c r="E1262" i="2"/>
  <c r="O1352" i="1"/>
  <c r="D1262" i="2"/>
  <c r="F1353" i="1"/>
  <c r="N1353"/>
  <c r="K1353"/>
  <c r="M1353"/>
  <c r="P1353"/>
  <c r="E1263" i="2"/>
  <c r="O1353" i="1"/>
  <c r="D1263" i="2"/>
  <c r="F1354" i="1"/>
  <c r="N1354"/>
  <c r="K1354"/>
  <c r="M1354"/>
  <c r="P1354"/>
  <c r="E1264" i="2"/>
  <c r="O1354" i="1"/>
  <c r="D1264" i="2"/>
  <c r="F1355" i="1"/>
  <c r="N1355"/>
  <c r="K1355"/>
  <c r="M1355"/>
  <c r="P1355"/>
  <c r="E1265" i="2"/>
  <c r="O1355" i="1"/>
  <c r="D1265" i="2"/>
  <c r="F1356" i="1"/>
  <c r="N1356"/>
  <c r="K1356"/>
  <c r="M1356"/>
  <c r="P1356"/>
  <c r="E1266" i="2"/>
  <c r="O1356" i="1"/>
  <c r="D1266" i="2"/>
  <c r="F1357" i="1"/>
  <c r="N1357"/>
  <c r="K1357"/>
  <c r="M1357"/>
  <c r="P1357"/>
  <c r="E1267" i="2"/>
  <c r="O1357" i="1"/>
  <c r="D1267" i="2"/>
  <c r="F1358" i="1"/>
  <c r="N1358"/>
  <c r="K1358"/>
  <c r="M1358"/>
  <c r="P1358"/>
  <c r="E1268" i="2"/>
  <c r="O1358" i="1"/>
  <c r="D1268" i="2"/>
  <c r="F1359" i="1"/>
  <c r="N1359"/>
  <c r="K1359"/>
  <c r="M1359"/>
  <c r="P1359"/>
  <c r="E1269" i="2"/>
  <c r="O1359" i="1"/>
  <c r="D1269" i="2"/>
  <c r="F1360" i="1"/>
  <c r="N1360"/>
  <c r="K1360"/>
  <c r="M1360"/>
  <c r="P1360"/>
  <c r="E1270" i="2"/>
  <c r="O1360" i="1"/>
  <c r="D1270" i="2"/>
  <c r="F1361" i="1"/>
  <c r="N1361"/>
  <c r="K1361"/>
  <c r="M1361"/>
  <c r="P1361"/>
  <c r="E1271" i="2"/>
  <c r="O1361" i="1"/>
  <c r="D1271" i="2"/>
  <c r="F1362" i="1"/>
  <c r="N1362"/>
  <c r="K1362"/>
  <c r="M1362"/>
  <c r="P1362"/>
  <c r="E1272" i="2"/>
  <c r="O1362" i="1"/>
  <c r="D1272" i="2"/>
  <c r="F1363" i="1"/>
  <c r="N1363"/>
  <c r="K1363"/>
  <c r="M1363"/>
  <c r="P1363"/>
  <c r="E1273" i="2"/>
  <c r="O1363" i="1"/>
  <c r="D1273" i="2"/>
  <c r="F1365" i="1"/>
  <c r="N1365"/>
  <c r="K1365"/>
  <c r="M1365"/>
  <c r="P1365"/>
  <c r="E1275" i="2"/>
  <c r="O1365" i="1"/>
  <c r="D1275" i="2"/>
  <c r="F1366" i="1"/>
  <c r="N1366"/>
  <c r="K1366"/>
  <c r="M1366"/>
  <c r="P1366"/>
  <c r="E1276" i="2"/>
  <c r="O1366" i="1"/>
  <c r="D1276" i="2"/>
  <c r="F1367" i="1"/>
  <c r="N1367"/>
  <c r="K1367"/>
  <c r="M1367"/>
  <c r="P1367"/>
  <c r="E1277" i="2"/>
  <c r="O1367" i="1"/>
  <c r="D1277" i="2"/>
  <c r="F1368" i="1"/>
  <c r="N1368"/>
  <c r="K1368"/>
  <c r="M1368"/>
  <c r="P1368"/>
  <c r="E1278" i="2"/>
  <c r="O1368" i="1"/>
  <c r="D1278" i="2"/>
  <c r="F1369" i="1"/>
  <c r="N1369"/>
  <c r="K1369"/>
  <c r="M1369"/>
  <c r="P1369"/>
  <c r="E1279" i="2"/>
  <c r="O1369" i="1"/>
  <c r="D1279" i="2"/>
  <c r="F1370" i="1"/>
  <c r="N1370"/>
  <c r="K1370"/>
  <c r="M1370"/>
  <c r="P1370"/>
  <c r="E1280" i="2"/>
  <c r="O1370" i="1"/>
  <c r="D1280" i="2"/>
  <c r="F1371" i="1"/>
  <c r="N1371"/>
  <c r="K1371"/>
  <c r="M1371"/>
  <c r="P1371"/>
  <c r="E1281" i="2"/>
  <c r="O1371" i="1"/>
  <c r="D1281" i="2"/>
  <c r="F1372" i="1"/>
  <c r="N1372"/>
  <c r="K1372"/>
  <c r="M1372"/>
  <c r="P1372"/>
  <c r="E1282" i="2"/>
  <c r="O1372" i="1"/>
  <c r="D1282" i="2"/>
  <c r="F1373" i="1"/>
  <c r="N1373"/>
  <c r="K1373"/>
  <c r="M1373"/>
  <c r="P1373"/>
  <c r="E1283" i="2"/>
  <c r="O1373" i="1"/>
  <c r="D1283" i="2"/>
  <c r="F1374" i="1"/>
  <c r="N1374"/>
  <c r="K1374"/>
  <c r="M1374"/>
  <c r="P1374"/>
  <c r="E1284" i="2"/>
  <c r="O1374" i="1"/>
  <c r="D1284" i="2"/>
  <c r="F1375" i="1"/>
  <c r="N1375"/>
  <c r="K1375"/>
  <c r="M1375"/>
  <c r="P1375"/>
  <c r="E1285" i="2"/>
  <c r="O1375" i="1"/>
  <c r="D1285" i="2"/>
  <c r="F1376" i="1"/>
  <c r="N1376"/>
  <c r="K1376"/>
  <c r="M1376"/>
  <c r="P1376"/>
  <c r="E1286" i="2"/>
  <c r="O1376" i="1"/>
  <c r="D1286" i="2"/>
  <c r="E1379" i="1"/>
  <c r="O1379"/>
  <c r="D1289" i="2"/>
  <c r="K1379" i="1"/>
  <c r="E1380"/>
  <c r="M1380"/>
  <c r="P1380"/>
  <c r="E1290" i="2"/>
  <c r="K1380" i="1"/>
  <c r="E1381"/>
  <c r="K1381"/>
  <c r="E1382"/>
  <c r="K1382"/>
  <c r="E1383"/>
  <c r="O1383"/>
  <c r="D1293" i="2"/>
  <c r="K1383" i="1"/>
  <c r="E1384"/>
  <c r="M1384"/>
  <c r="P1384"/>
  <c r="E1294" i="2"/>
  <c r="K1384" i="1"/>
  <c r="E1385"/>
  <c r="O1385"/>
  <c r="D1295" i="2"/>
  <c r="K1385" i="1"/>
  <c r="E1386"/>
  <c r="M1386"/>
  <c r="P1386"/>
  <c r="E1296" i="2"/>
  <c r="K1386" i="1"/>
  <c r="E1387"/>
  <c r="O1387"/>
  <c r="D1297" i="2"/>
  <c r="K1387" i="1"/>
  <c r="E1388"/>
  <c r="M1388"/>
  <c r="P1388"/>
  <c r="E1298" i="2"/>
  <c r="K1388" i="1"/>
  <c r="E1389"/>
  <c r="K1389"/>
  <c r="E1390"/>
  <c r="O1390"/>
  <c r="D1300" i="2"/>
  <c r="K1390" i="1"/>
  <c r="E1391"/>
  <c r="O1391"/>
  <c r="D1301" i="2"/>
  <c r="K1391" i="1"/>
  <c r="E1392"/>
  <c r="M1392"/>
  <c r="P1392"/>
  <c r="E1302" i="2"/>
  <c r="K1392" i="1"/>
  <c r="E1393"/>
  <c r="O1393"/>
  <c r="D1303" i="2"/>
  <c r="K1393" i="1"/>
  <c r="E1394"/>
  <c r="M1394"/>
  <c r="P1394"/>
  <c r="E1304" i="2"/>
  <c r="K1394" i="1"/>
  <c r="E1395"/>
  <c r="M1395"/>
  <c r="P1395"/>
  <c r="E1305" i="2"/>
  <c r="K1395" i="1"/>
  <c r="E1396"/>
  <c r="O1396"/>
  <c r="D1306" i="2"/>
  <c r="K1396" i="1"/>
  <c r="E1397"/>
  <c r="O1397"/>
  <c r="D1307" i="2"/>
  <c r="K1397" i="1"/>
  <c r="E1398"/>
  <c r="O1398"/>
  <c r="D1308" i="2"/>
  <c r="K1398" i="1"/>
  <c r="E1399"/>
  <c r="M1399"/>
  <c r="P1399"/>
  <c r="E1309" i="2"/>
  <c r="K1399" i="1"/>
  <c r="E1400"/>
  <c r="M1400"/>
  <c r="P1400"/>
  <c r="E1310" i="2"/>
  <c r="K1400" i="1"/>
  <c r="E1401"/>
  <c r="O1401"/>
  <c r="D1311" i="2"/>
  <c r="K1401" i="1"/>
  <c r="E1402"/>
  <c r="O1402"/>
  <c r="D1312" i="2"/>
  <c r="K1402" i="1"/>
  <c r="E1403"/>
  <c r="O1403"/>
  <c r="D1313" i="2"/>
  <c r="K1403" i="1"/>
  <c r="A1405"/>
  <c r="A1406"/>
  <c r="A1316" i="2"/>
  <c r="E1405" i="1"/>
  <c r="M1405"/>
  <c r="P1405"/>
  <c r="E1315" i="2"/>
  <c r="K1405" i="1"/>
  <c r="E1406"/>
  <c r="O1406"/>
  <c r="D1316" i="2"/>
  <c r="K1406" i="1"/>
  <c r="E1407"/>
  <c r="M1407"/>
  <c r="P1407"/>
  <c r="E1317" i="2"/>
  <c r="K1407" i="1"/>
  <c r="E1408"/>
  <c r="O1408"/>
  <c r="D1318" i="2"/>
  <c r="K1408" i="1"/>
  <c r="E1409"/>
  <c r="K1409"/>
  <c r="E1410"/>
  <c r="O1410"/>
  <c r="D1320" i="2"/>
  <c r="K1410" i="1"/>
  <c r="E1411"/>
  <c r="M1411"/>
  <c r="P1411"/>
  <c r="E1321" i="2"/>
  <c r="K1411" i="1"/>
  <c r="E1412"/>
  <c r="O1412"/>
  <c r="D1322" i="2"/>
  <c r="K1412" i="1"/>
  <c r="E1413"/>
  <c r="M1413"/>
  <c r="P1413"/>
  <c r="E1323" i="2"/>
  <c r="K1413" i="1"/>
  <c r="E1414"/>
  <c r="O1414"/>
  <c r="D1324" i="2"/>
  <c r="K1414" i="1"/>
  <c r="E1415"/>
  <c r="K1415"/>
  <c r="E1416"/>
  <c r="O1416"/>
  <c r="D1326" i="2"/>
  <c r="K1416" i="1"/>
  <c r="E1417"/>
  <c r="O1417"/>
  <c r="D1327" i="2"/>
  <c r="K1417" i="1"/>
  <c r="E1418"/>
  <c r="O1418"/>
  <c r="D1328" i="2"/>
  <c r="K1418" i="1"/>
  <c r="E1419"/>
  <c r="K1419"/>
  <c r="E1420"/>
  <c r="O1420"/>
  <c r="D1330" i="2"/>
  <c r="K1420" i="1"/>
  <c r="E1421"/>
  <c r="M1421"/>
  <c r="P1421"/>
  <c r="E1331" i="2"/>
  <c r="K1421" i="1"/>
  <c r="E1422"/>
  <c r="M1422"/>
  <c r="P1422"/>
  <c r="E1332" i="2"/>
  <c r="K1422" i="1"/>
  <c r="E1423"/>
  <c r="M1423"/>
  <c r="P1423"/>
  <c r="E1333" i="2"/>
  <c r="K1423" i="1"/>
  <c r="E1424"/>
  <c r="O1424"/>
  <c r="D1334" i="2"/>
  <c r="K1424" i="1"/>
  <c r="E1425"/>
  <c r="O1425"/>
  <c r="D1335" i="2"/>
  <c r="K1425" i="1"/>
  <c r="K1427"/>
  <c r="M1427"/>
  <c r="P1427"/>
  <c r="E1337" i="2"/>
  <c r="O1427" i="1"/>
  <c r="D1337" i="2"/>
  <c r="K1428" i="1"/>
  <c r="M1428"/>
  <c r="P1428"/>
  <c r="E1338" i="2"/>
  <c r="O1428" i="1"/>
  <c r="D1338" i="2"/>
  <c r="K1429" i="1"/>
  <c r="M1429"/>
  <c r="P1429"/>
  <c r="E1339" i="2"/>
  <c r="O1429" i="1"/>
  <c r="D1339" i="2"/>
  <c r="K1430" i="1"/>
  <c r="M1430"/>
  <c r="P1430"/>
  <c r="E1340" i="2"/>
  <c r="O1430" i="1"/>
  <c r="D1340" i="2"/>
  <c r="K1431" i="1"/>
  <c r="M1431"/>
  <c r="P1431"/>
  <c r="E1341" i="2"/>
  <c r="O1431" i="1"/>
  <c r="D1341" i="2"/>
  <c r="K1432" i="1"/>
  <c r="M1432"/>
  <c r="P1432"/>
  <c r="E1342" i="2"/>
  <c r="O1432" i="1"/>
  <c r="D1342" i="2"/>
  <c r="K1433" i="1"/>
  <c r="M1433"/>
  <c r="P1433"/>
  <c r="E1343" i="2"/>
  <c r="O1433" i="1"/>
  <c r="D1343" i="2"/>
  <c r="K1434" i="1"/>
  <c r="M1434"/>
  <c r="P1434"/>
  <c r="E1344" i="2"/>
  <c r="O1434" i="1"/>
  <c r="D1344" i="2"/>
  <c r="K1435" i="1"/>
  <c r="M1435"/>
  <c r="P1435"/>
  <c r="E1345" i="2"/>
  <c r="O1435" i="1"/>
  <c r="D1345" i="2"/>
  <c r="K1436" i="1"/>
  <c r="M1436"/>
  <c r="P1436"/>
  <c r="E1346" i="2"/>
  <c r="O1436" i="1"/>
  <c r="D1346" i="2"/>
  <c r="K1437" i="1"/>
  <c r="M1437"/>
  <c r="P1437"/>
  <c r="E1347" i="2"/>
  <c r="O1437" i="1"/>
  <c r="D1347" i="2"/>
  <c r="K1438" i="1"/>
  <c r="M1438"/>
  <c r="P1438"/>
  <c r="E1348" i="2"/>
  <c r="O1438" i="1"/>
  <c r="D1348" i="2"/>
  <c r="K1439" i="1"/>
  <c r="M1439"/>
  <c r="P1439"/>
  <c r="E1349" i="2"/>
  <c r="O1439" i="1"/>
  <c r="D1349" i="2"/>
  <c r="K1440" i="1"/>
  <c r="M1440"/>
  <c r="P1440"/>
  <c r="E1350" i="2"/>
  <c r="O1440" i="1"/>
  <c r="D1350" i="2"/>
  <c r="K1441" i="1"/>
  <c r="M1441"/>
  <c r="P1441"/>
  <c r="E1351" i="2"/>
  <c r="O1441" i="1"/>
  <c r="D1351" i="2"/>
  <c r="K1442" i="1"/>
  <c r="M1442"/>
  <c r="P1442"/>
  <c r="E1352" i="2"/>
  <c r="O1442" i="1"/>
  <c r="D1352" i="2"/>
  <c r="K1443" i="1"/>
  <c r="M1443"/>
  <c r="P1443"/>
  <c r="E1353" i="2"/>
  <c r="O1443" i="1"/>
  <c r="D1353" i="2"/>
  <c r="K1444" i="1"/>
  <c r="M1444"/>
  <c r="P1444"/>
  <c r="E1354" i="2"/>
  <c r="O1444" i="1"/>
  <c r="D1354" i="2"/>
  <c r="K1445" i="1"/>
  <c r="M1445"/>
  <c r="P1445"/>
  <c r="E1355" i="2"/>
  <c r="O1445" i="1"/>
  <c r="D1355" i="2"/>
  <c r="E1447" i="1"/>
  <c r="M1447"/>
  <c r="P1447"/>
  <c r="E1357" i="2"/>
  <c r="K1447" i="1"/>
  <c r="E1448"/>
  <c r="M1448"/>
  <c r="P1448"/>
  <c r="E1358" i="2"/>
  <c r="K1448" i="1"/>
  <c r="E1449"/>
  <c r="M1449"/>
  <c r="P1449"/>
  <c r="E1359" i="2"/>
  <c r="K1449" i="1"/>
  <c r="A1450"/>
  <c r="A1360" i="2"/>
  <c r="E1450" i="1"/>
  <c r="K1450"/>
  <c r="E1451"/>
  <c r="O1451"/>
  <c r="D1361" i="2"/>
  <c r="K1451" i="1"/>
  <c r="A1452"/>
  <c r="A1362" i="2"/>
  <c r="E1452" i="1"/>
  <c r="O1452"/>
  <c r="D1362" i="2"/>
  <c r="K1452" i="1"/>
  <c r="E1453"/>
  <c r="K1453"/>
  <c r="A1454"/>
  <c r="A1364" i="2"/>
  <c r="E1454" i="1"/>
  <c r="O1454"/>
  <c r="D1364" i="2"/>
  <c r="K1454" i="1"/>
  <c r="E1455"/>
  <c r="O1455"/>
  <c r="D1365" i="2"/>
  <c r="K1455" i="1"/>
  <c r="A1456"/>
  <c r="A1366" i="2"/>
  <c r="E1456" i="1"/>
  <c r="O1456"/>
  <c r="D1366" i="2"/>
  <c r="K1456" i="1"/>
  <c r="E1457"/>
  <c r="M1457"/>
  <c r="P1457"/>
  <c r="E1367" i="2"/>
  <c r="K1457" i="1"/>
  <c r="A1458"/>
  <c r="A1368" i="2"/>
  <c r="E1458" i="1"/>
  <c r="O1458"/>
  <c r="D1368" i="2"/>
  <c r="K1458" i="1"/>
  <c r="E1459"/>
  <c r="M1459"/>
  <c r="P1459"/>
  <c r="E1369" i="2"/>
  <c r="K1459" i="1"/>
  <c r="A1461"/>
  <c r="E1461"/>
  <c r="O1461"/>
  <c r="D1371" i="2"/>
  <c r="K1461" i="1"/>
  <c r="E1462"/>
  <c r="K1462"/>
  <c r="E1463"/>
  <c r="O1463"/>
  <c r="D1373" i="2"/>
  <c r="K1463" i="1"/>
  <c r="E1464"/>
  <c r="M1464"/>
  <c r="P1464"/>
  <c r="E1374" i="2"/>
  <c r="K1464" i="1"/>
  <c r="E1465"/>
  <c r="K1465"/>
  <c r="E1466"/>
  <c r="M1466"/>
  <c r="P1466"/>
  <c r="E1376" i="2"/>
  <c r="K1466" i="1"/>
  <c r="E1467"/>
  <c r="M1467"/>
  <c r="P1467"/>
  <c r="E1377" i="2"/>
  <c r="K1467" i="1"/>
  <c r="E1468"/>
  <c r="O1468"/>
  <c r="D1378" i="2"/>
  <c r="K1468" i="1"/>
  <c r="E1469"/>
  <c r="O1469"/>
  <c r="D1379" i="2"/>
  <c r="K1469" i="1"/>
  <c r="E1470"/>
  <c r="O1470"/>
  <c r="D1380" i="2"/>
  <c r="K1470" i="1"/>
  <c r="E1471"/>
  <c r="M1471"/>
  <c r="P1471"/>
  <c r="E1381" i="2"/>
  <c r="K1471" i="1"/>
  <c r="E1472"/>
  <c r="O1472"/>
  <c r="D1382" i="2"/>
  <c r="K1472" i="1"/>
  <c r="D1474"/>
  <c r="L1474"/>
  <c r="P1474"/>
  <c r="E1384" i="2"/>
  <c r="H1384"/>
  <c r="K1474" i="1"/>
  <c r="D1475"/>
  <c r="L1475"/>
  <c r="P1475"/>
  <c r="E1385" i="2"/>
  <c r="H1385"/>
  <c r="K1475" i="1"/>
  <c r="D1476"/>
  <c r="K1476"/>
  <c r="D1477"/>
  <c r="L1477"/>
  <c r="P1477"/>
  <c r="E1387" i="2"/>
  <c r="K1477" i="1"/>
  <c r="D1478"/>
  <c r="K1478"/>
  <c r="D1479"/>
  <c r="H1389" i="2"/>
  <c r="K1479" i="1"/>
  <c r="D1480"/>
  <c r="O1480"/>
  <c r="D1390" i="2"/>
  <c r="L1480" i="1"/>
  <c r="P1480"/>
  <c r="E1390" i="2"/>
  <c r="H1390"/>
  <c r="K1480" i="1"/>
  <c r="D1481"/>
  <c r="L1481"/>
  <c r="P1481"/>
  <c r="E1391" i="2"/>
  <c r="K1481" i="1"/>
  <c r="D1482"/>
  <c r="L1482"/>
  <c r="P1482"/>
  <c r="E1392" i="2"/>
  <c r="K1482" i="1"/>
  <c r="D1483"/>
  <c r="L1483"/>
  <c r="P1483"/>
  <c r="E1393" i="2"/>
  <c r="K1483" i="1"/>
  <c r="D1484"/>
  <c r="L1484"/>
  <c r="P1484"/>
  <c r="E1394" i="2"/>
  <c r="K1484" i="1"/>
  <c r="D1485"/>
  <c r="L1485"/>
  <c r="P1485"/>
  <c r="E1395" i="2"/>
  <c r="K1485" i="1"/>
  <c r="D1486"/>
  <c r="L1486"/>
  <c r="P1486"/>
  <c r="E1396" i="2"/>
  <c r="H1396"/>
  <c r="K1486" i="1"/>
  <c r="D1487"/>
  <c r="L1487"/>
  <c r="P1487"/>
  <c r="E1397" i="2"/>
  <c r="K1487" i="1"/>
  <c r="D1488"/>
  <c r="H1398" i="2"/>
  <c r="K1488" i="1"/>
  <c r="D1489"/>
  <c r="K1489"/>
  <c r="D1490"/>
  <c r="K1490"/>
  <c r="E1493"/>
  <c r="M1493"/>
  <c r="P1493"/>
  <c r="E1403" i="2"/>
  <c r="K1493" i="1"/>
  <c r="A1494"/>
  <c r="E1494"/>
  <c r="M1494"/>
  <c r="P1494"/>
  <c r="E1404" i="2"/>
  <c r="K1494" i="1"/>
  <c r="E1495"/>
  <c r="K1495"/>
  <c r="E1497"/>
  <c r="O1497"/>
  <c r="D1407" i="2"/>
  <c r="K1497" i="1"/>
  <c r="A1498"/>
  <c r="A1408" i="2"/>
  <c r="E1498" i="1"/>
  <c r="K1498"/>
  <c r="E1499"/>
  <c r="K1499"/>
  <c r="E1500"/>
  <c r="O1500"/>
  <c r="D1410" i="2"/>
  <c r="K1500" i="1"/>
  <c r="E1501"/>
  <c r="M1501"/>
  <c r="P1501"/>
  <c r="E1411" i="2"/>
  <c r="K1501" i="1"/>
  <c r="E1502"/>
  <c r="M1502"/>
  <c r="P1502"/>
  <c r="E1412" i="2"/>
  <c r="K1502" i="1"/>
  <c r="E1503"/>
  <c r="M1503"/>
  <c r="P1503"/>
  <c r="E1413" i="2"/>
  <c r="K1503" i="1"/>
  <c r="E1504"/>
  <c r="M1504"/>
  <c r="P1504"/>
  <c r="E1414" i="2"/>
  <c r="K1504" i="1"/>
  <c r="E1505"/>
  <c r="K1505"/>
  <c r="K1508"/>
  <c r="M1508"/>
  <c r="P1508"/>
  <c r="E1418" i="2"/>
  <c r="O1508" i="1"/>
  <c r="D1418" i="2"/>
  <c r="A1509" i="1"/>
  <c r="A1419" i="2"/>
  <c r="K1509" i="1"/>
  <c r="M1509"/>
  <c r="P1509"/>
  <c r="E1419" i="2"/>
  <c r="O1509" i="1"/>
  <c r="D1419" i="2"/>
  <c r="K1510" i="1"/>
  <c r="M1510"/>
  <c r="P1510"/>
  <c r="E1420" i="2"/>
  <c r="O1510" i="1"/>
  <c r="D1420" i="2"/>
  <c r="K1511" i="1"/>
  <c r="M1511"/>
  <c r="P1511"/>
  <c r="E1421" i="2"/>
  <c r="O1511" i="1"/>
  <c r="D1421" i="2"/>
  <c r="K1512" i="1"/>
  <c r="M1512"/>
  <c r="P1512"/>
  <c r="E1422" i="2"/>
  <c r="O1512" i="1"/>
  <c r="D1422" i="2"/>
  <c r="K1513" i="1"/>
  <c r="M1513"/>
  <c r="P1513"/>
  <c r="E1423" i="2"/>
  <c r="O1513" i="1"/>
  <c r="D1423" i="2"/>
  <c r="K1514" i="1"/>
  <c r="M1514"/>
  <c r="P1514"/>
  <c r="E1424" i="2"/>
  <c r="O1514" i="1"/>
  <c r="D1424" i="2"/>
  <c r="K1515" i="1"/>
  <c r="M1515"/>
  <c r="P1515"/>
  <c r="E1425" i="2"/>
  <c r="O1515" i="1"/>
  <c r="D1425" i="2"/>
  <c r="K1516" i="1"/>
  <c r="M1516"/>
  <c r="P1516"/>
  <c r="E1426" i="2"/>
  <c r="O1516" i="1"/>
  <c r="D1426" i="2"/>
  <c r="K1517" i="1"/>
  <c r="M1517"/>
  <c r="P1517"/>
  <c r="E1427" i="2"/>
  <c r="O1517" i="1"/>
  <c r="D1427" i="2"/>
  <c r="K1518" i="1"/>
  <c r="M1518"/>
  <c r="P1518"/>
  <c r="E1428" i="2"/>
  <c r="O1518" i="1"/>
  <c r="D1428" i="2"/>
  <c r="K1519" i="1"/>
  <c r="M1519"/>
  <c r="P1519"/>
  <c r="E1429" i="2"/>
  <c r="O1519" i="1"/>
  <c r="D1429" i="2"/>
  <c r="K1520" i="1"/>
  <c r="M1520"/>
  <c r="P1520"/>
  <c r="E1430" i="2"/>
  <c r="O1520" i="1"/>
  <c r="D1430" i="2"/>
  <c r="K1521" i="1"/>
  <c r="M1521"/>
  <c r="P1521"/>
  <c r="E1431" i="2"/>
  <c r="O1521" i="1"/>
  <c r="D1431" i="2"/>
  <c r="K1522" i="1"/>
  <c r="M1522"/>
  <c r="P1522"/>
  <c r="E1432" i="2"/>
  <c r="O1522" i="1"/>
  <c r="D1432" i="2"/>
  <c r="K1523" i="1"/>
  <c r="M1523"/>
  <c r="P1523"/>
  <c r="E1433" i="2"/>
  <c r="O1523" i="1"/>
  <c r="D1433" i="2"/>
  <c r="K1525" i="1"/>
  <c r="M1525"/>
  <c r="P1525"/>
  <c r="E1435" i="2"/>
  <c r="O1525" i="1"/>
  <c r="D1435" i="2"/>
  <c r="A1526" i="1"/>
  <c r="A1436" i="2"/>
  <c r="K1526" i="1"/>
  <c r="M1526"/>
  <c r="P1526"/>
  <c r="E1436" i="2"/>
  <c r="O1526" i="1"/>
  <c r="D1436" i="2"/>
  <c r="K1527" i="1"/>
  <c r="M1527"/>
  <c r="P1527"/>
  <c r="E1437" i="2"/>
  <c r="O1527" i="1"/>
  <c r="D1437" i="2"/>
  <c r="K1528" i="1"/>
  <c r="M1528"/>
  <c r="P1528"/>
  <c r="E1438" i="2"/>
  <c r="O1528" i="1"/>
  <c r="D1438" i="2"/>
  <c r="K1530" i="1"/>
  <c r="M1530"/>
  <c r="P1530"/>
  <c r="E1440" i="2"/>
  <c r="O1530" i="1"/>
  <c r="D1440" i="2"/>
  <c r="A1531" i="1"/>
  <c r="K1531"/>
  <c r="M1531"/>
  <c r="P1531"/>
  <c r="E1441" i="2"/>
  <c r="O1531" i="1"/>
  <c r="D1441" i="2"/>
  <c r="K1532" i="1"/>
  <c r="M1532"/>
  <c r="P1532"/>
  <c r="E1442" i="2"/>
  <c r="O1532" i="1"/>
  <c r="D1442" i="2"/>
  <c r="K1534" i="1"/>
  <c r="M1534"/>
  <c r="P1534"/>
  <c r="E1444" i="2"/>
  <c r="O1534" i="1"/>
  <c r="D1444" i="2"/>
  <c r="A1535" i="1"/>
  <c r="A1536"/>
  <c r="A1537"/>
  <c r="K1535"/>
  <c r="M1535"/>
  <c r="P1535"/>
  <c r="E1445" i="2"/>
  <c r="O1535" i="1"/>
  <c r="D1445" i="2"/>
  <c r="K1536" i="1"/>
  <c r="M1536"/>
  <c r="P1536"/>
  <c r="E1446" i="2"/>
  <c r="O1536" i="1"/>
  <c r="D1446" i="2"/>
  <c r="K1537" i="1"/>
  <c r="M1537"/>
  <c r="P1537"/>
  <c r="E1447" i="2"/>
  <c r="O1537" i="1"/>
  <c r="D1447" i="2"/>
  <c r="K1538" i="1"/>
  <c r="M1538"/>
  <c r="P1538"/>
  <c r="E1448" i="2"/>
  <c r="O1538" i="1"/>
  <c r="D1448" i="2"/>
  <c r="K1539" i="1"/>
  <c r="M1539"/>
  <c r="P1539"/>
  <c r="E1449" i="2"/>
  <c r="O1539" i="1"/>
  <c r="D1449" i="2"/>
  <c r="K1540" i="1"/>
  <c r="M1540"/>
  <c r="P1540"/>
  <c r="E1450" i="2"/>
  <c r="O1540" i="1"/>
  <c r="D1450" i="2"/>
  <c r="K1541" i="1"/>
  <c r="M1541"/>
  <c r="P1541"/>
  <c r="E1451" i="2"/>
  <c r="O1541" i="1"/>
  <c r="D1451" i="2"/>
  <c r="K1542" i="1"/>
  <c r="M1542"/>
  <c r="P1542"/>
  <c r="E1452" i="2"/>
  <c r="O1542" i="1"/>
  <c r="D1452" i="2"/>
  <c r="K1543" i="1"/>
  <c r="M1543"/>
  <c r="P1543"/>
  <c r="E1453" i="2"/>
  <c r="O1543" i="1"/>
  <c r="D1453" i="2"/>
  <c r="K1546" i="1"/>
  <c r="L1546"/>
  <c r="P1546"/>
  <c r="E1456" i="2"/>
  <c r="O1546" i="1"/>
  <c r="D1456" i="2"/>
  <c r="A1547" i="1"/>
  <c r="A1457" i="2"/>
  <c r="K1547" i="1"/>
  <c r="L1547"/>
  <c r="P1547"/>
  <c r="E1457" i="2"/>
  <c r="O1547" i="1"/>
  <c r="D1457" i="2"/>
  <c r="K1549" i="1"/>
  <c r="L1549"/>
  <c r="P1549"/>
  <c r="E1459" i="2"/>
  <c r="O1549" i="1"/>
  <c r="D1459" i="2"/>
  <c r="K1550" i="1"/>
  <c r="L1550"/>
  <c r="P1550"/>
  <c r="E1460" i="2"/>
  <c r="O1550" i="1"/>
  <c r="D1460" i="2"/>
  <c r="K1553" i="1"/>
  <c r="L1553"/>
  <c r="P1553"/>
  <c r="E1463" i="2"/>
  <c r="O1553" i="1"/>
  <c r="D1463" i="2"/>
  <c r="K1554" i="1"/>
  <c r="L1554"/>
  <c r="P1554"/>
  <c r="E1464" i="2"/>
  <c r="O1554" i="1"/>
  <c r="D1464" i="2"/>
  <c r="K1555" i="1"/>
  <c r="L1555"/>
  <c r="P1555"/>
  <c r="E1465" i="2"/>
  <c r="O1555" i="1"/>
  <c r="D1465" i="2"/>
  <c r="K1557" i="1"/>
  <c r="L1557"/>
  <c r="P1557"/>
  <c r="E1467" i="2"/>
  <c r="O1557" i="1"/>
  <c r="D1467" i="2"/>
  <c r="K1558" i="1"/>
  <c r="L1558"/>
  <c r="P1558"/>
  <c r="E1468" i="2"/>
  <c r="O1558" i="1"/>
  <c r="D1468" i="2"/>
  <c r="K1559" i="1"/>
  <c r="L1559"/>
  <c r="P1559"/>
  <c r="E1469" i="2"/>
  <c r="O1559" i="1"/>
  <c r="D1469" i="2"/>
  <c r="A1560" i="1"/>
  <c r="A1470" i="2"/>
  <c r="K1560" i="1"/>
  <c r="L1560"/>
  <c r="P1560"/>
  <c r="E1470" i="2"/>
  <c r="O1560" i="1"/>
  <c r="D1470" i="2"/>
  <c r="K1561" i="1"/>
  <c r="L1561"/>
  <c r="P1561"/>
  <c r="E1471" i="2"/>
  <c r="O1561" i="1"/>
  <c r="D1471" i="2"/>
  <c r="K1562" i="1"/>
  <c r="L1562"/>
  <c r="P1562"/>
  <c r="E1472" i="2"/>
  <c r="O1562" i="1"/>
  <c r="D1472" i="2"/>
  <c r="K1564" i="1"/>
  <c r="L1564"/>
  <c r="P1564"/>
  <c r="E1474" i="2"/>
  <c r="O1564" i="1"/>
  <c r="D1474" i="2"/>
  <c r="K1565" i="1"/>
  <c r="L1565"/>
  <c r="P1565"/>
  <c r="E1475" i="2"/>
  <c r="O1565" i="1"/>
  <c r="D1475" i="2"/>
  <c r="K1566" i="1"/>
  <c r="L1566"/>
  <c r="P1566"/>
  <c r="E1476" i="2"/>
  <c r="O1566" i="1"/>
  <c r="D1476" i="2"/>
  <c r="K1569" i="1"/>
  <c r="L1569"/>
  <c r="P1569"/>
  <c r="E1479" i="2"/>
  <c r="O1569" i="1"/>
  <c r="D1479" i="2"/>
  <c r="K1570" i="1"/>
  <c r="L1570"/>
  <c r="P1570"/>
  <c r="E1480" i="2"/>
  <c r="O1570" i="1"/>
  <c r="D1480" i="2"/>
  <c r="K1571" i="1"/>
  <c r="L1571"/>
  <c r="P1571"/>
  <c r="E1481" i="2"/>
  <c r="O1571" i="1"/>
  <c r="D1481" i="2"/>
  <c r="K1572" i="1"/>
  <c r="L1572"/>
  <c r="P1572"/>
  <c r="E1482" i="2"/>
  <c r="O1572" i="1"/>
  <c r="D1482" i="2"/>
  <c r="K1573" i="1"/>
  <c r="L1573"/>
  <c r="P1573"/>
  <c r="E1483" i="2"/>
  <c r="O1573" i="1"/>
  <c r="D1483" i="2"/>
  <c r="K1574" i="1"/>
  <c r="L1574"/>
  <c r="P1574"/>
  <c r="E1484" i="2"/>
  <c r="O1574" i="1"/>
  <c r="D1484" i="2"/>
  <c r="K1575" i="1"/>
  <c r="L1575"/>
  <c r="P1575"/>
  <c r="E1485" i="2"/>
  <c r="O1575" i="1"/>
  <c r="D1485" i="2"/>
  <c r="K1576" i="1"/>
  <c r="L1576"/>
  <c r="P1576"/>
  <c r="E1486" i="2"/>
  <c r="O1576" i="1"/>
  <c r="D1486" i="2"/>
  <c r="K1577" i="1"/>
  <c r="L1577"/>
  <c r="P1577"/>
  <c r="E1487" i="2"/>
  <c r="O1577" i="1"/>
  <c r="D1487" i="2"/>
  <c r="K1578" i="1"/>
  <c r="L1578"/>
  <c r="P1578"/>
  <c r="E1488" i="2"/>
  <c r="O1578" i="1"/>
  <c r="D1488" i="2"/>
  <c r="K1579" i="1"/>
  <c r="L1579"/>
  <c r="P1579"/>
  <c r="E1489" i="2"/>
  <c r="O1579" i="1"/>
  <c r="D1489" i="2"/>
  <c r="K1580" i="1"/>
  <c r="L1580"/>
  <c r="P1580"/>
  <c r="E1490" i="2"/>
  <c r="O1580" i="1"/>
  <c r="D1490" i="2"/>
  <c r="K1581" i="1"/>
  <c r="L1581"/>
  <c r="P1581"/>
  <c r="E1491" i="2"/>
  <c r="O1581" i="1"/>
  <c r="D1491" i="2"/>
  <c r="K1582" i="1"/>
  <c r="L1582"/>
  <c r="P1582"/>
  <c r="E1492" i="2"/>
  <c r="O1582" i="1"/>
  <c r="D1492" i="2"/>
  <c r="K1583" i="1"/>
  <c r="L1583"/>
  <c r="P1583"/>
  <c r="E1493" i="2"/>
  <c r="O1583" i="1"/>
  <c r="D1493" i="2"/>
  <c r="K1584" i="1"/>
  <c r="L1584"/>
  <c r="P1584"/>
  <c r="E1494" i="2"/>
  <c r="O1584" i="1"/>
  <c r="D1494" i="2"/>
  <c r="K1585" i="1"/>
  <c r="L1585"/>
  <c r="P1585"/>
  <c r="E1495" i="2"/>
  <c r="O1585" i="1"/>
  <c r="D1495" i="2"/>
  <c r="K1586" i="1"/>
  <c r="L1586"/>
  <c r="P1586"/>
  <c r="E1496" i="2"/>
  <c r="O1586" i="1"/>
  <c r="D1496" i="2"/>
  <c r="K1588" i="1"/>
  <c r="L1588"/>
  <c r="P1588"/>
  <c r="E1498" i="2"/>
  <c r="O1588" i="1"/>
  <c r="D1498" i="2"/>
  <c r="K1589" i="1"/>
  <c r="L1589"/>
  <c r="P1589"/>
  <c r="E1499" i="2"/>
  <c r="O1589" i="1"/>
  <c r="D1499" i="2"/>
  <c r="K1590" i="1"/>
  <c r="L1590"/>
  <c r="P1590"/>
  <c r="E1500" i="2"/>
  <c r="O1590" i="1"/>
  <c r="D1500" i="2"/>
  <c r="K1592" i="1"/>
  <c r="L1592"/>
  <c r="P1592"/>
  <c r="E1502" i="2"/>
  <c r="O1592" i="1"/>
  <c r="D1502" i="2"/>
  <c r="K1594" i="1"/>
  <c r="L1594"/>
  <c r="P1594"/>
  <c r="E1504" i="2"/>
  <c r="O1594" i="1"/>
  <c r="D1504" i="2"/>
  <c r="K1595" i="1"/>
  <c r="L1595"/>
  <c r="P1595"/>
  <c r="E1505" i="2"/>
  <c r="O1595" i="1"/>
  <c r="D1505" i="2"/>
  <c r="K1596" i="1"/>
  <c r="L1596"/>
  <c r="P1596"/>
  <c r="E1506" i="2"/>
  <c r="O1596" i="1"/>
  <c r="D1506" i="2"/>
  <c r="K1597" i="1"/>
  <c r="L1597"/>
  <c r="P1597"/>
  <c r="E1507" i="2"/>
  <c r="O1597" i="1"/>
  <c r="D1507" i="2"/>
  <c r="K1598" i="1"/>
  <c r="L1598"/>
  <c r="P1598"/>
  <c r="E1508" i="2"/>
  <c r="O1598" i="1"/>
  <c r="D1508" i="2"/>
  <c r="K1600" i="1"/>
  <c r="L1600"/>
  <c r="P1600"/>
  <c r="E1510" i="2"/>
  <c r="O1600" i="1"/>
  <c r="D1510" i="2"/>
  <c r="K1602" i="1"/>
  <c r="L1602"/>
  <c r="P1602"/>
  <c r="E1512" i="2"/>
  <c r="O1602" i="1"/>
  <c r="D1512" i="2"/>
  <c r="K1604" i="1"/>
  <c r="M1604"/>
  <c r="P1604"/>
  <c r="E1514" i="2"/>
  <c r="O1604" i="1"/>
  <c r="D1514" i="2"/>
  <c r="D1607" i="1"/>
  <c r="L1607"/>
  <c r="P1607"/>
  <c r="E1517" i="2"/>
  <c r="K1607" i="1"/>
  <c r="D1608"/>
  <c r="O1608"/>
  <c r="D1518" i="2"/>
  <c r="K1608" i="1"/>
  <c r="K1610"/>
  <c r="L1610"/>
  <c r="P1610"/>
  <c r="E1520" i="2"/>
  <c r="O1610" i="1"/>
  <c r="D1520" i="2"/>
  <c r="K1611" i="1"/>
  <c r="L1611"/>
  <c r="P1611"/>
  <c r="E1521" i="2"/>
  <c r="O1611" i="1"/>
  <c r="D1521" i="2"/>
  <c r="K1613" i="1"/>
  <c r="L1613"/>
  <c r="P1613"/>
  <c r="E1523" i="2"/>
  <c r="O1613" i="1"/>
  <c r="D1523" i="2"/>
  <c r="K1614" i="1"/>
  <c r="L1614"/>
  <c r="P1614"/>
  <c r="E1524" i="2"/>
  <c r="O1614" i="1"/>
  <c r="D1524" i="2"/>
  <c r="K1615" i="1"/>
  <c r="L1615"/>
  <c r="P1615"/>
  <c r="E1525" i="2"/>
  <c r="O1615" i="1"/>
  <c r="D1525" i="2"/>
  <c r="K1617" i="1"/>
  <c r="L1617"/>
  <c r="P1617"/>
  <c r="E1527" i="2"/>
  <c r="O1617" i="1"/>
  <c r="D1527" i="2"/>
  <c r="K1618" i="1"/>
  <c r="L1618"/>
  <c r="P1618"/>
  <c r="E1528" i="2"/>
  <c r="O1618" i="1"/>
  <c r="D1528" i="2"/>
  <c r="K1619" i="1"/>
  <c r="L1619"/>
  <c r="P1619"/>
  <c r="E1529" i="2"/>
  <c r="O1619" i="1"/>
  <c r="D1529" i="2"/>
  <c r="K1620" i="1"/>
  <c r="L1620"/>
  <c r="P1620"/>
  <c r="E1530" i="2"/>
  <c r="O1620" i="1"/>
  <c r="D1530" i="2"/>
  <c r="K1621" i="1"/>
  <c r="L1621"/>
  <c r="P1621"/>
  <c r="E1531" i="2"/>
  <c r="O1621" i="1"/>
  <c r="D1531" i="2"/>
  <c r="K1622" i="1"/>
  <c r="L1622"/>
  <c r="P1622"/>
  <c r="E1532" i="2"/>
  <c r="O1622" i="1"/>
  <c r="D1532" i="2"/>
  <c r="K1623" i="1"/>
  <c r="L1623"/>
  <c r="P1623"/>
  <c r="E1533" i="2"/>
  <c r="O1623" i="1"/>
  <c r="D1533" i="2"/>
  <c r="K1624" i="1"/>
  <c r="L1624"/>
  <c r="P1624"/>
  <c r="E1534" i="2"/>
  <c r="O1624" i="1"/>
  <c r="D1534" i="2"/>
  <c r="K1625" i="1"/>
  <c r="L1625"/>
  <c r="P1625"/>
  <c r="E1535" i="2"/>
  <c r="O1625" i="1"/>
  <c r="D1535" i="2"/>
  <c r="K1626" i="1"/>
  <c r="L1626"/>
  <c r="P1626"/>
  <c r="E1536" i="2"/>
  <c r="O1626" i="1"/>
  <c r="D1536" i="2"/>
  <c r="K1627" i="1"/>
  <c r="L1627"/>
  <c r="P1627"/>
  <c r="E1537" i="2"/>
  <c r="O1627" i="1"/>
  <c r="D1537" i="2"/>
  <c r="K1628" i="1"/>
  <c r="L1628"/>
  <c r="P1628"/>
  <c r="E1538" i="2"/>
  <c r="O1628" i="1"/>
  <c r="D1538" i="2"/>
  <c r="K1630" i="1"/>
  <c r="L1630"/>
  <c r="P1630"/>
  <c r="E1540" i="2"/>
  <c r="O1630" i="1"/>
  <c r="D1540" i="2"/>
  <c r="K1631" i="1"/>
  <c r="L1631"/>
  <c r="P1631"/>
  <c r="E1541" i="2"/>
  <c r="O1631" i="1"/>
  <c r="D1541" i="2"/>
  <c r="K1632" i="1"/>
  <c r="L1632"/>
  <c r="P1632"/>
  <c r="E1542" i="2"/>
  <c r="O1632" i="1"/>
  <c r="D1542" i="2"/>
  <c r="K1633" i="1"/>
  <c r="L1633"/>
  <c r="P1633"/>
  <c r="E1543" i="2"/>
  <c r="O1633" i="1"/>
  <c r="D1543" i="2"/>
  <c r="K1634" i="1"/>
  <c r="L1634"/>
  <c r="P1634"/>
  <c r="E1544" i="2"/>
  <c r="O1634" i="1"/>
  <c r="D1544" i="2"/>
  <c r="K1635" i="1"/>
  <c r="L1635"/>
  <c r="P1635"/>
  <c r="E1545" i="2"/>
  <c r="O1635" i="1"/>
  <c r="D1545" i="2"/>
  <c r="K1636" i="1"/>
  <c r="L1636"/>
  <c r="P1636"/>
  <c r="E1546" i="2"/>
  <c r="O1636" i="1"/>
  <c r="D1546" i="2"/>
  <c r="K1638" i="1"/>
  <c r="L1638"/>
  <c r="P1638"/>
  <c r="E1548" i="2"/>
  <c r="O1638" i="1"/>
  <c r="D1548" i="2"/>
  <c r="K1639" i="1"/>
  <c r="L1639"/>
  <c r="P1639"/>
  <c r="E1549" i="2"/>
  <c r="O1639" i="1"/>
  <c r="D1549" i="2"/>
  <c r="K1640" i="1"/>
  <c r="L1640"/>
  <c r="P1640"/>
  <c r="E1550" i="2"/>
  <c r="O1640" i="1"/>
  <c r="D1550" i="2"/>
  <c r="K1641" i="1"/>
  <c r="L1641"/>
  <c r="P1641"/>
  <c r="E1551" i="2"/>
  <c r="O1641" i="1"/>
  <c r="D1551" i="2"/>
  <c r="K1642" i="1"/>
  <c r="L1642"/>
  <c r="P1642"/>
  <c r="E1552" i="2"/>
  <c r="O1642" i="1"/>
  <c r="D1552" i="2"/>
  <c r="K1643" i="1"/>
  <c r="L1643"/>
  <c r="P1643"/>
  <c r="E1553" i="2"/>
  <c r="O1643" i="1"/>
  <c r="D1553" i="2"/>
  <c r="K1645" i="1"/>
  <c r="L1645"/>
  <c r="P1645"/>
  <c r="E1555" i="2"/>
  <c r="O1645" i="1"/>
  <c r="D1555" i="2"/>
  <c r="K1646" i="1"/>
  <c r="L1646"/>
  <c r="P1646"/>
  <c r="E1556" i="2"/>
  <c r="O1646" i="1"/>
  <c r="D1556" i="2"/>
  <c r="K1647" i="1"/>
  <c r="L1647"/>
  <c r="P1647"/>
  <c r="E1557" i="2"/>
  <c r="O1647" i="1"/>
  <c r="D1557" i="2"/>
  <c r="K1649" i="1"/>
  <c r="L1649"/>
  <c r="P1649"/>
  <c r="E1559" i="2"/>
  <c r="O1649" i="1"/>
  <c r="D1559" i="2"/>
  <c r="K1650" i="1"/>
  <c r="L1650"/>
  <c r="P1650"/>
  <c r="E1560" i="2"/>
  <c r="O1650" i="1"/>
  <c r="D1560" i="2"/>
  <c r="K1651" i="1"/>
  <c r="L1651"/>
  <c r="P1651"/>
  <c r="E1561" i="2"/>
  <c r="O1651" i="1"/>
  <c r="D1561" i="2"/>
  <c r="K1788" i="1"/>
  <c r="M1788"/>
  <c r="P1788"/>
  <c r="E1698" i="2"/>
  <c r="O1788" i="1"/>
  <c r="D1698" i="2"/>
  <c r="A1789" i="1"/>
  <c r="A1699" i="2"/>
  <c r="K1789" i="1"/>
  <c r="M1789"/>
  <c r="P1789"/>
  <c r="E1699" i="2"/>
  <c r="O1789" i="1"/>
  <c r="D1699" i="2"/>
  <c r="K1790" i="1"/>
  <c r="M1790"/>
  <c r="P1790"/>
  <c r="E1700" i="2"/>
  <c r="O1790" i="1"/>
  <c r="D1700" i="2"/>
  <c r="K1791" i="1"/>
  <c r="M1791"/>
  <c r="P1791"/>
  <c r="E1701" i="2"/>
  <c r="O1791" i="1"/>
  <c r="D1701" i="2"/>
  <c r="K1792" i="1"/>
  <c r="M1792"/>
  <c r="P1792"/>
  <c r="E1702" i="2"/>
  <c r="O1792" i="1"/>
  <c r="D1702" i="2"/>
  <c r="K1793" i="1"/>
  <c r="M1793"/>
  <c r="P1793"/>
  <c r="E1703" i="2"/>
  <c r="O1793" i="1"/>
  <c r="D1703" i="2"/>
  <c r="K1794" i="1"/>
  <c r="M1794"/>
  <c r="P1794"/>
  <c r="E1704" i="2"/>
  <c r="O1794" i="1"/>
  <c r="D1704" i="2"/>
  <c r="K1796" i="1"/>
  <c r="M1796"/>
  <c r="P1796"/>
  <c r="E1706" i="2"/>
  <c r="O1796" i="1"/>
  <c r="D1706" i="2"/>
  <c r="K1797" i="1"/>
  <c r="M1797"/>
  <c r="P1797"/>
  <c r="E1707" i="2"/>
  <c r="O1797" i="1"/>
  <c r="D1707" i="2"/>
  <c r="K1798" i="1"/>
  <c r="M1798"/>
  <c r="P1798"/>
  <c r="E1708" i="2"/>
  <c r="O1798" i="1"/>
  <c r="D1708" i="2"/>
  <c r="K1800" i="1"/>
  <c r="M1800"/>
  <c r="P1800"/>
  <c r="E1710" i="2"/>
  <c r="O1800" i="1"/>
  <c r="D1710" i="2"/>
  <c r="K1801" i="1"/>
  <c r="M1801"/>
  <c r="P1801"/>
  <c r="E1711" i="2"/>
  <c r="O1801" i="1"/>
  <c r="D1711" i="2"/>
  <c r="K1802" i="1"/>
  <c r="M1802"/>
  <c r="P1802"/>
  <c r="E1712" i="2"/>
  <c r="O1802" i="1"/>
  <c r="D1712" i="2"/>
  <c r="K1803" i="1"/>
  <c r="M1803"/>
  <c r="P1803"/>
  <c r="E1713" i="2"/>
  <c r="O1803" i="1"/>
  <c r="D1713" i="2"/>
  <c r="K1804" i="1"/>
  <c r="M1804"/>
  <c r="P1804"/>
  <c r="E1714" i="2"/>
  <c r="O1804" i="1"/>
  <c r="D1714" i="2"/>
  <c r="K1805" i="1"/>
  <c r="M1805"/>
  <c r="P1805"/>
  <c r="E1715" i="2"/>
  <c r="O1805" i="1"/>
  <c r="D1715" i="2"/>
  <c r="K1806" i="1"/>
  <c r="M1806"/>
  <c r="P1806"/>
  <c r="E1716" i="2"/>
  <c r="O1806" i="1"/>
  <c r="D1716" i="2"/>
  <c r="K1807" i="1"/>
  <c r="M1807"/>
  <c r="P1807"/>
  <c r="E1717" i="2"/>
  <c r="O1807" i="1"/>
  <c r="D1717" i="2"/>
  <c r="K1808" i="1"/>
  <c r="M1808"/>
  <c r="P1808"/>
  <c r="E1718" i="2"/>
  <c r="O1808" i="1"/>
  <c r="D1718" i="2"/>
  <c r="K1809" i="1"/>
  <c r="M1809"/>
  <c r="P1809"/>
  <c r="E1719" i="2"/>
  <c r="O1809" i="1"/>
  <c r="D1719" i="2"/>
  <c r="K1812" i="1"/>
  <c r="L1812"/>
  <c r="P1812"/>
  <c r="E1722" i="2"/>
  <c r="M1812" i="1"/>
  <c r="O1812"/>
  <c r="D1722" i="2"/>
  <c r="K1813" i="1"/>
  <c r="L1813"/>
  <c r="P1813"/>
  <c r="E1723" i="2"/>
  <c r="M1813" i="1"/>
  <c r="O1813"/>
  <c r="D1723" i="2"/>
  <c r="K1814" i="1"/>
  <c r="L1814"/>
  <c r="P1814"/>
  <c r="E1724" i="2"/>
  <c r="M1814" i="1"/>
  <c r="O1814"/>
  <c r="D1724" i="2"/>
  <c r="K1815" i="1"/>
  <c r="L1815"/>
  <c r="P1815"/>
  <c r="E1725" i="2"/>
  <c r="M1815" i="1"/>
  <c r="O1815"/>
  <c r="D1725" i="2"/>
  <c r="K1816" i="1"/>
  <c r="L1816"/>
  <c r="P1816"/>
  <c r="E1726" i="2"/>
  <c r="M1816" i="1"/>
  <c r="O1816"/>
  <c r="D1726" i="2"/>
  <c r="K1817" i="1"/>
  <c r="L1817"/>
  <c r="P1817"/>
  <c r="E1727" i="2"/>
  <c r="M1817" i="1"/>
  <c r="O1817"/>
  <c r="D1727" i="2"/>
  <c r="O1818" i="1"/>
  <c r="K1819"/>
  <c r="L1819"/>
  <c r="P1819"/>
  <c r="E1729" i="2"/>
  <c r="M1819" i="1"/>
  <c r="O1819"/>
  <c r="D1729" i="2"/>
  <c r="K1820" i="1"/>
  <c r="L1820"/>
  <c r="P1820"/>
  <c r="E1730" i="2"/>
  <c r="M1820" i="1"/>
  <c r="O1820"/>
  <c r="D1730" i="2"/>
  <c r="K1821" i="1"/>
  <c r="L1821"/>
  <c r="P1821"/>
  <c r="E1731" i="2"/>
  <c r="M1821" i="1"/>
  <c r="O1821"/>
  <c r="D1731" i="2"/>
  <c r="K1822" i="1"/>
  <c r="L1822"/>
  <c r="P1822"/>
  <c r="E1732" i="2"/>
  <c r="M1822" i="1"/>
  <c r="O1822"/>
  <c r="D1732" i="2"/>
  <c r="K1823" i="1"/>
  <c r="L1823"/>
  <c r="P1823"/>
  <c r="E1733" i="2"/>
  <c r="M1823" i="1"/>
  <c r="O1823"/>
  <c r="D1733" i="2"/>
  <c r="L1824" i="1"/>
  <c r="P1824"/>
  <c r="E1734" i="2"/>
  <c r="M1824" i="1"/>
  <c r="O1824"/>
  <c r="D1734" i="2"/>
  <c r="K1869" i="1"/>
  <c r="P1869"/>
  <c r="E1779" i="2"/>
  <c r="O1869" i="1"/>
  <c r="D1779" i="2"/>
  <c r="A1782"/>
  <c r="K1870" i="1"/>
  <c r="P1870"/>
  <c r="E1780" i="2"/>
  <c r="O1870" i="1"/>
  <c r="D1780" i="2"/>
  <c r="K1872" i="1"/>
  <c r="P1872"/>
  <c r="E1782" i="2"/>
  <c r="O1872" i="1"/>
  <c r="D1782" i="2"/>
  <c r="K1873" i="1"/>
  <c r="P1873"/>
  <c r="E1783" i="2"/>
  <c r="O1873" i="1"/>
  <c r="D1783" i="2"/>
  <c r="K1875" i="1"/>
  <c r="P1875"/>
  <c r="E1785" i="2"/>
  <c r="O1875" i="1"/>
  <c r="D1785" i="2"/>
  <c r="K1876" i="1"/>
  <c r="P1876"/>
  <c r="E1786" i="2"/>
  <c r="O1876" i="1"/>
  <c r="D1786" i="2"/>
  <c r="K1878" i="1"/>
  <c r="P1878"/>
  <c r="E1788" i="2"/>
  <c r="O1878" i="1"/>
  <c r="D1788" i="2"/>
  <c r="K1879" i="1"/>
  <c r="P1879"/>
  <c r="E1789" i="2"/>
  <c r="O1879" i="1"/>
  <c r="D1789" i="2"/>
  <c r="K1881" i="1"/>
  <c r="P1881"/>
  <c r="E1791" i="2"/>
  <c r="O1881" i="1"/>
  <c r="D1791" i="2"/>
  <c r="K1882" i="1"/>
  <c r="P1882"/>
  <c r="E1792" i="2"/>
  <c r="O1882" i="1"/>
  <c r="D1792" i="2"/>
  <c r="K1884" i="1"/>
  <c r="P1884"/>
  <c r="E1794" i="2"/>
  <c r="O1884" i="1"/>
  <c r="D1794" i="2"/>
  <c r="K1885" i="1"/>
  <c r="P1885"/>
  <c r="E1795" i="2"/>
  <c r="O1885" i="1"/>
  <c r="D1795" i="2"/>
  <c r="K1887" i="1"/>
  <c r="P1887"/>
  <c r="E1797" i="2"/>
  <c r="O1887" i="1"/>
  <c r="D1797" i="2"/>
  <c r="K1888" i="1"/>
  <c r="P1888"/>
  <c r="E1798" i="2"/>
  <c r="O1888" i="1"/>
  <c r="D1798" i="2"/>
  <c r="K1890" i="1"/>
  <c r="P1890"/>
  <c r="E1800" i="2"/>
  <c r="O1890" i="1"/>
  <c r="D1800" i="2"/>
  <c r="K1891" i="1"/>
  <c r="P1891"/>
  <c r="E1801" i="2"/>
  <c r="O1891" i="1"/>
  <c r="D1801" i="2"/>
  <c r="K1893" i="1"/>
  <c r="P1893"/>
  <c r="E1803" i="2"/>
  <c r="O1893" i="1"/>
  <c r="D1803" i="2"/>
  <c r="K1894" i="1"/>
  <c r="P1894"/>
  <c r="E1804" i="2"/>
  <c r="O1894" i="1"/>
  <c r="D1804" i="2"/>
  <c r="K1896" i="1"/>
  <c r="P1896"/>
  <c r="E1806" i="2"/>
  <c r="O1896" i="1"/>
  <c r="D1806" i="2"/>
  <c r="K1897" i="1"/>
  <c r="P1897"/>
  <c r="E1807" i="2"/>
  <c r="O1897" i="1"/>
  <c r="D1807" i="2"/>
  <c r="K1899" i="1"/>
  <c r="P1899"/>
  <c r="E1809" i="2"/>
  <c r="O1899" i="1"/>
  <c r="D1809" i="2"/>
  <c r="K1900" i="1"/>
  <c r="P1900"/>
  <c r="E1810" i="2"/>
  <c r="O1900" i="1"/>
  <c r="D1810" i="2"/>
  <c r="K1902" i="1"/>
  <c r="P1902"/>
  <c r="E1812" i="2"/>
  <c r="O1902" i="1"/>
  <c r="D1812" i="2"/>
  <c r="K1903" i="1"/>
  <c r="P1903"/>
  <c r="E1813" i="2"/>
  <c r="O1903" i="1"/>
  <c r="D1813" i="2"/>
  <c r="K1905" i="1"/>
  <c r="P1905"/>
  <c r="E1815" i="2"/>
  <c r="O1905" i="1"/>
  <c r="D1815" i="2"/>
  <c r="K1906" i="1"/>
  <c r="P1906"/>
  <c r="E1816" i="2"/>
  <c r="O1906" i="1"/>
  <c r="D1816" i="2"/>
  <c r="K1907" i="1"/>
  <c r="P1907"/>
  <c r="E1817" i="2"/>
  <c r="O1907" i="1"/>
  <c r="D1817" i="2"/>
  <c r="K1909" i="1"/>
  <c r="P1909"/>
  <c r="E1819" i="2"/>
  <c r="O1909" i="1"/>
  <c r="D1819" i="2"/>
  <c r="K1910" i="1"/>
  <c r="P1910"/>
  <c r="E1820" i="2"/>
  <c r="O1910" i="1"/>
  <c r="D1820" i="2"/>
  <c r="K1911" i="1"/>
  <c r="P1911"/>
  <c r="E1821" i="2"/>
  <c r="O1911" i="1"/>
  <c r="D1821" i="2"/>
  <c r="K1912" i="1"/>
  <c r="P1912"/>
  <c r="E1822" i="2"/>
  <c r="O1912" i="1"/>
  <c r="D1822" i="2"/>
  <c r="K1913" i="1"/>
  <c r="P1913"/>
  <c r="E1823" i="2"/>
  <c r="O1913" i="1"/>
  <c r="D1823" i="2"/>
  <c r="K1914" i="1"/>
  <c r="P1914"/>
  <c r="E1824" i="2"/>
  <c r="O1914" i="1"/>
  <c r="D1824" i="2"/>
  <c r="K1915" i="1"/>
  <c r="P1915"/>
  <c r="E1825" i="2"/>
  <c r="O1915" i="1"/>
  <c r="D1825" i="2"/>
  <c r="K1917" i="1"/>
  <c r="P1917"/>
  <c r="E1827" i="2"/>
  <c r="O1917" i="1"/>
  <c r="D1827" i="2"/>
  <c r="K1918" i="1"/>
  <c r="P1918"/>
  <c r="E1828" i="2"/>
  <c r="O1918" i="1"/>
  <c r="D1828" i="2"/>
  <c r="K1919" i="1"/>
  <c r="P1919"/>
  <c r="E1829" i="2"/>
  <c r="O1919" i="1"/>
  <c r="D1829" i="2"/>
  <c r="K1920" i="1"/>
  <c r="P1920"/>
  <c r="E1830" i="2"/>
  <c r="O1920" i="1"/>
  <c r="D1830" i="2"/>
  <c r="K1921" i="1"/>
  <c r="P1921"/>
  <c r="E1831" i="2"/>
  <c r="O1921" i="1"/>
  <c r="D1831" i="2"/>
  <c r="K1922" i="1"/>
  <c r="P1922"/>
  <c r="E1832" i="2"/>
  <c r="O1922" i="1"/>
  <c r="D1832" i="2"/>
  <c r="K1925" i="1"/>
  <c r="P1925"/>
  <c r="E1835" i="2"/>
  <c r="O1925" i="1"/>
  <c r="D1835" i="2"/>
  <c r="K1926" i="1"/>
  <c r="P1926"/>
  <c r="E1836" i="2"/>
  <c r="O1926" i="1"/>
  <c r="D1836" i="2"/>
  <c r="K1928" i="1"/>
  <c r="P1928"/>
  <c r="E1838" i="2"/>
  <c r="O1928" i="1"/>
  <c r="D1838" i="2"/>
  <c r="K1929" i="1"/>
  <c r="P1929"/>
  <c r="E1839" i="2"/>
  <c r="O1929" i="1"/>
  <c r="D1839" i="2"/>
  <c r="K1931" i="1"/>
  <c r="P1931"/>
  <c r="E1841" i="2"/>
  <c r="O1931" i="1"/>
  <c r="D1841" i="2"/>
  <c r="K1932" i="1"/>
  <c r="P1932"/>
  <c r="E1842" i="2"/>
  <c r="O1932" i="1"/>
  <c r="D1842" i="2"/>
  <c r="K1934" i="1"/>
  <c r="P1934"/>
  <c r="E1844" i="2"/>
  <c r="O1934" i="1"/>
  <c r="D1844" i="2"/>
  <c r="K1935" i="1"/>
  <c r="P1935"/>
  <c r="E1845" i="2"/>
  <c r="O1935" i="1"/>
  <c r="D1845" i="2"/>
  <c r="K1937" i="1"/>
  <c r="P1937"/>
  <c r="E1847" i="2"/>
  <c r="O1937" i="1"/>
  <c r="D1847" i="2"/>
  <c r="K1938" i="1"/>
  <c r="P1938"/>
  <c r="E1848" i="2"/>
  <c r="O1938" i="1"/>
  <c r="D1848" i="2"/>
  <c r="K1940" i="1"/>
  <c r="P1940"/>
  <c r="E1850" i="2"/>
  <c r="O1940" i="1"/>
  <c r="D1850" i="2"/>
  <c r="K1941" i="1"/>
  <c r="P1941"/>
  <c r="E1851" i="2"/>
  <c r="O1941" i="1"/>
  <c r="D1851" i="2"/>
  <c r="K1943" i="1"/>
  <c r="P1943"/>
  <c r="E1853" i="2"/>
  <c r="O1943" i="1"/>
  <c r="D1853" i="2"/>
  <c r="K1944" i="1"/>
  <c r="P1944"/>
  <c r="E1854" i="2"/>
  <c r="O1944" i="1"/>
  <c r="D1854" i="2"/>
  <c r="K1946" i="1"/>
  <c r="P1946"/>
  <c r="E1856" i="2"/>
  <c r="O1946" i="1"/>
  <c r="D1856" i="2"/>
  <c r="K1947" i="1"/>
  <c r="P1947"/>
  <c r="E1857" i="2"/>
  <c r="O1947" i="1"/>
  <c r="D1857" i="2"/>
  <c r="K1949" i="1"/>
  <c r="P1949"/>
  <c r="E1859" i="2"/>
  <c r="O1949" i="1"/>
  <c r="D1859" i="2"/>
  <c r="K1950" i="1"/>
  <c r="P1950"/>
  <c r="E1860" i="2"/>
  <c r="O1950" i="1"/>
  <c r="D1860" i="2"/>
  <c r="O1952" i="1"/>
  <c r="D1862" i="2"/>
  <c r="P1952" i="1"/>
  <c r="E1862" i="2"/>
  <c r="K1952" i="1"/>
  <c r="K1953"/>
  <c r="P1953"/>
  <c r="E1863" i="2"/>
  <c r="O1953" i="1"/>
  <c r="D1863" i="2"/>
  <c r="O1954" i="1"/>
  <c r="D1864" i="2"/>
  <c r="K1954" i="1"/>
  <c r="O1955"/>
  <c r="D1865" i="2"/>
  <c r="F1865" s="1"/>
  <c r="K1955" i="1"/>
  <c r="K2016"/>
  <c r="M2016"/>
  <c r="P2016"/>
  <c r="D1939" i="2"/>
  <c r="A2017" i="1"/>
  <c r="K2017"/>
  <c r="M2017"/>
  <c r="P2017"/>
  <c r="E1927" i="2"/>
  <c r="F1927" s="1"/>
  <c r="D1940"/>
  <c r="E2018" i="1"/>
  <c r="M2018"/>
  <c r="K2018"/>
  <c r="E2019"/>
  <c r="M2019"/>
  <c r="P2019"/>
  <c r="K2019"/>
  <c r="E2020"/>
  <c r="M2020"/>
  <c r="P2020"/>
  <c r="K2020"/>
  <c r="K2021"/>
  <c r="M2021"/>
  <c r="P2021"/>
  <c r="E1944" i="2"/>
  <c r="D1944"/>
  <c r="K2022" i="1"/>
  <c r="M2022"/>
  <c r="P2022"/>
  <c r="E1945" i="2"/>
  <c r="E1932"/>
  <c r="F1932"/>
  <c r="D1945"/>
  <c r="K2023" i="1"/>
  <c r="M2023"/>
  <c r="P2023"/>
  <c r="D1946" i="2"/>
  <c r="K2024" i="1"/>
  <c r="M2024"/>
  <c r="P2024"/>
  <c r="E1934" i="2"/>
  <c r="F1934" s="1"/>
  <c r="D1947"/>
  <c r="K2025" i="1"/>
  <c r="M2025"/>
  <c r="P2025"/>
  <c r="D1948" i="2"/>
  <c r="E2026" i="1"/>
  <c r="O2026"/>
  <c r="D1949" i="2"/>
  <c r="K2026" i="1"/>
  <c r="E2027"/>
  <c r="O2027"/>
  <c r="D1950" i="2"/>
  <c r="K2027" i="1"/>
  <c r="K2028"/>
  <c r="M2028"/>
  <c r="P2028"/>
  <c r="E1951" i="2"/>
  <c r="O2028" i="1"/>
  <c r="D1951" i="2"/>
  <c r="P2031" i="1"/>
  <c r="E1954" i="2"/>
  <c r="O2031" i="1"/>
  <c r="D1954" i="2"/>
  <c r="P2032" i="1"/>
  <c r="E1955" i="2"/>
  <c r="O2032" i="1"/>
  <c r="D1955" i="2"/>
  <c r="P2033" i="1"/>
  <c r="E1956" i="2"/>
  <c r="O2033" i="1"/>
  <c r="D1956" i="2"/>
  <c r="P2034" i="1"/>
  <c r="E1957" i="2"/>
  <c r="O2034" i="1"/>
  <c r="D1957" i="2"/>
  <c r="P2035" i="1"/>
  <c r="E1958" i="2"/>
  <c r="O2035" i="1"/>
  <c r="D1958" i="2"/>
  <c r="O427" i="1"/>
  <c r="D413" i="2"/>
  <c r="F413"/>
  <c r="I363"/>
  <c r="O145" i="1"/>
  <c r="D134" i="2"/>
  <c r="O529" i="1"/>
  <c r="D520" i="2"/>
  <c r="M665" i="1"/>
  <c r="P665"/>
  <c r="E656" i="2"/>
  <c r="F649" i="1"/>
  <c r="N649"/>
  <c r="H293" i="2"/>
  <c r="L308" i="1"/>
  <c r="P308"/>
  <c r="E293" i="2"/>
  <c r="O138" i="1"/>
  <c r="D127" i="2"/>
  <c r="I346"/>
  <c r="I336"/>
  <c r="M534" i="1"/>
  <c r="P534"/>
  <c r="E525" i="2"/>
  <c r="D525"/>
  <c r="I349"/>
  <c r="I109"/>
  <c r="P120" i="1"/>
  <c r="E109" i="2"/>
  <c r="M134" i="1"/>
  <c r="P134"/>
  <c r="E123" i="2"/>
  <c r="O133" i="1"/>
  <c r="D122" i="2"/>
  <c r="P118" i="1"/>
  <c r="E107" i="2"/>
  <c r="A13"/>
  <c r="H1391"/>
  <c r="M859" i="1"/>
  <c r="P859"/>
  <c r="E833" i="2"/>
  <c r="O502" i="1"/>
  <c r="D488" i="2"/>
  <c r="O500" i="1"/>
  <c r="D486" i="2"/>
  <c r="A327"/>
  <c r="M146" i="1"/>
  <c r="P146"/>
  <c r="E135" i="2"/>
  <c r="F135" s="1"/>
  <c r="M144" i="1"/>
  <c r="P144"/>
  <c r="E133" i="2"/>
  <c r="P119" i="1"/>
  <c r="E108" i="2"/>
  <c r="A113" i="1"/>
  <c r="A102" i="2"/>
  <c r="L309" i="1"/>
  <c r="P309"/>
  <c r="E294" i="2"/>
  <c r="A14"/>
  <c r="A15"/>
  <c r="A9"/>
  <c r="A10"/>
  <c r="I417"/>
  <c r="I413"/>
  <c r="M858" i="1"/>
  <c r="P858"/>
  <c r="E832" i="2"/>
  <c r="F299"/>
  <c r="H1397"/>
  <c r="H1399"/>
  <c r="F634" i="1"/>
  <c r="N634"/>
  <c r="P372"/>
  <c r="E358" i="2"/>
  <c r="A413" i="1"/>
  <c r="P350"/>
  <c r="E335" i="2"/>
  <c r="M620" i="1"/>
  <c r="P620"/>
  <c r="E611" i="2"/>
  <c r="M624" i="1"/>
  <c r="P624"/>
  <c r="E615" i="2"/>
  <c r="H1393"/>
  <c r="L499" i="1"/>
  <c r="P499"/>
  <c r="E485" i="2"/>
  <c r="M631" i="1"/>
  <c r="P631"/>
  <c r="E622" i="2"/>
  <c r="O861" i="1"/>
  <c r="D835" i="2"/>
  <c r="M136" i="1"/>
  <c r="P136"/>
  <c r="E125" i="2"/>
  <c r="A309" i="1"/>
  <c r="A294" i="2"/>
  <c r="P359" i="1"/>
  <c r="E344" i="2"/>
  <c r="O596" i="1"/>
  <c r="D587" i="2"/>
  <c r="M867" i="1"/>
  <c r="P867"/>
  <c r="E841" i="2"/>
  <c r="P383" i="1"/>
  <c r="E369" i="2"/>
  <c r="M642" i="1"/>
  <c r="P642"/>
  <c r="E633" i="2"/>
  <c r="O137" i="1"/>
  <c r="D126" i="2"/>
  <c r="O527" i="1"/>
  <c r="D518" i="2"/>
  <c r="H1388"/>
  <c r="O625" i="1"/>
  <c r="D616" i="2"/>
  <c r="M1147" i="1"/>
  <c r="P1147"/>
  <c r="E1057" i="2"/>
  <c r="M645" i="1"/>
  <c r="P645"/>
  <c r="E636" i="2"/>
  <c r="H1387"/>
  <c r="H1395"/>
  <c r="O650" i="1"/>
  <c r="D641" i="2"/>
  <c r="O621" i="1"/>
  <c r="D612" i="2"/>
  <c r="O653" i="1"/>
  <c r="D644" i="2"/>
  <c r="M537" i="1"/>
  <c r="P537"/>
  <c r="E528" i="2"/>
  <c r="F528"/>
  <c r="F647" i="1"/>
  <c r="N647"/>
  <c r="O865"/>
  <c r="D839" i="2"/>
  <c r="F638" i="1"/>
  <c r="N638"/>
  <c r="O638"/>
  <c r="D629" i="2"/>
  <c r="M638" i="1"/>
  <c r="P638"/>
  <c r="E629" i="2"/>
  <c r="I342"/>
  <c r="A269" i="1"/>
  <c r="A270"/>
  <c r="A255" i="2"/>
  <c r="O429" i="1"/>
  <c r="D415" i="2"/>
  <c r="F415" s="1"/>
  <c r="M669" i="1"/>
  <c r="P669"/>
  <c r="E660" i="2"/>
  <c r="F645" i="1"/>
  <c r="N645"/>
  <c r="P380"/>
  <c r="E366" i="2"/>
  <c r="I353"/>
  <c r="P362" i="1"/>
  <c r="E347" i="2"/>
  <c r="O141" i="1"/>
  <c r="D130" i="2"/>
  <c r="O140" i="1"/>
  <c r="D129" i="2"/>
  <c r="F129" s="1"/>
  <c r="A326"/>
  <c r="H1392"/>
  <c r="H1394"/>
  <c r="O526" i="1"/>
  <c r="D517" i="2"/>
  <c r="M652" i="1"/>
  <c r="P652"/>
  <c r="E643" i="2"/>
  <c r="O651" i="1"/>
  <c r="D642" i="2"/>
  <c r="M648" i="1"/>
  <c r="P648"/>
  <c r="E639" i="2"/>
  <c r="O531" i="1"/>
  <c r="D522" i="2"/>
  <c r="I350"/>
  <c r="P365" i="1"/>
  <c r="E350" i="2"/>
  <c r="I373"/>
  <c r="A108"/>
  <c r="H1386"/>
  <c r="H1400"/>
  <c r="F652" i="1"/>
  <c r="N652"/>
  <c r="A439" i="2"/>
  <c r="O640" i="1"/>
  <c r="D631" i="2"/>
  <c r="O636" i="1"/>
  <c r="D627" i="2"/>
  <c r="A438"/>
  <c r="P352" i="1"/>
  <c r="E337" i="2"/>
  <c r="I337"/>
  <c r="A329"/>
  <c r="A328"/>
  <c r="P1954" i="1"/>
  <c r="E1864" i="2"/>
  <c r="F940"/>
  <c r="F951"/>
  <c r="F944"/>
  <c r="F926"/>
  <c r="F946"/>
  <c r="F931"/>
  <c r="O1177" i="1"/>
  <c r="D1087" i="2"/>
  <c r="F644" i="1"/>
  <c r="N644"/>
  <c r="O660"/>
  <c r="D651" i="2"/>
  <c r="O1152" i="1"/>
  <c r="D1062" i="2"/>
  <c r="M530" i="1"/>
  <c r="P530"/>
  <c r="E521" i="2"/>
  <c r="M143" i="1"/>
  <c r="P143"/>
  <c r="E132" i="2"/>
  <c r="F132"/>
  <c r="A725"/>
  <c r="O639" i="1"/>
  <c r="D630" i="2"/>
  <c r="M657" i="1"/>
  <c r="P657"/>
  <c r="E648" i="2"/>
  <c r="M1181" i="1"/>
  <c r="P1181"/>
  <c r="E1091" i="2"/>
  <c r="F1091" s="1"/>
  <c r="A276" i="1"/>
  <c r="A261" i="2"/>
  <c r="M1148" i="1"/>
  <c r="P1148"/>
  <c r="E1058" i="2"/>
  <c r="L501" i="1"/>
  <c r="P501"/>
  <c r="E487" i="2"/>
  <c r="F639" i="1"/>
  <c r="N639"/>
  <c r="A486"/>
  <c r="F920" i="2"/>
  <c r="M1403" i="1"/>
  <c r="P1403"/>
  <c r="E1313" i="2"/>
  <c r="I733"/>
  <c r="I732"/>
  <c r="I734"/>
  <c r="A743"/>
  <c r="A770" i="1"/>
  <c r="A771"/>
  <c r="A745" i="2"/>
  <c r="F924"/>
  <c r="F928"/>
  <c r="F936"/>
  <c r="F775"/>
  <c r="F786"/>
  <c r="F746"/>
  <c r="M1160" i="1"/>
  <c r="P1160"/>
  <c r="E1070" i="2"/>
  <c r="A441"/>
  <c r="A380"/>
  <c r="A395" i="1"/>
  <c r="A396"/>
  <c r="A382" i="2"/>
  <c r="O1399" i="1"/>
  <c r="D1309" i="2"/>
  <c r="A669" i="1"/>
  <c r="A660" i="2"/>
  <c r="A659"/>
  <c r="F665" i="1"/>
  <c r="N665"/>
  <c r="A648" i="2"/>
  <c r="A658" i="1"/>
  <c r="A660"/>
  <c r="A662"/>
  <c r="A663"/>
  <c r="A654" i="2"/>
  <c r="M651" i="1"/>
  <c r="P651"/>
  <c r="E642" i="2"/>
  <c r="M649" i="1"/>
  <c r="P649"/>
  <c r="E640" i="2"/>
  <c r="O649" i="1"/>
  <c r="D640" i="2"/>
  <c r="M628" i="1"/>
  <c r="P628"/>
  <c r="E619" i="2"/>
  <c r="O622" i="1"/>
  <c r="D613" i="2"/>
  <c r="M622" i="1"/>
  <c r="P622"/>
  <c r="E613" i="2"/>
  <c r="I1755"/>
  <c r="I1759"/>
  <c r="I1763"/>
  <c r="I1771"/>
  <c r="M1140" i="1"/>
  <c r="P1140"/>
  <c r="E1050" i="2"/>
  <c r="A145" i="1"/>
  <c r="A146"/>
  <c r="A135" i="2"/>
  <c r="A134"/>
  <c r="O139" i="1"/>
  <c r="D128" i="2"/>
  <c r="F128"/>
  <c r="O135" i="1"/>
  <c r="D124" i="2"/>
  <c r="F124"/>
  <c r="J1960"/>
  <c r="J1961"/>
  <c r="J1962"/>
  <c r="J1963"/>
  <c r="O1144" i="1"/>
  <c r="D1054" i="2"/>
  <c r="J1964"/>
  <c r="A1859" i="1"/>
  <c r="A1769" i="2"/>
  <c r="A1754"/>
  <c r="A1845" i="1"/>
  <c r="A1846"/>
  <c r="A1847"/>
  <c r="A1756" i="2"/>
  <c r="A1753"/>
  <c r="F1740"/>
  <c r="A1018" i="1"/>
  <c r="A1019"/>
  <c r="A958" i="2"/>
  <c r="A956"/>
  <c r="A955"/>
  <c r="M761" i="1"/>
  <c r="P761"/>
  <c r="M765"/>
  <c r="P765"/>
  <c r="M780"/>
  <c r="P780"/>
  <c r="E754" i="2"/>
  <c r="F754"/>
  <c r="M748" i="1"/>
  <c r="P748"/>
  <c r="M752"/>
  <c r="P752"/>
  <c r="M805"/>
  <c r="P805"/>
  <c r="E779" i="2"/>
  <c r="F779"/>
  <c r="M815" i="1"/>
  <c r="P815"/>
  <c r="E789" i="2"/>
  <c r="F789"/>
  <c r="M819" i="1"/>
  <c r="P819"/>
  <c r="E793" i="2"/>
  <c r="F793"/>
  <c r="F968"/>
  <c r="F959"/>
  <c r="F903"/>
  <c r="F706"/>
  <c r="F973"/>
  <c r="F957"/>
  <c r="M1168" i="1"/>
  <c r="P1168"/>
  <c r="E1078" i="2"/>
  <c r="O863" i="1"/>
  <c r="D837" i="2"/>
  <c r="M863" i="1"/>
  <c r="P863"/>
  <c r="E837" i="2"/>
  <c r="M1165" i="1"/>
  <c r="P1165"/>
  <c r="E1075" i="2"/>
  <c r="O1159" i="1"/>
  <c r="D1069" i="2"/>
  <c r="A319"/>
  <c r="O767" i="1"/>
  <c r="O800"/>
  <c r="D774" i="2"/>
  <c r="F774"/>
  <c r="O803" i="1"/>
  <c r="D777" i="2"/>
  <c r="F777"/>
  <c r="F961"/>
  <c r="O741" i="1"/>
  <c r="D732" i="2"/>
  <c r="F732"/>
  <c r="O743" i="1"/>
  <c r="D734" i="2"/>
  <c r="F734" s="1"/>
  <c r="O1395" i="1"/>
  <c r="D1305" i="2"/>
  <c r="O1155" i="1"/>
  <c r="D1065" i="2"/>
  <c r="M636" i="1"/>
  <c r="P636"/>
  <c r="E627" i="2"/>
  <c r="M1393" i="1"/>
  <c r="P1393"/>
  <c r="E1303" i="2"/>
  <c r="O634" i="1"/>
  <c r="D625" i="2"/>
  <c r="F669" i="1"/>
  <c r="N669"/>
  <c r="O642"/>
  <c r="D633" i="2"/>
  <c r="O1184" i="1"/>
  <c r="D1094" i="2"/>
  <c r="M1416" i="1"/>
  <c r="P1416"/>
  <c r="E1326" i="2"/>
  <c r="O536" i="1"/>
  <c r="D527" i="2"/>
  <c r="O647" i="1"/>
  <c r="D638" i="2"/>
  <c r="O1176" i="1"/>
  <c r="D1086" i="2"/>
  <c r="M1391" i="1"/>
  <c r="P1391"/>
  <c r="E1301" i="2"/>
  <c r="M1500" i="1"/>
  <c r="P1500"/>
  <c r="E1410" i="2"/>
  <c r="O626" i="1"/>
  <c r="D617" i="2"/>
  <c r="O758" i="1"/>
  <c r="O773"/>
  <c r="D747" i="2"/>
  <c r="F747" s="1"/>
  <c r="O808" i="1"/>
  <c r="D782" i="2"/>
  <c r="F782"/>
  <c r="M1410" i="1"/>
  <c r="P1410"/>
  <c r="E1320" i="2"/>
  <c r="O595" i="1"/>
  <c r="D586" i="2"/>
  <c r="A459"/>
  <c r="O648" i="1"/>
  <c r="D639" i="2"/>
  <c r="M593" i="1"/>
  <c r="P593"/>
  <c r="E584" i="2"/>
  <c r="A460"/>
  <c r="O740" i="1"/>
  <c r="D731" i="2"/>
  <c r="F731"/>
  <c r="M1417" i="1"/>
  <c r="P1417"/>
  <c r="E1327" i="2"/>
  <c r="O1448" i="1"/>
  <c r="D1358" i="2"/>
  <c r="O1169" i="1"/>
  <c r="D1079" i="2"/>
  <c r="A1752"/>
  <c r="M1458" i="1"/>
  <c r="P1458"/>
  <c r="E1368" i="2"/>
  <c r="M1146" i="1"/>
  <c r="P1146"/>
  <c r="E1056" i="2"/>
  <c r="O623" i="1"/>
  <c r="D614" i="2"/>
  <c r="F650" i="1"/>
  <c r="N650"/>
  <c r="O656"/>
  <c r="D647" i="2"/>
  <c r="F937"/>
  <c r="O1411" i="1"/>
  <c r="D1321" i="2"/>
  <c r="O1150" i="1"/>
  <c r="D1060" i="2"/>
  <c r="O1392" i="1"/>
  <c r="D1302" i="2"/>
  <c r="M1396" i="1"/>
  <c r="P1396"/>
  <c r="E1306" i="2"/>
  <c r="M1414" i="1"/>
  <c r="P1414"/>
  <c r="E1324" i="2"/>
  <c r="M1163" i="1"/>
  <c r="P1163"/>
  <c r="E1073" i="2"/>
  <c r="M1154" i="1"/>
  <c r="P1154"/>
  <c r="E1064" i="2"/>
  <c r="F1064"/>
  <c r="O1464" i="1"/>
  <c r="D1374" i="2"/>
  <c r="O1380" i="1"/>
  <c r="D1290" i="2"/>
  <c r="O1503" i="1"/>
  <c r="D1413" i="2"/>
  <c r="M1153" i="1"/>
  <c r="P1153"/>
  <c r="E1063" i="2"/>
  <c r="O1161" i="1"/>
  <c r="D1071" i="2"/>
  <c r="O1466" i="1"/>
  <c r="D1376" i="2"/>
  <c r="O750" i="1"/>
  <c r="O759"/>
  <c r="O810"/>
  <c r="D784" i="2"/>
  <c r="F784" s="1"/>
  <c r="O1422" i="1"/>
  <c r="D1332" i="2"/>
  <c r="O1501" i="1"/>
  <c r="D1411" i="2"/>
  <c r="M1418" i="1"/>
  <c r="P1418"/>
  <c r="E1328" i="2"/>
  <c r="O1459" i="1"/>
  <c r="D1369" i="2"/>
  <c r="M1402" i="1"/>
  <c r="P1402"/>
  <c r="E1312" i="2"/>
  <c r="O1384" i="1"/>
  <c r="D1294" i="2"/>
  <c r="M1472" i="1"/>
  <c r="P1472"/>
  <c r="E1382" i="2"/>
  <c r="O1405" i="1"/>
  <c r="D1315" i="2"/>
  <c r="M528" i="1"/>
  <c r="P528"/>
  <c r="E519" i="2"/>
  <c r="M591" i="1"/>
  <c r="P591"/>
  <c r="E582" i="2"/>
  <c r="O627" i="1"/>
  <c r="D618" i="2"/>
  <c r="M532" i="1"/>
  <c r="P532"/>
  <c r="E523" i="2"/>
  <c r="O487" i="1"/>
  <c r="D473" i="2"/>
  <c r="F646" i="1"/>
  <c r="N646"/>
  <c r="A476"/>
  <c r="A462" i="2"/>
  <c r="O860" i="1"/>
  <c r="D834" i="2"/>
  <c r="M1138" i="1"/>
  <c r="P1138"/>
  <c r="E1048" i="2"/>
  <c r="A501" i="1"/>
  <c r="A502"/>
  <c r="A488" i="2"/>
  <c r="O792" i="1"/>
  <c r="D766" i="2"/>
  <c r="F766"/>
  <c r="O820" i="1"/>
  <c r="D794" i="2"/>
  <c r="F794"/>
  <c r="F1739"/>
  <c r="J1955"/>
  <c r="M1497" i="1"/>
  <c r="P1497"/>
  <c r="E1407" i="2"/>
  <c r="M1387" i="1"/>
  <c r="P1387"/>
  <c r="E1297" i="2"/>
  <c r="O1607" i="1"/>
  <c r="D1517" i="2"/>
  <c r="J1956"/>
  <c r="M1383" i="1"/>
  <c r="P1383"/>
  <c r="E1293" i="2"/>
  <c r="O1423" i="1"/>
  <c r="D1333" i="2"/>
  <c r="M1397" i="1"/>
  <c r="P1397"/>
  <c r="E1307" i="2"/>
  <c r="M1401" i="1"/>
  <c r="P1401"/>
  <c r="E1311" i="2"/>
  <c r="O1183" i="1"/>
  <c r="D1093" i="2"/>
  <c r="M2026" i="1"/>
  <c r="P2026"/>
  <c r="E1949" i="2"/>
  <c r="O1485" i="1"/>
  <c r="D1395" i="2"/>
  <c r="M1182" i="1"/>
  <c r="P1182"/>
  <c r="E1092" i="2"/>
  <c r="M1385" i="1"/>
  <c r="P1385"/>
  <c r="E1295" i="2"/>
  <c r="O1477" i="1"/>
  <c r="D1387" i="2"/>
  <c r="O1467" i="1"/>
  <c r="D1377" i="2"/>
  <c r="O864" i="1"/>
  <c r="D838" i="2"/>
  <c r="O862" i="1"/>
  <c r="D836" i="2"/>
  <c r="M668" i="1"/>
  <c r="P668"/>
  <c r="E659" i="2"/>
  <c r="M1141" i="1"/>
  <c r="P1141"/>
  <c r="E1051" i="2"/>
  <c r="F668" i="1"/>
  <c r="N668"/>
  <c r="M617"/>
  <c r="P617"/>
  <c r="E608" i="2"/>
  <c r="F656" i="1"/>
  <c r="N656"/>
  <c r="O1158"/>
  <c r="D1068" i="2"/>
  <c r="M1425" i="1"/>
  <c r="P1425"/>
  <c r="E1335" i="2"/>
  <c r="M1390" i="1"/>
  <c r="P1390"/>
  <c r="E1300" i="2"/>
  <c r="O1482" i="1"/>
  <c r="D1392" i="2"/>
  <c r="O1400" i="1"/>
  <c r="D1310" i="2"/>
  <c r="M1455" i="1"/>
  <c r="P1455"/>
  <c r="E1365" i="2"/>
  <c r="O1386" i="1"/>
  <c r="D1296" i="2"/>
  <c r="O1394" i="1"/>
  <c r="D1304" i="2"/>
  <c r="M1398" i="1"/>
  <c r="P1398"/>
  <c r="E1308" i="2"/>
  <c r="O1493" i="1"/>
  <c r="D1403" i="2"/>
  <c r="O1413" i="1"/>
  <c r="D1323" i="2"/>
  <c r="M1156" i="1"/>
  <c r="P1156"/>
  <c r="E1066" i="2"/>
  <c r="M1172" i="1"/>
  <c r="P1172"/>
  <c r="E1082" i="2"/>
  <c r="F1082"/>
  <c r="A1315"/>
  <c r="O1484" i="1"/>
  <c r="D1394" i="2"/>
  <c r="M1179" i="1"/>
  <c r="P1179"/>
  <c r="E1089" i="2"/>
  <c r="M1452" i="1"/>
  <c r="P1452"/>
  <c r="E1362" i="2"/>
  <c r="M1164" i="1"/>
  <c r="P1164"/>
  <c r="E1074" i="2"/>
  <c r="O1504" i="1"/>
  <c r="D1414" i="2"/>
  <c r="M1470" i="1"/>
  <c r="P1470"/>
  <c r="E1380" i="2"/>
  <c r="O1407" i="1"/>
  <c r="D1317" i="2"/>
  <c r="M1468" i="1"/>
  <c r="P1468"/>
  <c r="E1378" i="2"/>
  <c r="M640" i="1"/>
  <c r="P640"/>
  <c r="E631" i="2"/>
  <c r="M1139" i="1"/>
  <c r="P1139"/>
  <c r="E1049" i="2"/>
  <c r="M2027" i="1"/>
  <c r="P2027"/>
  <c r="E1950" i="2"/>
  <c r="O1475" i="1"/>
  <c r="D1385" i="2"/>
  <c r="F701"/>
  <c r="F965"/>
  <c r="F752"/>
  <c r="F374"/>
  <c r="J1957"/>
  <c r="O1502" i="1"/>
  <c r="D1412" i="2"/>
  <c r="M1408" i="1"/>
  <c r="P1408"/>
  <c r="E1318" i="2"/>
  <c r="O1421" i="1"/>
  <c r="D1331" i="2"/>
  <c r="M644" i="1"/>
  <c r="P644"/>
  <c r="E635" i="2"/>
  <c r="A1940"/>
  <c r="M1167" i="1"/>
  <c r="P1167"/>
  <c r="E1077" i="2"/>
  <c r="O1167" i="1"/>
  <c r="D1077" i="2"/>
  <c r="L486" i="1"/>
  <c r="P486"/>
  <c r="E472" i="2"/>
  <c r="O486" i="1"/>
  <c r="D472" i="2"/>
  <c r="O1457" i="1"/>
  <c r="D1367" i="2"/>
  <c r="J1958"/>
  <c r="J1954"/>
  <c r="M663" i="1"/>
  <c r="P663"/>
  <c r="E654" i="2"/>
  <c r="O663" i="1"/>
  <c r="D654" i="2"/>
  <c r="M660" i="1"/>
  <c r="P660"/>
  <c r="E651" i="2"/>
  <c r="F660" i="1"/>
  <c r="N660"/>
  <c r="F641"/>
  <c r="N641"/>
  <c r="M641"/>
  <c r="P641"/>
  <c r="E632" i="2"/>
  <c r="O641" i="1"/>
  <c r="D632" i="2"/>
  <c r="O633" i="1"/>
  <c r="D624" i="2"/>
  <c r="M633" i="1"/>
  <c r="P633"/>
  <c r="E624" i="2"/>
  <c r="A170"/>
  <c r="A182" i="1"/>
  <c r="A171" i="2"/>
  <c r="M1412" i="1"/>
  <c r="P1412"/>
  <c r="E1322" i="2"/>
  <c r="O657" i="1"/>
  <c r="D648" i="2"/>
  <c r="A336" i="1"/>
  <c r="A321" i="2"/>
  <c r="A320"/>
  <c r="O751" i="1"/>
  <c r="O781"/>
  <c r="D755" i="2"/>
  <c r="F755"/>
  <c r="O786" i="1"/>
  <c r="D760" i="2"/>
  <c r="F760"/>
  <c r="O791" i="1"/>
  <c r="D765" i="2"/>
  <c r="F765" s="1"/>
  <c r="O797" i="1"/>
  <c r="D771" i="2"/>
  <c r="F771" s="1"/>
  <c r="O813" i="1"/>
  <c r="D787" i="2"/>
  <c r="F787"/>
  <c r="M1379" i="1"/>
  <c r="P1379"/>
  <c r="E1289" i="2"/>
  <c r="M1424" i="1"/>
  <c r="P1424"/>
  <c r="E1334" i="2"/>
  <c r="O756" i="1"/>
  <c r="O776"/>
  <c r="D750" i="2"/>
  <c r="F750" s="1"/>
  <c r="O809" i="1"/>
  <c r="D783" i="2"/>
  <c r="F783" s="1"/>
  <c r="O817" i="1"/>
  <c r="D791" i="2"/>
  <c r="F791"/>
  <c r="O2019" i="1"/>
  <c r="D1929" i="2"/>
  <c r="M389" i="1"/>
  <c r="P389"/>
  <c r="E375" i="2"/>
  <c r="F375" s="1"/>
  <c r="M390" i="1"/>
  <c r="P390"/>
  <c r="E376" i="2"/>
  <c r="F376" s="1"/>
  <c r="F955"/>
  <c r="F326"/>
  <c r="F331"/>
  <c r="F911"/>
  <c r="F915"/>
  <c r="F919"/>
  <c r="F947"/>
  <c r="F699"/>
  <c r="F327"/>
  <c r="F967"/>
  <c r="F655"/>
  <c r="F914"/>
  <c r="F930"/>
  <c r="F934"/>
  <c r="F938"/>
  <c r="F942"/>
  <c r="F1745"/>
  <c r="F758"/>
  <c r="F966"/>
  <c r="F978"/>
  <c r="F1866"/>
  <c r="E1940"/>
  <c r="F1887"/>
  <c r="F1896"/>
  <c r="F1875"/>
  <c r="F1918"/>
  <c r="F1878"/>
  <c r="F1888"/>
  <c r="F1890"/>
  <c r="F1893"/>
  <c r="F1884"/>
  <c r="F1912"/>
  <c r="F1899"/>
  <c r="F1881"/>
  <c r="F418"/>
  <c r="F724"/>
  <c r="F1748"/>
  <c r="A458" i="1"/>
  <c r="A459"/>
  <c r="A445" i="2"/>
  <c r="A444"/>
  <c r="A442"/>
  <c r="M1419" i="1"/>
  <c r="P1419"/>
  <c r="E1329" i="2"/>
  <c r="O1419" i="1"/>
  <c r="D1329" i="2"/>
  <c r="M662" i="1"/>
  <c r="P662"/>
  <c r="E653" i="2"/>
  <c r="F662" i="1"/>
  <c r="N662"/>
  <c r="M658"/>
  <c r="P658"/>
  <c r="E649" i="2"/>
  <c r="F658" i="1"/>
  <c r="N658"/>
  <c r="M632"/>
  <c r="P632"/>
  <c r="E623" i="2"/>
  <c r="F632" i="1"/>
  <c r="N632"/>
  <c r="A491"/>
  <c r="A492"/>
  <c r="A478" i="2"/>
  <c r="A476"/>
  <c r="O1453" i="1"/>
  <c r="D1363" i="2"/>
  <c r="M1453" i="1"/>
  <c r="P1453"/>
  <c r="E1363" i="2"/>
  <c r="M1463" i="1"/>
  <c r="P1463"/>
  <c r="E1373" i="2"/>
  <c r="L485" i="1"/>
  <c r="P485"/>
  <c r="E471" i="2"/>
  <c r="O1474" i="1"/>
  <c r="D1384" i="2"/>
  <c r="O666" i="1"/>
  <c r="D657" i="2"/>
  <c r="O1143" i="1"/>
  <c r="D1053" i="2"/>
  <c r="M1157" i="1"/>
  <c r="P1157"/>
  <c r="E1067" i="2"/>
  <c r="M1170" i="1"/>
  <c r="P1170"/>
  <c r="E1080" i="2"/>
  <c r="M1415" i="1"/>
  <c r="P1415"/>
  <c r="E1325" i="2"/>
  <c r="O1415" i="1"/>
  <c r="D1325" i="2"/>
  <c r="O616" i="1"/>
  <c r="D607" i="2"/>
  <c r="M616" i="1"/>
  <c r="P616"/>
  <c r="E607" i="2"/>
  <c r="O1174" i="1"/>
  <c r="D1084" i="2"/>
  <c r="M1174" i="1"/>
  <c r="P1174"/>
  <c r="E1084" i="2"/>
  <c r="A744"/>
  <c r="M1456" i="1"/>
  <c r="P1456"/>
  <c r="E1366" i="2"/>
  <c r="O1481" i="1"/>
  <c r="D1391" i="2"/>
  <c r="O1486" i="1"/>
  <c r="D1396" i="2"/>
  <c r="O1185" i="1"/>
  <c r="D1095" i="2"/>
  <c r="M1461" i="1"/>
  <c r="P1461"/>
  <c r="E1371" i="2"/>
  <c r="A1549" i="1"/>
  <c r="O1166"/>
  <c r="D1076" i="2"/>
  <c r="F666" i="1"/>
  <c r="N666"/>
  <c r="O662"/>
  <c r="D653" i="2"/>
  <c r="O1498" i="1"/>
  <c r="D1408" i="2"/>
  <c r="M1498" i="1"/>
  <c r="P1498"/>
  <c r="E1408" i="2"/>
  <c r="O1180" i="1"/>
  <c r="D1090" i="2"/>
  <c r="M1180" i="1"/>
  <c r="P1180"/>
  <c r="E1090" i="2"/>
  <c r="O637" i="1"/>
  <c r="D628" i="2"/>
  <c r="F637" i="1"/>
  <c r="N637"/>
  <c r="F635"/>
  <c r="N635"/>
  <c r="M635"/>
  <c r="P635"/>
  <c r="E626" i="2"/>
  <c r="A466" i="1"/>
  <c r="A467"/>
  <c r="A453" i="2"/>
  <c r="A450"/>
  <c r="M594" i="1"/>
  <c r="P594"/>
  <c r="E585" i="2"/>
  <c r="O594" i="1"/>
  <c r="D585" i="2"/>
  <c r="M592" i="1"/>
  <c r="P592"/>
  <c r="E583" i="2"/>
  <c r="O592" i="1"/>
  <c r="D583" i="2"/>
  <c r="M1149" i="1"/>
  <c r="P1149"/>
  <c r="E1059" i="2"/>
  <c r="O1145" i="1"/>
  <c r="D1055" i="2"/>
  <c r="O1494" i="1"/>
  <c r="D1404" i="2"/>
  <c r="M1454" i="1"/>
  <c r="P1454"/>
  <c r="E1364" i="2"/>
  <c r="L1608" i="1"/>
  <c r="P1608"/>
  <c r="E1518" i="2"/>
  <c r="M1171" i="1"/>
  <c r="P1171"/>
  <c r="E1081" i="2"/>
  <c r="M1469" i="1"/>
  <c r="P1469"/>
  <c r="E1379" i="2"/>
  <c r="M535" i="1"/>
  <c r="P535"/>
  <c r="E526" i="2"/>
  <c r="O632" i="1"/>
  <c r="D623" i="2"/>
  <c r="O484" i="1"/>
  <c r="D470" i="2"/>
  <c r="O658" i="1"/>
  <c r="D649" i="2"/>
  <c r="M1151" i="1"/>
  <c r="P1151"/>
  <c r="E1061" i="2"/>
  <c r="O1151" i="1"/>
  <c r="D1061" i="2"/>
  <c r="O866" i="1"/>
  <c r="D840" i="2"/>
  <c r="M866" i="1"/>
  <c r="P866"/>
  <c r="E840" i="2"/>
  <c r="F653" i="1"/>
  <c r="N653"/>
  <c r="M653"/>
  <c r="P653"/>
  <c r="E644" i="2"/>
  <c r="F631" i="1"/>
  <c r="N631"/>
  <c r="O631"/>
  <c r="D622" i="2"/>
  <c r="A564"/>
  <c r="A574" i="1"/>
  <c r="A576"/>
  <c r="O757"/>
  <c r="F324" i="2"/>
  <c r="F328"/>
  <c r="F330"/>
  <c r="A649"/>
  <c r="O1175" i="1"/>
  <c r="D1085" i="2"/>
  <c r="M1175" i="1"/>
  <c r="P1175"/>
  <c r="E1085" i="2"/>
  <c r="A278" i="1"/>
  <c r="A279"/>
  <c r="A280"/>
  <c r="A254" i="2"/>
  <c r="M764" i="1"/>
  <c r="P764"/>
  <c r="F762" i="2"/>
  <c r="A414" i="1"/>
  <c r="A415"/>
  <c r="A399" i="2"/>
  <c r="A184" i="1"/>
  <c r="A173" i="2"/>
  <c r="A1785"/>
  <c r="A1783"/>
  <c r="A1780"/>
  <c r="M1420" i="1"/>
  <c r="P1420"/>
  <c r="E1330" i="2"/>
  <c r="A472"/>
  <c r="A487" i="1"/>
  <c r="A473" i="2"/>
  <c r="O1178" i="1"/>
  <c r="D1088" i="2"/>
  <c r="O1478" i="1"/>
  <c r="D1388" i="2"/>
  <c r="L1478" i="1"/>
  <c r="P1478"/>
  <c r="E1388" i="2"/>
  <c r="M1465" i="1"/>
  <c r="P1465"/>
  <c r="E1375" i="2"/>
  <c r="O1465" i="1"/>
  <c r="D1375" i="2"/>
  <c r="L1488" i="1"/>
  <c r="P1488"/>
  <c r="E1398" i="2"/>
  <c r="O1488" i="1"/>
  <c r="D1398" i="2"/>
  <c r="M1450" i="1"/>
  <c r="P1450"/>
  <c r="E1360" i="2"/>
  <c r="O1450" i="1"/>
  <c r="D1360" i="2"/>
  <c r="O1389" i="1"/>
  <c r="D1299" i="2"/>
  <c r="M1389" i="1"/>
  <c r="P1389"/>
  <c r="E1299" i="2"/>
  <c r="O1173" i="1"/>
  <c r="D1083" i="2"/>
  <c r="M1173" i="1"/>
  <c r="P1173"/>
  <c r="E1083" i="2"/>
  <c r="L1489" i="1"/>
  <c r="P1489"/>
  <c r="E1399" i="2"/>
  <c r="O1489" i="1"/>
  <c r="D1399" i="2"/>
  <c r="A1371"/>
  <c r="A1462" i="1"/>
  <c r="A1372" i="2"/>
  <c r="M1409" i="1"/>
  <c r="P1409"/>
  <c r="E1319" i="2"/>
  <c r="O1409" i="1"/>
  <c r="D1319" i="2"/>
  <c r="A1404"/>
  <c r="A1495" i="1"/>
  <c r="A1405" i="2"/>
  <c r="M1462" i="1"/>
  <c r="P1462"/>
  <c r="E1372" i="2"/>
  <c r="O1462" i="1"/>
  <c r="D1372" i="2"/>
  <c r="M1381" i="1"/>
  <c r="P1381"/>
  <c r="E1291" i="2"/>
  <c r="O1381" i="1"/>
  <c r="D1291" i="2"/>
  <c r="A738" i="1"/>
  <c r="A739"/>
  <c r="A730" i="2"/>
  <c r="A726"/>
  <c r="O646" i="1"/>
  <c r="D637" i="2"/>
  <c r="A496" i="1"/>
  <c r="A497"/>
  <c r="A483" i="2"/>
  <c r="O590" i="1"/>
  <c r="D581" i="2"/>
  <c r="O629" i="1"/>
  <c r="D620" i="2"/>
  <c r="F1746"/>
  <c r="F720"/>
  <c r="F325"/>
  <c r="F329"/>
  <c r="F953"/>
  <c r="F976"/>
  <c r="F905"/>
  <c r="F909"/>
  <c r="F933"/>
  <c r="F941"/>
  <c r="F945"/>
  <c r="F1737"/>
  <c r="F1738"/>
  <c r="F1743"/>
  <c r="F1747"/>
  <c r="F977"/>
  <c r="I1775"/>
  <c r="F16"/>
  <c r="F1741"/>
  <c r="F989"/>
  <c r="A1407" i="1"/>
  <c r="A1317" i="2"/>
  <c r="F1744"/>
  <c r="F1742"/>
  <c r="F1767"/>
  <c r="A1124" i="1"/>
  <c r="A1125"/>
  <c r="A1099" i="2"/>
  <c r="A1755"/>
  <c r="A1790" i="1"/>
  <c r="A1700" i="2"/>
  <c r="A1791" i="1"/>
  <c r="F986" i="2"/>
  <c r="F983"/>
  <c r="F985"/>
  <c r="F987"/>
  <c r="F969"/>
  <c r="F748"/>
  <c r="F958"/>
  <c r="F907"/>
  <c r="F954"/>
  <c r="F739"/>
  <c r="F705"/>
  <c r="F749"/>
  <c r="F970"/>
  <c r="F255"/>
  <c r="F710"/>
  <c r="F962"/>
  <c r="F709"/>
  <c r="D1942"/>
  <c r="P2018" i="1"/>
  <c r="E1941" i="2"/>
  <c r="E1928"/>
  <c r="A1459"/>
  <c r="A1550" i="1"/>
  <c r="A1460" i="2"/>
  <c r="A1786"/>
  <c r="A400"/>
  <c r="A1788"/>
  <c r="A1789"/>
  <c r="A1791"/>
  <c r="A1792"/>
  <c r="A1794"/>
  <c r="A1795"/>
  <c r="A1797"/>
  <c r="A1798"/>
  <c r="A1800"/>
  <c r="A1801"/>
  <c r="A1803"/>
  <c r="A1804"/>
  <c r="A1806"/>
  <c r="A355"/>
  <c r="A1807"/>
  <c r="A1809"/>
  <c r="A1810"/>
  <c r="A1812"/>
  <c r="A1813"/>
  <c r="A1815"/>
  <c r="A1816"/>
  <c r="A1817"/>
  <c r="A1819"/>
  <c r="A1820"/>
  <c r="A1821"/>
  <c r="A1822"/>
  <c r="A1823"/>
  <c r="A1824"/>
  <c r="A1825"/>
  <c r="A1827"/>
  <c r="A1828"/>
  <c r="A1829"/>
  <c r="A1830"/>
  <c r="A1831"/>
  <c r="A1832"/>
  <c r="A1835"/>
  <c r="A1836"/>
  <c r="A1838"/>
  <c r="A1839"/>
  <c r="A1841"/>
  <c r="A1842"/>
  <c r="A1844"/>
  <c r="A1845"/>
  <c r="A1847"/>
  <c r="A1848"/>
  <c r="A1850"/>
  <c r="A1851"/>
  <c r="A1853"/>
  <c r="A1854"/>
  <c r="A1856"/>
  <c r="A1857"/>
  <c r="A1859"/>
  <c r="A1860"/>
  <c r="A1862"/>
  <c r="A1863"/>
  <c r="A1864"/>
  <c r="A1865"/>
  <c r="A1867"/>
  <c r="A1868"/>
  <c r="A1870"/>
  <c r="A1871"/>
  <c r="A1873"/>
  <c r="A1874"/>
  <c r="A1876"/>
  <c r="A1877"/>
  <c r="A1879"/>
  <c r="A1880"/>
  <c r="A1882"/>
  <c r="A1883"/>
  <c r="A1885"/>
  <c r="A1886"/>
  <c r="A1888"/>
  <c r="A1889"/>
  <c r="A1891"/>
  <c r="A1892"/>
  <c r="A1894"/>
  <c r="A1895"/>
  <c r="A1897"/>
  <c r="A1898"/>
  <c r="A1900"/>
  <c r="A1901"/>
  <c r="A1904"/>
  <c r="A1905"/>
  <c r="A1907"/>
  <c r="A1908"/>
  <c r="A1910"/>
  <c r="A1911"/>
  <c r="A1913"/>
  <c r="A1914"/>
  <c r="A1916"/>
  <c r="A1917"/>
  <c r="A1919"/>
  <c r="A1920"/>
  <c r="A2012" i="1"/>
  <c r="A2013"/>
  <c r="A1921" i="2"/>
  <c r="F1751"/>
  <c r="F1755"/>
  <c r="F1759"/>
  <c r="F1872"/>
  <c r="F1903"/>
  <c r="F1874"/>
  <c r="F1902"/>
  <c r="F1924"/>
  <c r="F1873"/>
  <c r="F1904"/>
  <c r="F1895"/>
  <c r="F1922"/>
  <c r="F1876"/>
  <c r="F1886"/>
  <c r="F1901"/>
  <c r="F1908"/>
  <c r="F1910"/>
  <c r="F1914"/>
  <c r="F1916"/>
  <c r="F1923"/>
  <c r="F1870"/>
  <c r="F1867"/>
  <c r="F1763"/>
  <c r="F1762"/>
  <c r="F1766"/>
  <c r="F1769"/>
  <c r="F1771"/>
  <c r="F1758"/>
  <c r="F1915"/>
  <c r="F1960"/>
  <c r="F96"/>
  <c r="F712"/>
  <c r="F84"/>
  <c r="F1961"/>
  <c r="F1869"/>
  <c r="F1906"/>
  <c r="F1909"/>
  <c r="F1919"/>
  <c r="F1962"/>
  <c r="F1963"/>
  <c r="F956"/>
  <c r="F960"/>
  <c r="A301" i="1"/>
  <c r="A286" i="2"/>
  <c r="F1858"/>
  <c r="F713"/>
  <c r="F1880"/>
  <c r="F1889"/>
  <c r="F1898"/>
  <c r="F295"/>
  <c r="F250"/>
  <c r="F407"/>
  <c r="A402" i="1"/>
  <c r="A388" i="2"/>
  <c r="A135" i="1"/>
  <c r="A124" i="2"/>
  <c r="F199"/>
  <c r="F355"/>
  <c r="A124" i="1"/>
  <c r="A125"/>
  <c r="A126"/>
  <c r="F981" i="2"/>
  <c r="F949"/>
  <c r="F1877"/>
  <c r="F1883"/>
  <c r="F1892"/>
  <c r="F1905"/>
  <c r="J982"/>
  <c r="F1891"/>
  <c r="F1920"/>
  <c r="A601" i="1"/>
  <c r="A592" i="2"/>
  <c r="J983"/>
  <c r="F1868"/>
  <c r="F1871"/>
  <c r="F1882"/>
  <c r="F1885"/>
  <c r="F1894"/>
  <c r="F1897"/>
  <c r="F1911"/>
  <c r="F932"/>
  <c r="F902"/>
  <c r="F988"/>
  <c r="F751"/>
  <c r="F918"/>
  <c r="F922"/>
  <c r="F759"/>
  <c r="F716"/>
  <c r="F950"/>
  <c r="F768"/>
  <c r="F695"/>
  <c r="F372"/>
  <c r="F757"/>
  <c r="A519"/>
  <c r="E97"/>
  <c r="F1907"/>
  <c r="A634" i="1"/>
  <c r="A625" i="2"/>
  <c r="F228"/>
  <c r="F963"/>
  <c r="F975"/>
  <c r="D97"/>
  <c r="J981"/>
  <c r="F138"/>
  <c r="F1547"/>
  <c r="F974"/>
  <c r="F1917"/>
  <c r="F38"/>
  <c r="F1834"/>
  <c r="F79"/>
  <c r="F1843"/>
  <c r="F276"/>
  <c r="F925"/>
  <c r="F929"/>
  <c r="F912"/>
  <c r="F916"/>
  <c r="F1921"/>
  <c r="F1964"/>
  <c r="A452"/>
  <c r="O1495" i="1"/>
  <c r="D1405" i="2"/>
  <c r="M1495" i="1"/>
  <c r="P1495"/>
  <c r="E1405" i="2"/>
  <c r="M1142" i="1"/>
  <c r="P1142"/>
  <c r="E1052" i="2"/>
  <c r="O1142" i="1"/>
  <c r="D1052" i="2"/>
  <c r="A482"/>
  <c r="O1846" i="1"/>
  <c r="D1756" i="2"/>
  <c r="F1756" s="1"/>
  <c r="O1858" i="1"/>
  <c r="D1768" i="2"/>
  <c r="F1768" s="1"/>
  <c r="O1865" i="1"/>
  <c r="D1775" i="2"/>
  <c r="F1775"/>
  <c r="A653"/>
  <c r="E1929"/>
  <c r="E1942"/>
  <c r="E1946"/>
  <c r="E1933"/>
  <c r="F1933" s="1"/>
  <c r="A263"/>
  <c r="O816" i="1"/>
  <c r="D790" i="2"/>
  <c r="F790" s="1"/>
  <c r="M742" i="1"/>
  <c r="P742"/>
  <c r="E733" i="2"/>
  <c r="F733" s="1"/>
  <c r="M749" i="1"/>
  <c r="P749"/>
  <c r="M787"/>
  <c r="P787"/>
  <c r="E761" i="2"/>
  <c r="F761"/>
  <c r="O1842" i="1"/>
  <c r="D1752" i="2"/>
  <c r="F1752"/>
  <c r="O1864" i="1"/>
  <c r="D1774" i="2"/>
  <c r="F1774" s="1"/>
  <c r="O799" i="1"/>
  <c r="D773" i="2"/>
  <c r="F773" s="1"/>
  <c r="O806" i="1"/>
  <c r="D780" i="2"/>
  <c r="F780"/>
  <c r="O1844" i="1"/>
  <c r="D1754" i="2"/>
  <c r="F1754"/>
  <c r="O1847" i="1"/>
  <c r="D1757" i="2"/>
  <c r="F1757" s="1"/>
  <c r="O1850" i="1"/>
  <c r="D1760" i="2"/>
  <c r="F1760" s="1"/>
  <c r="O1855" i="1"/>
  <c r="D1765" i="2"/>
  <c r="F1765"/>
  <c r="O1860" i="1"/>
  <c r="D1770" i="2"/>
  <c r="F1770"/>
  <c r="M790" i="1"/>
  <c r="P790"/>
  <c r="E764" i="2"/>
  <c r="F764"/>
  <c r="M798" i="1"/>
  <c r="P798"/>
  <c r="E772" i="2"/>
  <c r="F772"/>
  <c r="O1843" i="1"/>
  <c r="D1753" i="2"/>
  <c r="F1753" s="1"/>
  <c r="E1926"/>
  <c r="F1926"/>
  <c r="E1939"/>
  <c r="A477"/>
  <c r="A651"/>
  <c r="A487"/>
  <c r="O1483" i="1"/>
  <c r="D1393" i="2"/>
  <c r="L1479" i="1"/>
  <c r="P1479"/>
  <c r="E1389" i="2"/>
  <c r="O1479" i="1"/>
  <c r="D1389" i="2"/>
  <c r="L1476" i="1"/>
  <c r="P1476"/>
  <c r="E1386" i="2"/>
  <c r="O1476" i="1"/>
  <c r="D1386" i="2"/>
  <c r="A729"/>
  <c r="M1499" i="1"/>
  <c r="P1499"/>
  <c r="E1409" i="2"/>
  <c r="O1499" i="1"/>
  <c r="D1409" i="2"/>
  <c r="L1490" i="1"/>
  <c r="P1490"/>
  <c r="E1400" i="2"/>
  <c r="O1490" i="1"/>
  <c r="D1400" i="2"/>
  <c r="M1382" i="1"/>
  <c r="P1382"/>
  <c r="E1292" i="2"/>
  <c r="O1382" i="1"/>
  <c r="D1292" i="2"/>
  <c r="A565"/>
  <c r="O1471" i="1"/>
  <c r="D1381" i="2"/>
  <c r="M1451" i="1"/>
  <c r="P1451"/>
  <c r="E1361" i="2"/>
  <c r="O766" i="1"/>
  <c r="M766"/>
  <c r="P766"/>
  <c r="M814"/>
  <c r="P814"/>
  <c r="E788" i="2"/>
  <c r="O814" i="1"/>
  <c r="D788" i="2"/>
  <c r="O782" i="1"/>
  <c r="D756" i="2"/>
  <c r="F756" s="1"/>
  <c r="M762" i="1"/>
  <c r="P762"/>
  <c r="O762"/>
  <c r="M802"/>
  <c r="P802"/>
  <c r="E776" i="2"/>
  <c r="O802" i="1"/>
  <c r="D776" i="2"/>
  <c r="O763" i="1"/>
  <c r="O793"/>
  <c r="D767" i="2"/>
  <c r="F767" s="1"/>
  <c r="M789" i="1"/>
  <c r="P789"/>
  <c r="E763" i="2"/>
  <c r="O789" i="1"/>
  <c r="D763" i="2"/>
  <c r="O1851" i="1"/>
  <c r="D1761" i="2"/>
  <c r="F1761" s="1"/>
  <c r="O1854" i="1"/>
  <c r="D1764" i="2"/>
  <c r="F1764"/>
  <c r="O1862" i="1"/>
  <c r="D1772" i="2"/>
  <c r="F1772"/>
  <c r="A992"/>
  <c r="A1922"/>
  <c r="A401"/>
  <c r="A417" i="1"/>
  <c r="A418"/>
  <c r="A468"/>
  <c r="A469"/>
  <c r="A1701" i="2"/>
  <c r="A1792" i="1"/>
  <c r="A1702" i="2"/>
  <c r="A398" i="1"/>
  <c r="A384" i="2"/>
  <c r="E1931"/>
  <c r="F1931" s="1"/>
  <c r="E1947"/>
  <c r="A1860" i="1"/>
  <c r="A1861"/>
  <c r="F1900" i="2"/>
  <c r="A1084" i="1"/>
  <c r="A993" i="2"/>
  <c r="N1853" i="1"/>
  <c r="F1913" i="2"/>
  <c r="N1848" i="1"/>
  <c r="N1856"/>
  <c r="F313" i="2"/>
  <c r="F1855"/>
  <c r="F1461"/>
  <c r="F173"/>
  <c r="F715"/>
  <c r="F147"/>
  <c r="F105"/>
  <c r="F14"/>
  <c r="F714"/>
  <c r="F769"/>
  <c r="F1852"/>
  <c r="F29"/>
  <c r="F494"/>
  <c r="F248"/>
  <c r="F116"/>
  <c r="F9"/>
  <c r="F342"/>
  <c r="F703"/>
  <c r="F917"/>
  <c r="F778"/>
  <c r="F753"/>
  <c r="F242"/>
  <c r="F201"/>
  <c r="F191"/>
  <c r="F65"/>
  <c r="F185"/>
  <c r="F237"/>
  <c r="F971"/>
  <c r="A1085" i="1"/>
  <c r="A995" i="2"/>
  <c r="A994"/>
  <c r="A1770"/>
  <c r="A1793" i="1"/>
  <c r="A1794"/>
  <c r="A454" i="2"/>
  <c r="A1086" i="1"/>
  <c r="A996" i="2"/>
  <c r="F1689"/>
  <c r="F1690"/>
  <c r="F1691"/>
  <c r="F264"/>
  <c r="F140"/>
  <c r="F139"/>
  <c r="F68"/>
  <c r="F44"/>
  <c r="F1672"/>
  <c r="F1673"/>
  <c r="F1674"/>
  <c r="F1676"/>
  <c r="F1677"/>
  <c r="F1678"/>
  <c r="F1680"/>
  <c r="F1682"/>
  <c r="F1683"/>
  <c r="F1684"/>
  <c r="F1685"/>
  <c r="F1686"/>
  <c r="F1687"/>
  <c r="F1671"/>
  <c r="F1675"/>
  <c r="F1679"/>
  <c r="F1681"/>
  <c r="F406"/>
  <c r="F279"/>
  <c r="F151"/>
  <c r="F1565"/>
  <c r="F1569"/>
  <c r="F1573"/>
  <c r="F1577"/>
  <c r="F683"/>
  <c r="F275"/>
  <c r="F1629"/>
  <c r="F1632"/>
  <c r="F1635"/>
  <c r="F1637"/>
  <c r="F1653"/>
  <c r="F1656"/>
  <c r="F1385"/>
  <c r="F337"/>
  <c r="F366"/>
  <c r="F133"/>
  <c r="F107"/>
  <c r="F697"/>
  <c r="F836"/>
  <c r="F619"/>
  <c r="F1581"/>
  <c r="F1667"/>
  <c r="F833"/>
  <c r="F1587"/>
  <c r="F1334"/>
  <c r="F1568"/>
  <c r="F1661"/>
  <c r="F1669"/>
  <c r="F1670"/>
  <c r="F1668"/>
  <c r="F1566"/>
  <c r="F1567"/>
  <c r="F1571"/>
  <c r="F1575"/>
  <c r="F1579"/>
  <c r="F1583"/>
  <c r="F1588"/>
  <c r="F1591"/>
  <c r="F1601"/>
  <c r="F1604"/>
  <c r="F1607"/>
  <c r="F1617"/>
  <c r="F1620"/>
  <c r="F1623"/>
  <c r="F1633"/>
  <c r="F1657"/>
  <c r="F1660"/>
  <c r="F1663"/>
  <c r="F1643"/>
  <c r="F1648"/>
  <c r="F1597"/>
  <c r="F1600"/>
  <c r="F1603"/>
  <c r="F1613"/>
  <c r="F1616"/>
  <c r="F1619"/>
  <c r="F1659"/>
  <c r="F1200"/>
  <c r="F70"/>
  <c r="F35"/>
  <c r="F1639"/>
  <c r="F1572"/>
  <c r="F1576"/>
  <c r="F1580"/>
  <c r="F1584"/>
  <c r="F1589"/>
  <c r="F1605"/>
  <c r="F1621"/>
  <c r="F1666"/>
  <c r="F1598"/>
  <c r="F1602"/>
  <c r="F1614"/>
  <c r="F1618"/>
  <c r="F1630"/>
  <c r="F1640"/>
  <c r="F1650"/>
  <c r="F1654"/>
  <c r="F1658"/>
  <c r="F1664"/>
  <c r="F1593"/>
  <c r="F1596"/>
  <c r="F1599"/>
  <c r="F1609"/>
  <c r="F1612"/>
  <c r="F1615"/>
  <c r="F1625"/>
  <c r="F1628"/>
  <c r="F1631"/>
  <c r="F1646"/>
  <c r="F1651"/>
  <c r="F1655"/>
  <c r="F1665"/>
  <c r="F1645"/>
  <c r="F1592"/>
  <c r="F1595"/>
  <c r="F1608"/>
  <c r="F1611"/>
  <c r="F1624"/>
  <c r="F1627"/>
  <c r="F1641"/>
  <c r="F1647"/>
  <c r="F1590"/>
  <c r="F1606"/>
  <c r="F1594"/>
  <c r="F1610"/>
  <c r="F1626"/>
  <c r="F1644"/>
  <c r="F1652"/>
  <c r="F1574"/>
  <c r="F1582"/>
  <c r="F1638"/>
  <c r="F1622"/>
  <c r="F1662"/>
  <c r="F1570"/>
  <c r="F1578"/>
  <c r="F1642"/>
  <c r="F1586"/>
  <c r="F1634"/>
  <c r="A1654"/>
  <c r="A1745" i="1"/>
  <c r="A1730"/>
  <c r="A1731"/>
  <c r="A1732"/>
  <c r="A1733"/>
  <c r="A1734"/>
  <c r="A1735"/>
  <c r="A1736"/>
  <c r="A1737"/>
  <c r="A1738"/>
  <c r="A1639" i="2"/>
  <c r="A1588"/>
  <c r="A1589"/>
  <c r="A1592"/>
  <c r="A1590"/>
  <c r="A1658" i="1"/>
  <c r="A1567" i="2"/>
  <c r="A1566"/>
  <c r="F267"/>
  <c r="F169"/>
  <c r="F158"/>
  <c r="F146"/>
  <c r="F818"/>
  <c r="F453"/>
  <c r="F445"/>
  <c r="F386"/>
  <c r="F1564"/>
  <c r="F643"/>
  <c r="F1296"/>
  <c r="F125"/>
  <c r="F1124"/>
  <c r="F865"/>
  <c r="F820"/>
  <c r="F481"/>
  <c r="F433"/>
  <c r="F411"/>
  <c r="F271"/>
  <c r="F265"/>
  <c r="F149"/>
  <c r="F145"/>
  <c r="F111"/>
  <c r="F57"/>
  <c r="F51"/>
  <c r="F47"/>
  <c r="F43"/>
  <c r="F41"/>
  <c r="F37"/>
  <c r="F1861"/>
  <c r="F1045"/>
  <c r="F549"/>
  <c r="F1322"/>
  <c r="F1407"/>
  <c r="F1312"/>
  <c r="F1186"/>
  <c r="F592"/>
  <c r="F425"/>
  <c r="F162"/>
  <c r="F92"/>
  <c r="F90"/>
  <c r="F64"/>
  <c r="F1837"/>
  <c r="F1308"/>
  <c r="F1290"/>
  <c r="F350"/>
  <c r="F1940"/>
  <c r="F1366"/>
  <c r="F611"/>
  <c r="F523"/>
  <c r="F636"/>
  <c r="F927"/>
  <c r="F935"/>
  <c r="F939"/>
  <c r="F943"/>
  <c r="F1051"/>
  <c r="F1377"/>
  <c r="A1704"/>
  <c r="A1796" i="1"/>
  <c r="A265" i="2"/>
  <c r="A282" i="1"/>
  <c r="E1930" i="2"/>
  <c r="E1943"/>
  <c r="A577" i="1"/>
  <c r="A567" i="2"/>
  <c r="A470" i="1"/>
  <c r="A456" i="2"/>
  <c r="A455"/>
  <c r="A1848" i="1"/>
  <c r="A1757" i="2"/>
  <c r="E1948"/>
  <c r="F1948" s="1"/>
  <c r="E1935"/>
  <c r="F1935"/>
  <c r="A1862" i="1"/>
  <c r="A1771" i="2"/>
  <c r="A404"/>
  <c r="A419" i="1"/>
  <c r="A2014"/>
  <c r="A1924" i="2"/>
  <c r="A1923"/>
  <c r="A1703"/>
  <c r="A740" i="1"/>
  <c r="A403" i="2"/>
  <c r="A264"/>
  <c r="A185" i="1"/>
  <c r="O2018"/>
  <c r="A381" i="2"/>
  <c r="O2020" i="1"/>
  <c r="F841" i="2"/>
  <c r="A1441"/>
  <c r="A1532" i="1"/>
  <c r="A1442" i="2"/>
  <c r="O1505" i="1"/>
  <c r="D1415" i="2"/>
  <c r="M1505" i="1"/>
  <c r="P1505"/>
  <c r="E1415" i="2"/>
  <c r="A1927"/>
  <c r="A2018" i="1"/>
  <c r="A1527"/>
  <c r="O1447"/>
  <c r="D1357" i="2"/>
  <c r="F1357" s="1"/>
  <c r="O1487" i="1"/>
  <c r="D1397" i="2"/>
  <c r="F1397"/>
  <c r="O1388" i="1"/>
  <c r="D1298" i="2"/>
  <c r="F1298"/>
  <c r="O1449" i="1"/>
  <c r="D1359" i="2"/>
  <c r="M1406" i="1"/>
  <c r="P1406"/>
  <c r="E1316" i="2"/>
  <c r="F1316" s="1"/>
  <c r="O1863" i="1"/>
  <c r="D1773" i="2"/>
  <c r="F1773"/>
  <c r="N2031" i="1"/>
  <c r="N2035"/>
  <c r="F1073" i="2"/>
  <c r="F823"/>
  <c r="F800"/>
  <c r="F1088"/>
  <c r="F1068"/>
  <c r="F618"/>
  <c r="F641"/>
  <c r="F587"/>
  <c r="F442"/>
  <c r="F404"/>
  <c r="F403"/>
  <c r="F215"/>
  <c r="F1143"/>
  <c r="F1117"/>
  <c r="F563"/>
  <c r="F561"/>
  <c r="F558"/>
  <c r="F555"/>
  <c r="F546"/>
  <c r="F513"/>
  <c r="F119"/>
  <c r="F7"/>
  <c r="F60"/>
  <c r="F56"/>
  <c r="F46"/>
  <c r="F1538"/>
  <c r="F651"/>
  <c r="F525"/>
  <c r="F1731"/>
  <c r="F1453"/>
  <c r="F1444"/>
  <c r="F1123"/>
  <c r="F817"/>
  <c r="F809"/>
  <c r="F805"/>
  <c r="F1787"/>
  <c r="F1121"/>
  <c r="F893"/>
  <c r="F885"/>
  <c r="F857"/>
  <c r="F679"/>
  <c r="F602"/>
  <c r="F429"/>
  <c r="F316"/>
  <c r="F303"/>
  <c r="F302"/>
  <c r="F272"/>
  <c r="F261"/>
  <c r="F223"/>
  <c r="F160"/>
  <c r="F156"/>
  <c r="F152"/>
  <c r="F148"/>
  <c r="F144"/>
  <c r="F115"/>
  <c r="F73"/>
  <c r="F66"/>
  <c r="F1782"/>
  <c r="F1512"/>
  <c r="F466"/>
  <c r="F432"/>
  <c r="F408"/>
  <c r="F304"/>
  <c r="F268"/>
  <c r="F221"/>
  <c r="F176"/>
  <c r="F157"/>
  <c r="F615"/>
  <c r="F581"/>
  <c r="F1849"/>
  <c r="F1318"/>
  <c r="F806"/>
  <c r="F678"/>
  <c r="F510"/>
  <c r="F482"/>
  <c r="F428"/>
  <c r="F420"/>
  <c r="F401"/>
  <c r="F260"/>
  <c r="F252"/>
  <c r="F171"/>
  <c r="F143"/>
  <c r="F94"/>
  <c r="F88"/>
  <c r="F62"/>
  <c r="F49"/>
  <c r="F834"/>
  <c r="F647"/>
  <c r="F1949"/>
  <c r="F486"/>
  <c r="F1794"/>
  <c r="F1345"/>
  <c r="F1337"/>
  <c r="F1196"/>
  <c r="F1086"/>
  <c r="F1043"/>
  <c r="F879"/>
  <c r="F854"/>
  <c r="F596"/>
  <c r="F570"/>
  <c r="F557"/>
  <c r="F531"/>
  <c r="F530"/>
  <c r="F504"/>
  <c r="F475"/>
  <c r="F312"/>
  <c r="F311"/>
  <c r="F290"/>
  <c r="F287"/>
  <c r="F269"/>
  <c r="F245"/>
  <c r="F224"/>
  <c r="F182"/>
  <c r="F177"/>
  <c r="F161"/>
  <c r="F101"/>
  <c r="F58"/>
  <c r="F657"/>
  <c r="F1365"/>
  <c r="F1369"/>
  <c r="F1058"/>
  <c r="F1944"/>
  <c r="A351" i="1"/>
  <c r="A352"/>
  <c r="A353"/>
  <c r="A338" i="2"/>
  <c r="A151" i="1"/>
  <c r="A152"/>
  <c r="A153"/>
  <c r="A142" i="2"/>
  <c r="F644"/>
  <c r="F1371"/>
  <c r="F1066"/>
  <c r="F1403"/>
  <c r="F1392"/>
  <c r="F1413"/>
  <c r="F130"/>
  <c r="F293"/>
  <c r="F1844"/>
  <c r="F1046"/>
  <c r="F1034"/>
  <c r="F877"/>
  <c r="F869"/>
  <c r="F590"/>
  <c r="F574"/>
  <c r="F564"/>
  <c r="F554"/>
  <c r="F551"/>
  <c r="F548"/>
  <c r="F537"/>
  <c r="F438"/>
  <c r="F285"/>
  <c r="F284"/>
  <c r="F277"/>
  <c r="F259"/>
  <c r="F249"/>
  <c r="F231"/>
  <c r="F164"/>
  <c r="F77"/>
  <c r="F1049"/>
  <c r="F1374"/>
  <c r="F335"/>
  <c r="F1367"/>
  <c r="F1335"/>
  <c r="F1311"/>
  <c r="F518"/>
  <c r="F109"/>
  <c r="A687" i="1"/>
  <c r="A688"/>
  <c r="A679" i="2"/>
  <c r="A1285" i="1"/>
  <c r="A1195" i="2"/>
  <c r="F1080"/>
  <c r="F1048"/>
  <c r="F1328"/>
  <c r="F1063"/>
  <c r="F1321"/>
  <c r="F527"/>
  <c r="F1075"/>
  <c r="F1070"/>
  <c r="F630"/>
  <c r="F1062"/>
  <c r="F1087"/>
  <c r="F517"/>
  <c r="F1057"/>
  <c r="F126"/>
  <c r="F488"/>
  <c r="F127"/>
  <c r="F1716"/>
  <c r="F1120"/>
  <c r="F867"/>
  <c r="F1549"/>
  <c r="F1368"/>
  <c r="F1348"/>
  <c r="F1190"/>
  <c r="F1727"/>
  <c r="F1224"/>
  <c r="F1093"/>
  <c r="F473"/>
  <c r="F1326"/>
  <c r="F487"/>
  <c r="F1468"/>
  <c r="F1076"/>
  <c r="F1330"/>
  <c r="F1518"/>
  <c r="F1391"/>
  <c r="F1310"/>
  <c r="F1295"/>
  <c r="F1517"/>
  <c r="F1390"/>
  <c r="F1327"/>
  <c r="F1450"/>
  <c r="F1429"/>
  <c r="F904"/>
  <c r="F908"/>
  <c r="F948"/>
  <c r="F1946"/>
  <c r="F1299"/>
  <c r="F1396"/>
  <c r="F1734"/>
  <c r="F1725"/>
  <c r="F1041"/>
  <c r="F1040"/>
  <c r="F1035"/>
  <c r="F1381"/>
  <c r="F1945"/>
  <c r="F1958"/>
  <c r="F1957"/>
  <c r="F1956"/>
  <c r="F1955"/>
  <c r="F1954"/>
  <c r="F1951"/>
  <c r="F1863"/>
  <c r="F1862"/>
  <c r="F1860"/>
  <c r="F1857"/>
  <c r="F1854"/>
  <c r="F1851"/>
  <c r="F1848"/>
  <c r="F1845"/>
  <c r="F1842"/>
  <c r="F1839"/>
  <c r="F1836"/>
  <c r="F1832"/>
  <c r="F1830"/>
  <c r="F1828"/>
  <c r="F1825"/>
  <c r="F1823"/>
  <c r="F1821"/>
  <c r="F1819"/>
  <c r="F1816"/>
  <c r="F1813"/>
  <c r="F1810"/>
  <c r="F1807"/>
  <c r="F1804"/>
  <c r="F1801"/>
  <c r="F1798"/>
  <c r="F1795"/>
  <c r="F1792"/>
  <c r="F1789"/>
  <c r="F1786"/>
  <c r="F1783"/>
  <c r="F1780"/>
  <c r="F1779"/>
  <c r="F1238"/>
  <c r="F1219"/>
  <c r="F1203"/>
  <c r="F1105"/>
  <c r="F1100"/>
  <c r="F1032"/>
  <c r="F883"/>
  <c r="F875"/>
  <c r="F855"/>
  <c r="F852"/>
  <c r="F828"/>
  <c r="F826"/>
  <c r="F824"/>
  <c r="F816"/>
  <c r="F814"/>
  <c r="F799"/>
  <c r="F798"/>
  <c r="F797"/>
  <c r="F727"/>
  <c r="F725"/>
  <c r="F688"/>
  <c r="F681"/>
  <c r="F677"/>
  <c r="F670"/>
  <c r="F669"/>
  <c r="F599"/>
  <c r="F598"/>
  <c r="F535"/>
  <c r="F501"/>
  <c r="F1541"/>
  <c r="F1495"/>
  <c r="F1471"/>
  <c r="F1469"/>
  <c r="F1425"/>
  <c r="F1421"/>
  <c r="F1353"/>
  <c r="F1349"/>
  <c r="F600"/>
  <c r="F542"/>
  <c r="F1214"/>
  <c r="F1110"/>
  <c r="F1108"/>
  <c r="F1104"/>
  <c r="F1103"/>
  <c r="F492"/>
  <c r="F1822"/>
  <c r="F1815"/>
  <c r="F1791"/>
  <c r="F1703"/>
  <c r="F1556"/>
  <c r="F1456"/>
  <c r="F1950"/>
  <c r="F1733"/>
  <c r="F1729"/>
  <c r="F1723"/>
  <c r="F1552"/>
  <c r="F1548"/>
  <c r="F1530"/>
  <c r="F1525"/>
  <c r="F1524"/>
  <c r="F1523"/>
  <c r="F1521"/>
  <c r="F1520"/>
  <c r="F1493"/>
  <c r="F1485"/>
  <c r="F1452"/>
  <c r="F1442"/>
  <c r="F1441"/>
  <c r="F1436"/>
  <c r="F1278"/>
  <c r="F1263"/>
  <c r="F1181"/>
  <c r="F1180"/>
  <c r="F1179"/>
  <c r="F1178"/>
  <c r="F1177"/>
  <c r="F1176"/>
  <c r="F1175"/>
  <c r="F1174"/>
  <c r="F1173"/>
  <c r="F1172"/>
  <c r="F1171"/>
  <c r="F1169"/>
  <c r="F1168"/>
  <c r="F1167"/>
  <c r="F1166"/>
  <c r="F1165"/>
  <c r="F1163"/>
  <c r="F1162"/>
  <c r="F1160"/>
  <c r="F1159"/>
  <c r="F1156"/>
  <c r="F1155"/>
  <c r="F1154"/>
  <c r="F1153"/>
  <c r="F1151"/>
  <c r="F1150"/>
  <c r="F1149"/>
  <c r="F1147"/>
  <c r="F1146"/>
  <c r="F1145"/>
  <c r="F1144"/>
  <c r="F1140"/>
  <c r="F1138"/>
  <c r="F1136"/>
  <c r="F1135"/>
  <c r="F1134"/>
  <c r="F1131"/>
  <c r="F1130"/>
  <c r="F1129"/>
  <c r="F1128"/>
  <c r="F1127"/>
  <c r="F1126"/>
  <c r="F1118"/>
  <c r="F1115"/>
  <c r="F1114"/>
  <c r="F1113"/>
  <c r="F1112"/>
  <c r="F1111"/>
  <c r="F1102"/>
  <c r="F1730"/>
  <c r="F1724"/>
  <c r="F1553"/>
  <c r="F1544"/>
  <c r="F1540"/>
  <c r="F1535"/>
  <c r="F1531"/>
  <c r="F1527"/>
  <c r="F1490"/>
  <c r="F1482"/>
  <c r="F1470"/>
  <c r="F1428"/>
  <c r="F1424"/>
  <c r="F1352"/>
  <c r="F1340"/>
  <c r="F507"/>
  <c r="F493"/>
  <c r="F478"/>
  <c r="F1358"/>
  <c r="F1315"/>
  <c r="F1297"/>
  <c r="F895"/>
  <c r="F887"/>
  <c r="F858"/>
  <c r="F680"/>
  <c r="F656"/>
  <c r="F503"/>
  <c r="F1094"/>
  <c r="F1551"/>
  <c r="F1537"/>
  <c r="F1533"/>
  <c r="F1480"/>
  <c r="F1255"/>
  <c r="F1252"/>
  <c r="F1248"/>
  <c r="F1243"/>
  <c r="F1215"/>
  <c r="F1210"/>
  <c r="F1206"/>
  <c r="F1199"/>
  <c r="F1194"/>
  <c r="A113"/>
  <c r="F1393"/>
  <c r="A593" i="1"/>
  <c r="A584" i="2"/>
  <c r="A623"/>
  <c r="A1100"/>
  <c r="F1864"/>
  <c r="F1732"/>
  <c r="F1726"/>
  <c r="F1722"/>
  <c r="F1546"/>
  <c r="F1542"/>
  <c r="F1529"/>
  <c r="F1488"/>
  <c r="F1451"/>
  <c r="F1273"/>
  <c r="F1253"/>
  <c r="F1244"/>
  <c r="F1205"/>
  <c r="F1201"/>
  <c r="F1198"/>
  <c r="A635" i="1"/>
  <c r="A636"/>
  <c r="A627" i="2"/>
  <c r="A1510" i="1"/>
  <c r="A1420" i="2"/>
  <c r="F1204"/>
  <c r="F1197"/>
  <c r="F897"/>
  <c r="F635"/>
  <c r="F1089"/>
  <c r="F839"/>
  <c r="F616"/>
  <c r="F633"/>
  <c r="F835"/>
  <c r="F122"/>
  <c r="F520"/>
  <c r="F1856"/>
  <c r="F1853"/>
  <c r="F1850"/>
  <c r="F1838"/>
  <c r="F1835"/>
  <c r="F1831"/>
  <c r="F1829"/>
  <c r="F1824"/>
  <c r="F1820"/>
  <c r="F1817"/>
  <c r="F1812"/>
  <c r="F1803"/>
  <c r="F1797"/>
  <c r="F1788"/>
  <c r="F1719"/>
  <c r="F1718"/>
  <c r="F1717"/>
  <c r="F1714"/>
  <c r="F1712"/>
  <c r="F1711"/>
  <c r="F1708"/>
  <c r="F1702"/>
  <c r="F1701"/>
  <c r="F1698"/>
  <c r="F1559"/>
  <c r="F1555"/>
  <c r="F1510"/>
  <c r="F1508"/>
  <c r="F1505"/>
  <c r="F1504"/>
  <c r="F1502"/>
  <c r="F1499"/>
  <c r="F1476"/>
  <c r="F1474"/>
  <c r="F1465"/>
  <c r="F1463"/>
  <c r="F1460"/>
  <c r="F1449"/>
  <c r="F1445"/>
  <c r="F1395"/>
  <c r="F1324"/>
  <c r="F1302"/>
  <c r="F1188"/>
  <c r="F1185"/>
  <c r="F1184"/>
  <c r="F1099"/>
  <c r="F1050"/>
  <c r="F1044"/>
  <c r="F1039"/>
  <c r="F1036"/>
  <c r="F899"/>
  <c r="F860"/>
  <c r="F804"/>
  <c r="F726"/>
  <c r="F687"/>
  <c r="F682"/>
  <c r="F666"/>
  <c r="F660"/>
  <c r="F579"/>
  <c r="F578"/>
  <c r="F577"/>
  <c r="F575"/>
  <c r="F572"/>
  <c r="F571"/>
  <c r="F568"/>
  <c r="F567"/>
  <c r="F565"/>
  <c r="F560"/>
  <c r="F545"/>
  <c r="F532"/>
  <c r="F512"/>
  <c r="F505"/>
  <c r="F495"/>
  <c r="F477"/>
  <c r="F398"/>
  <c r="F980"/>
  <c r="F620"/>
  <c r="F628"/>
  <c r="F519"/>
  <c r="F811"/>
  <c r="F807"/>
  <c r="F672"/>
  <c r="F668"/>
  <c r="F664"/>
  <c r="F603"/>
  <c r="F534"/>
  <c r="F785"/>
  <c r="F1467"/>
  <c r="A520"/>
  <c r="A582"/>
  <c r="F1055"/>
  <c r="F134"/>
  <c r="F1218"/>
  <c r="F1212"/>
  <c r="F1208"/>
  <c r="F423"/>
  <c r="F607"/>
  <c r="A957"/>
  <c r="A602" i="1"/>
  <c r="A593" i="2"/>
  <c r="A136" i="1"/>
  <c r="A125" i="2"/>
  <c r="F1947"/>
  <c r="A636"/>
  <c r="A622" i="1"/>
  <c r="A623"/>
  <c r="A614" i="2"/>
  <c r="F1059"/>
  <c r="F626"/>
  <c r="F608"/>
  <c r="F1071"/>
  <c r="F584"/>
  <c r="F638"/>
  <c r="F521"/>
  <c r="F485"/>
  <c r="F108"/>
  <c r="F419"/>
  <c r="F1189"/>
  <c r="F812"/>
  <c r="F254"/>
  <c r="F163"/>
  <c r="F159"/>
  <c r="F155"/>
  <c r="F117"/>
  <c r="F59"/>
  <c r="F55"/>
  <c r="F53"/>
  <c r="F45"/>
  <c r="F39"/>
  <c r="F22"/>
  <c r="F1361"/>
  <c r="A518"/>
  <c r="F1289"/>
  <c r="F1317"/>
  <c r="F1376"/>
  <c r="F1056"/>
  <c r="F586"/>
  <c r="F1065"/>
  <c r="F832"/>
  <c r="A1499" i="1"/>
  <c r="F637" i="2"/>
  <c r="F526"/>
  <c r="F1364"/>
  <c r="F1373"/>
  <c r="F1380"/>
  <c r="F1060"/>
  <c r="F1320"/>
  <c r="F617"/>
  <c r="F625"/>
  <c r="F1069"/>
  <c r="F1078"/>
  <c r="F1859"/>
  <c r="F1847"/>
  <c r="F1841"/>
  <c r="F1827"/>
  <c r="F1809"/>
  <c r="F1806"/>
  <c r="F1800"/>
  <c r="F1785"/>
  <c r="F1715"/>
  <c r="F1713"/>
  <c r="F1710"/>
  <c r="F1707"/>
  <c r="F1706"/>
  <c r="F1704"/>
  <c r="F1700"/>
  <c r="F1699"/>
  <c r="F1561"/>
  <c r="F1557"/>
  <c r="F1514"/>
  <c r="F1507"/>
  <c r="F1506"/>
  <c r="F1500"/>
  <c r="F1464"/>
  <c r="F1459"/>
  <c r="F1457"/>
  <c r="F1879"/>
  <c r="F810"/>
  <c r="F808"/>
  <c r="F662"/>
  <c r="F601"/>
  <c r="F536"/>
  <c r="F462"/>
  <c r="F913"/>
  <c r="F921"/>
  <c r="F964"/>
  <c r="F972"/>
  <c r="F1235"/>
  <c r="F1234"/>
  <c r="F1233"/>
  <c r="F1232"/>
  <c r="F1231"/>
  <c r="F1230"/>
  <c r="F1227"/>
  <c r="F1226"/>
  <c r="F1225"/>
  <c r="F1223"/>
  <c r="F1222"/>
  <c r="F1161"/>
  <c r="F1157"/>
  <c r="F1142"/>
  <c r="F1141"/>
  <c r="F1137"/>
  <c r="F1133"/>
  <c r="F1106"/>
  <c r="F1101"/>
  <c r="F853"/>
  <c r="F801"/>
  <c r="F686"/>
  <c r="F663"/>
  <c r="F552"/>
  <c r="F543"/>
  <c r="F533"/>
  <c r="F499"/>
  <c r="F496"/>
  <c r="F483"/>
  <c r="F467"/>
  <c r="F451"/>
  <c r="F439"/>
  <c r="F437"/>
  <c r="F426"/>
  <c r="F397"/>
  <c r="F391"/>
  <c r="F388"/>
  <c r="F741"/>
  <c r="F982"/>
  <c r="F1440"/>
  <c r="F1438"/>
  <c r="F1437"/>
  <c r="F1435"/>
  <c r="F1427"/>
  <c r="F1426"/>
  <c r="F1419"/>
  <c r="F1418"/>
  <c r="F1354"/>
  <c r="F1351"/>
  <c r="F1347"/>
  <c r="F1342"/>
  <c r="F1339"/>
  <c r="F1338"/>
  <c r="F1286"/>
  <c r="F1285"/>
  <c r="F1284"/>
  <c r="F1283"/>
  <c r="F1282"/>
  <c r="F1281"/>
  <c r="F1280"/>
  <c r="F1279"/>
  <c r="F1277"/>
  <c r="F1276"/>
  <c r="F1275"/>
  <c r="F1264"/>
  <c r="F1261"/>
  <c r="F1260"/>
  <c r="F1256"/>
  <c r="F1246"/>
  <c r="F1220"/>
  <c r="F1202"/>
  <c r="F1195"/>
  <c r="F1042"/>
  <c r="F1033"/>
  <c r="F873"/>
  <c r="F871"/>
  <c r="F851"/>
  <c r="F500"/>
  <c r="F497"/>
  <c r="F491"/>
  <c r="F490"/>
  <c r="F476"/>
  <c r="F455"/>
  <c r="F452"/>
  <c r="F449"/>
  <c r="F444"/>
  <c r="F424"/>
  <c r="F400"/>
  <c r="F314"/>
  <c r="F307"/>
  <c r="F294"/>
  <c r="F292"/>
  <c r="F289"/>
  <c r="F288"/>
  <c r="F286"/>
  <c r="F273"/>
  <c r="F263"/>
  <c r="F247"/>
  <c r="F232"/>
  <c r="F227"/>
  <c r="F214"/>
  <c r="F200"/>
  <c r="F184"/>
  <c r="F181"/>
  <c r="F165"/>
  <c r="F153"/>
  <c r="F142"/>
  <c r="F123"/>
  <c r="F103"/>
  <c r="F102"/>
  <c r="F87"/>
  <c r="F76"/>
  <c r="F54"/>
  <c r="F52"/>
  <c r="F50"/>
  <c r="F48"/>
  <c r="F42"/>
  <c r="F36"/>
  <c r="F33"/>
  <c r="F1846"/>
  <c r="F906"/>
  <c r="F910"/>
  <c r="F711"/>
  <c r="A1192" i="1"/>
  <c r="F1939" i="2"/>
  <c r="A318" i="1"/>
  <c r="A303" i="2"/>
  <c r="F297"/>
  <c r="F253"/>
  <c r="F225"/>
  <c r="A227" i="1"/>
  <c r="A215" i="2"/>
  <c r="F209"/>
  <c r="F170"/>
  <c r="F154"/>
  <c r="F150"/>
  <c r="F80"/>
  <c r="F74"/>
  <c r="F26"/>
  <c r="F11"/>
  <c r="F8"/>
  <c r="F97"/>
  <c r="F1216"/>
  <c r="F829"/>
  <c r="F827"/>
  <c r="F825"/>
  <c r="F821"/>
  <c r="F819"/>
  <c r="F815"/>
  <c r="F813"/>
  <c r="F1404"/>
  <c r="F1359"/>
  <c r="A1239"/>
  <c r="A1330" i="1"/>
  <c r="A1331"/>
  <c r="A1332"/>
  <c r="A599" i="2"/>
  <c r="A610" i="1"/>
  <c r="F522" i="2"/>
  <c r="F470"/>
  <c r="F1067"/>
  <c r="F1384"/>
  <c r="F654"/>
  <c r="F1378"/>
  <c r="F1414"/>
  <c r="F1304"/>
  <c r="F659"/>
  <c r="F838"/>
  <c r="F1092"/>
  <c r="F1333"/>
  <c r="F582"/>
  <c r="F1294"/>
  <c r="F614"/>
  <c r="F1301"/>
  <c r="F344"/>
  <c r="F358"/>
  <c r="F1148"/>
  <c r="F881"/>
  <c r="F392"/>
  <c r="F792"/>
  <c r="F1095"/>
  <c r="F471"/>
  <c r="F1074"/>
  <c r="F1054"/>
  <c r="F347"/>
  <c r="F369"/>
  <c r="F856"/>
  <c r="F676"/>
  <c r="F665"/>
  <c r="F696"/>
  <c r="A637"/>
  <c r="F788"/>
  <c r="A1445"/>
  <c r="F1415"/>
  <c r="F319"/>
  <c r="F230"/>
  <c r="F1394"/>
  <c r="F1323"/>
  <c r="F1431"/>
  <c r="F1265"/>
  <c r="F1139"/>
  <c r="F1132"/>
  <c r="F1116"/>
  <c r="F864"/>
  <c r="F387"/>
  <c r="F236"/>
  <c r="F698"/>
  <c r="A531" i="1"/>
  <c r="A532"/>
  <c r="A534"/>
  <c r="F1379" i="2"/>
  <c r="A403" i="1"/>
  <c r="F653" i="2"/>
  <c r="F1362"/>
  <c r="F1305"/>
  <c r="F1313"/>
  <c r="F642"/>
  <c r="F1344"/>
  <c r="F1259"/>
  <c r="F1258"/>
  <c r="F1257"/>
  <c r="F1250"/>
  <c r="F1247"/>
  <c r="F1242"/>
  <c r="F538"/>
  <c r="F389"/>
  <c r="F631"/>
  <c r="F1355"/>
  <c r="F1038"/>
  <c r="F141"/>
  <c r="F40"/>
  <c r="F480"/>
  <c r="F770"/>
  <c r="F781"/>
  <c r="F1929"/>
  <c r="F1534"/>
  <c r="F1430"/>
  <c r="F1346"/>
  <c r="F1269"/>
  <c r="F1268"/>
  <c r="F1267"/>
  <c r="F1266"/>
  <c r="F1107"/>
  <c r="F889"/>
  <c r="F923"/>
  <c r="A141"/>
  <c r="F612"/>
  <c r="F1536"/>
  <c r="F1528"/>
  <c r="F1486"/>
  <c r="F1410"/>
  <c r="F1341"/>
  <c r="F1152"/>
  <c r="F1098"/>
  <c r="F1037"/>
  <c r="F861"/>
  <c r="F460"/>
  <c r="F1307"/>
  <c r="F1309"/>
  <c r="F1496"/>
  <c r="F1492"/>
  <c r="F1170"/>
  <c r="F69"/>
  <c r="F702"/>
  <c r="F1306"/>
  <c r="F1332"/>
  <c r="F458"/>
  <c r="F343"/>
  <c r="F280"/>
  <c r="F700"/>
  <c r="F707"/>
  <c r="A1034"/>
  <c r="A1408" i="1"/>
  <c r="A1409"/>
  <c r="A1319" i="2"/>
  <c r="F1399"/>
  <c r="F649"/>
  <c r="F1300"/>
  <c r="F1293"/>
  <c r="F1382"/>
  <c r="F1079"/>
  <c r="F1303"/>
  <c r="F1560"/>
  <c r="F1545"/>
  <c r="F1494"/>
  <c r="F1479"/>
  <c r="F1472"/>
  <c r="F1447"/>
  <c r="F1343"/>
  <c r="F1271"/>
  <c r="F1270"/>
  <c r="F1249"/>
  <c r="F1239"/>
  <c r="F859"/>
  <c r="F671"/>
  <c r="F667"/>
  <c r="F281"/>
  <c r="F704"/>
  <c r="F623"/>
  <c r="F1408"/>
  <c r="F1550"/>
  <c r="F1484"/>
  <c r="F1446"/>
  <c r="F1432"/>
  <c r="F900"/>
  <c r="F1331"/>
  <c r="A154" i="1"/>
  <c r="A143" i="2"/>
  <c r="F1081"/>
  <c r="F1491"/>
  <c r="F1475"/>
  <c r="F1272"/>
  <c r="F1240"/>
  <c r="F431"/>
  <c r="F1053"/>
  <c r="F1532"/>
  <c r="F1498"/>
  <c r="F1448"/>
  <c r="A1126" i="1"/>
  <c r="A1036" i="2"/>
  <c r="A1035"/>
  <c r="F1291"/>
  <c r="F613"/>
  <c r="F1543"/>
  <c r="F1241"/>
  <c r="F1360"/>
  <c r="F1077"/>
  <c r="F837"/>
  <c r="F1487"/>
  <c r="F1481"/>
  <c r="F1433"/>
  <c r="F1422"/>
  <c r="F1411"/>
  <c r="F776"/>
  <c r="F1372"/>
  <c r="F585"/>
  <c r="F1489"/>
  <c r="F1423"/>
  <c r="F1211"/>
  <c r="F1187"/>
  <c r="F459"/>
  <c r="F412"/>
  <c r="F211"/>
  <c r="F13"/>
  <c r="F427"/>
  <c r="F24"/>
  <c r="F872"/>
  <c r="F205"/>
  <c r="F23"/>
  <c r="F1228"/>
  <c r="F896"/>
  <c r="F241"/>
  <c r="F193"/>
  <c r="A648" i="1"/>
  <c r="A649"/>
  <c r="A638" i="2"/>
  <c r="F1325"/>
  <c r="F1052"/>
  <c r="F1085"/>
  <c r="F1061"/>
  <c r="F639"/>
  <c r="F1412"/>
  <c r="F1405"/>
  <c r="F1398"/>
  <c r="F840"/>
  <c r="F583"/>
  <c r="F627"/>
  <c r="F640"/>
  <c r="F629"/>
  <c r="F1084"/>
  <c r="F632"/>
  <c r="F472"/>
  <c r="F622"/>
  <c r="F1483"/>
  <c r="F1209"/>
  <c r="F1182"/>
  <c r="F1262"/>
  <c r="F1254"/>
  <c r="F1245"/>
  <c r="F1229"/>
  <c r="F1420"/>
  <c r="F1350"/>
  <c r="F1193"/>
  <c r="F217"/>
  <c r="F422"/>
  <c r="F410"/>
  <c r="F336"/>
  <c r="F203"/>
  <c r="A337"/>
  <c r="A1087" i="1"/>
  <c r="A1088"/>
  <c r="F1942" i="2"/>
  <c r="F1090"/>
  <c r="F648"/>
  <c r="F1389"/>
  <c r="F1363"/>
  <c r="F1292"/>
  <c r="A1446"/>
  <c r="F1319"/>
  <c r="F1083"/>
  <c r="F624"/>
  <c r="F1387"/>
  <c r="F21"/>
  <c r="F10"/>
  <c r="F100"/>
  <c r="A114"/>
  <c r="F1409"/>
  <c r="F1386"/>
  <c r="F1388"/>
  <c r="A115"/>
  <c r="A127" i="1"/>
  <c r="F763" i="2"/>
  <c r="F1400"/>
  <c r="A1538" i="1"/>
  <c r="A1447" i="2"/>
  <c r="F1375"/>
  <c r="F1329"/>
  <c r="A1020" i="1"/>
  <c r="A302"/>
  <c r="A1463"/>
  <c r="F1158" i="2"/>
  <c r="F32"/>
  <c r="F19"/>
  <c r="F27"/>
  <c r="A1655"/>
  <c r="A1746" i="1"/>
  <c r="A1641" i="2"/>
  <c r="A1640"/>
  <c r="A1643"/>
  <c r="A1642"/>
  <c r="A1591"/>
  <c r="A1594"/>
  <c r="A1568"/>
  <c r="A1659" i="1"/>
  <c r="A1528"/>
  <c r="A1438" i="2"/>
  <c r="A1437"/>
  <c r="D1930"/>
  <c r="F1930" s="1"/>
  <c r="D1943"/>
  <c r="F1943"/>
  <c r="A267"/>
  <c r="A283" i="1"/>
  <c r="A2019"/>
  <c r="A1941" i="2"/>
  <c r="A1928"/>
  <c r="A1863" i="1"/>
  <c r="A1772" i="2"/>
  <c r="A1849" i="1"/>
  <c r="A1758" i="2"/>
  <c r="A579" i="1"/>
  <c r="A568" i="2"/>
  <c r="D1941"/>
  <c r="F1941" s="1"/>
  <c r="D1928"/>
  <c r="F1928"/>
  <c r="A741" i="1"/>
  <c r="A745"/>
  <c r="A731" i="2"/>
  <c r="A420" i="1"/>
  <c r="A405" i="2"/>
  <c r="A1706"/>
  <c r="A1797" i="1"/>
  <c r="A174" i="2"/>
  <c r="A186" i="1"/>
  <c r="A594"/>
  <c r="A595"/>
  <c r="A586" i="2"/>
  <c r="A140"/>
  <c r="A613"/>
  <c r="A624" i="1"/>
  <c r="A615" i="2"/>
  <c r="A689" i="1"/>
  <c r="A680" i="2"/>
  <c r="A678"/>
  <c r="A1286" i="1"/>
  <c r="A1196" i="2"/>
  <c r="A336"/>
  <c r="A1511" i="1"/>
  <c r="A1512"/>
  <c r="A603"/>
  <c r="A594" i="2"/>
  <c r="A1241"/>
  <c r="A523"/>
  <c r="A637" i="1"/>
  <c r="A628" i="2"/>
  <c r="A1410" i="1"/>
  <c r="A1320" i="2"/>
  <c r="A639"/>
  <c r="A1127" i="1"/>
  <c r="A1128"/>
  <c r="A522" i="2"/>
  <c r="A137" i="1"/>
  <c r="A126" i="2"/>
  <c r="A1318"/>
  <c r="A626"/>
  <c r="A1500" i="1"/>
  <c r="A1409" i="2"/>
  <c r="A155" i="1"/>
  <c r="A354"/>
  <c r="A339" i="2"/>
  <c r="A1240"/>
  <c r="A601"/>
  <c r="A611" i="1"/>
  <c r="A216" i="2"/>
  <c r="A228" i="1"/>
  <c r="A1193"/>
  <c r="A1102" i="2"/>
  <c r="A319" i="1"/>
  <c r="A304" i="2"/>
  <c r="A389"/>
  <c r="A404" i="1"/>
  <c r="A997" i="2"/>
  <c r="A998"/>
  <c r="A1089" i="1"/>
  <c r="A1373" i="2"/>
  <c r="A1464" i="1"/>
  <c r="A303"/>
  <c r="A287" i="2"/>
  <c r="A640"/>
  <c r="A650" i="1"/>
  <c r="A1333"/>
  <c r="A1242" i="2"/>
  <c r="A128" i="1"/>
  <c r="A117" i="2"/>
  <c r="A116"/>
  <c r="A959"/>
  <c r="A1021" i="1"/>
  <c r="A1448" i="2"/>
  <c r="A1539" i="1"/>
  <c r="A525" i="2"/>
  <c r="A535" i="1"/>
  <c r="A1747"/>
  <c r="A1656" i="2"/>
  <c r="A1644"/>
  <c r="A1647"/>
  <c r="A1645"/>
  <c r="A1593"/>
  <c r="A1596"/>
  <c r="A1569"/>
  <c r="A1660" i="1"/>
  <c r="A736" i="2"/>
  <c r="A746" i="1"/>
  <c r="A2020"/>
  <c r="A1929" i="2"/>
  <c r="A1942"/>
  <c r="A175"/>
  <c r="A188" i="1"/>
  <c r="A742"/>
  <c r="A732" i="2"/>
  <c r="A570"/>
  <c r="A580" i="1"/>
  <c r="A1864"/>
  <c r="A1773" i="2"/>
  <c r="A284" i="1"/>
  <c r="A268" i="2"/>
  <c r="A422" i="1"/>
  <c r="A406" i="2"/>
  <c r="A1707"/>
  <c r="A1798" i="1"/>
  <c r="A1708" i="2"/>
  <c r="A1850" i="1"/>
  <c r="A1759" i="2"/>
  <c r="A596" i="1"/>
  <c r="A587" i="2"/>
  <c r="A585"/>
  <c r="A625" i="1"/>
  <c r="A626"/>
  <c r="A690"/>
  <c r="A681" i="2"/>
  <c r="A1287" i="1"/>
  <c r="A1288"/>
  <c r="A1421" i="2"/>
  <c r="A604" i="1"/>
  <c r="A595" i="2"/>
  <c r="A1411" i="1"/>
  <c r="A1321" i="2"/>
  <c r="A1037"/>
  <c r="A638" i="1"/>
  <c r="A138"/>
  <c r="A139"/>
  <c r="A355"/>
  <c r="A357"/>
  <c r="A156"/>
  <c r="A144" i="2"/>
  <c r="A1501" i="1"/>
  <c r="A1410" i="2"/>
  <c r="A320" i="1"/>
  <c r="A305" i="2"/>
  <c r="A229" i="1"/>
  <c r="A217" i="2"/>
  <c r="A612" i="1"/>
  <c r="A602" i="2"/>
  <c r="A1103"/>
  <c r="A1194" i="1"/>
  <c r="A405"/>
  <c r="A390" i="2"/>
  <c r="A1422"/>
  <c r="A1513" i="1"/>
  <c r="A1090"/>
  <c r="A999" i="2"/>
  <c r="A1129" i="1"/>
  <c r="A1038" i="2"/>
  <c r="A1334" i="1"/>
  <c r="A1243" i="2"/>
  <c r="A536" i="1"/>
  <c r="A526" i="2"/>
  <c r="A1449"/>
  <c r="A1540" i="1"/>
  <c r="A304"/>
  <c r="A288" i="2"/>
  <c r="A1022" i="1"/>
  <c r="A960" i="2"/>
  <c r="A651" i="1"/>
  <c r="A641" i="2"/>
  <c r="A1465" i="1"/>
  <c r="A1374" i="2"/>
  <c r="A1657"/>
  <c r="A1748" i="1"/>
  <c r="A1648" i="2"/>
  <c r="A1646"/>
  <c r="A1595"/>
  <c r="A1598"/>
  <c r="A1661" i="1"/>
  <c r="A1570" i="2"/>
  <c r="A571"/>
  <c r="A581" i="1"/>
  <c r="A177" i="2"/>
  <c r="A189" i="1"/>
  <c r="A1943" i="2"/>
  <c r="A2021" i="1"/>
  <c r="A1930" i="2"/>
  <c r="A286" i="1"/>
  <c r="A269" i="2"/>
  <c r="A747" i="1"/>
  <c r="A737" i="2"/>
  <c r="A1760"/>
  <c r="A1851" i="1"/>
  <c r="A408" i="2"/>
  <c r="A423" i="1"/>
  <c r="A1774" i="2"/>
  <c r="A1865" i="1"/>
  <c r="A1775" i="2"/>
  <c r="A733"/>
  <c r="A743" i="1"/>
  <c r="A734" i="2"/>
  <c r="A691" i="1"/>
  <c r="A682" i="2"/>
  <c r="A616"/>
  <c r="A1197"/>
  <c r="A605" i="1"/>
  <c r="A596" i="2"/>
  <c r="A1412" i="1"/>
  <c r="A1413"/>
  <c r="A639"/>
  <c r="A629" i="2"/>
  <c r="A340"/>
  <c r="A127"/>
  <c r="A128"/>
  <c r="A140" i="1"/>
  <c r="A1502"/>
  <c r="A1411" i="2"/>
  <c r="A157" i="1"/>
  <c r="A145" i="2"/>
  <c r="A218"/>
  <c r="A230" i="1"/>
  <c r="A1195"/>
  <c r="A1104" i="2"/>
  <c r="A613" i="1"/>
  <c r="A603" i="2"/>
  <c r="A321" i="1"/>
  <c r="A306" i="2"/>
  <c r="A1198"/>
  <c r="A1289" i="1"/>
  <c r="A391" i="2"/>
  <c r="A406" i="1"/>
  <c r="A392" i="2"/>
  <c r="A1514" i="1"/>
  <c r="A1423" i="2"/>
  <c r="A1130" i="1"/>
  <c r="A1039" i="2"/>
  <c r="A1000"/>
  <c r="A1091" i="1"/>
  <c r="A652"/>
  <c r="A642" i="2"/>
  <c r="A617"/>
  <c r="A627" i="1"/>
  <c r="A527" i="2"/>
  <c r="A537" i="1"/>
  <c r="A528" i="2"/>
  <c r="A1244"/>
  <c r="A1335" i="1"/>
  <c r="A1541"/>
  <c r="A1450" i="2"/>
  <c r="A358" i="1"/>
  <c r="A342" i="2"/>
  <c r="A1375"/>
  <c r="A1466" i="1"/>
  <c r="A961" i="2"/>
  <c r="A1023" i="1"/>
  <c r="A289" i="2"/>
  <c r="A305" i="1"/>
  <c r="A290" i="2"/>
  <c r="A1749" i="1"/>
  <c r="A1658" i="2"/>
  <c r="A1600"/>
  <c r="A1597"/>
  <c r="A1662" i="1"/>
  <c r="A1571" i="2"/>
  <c r="A424" i="1"/>
  <c r="A409" i="2"/>
  <c r="A754" i="1"/>
  <c r="A748"/>
  <c r="A749"/>
  <c r="A750"/>
  <c r="A751"/>
  <c r="A752"/>
  <c r="A738" i="2"/>
  <c r="A1931"/>
  <c r="A2022" i="1"/>
  <c r="A1944" i="2"/>
  <c r="A572"/>
  <c r="A583" i="1"/>
  <c r="A1761" i="2"/>
  <c r="A1852" i="1"/>
  <c r="A271" i="2"/>
  <c r="A287" i="1"/>
  <c r="A178" i="2"/>
  <c r="A190" i="1"/>
  <c r="A692"/>
  <c r="A683" i="2"/>
  <c r="A1322"/>
  <c r="A640" i="1"/>
  <c r="A630" i="2"/>
  <c r="A141" i="1"/>
  <c r="A130" i="2"/>
  <c r="A129"/>
  <c r="A158" i="1"/>
  <c r="A146" i="2"/>
  <c r="A1503" i="1"/>
  <c r="A1412" i="2"/>
  <c r="A322" i="1"/>
  <c r="A307" i="2"/>
  <c r="A1199"/>
  <c r="A1290" i="1"/>
  <c r="A219" i="2"/>
  <c r="A231" i="1"/>
  <c r="A1105" i="2"/>
  <c r="A1196" i="1"/>
  <c r="A614"/>
  <c r="A605" i="2"/>
  <c r="A604"/>
  <c r="A1424"/>
  <c r="A1515" i="1"/>
  <c r="A1001" i="2"/>
  <c r="A1092" i="1"/>
  <c r="A1040" i="2"/>
  <c r="A1131" i="1"/>
  <c r="A962" i="2"/>
  <c r="A1024" i="1"/>
  <c r="A1245" i="2"/>
  <c r="A1336" i="1"/>
  <c r="A343" i="2"/>
  <c r="A359" i="1"/>
  <c r="A1451" i="2"/>
  <c r="A1542" i="1"/>
  <c r="A643" i="2"/>
  <c r="A653" i="1"/>
  <c r="A644" i="2"/>
  <c r="A1414" i="1"/>
  <c r="A1323" i="2"/>
  <c r="A1467" i="1"/>
  <c r="A1376" i="2"/>
  <c r="A628" i="1"/>
  <c r="A618" i="2"/>
  <c r="A1750" i="1"/>
  <c r="A1659" i="2"/>
  <c r="A1602"/>
  <c r="A1599"/>
  <c r="A1572"/>
  <c r="A1663" i="1"/>
  <c r="A1945" i="2"/>
  <c r="A2023" i="1"/>
  <c r="A1932" i="2"/>
  <c r="A755" i="1"/>
  <c r="A740" i="2"/>
  <c r="A288" i="1"/>
  <c r="A272" i="2"/>
  <c r="A574"/>
  <c r="A584" i="1"/>
  <c r="A425"/>
  <c r="A410" i="2"/>
  <c r="A192" i="1"/>
  <c r="A179" i="2"/>
  <c r="A1853" i="1"/>
  <c r="A1762" i="2"/>
  <c r="A695" i="1"/>
  <c r="A641"/>
  <c r="A631" i="2"/>
  <c r="A1413"/>
  <c r="A1504" i="1"/>
  <c r="A147" i="2"/>
  <c r="A159" i="1"/>
  <c r="A1106" i="2"/>
  <c r="A1197" i="1"/>
  <c r="A1291"/>
  <c r="A1200" i="2"/>
  <c r="A232" i="1"/>
  <c r="A220" i="2"/>
  <c r="A323" i="1"/>
  <c r="A308" i="2"/>
  <c r="A1516" i="1"/>
  <c r="A1425" i="2"/>
  <c r="A1132" i="1"/>
  <c r="A1041" i="2"/>
  <c r="A1093" i="1"/>
  <c r="A1002" i="2"/>
  <c r="A619"/>
  <c r="A629" i="1"/>
  <c r="A620" i="2"/>
  <c r="A1452"/>
  <c r="A1543" i="1"/>
  <c r="A1453" i="2"/>
  <c r="A1377"/>
  <c r="A1468" i="1"/>
  <c r="A360"/>
  <c r="A344" i="2"/>
  <c r="A1246"/>
  <c r="A1337" i="1"/>
  <c r="A963" i="2"/>
  <c r="A1025" i="1"/>
  <c r="A696"/>
  <c r="A686" i="2"/>
  <c r="A1324"/>
  <c r="A1415" i="1"/>
  <c r="A1751"/>
  <c r="A1660" i="2"/>
  <c r="A1601"/>
  <c r="A1604"/>
  <c r="A1664" i="1"/>
  <c r="A1573" i="2"/>
  <c r="A1763"/>
  <c r="A1854" i="1"/>
  <c r="A426"/>
  <c r="A411" i="2"/>
  <c r="A273"/>
  <c r="A290" i="1"/>
  <c r="A1933" i="2"/>
  <c r="A1946"/>
  <c r="A2024" i="1"/>
  <c r="A575" i="2"/>
  <c r="A586" i="1"/>
  <c r="A181" i="2"/>
  <c r="A193" i="1"/>
  <c r="A756"/>
  <c r="A757"/>
  <c r="A758"/>
  <c r="A759"/>
  <c r="A741" i="2"/>
  <c r="A632"/>
  <c r="A642" i="1"/>
  <c r="A633" i="2"/>
  <c r="A148"/>
  <c r="A160" i="1"/>
  <c r="A1505"/>
  <c r="A1415" i="2"/>
  <c r="A1414"/>
  <c r="A1201"/>
  <c r="A1292" i="1"/>
  <c r="A309" i="2"/>
  <c r="A324" i="1"/>
  <c r="A1107" i="2"/>
  <c r="A1198" i="1"/>
  <c r="A233"/>
  <c r="A221" i="2"/>
  <c r="A1426"/>
  <c r="A1517" i="1"/>
  <c r="A1133"/>
  <c r="A1042" i="2"/>
  <c r="A1003"/>
  <c r="A1094" i="1"/>
  <c r="A1325" i="2"/>
  <c r="A1416" i="1"/>
  <c r="A345" i="2"/>
  <c r="A361" i="1"/>
  <c r="A1026"/>
  <c r="A964" i="2"/>
  <c r="A1338" i="1"/>
  <c r="A1247" i="2"/>
  <c r="A1378"/>
  <c r="A1469" i="1"/>
  <c r="A697"/>
  <c r="A687" i="2"/>
  <c r="A1661"/>
  <c r="A1752" i="1"/>
  <c r="A1606" i="2"/>
  <c r="A1603"/>
  <c r="A1665" i="1"/>
  <c r="A1574" i="2"/>
  <c r="A587" i="1"/>
  <c r="A577" i="2"/>
  <c r="A275"/>
  <c r="A291" i="1"/>
  <c r="A1764" i="2"/>
  <c r="A1855" i="1"/>
  <c r="A412" i="2"/>
  <c r="A427" i="1"/>
  <c r="A194"/>
  <c r="A182" i="2"/>
  <c r="A1934"/>
  <c r="A2025" i="1"/>
  <c r="A1947" i="2"/>
  <c r="A149"/>
  <c r="A161" i="1"/>
  <c r="A310" i="2"/>
  <c r="A325" i="1"/>
  <c r="A222" i="2"/>
  <c r="A234" i="1"/>
  <c r="A1108" i="2"/>
  <c r="A1200" i="1"/>
  <c r="A1293"/>
  <c r="A1202" i="2"/>
  <c r="A1427"/>
  <c r="A1518" i="1"/>
  <c r="A1134"/>
  <c r="A1043" i="2"/>
  <c r="A1004"/>
  <c r="A1095" i="1"/>
  <c r="A688" i="2"/>
  <c r="A699" i="1"/>
  <c r="A1339"/>
  <c r="A1248" i="2"/>
  <c r="A965"/>
  <c r="A1027" i="1"/>
  <c r="A1379" i="2"/>
  <c r="A1470" i="1"/>
  <c r="A362"/>
  <c r="A346" i="2"/>
  <c r="A1326"/>
  <c r="A1417" i="1"/>
  <c r="A1662" i="2"/>
  <c r="A1753" i="1"/>
  <c r="A1605" i="2"/>
  <c r="A1608"/>
  <c r="A1666" i="1"/>
  <c r="A1575" i="2"/>
  <c r="A1948"/>
  <c r="A2026" i="1"/>
  <c r="A1935" i="2"/>
  <c r="A428" i="1"/>
  <c r="A413" i="2"/>
  <c r="A276"/>
  <c r="A292" i="1"/>
  <c r="A1765" i="2"/>
  <c r="A1856" i="1"/>
  <c r="A1766" i="2"/>
  <c r="A196" i="1"/>
  <c r="A183" i="2"/>
  <c r="A578"/>
  <c r="A588" i="1"/>
  <c r="A579" i="2"/>
  <c r="A150"/>
  <c r="A162" i="1"/>
  <c r="A235"/>
  <c r="A223" i="2"/>
  <c r="A1203"/>
  <c r="A1294" i="1"/>
  <c r="A1110" i="2"/>
  <c r="A1201" i="1"/>
  <c r="A311" i="2"/>
  <c r="A326" i="1"/>
  <c r="A1519"/>
  <c r="A1428" i="2"/>
  <c r="A1044"/>
  <c r="A1135" i="1"/>
  <c r="A1005" i="2"/>
  <c r="A1096" i="1"/>
  <c r="A1249" i="2"/>
  <c r="A1340" i="1"/>
  <c r="A966" i="2"/>
  <c r="A1028" i="1"/>
  <c r="A700"/>
  <c r="A690" i="2"/>
  <c r="A347"/>
  <c r="A364" i="1"/>
  <c r="A1327" i="2"/>
  <c r="A1418" i="1"/>
  <c r="A1471"/>
  <c r="A1380" i="2"/>
  <c r="A1663"/>
  <c r="A1754" i="1"/>
  <c r="A1607" i="2"/>
  <c r="A1610"/>
  <c r="A1576"/>
  <c r="A1667" i="1"/>
  <c r="A429"/>
  <c r="A414" i="2"/>
  <c r="A277"/>
  <c r="A294" i="1"/>
  <c r="A197"/>
  <c r="A185" i="2"/>
  <c r="A2027" i="1"/>
  <c r="A1949" i="2"/>
  <c r="A151"/>
  <c r="A163" i="1"/>
  <c r="A1111" i="2"/>
  <c r="A1202" i="1"/>
  <c r="A327"/>
  <c r="A312" i="2"/>
  <c r="A1295" i="1"/>
  <c r="A1204" i="2"/>
  <c r="A224"/>
  <c r="A236" i="1"/>
  <c r="A1429" i="2"/>
  <c r="A1520" i="1"/>
  <c r="A1136"/>
  <c r="A1045" i="2"/>
  <c r="A1006"/>
  <c r="A1097" i="1"/>
  <c r="A1381" i="2"/>
  <c r="A1472" i="1"/>
  <c r="A1382" i="2"/>
  <c r="A691"/>
  <c r="A701" i="1"/>
  <c r="A692" i="2"/>
  <c r="A349"/>
  <c r="A365" i="1"/>
  <c r="A967" i="2"/>
  <c r="A1029" i="1"/>
  <c r="A1250" i="2"/>
  <c r="A1342" i="1"/>
  <c r="A1328" i="2"/>
  <c r="A1419" i="1"/>
  <c r="A1755"/>
  <c r="A1664" i="2"/>
  <c r="A1612"/>
  <c r="A1609"/>
  <c r="A1577"/>
  <c r="A1668" i="1"/>
  <c r="A295"/>
  <c r="A279" i="2"/>
  <c r="A2028" i="1"/>
  <c r="A1951" i="2"/>
  <c r="A1950"/>
  <c r="A198" i="1"/>
  <c r="A186" i="2"/>
  <c r="A430" i="1"/>
  <c r="A415" i="2"/>
  <c r="A164" i="1"/>
  <c r="A152" i="2"/>
  <c r="A237" i="1"/>
  <c r="A225" i="2"/>
  <c r="A313"/>
  <c r="A328" i="1"/>
  <c r="A1112" i="2"/>
  <c r="A1203" i="1"/>
  <c r="A1205" i="2"/>
  <c r="A1296" i="1"/>
  <c r="A1521"/>
  <c r="A1430" i="2"/>
  <c r="A1046"/>
  <c r="A1138" i="1"/>
  <c r="A1007" i="2"/>
  <c r="A1098" i="1"/>
  <c r="A1420"/>
  <c r="A1329" i="2"/>
  <c r="A1343" i="1"/>
  <c r="A1252" i="2"/>
  <c r="A366" i="1"/>
  <c r="A350" i="2"/>
  <c r="A968"/>
  <c r="A1030" i="1"/>
  <c r="A1665" i="2"/>
  <c r="A1756" i="1"/>
  <c r="A1611" i="2"/>
  <c r="A1614"/>
  <c r="A1669" i="1"/>
  <c r="A1578" i="2"/>
  <c r="A416"/>
  <c r="A431" i="1"/>
  <c r="A200"/>
  <c r="A187" i="2"/>
  <c r="A280"/>
  <c r="A296" i="1"/>
  <c r="A281" i="2"/>
  <c r="A165" i="1"/>
  <c r="A153" i="2"/>
  <c r="A1298" i="1"/>
  <c r="A1206" i="2"/>
  <c r="A329" i="1"/>
  <c r="A314" i="2"/>
  <c r="A1204" i="1"/>
  <c r="A1113" i="2"/>
  <c r="A238" i="1"/>
  <c r="A226" i="2"/>
  <c r="A1431"/>
  <c r="A1522" i="1"/>
  <c r="A1008" i="2"/>
  <c r="A1099" i="1"/>
  <c r="A1139"/>
  <c r="A1048" i="2"/>
  <c r="A1031" i="1"/>
  <c r="A969" i="2"/>
  <c r="A1344" i="1"/>
  <c r="A1253" i="2"/>
  <c r="A351"/>
  <c r="A367" i="1"/>
  <c r="A1330" i="2"/>
  <c r="A1421" i="1"/>
  <c r="A1757"/>
  <c r="A1666" i="2"/>
  <c r="A1616"/>
  <c r="A1613"/>
  <c r="A1670" i="1"/>
  <c r="A1579" i="2"/>
  <c r="A189"/>
  <c r="A201" i="1"/>
  <c r="A417" i="2"/>
  <c r="A433" i="1"/>
  <c r="A166"/>
  <c r="A154" i="2"/>
  <c r="A239" i="1"/>
  <c r="A227" i="2"/>
  <c r="A315"/>
  <c r="A330" i="1"/>
  <c r="A316" i="2"/>
  <c r="A1114"/>
  <c r="A1205" i="1"/>
  <c r="A1208" i="2"/>
  <c r="A1299" i="1"/>
  <c r="A1523"/>
  <c r="A1433" i="2"/>
  <c r="A1432"/>
  <c r="A1009"/>
  <c r="A1100" i="1"/>
  <c r="A1049" i="2"/>
  <c r="A1140" i="1"/>
  <c r="A1331" i="2"/>
  <c r="A1422" i="1"/>
  <c r="A368"/>
  <c r="A352" i="2"/>
  <c r="A1345" i="1"/>
  <c r="A1254" i="2"/>
  <c r="A970"/>
  <c r="A1032" i="1"/>
  <c r="A1758"/>
  <c r="A1667" i="2"/>
  <c r="A1615"/>
  <c r="A1618"/>
  <c r="A1580"/>
  <c r="A1671" i="1"/>
  <c r="A434"/>
  <c r="A419" i="2"/>
  <c r="A190"/>
  <c r="A202" i="1"/>
  <c r="A155" i="2"/>
  <c r="A167" i="1"/>
  <c r="A1209" i="2"/>
  <c r="A1300" i="1"/>
  <c r="A1115" i="2"/>
  <c r="A1206" i="1"/>
  <c r="A240"/>
  <c r="A228" i="2"/>
  <c r="A1010"/>
  <c r="A1101" i="1"/>
  <c r="A1050" i="2"/>
  <c r="A1141" i="1"/>
  <c r="A353" i="2"/>
  <c r="A369" i="1"/>
  <c r="A1332" i="2"/>
  <c r="A1423" i="1"/>
  <c r="A1255" i="2"/>
  <c r="A1346" i="1"/>
  <c r="A971" i="2"/>
  <c r="A1033" i="1"/>
  <c r="A1759"/>
  <c r="A1669" i="2"/>
  <c r="A1668"/>
  <c r="A1620"/>
  <c r="A1617"/>
  <c r="A1672" i="1"/>
  <c r="A1581" i="2"/>
  <c r="A204" i="1"/>
  <c r="A191" i="2"/>
  <c r="A420"/>
  <c r="A435" i="1"/>
  <c r="A168"/>
  <c r="A156" i="2"/>
  <c r="A1207" i="1"/>
  <c r="A1116" i="2"/>
  <c r="A1210"/>
  <c r="A1301" i="1"/>
  <c r="A229" i="2"/>
  <c r="A241" i="1"/>
  <c r="A1051" i="2"/>
  <c r="A1142" i="1"/>
  <c r="A1011" i="2"/>
  <c r="A1102" i="1"/>
  <c r="A1347"/>
  <c r="A1256" i="2"/>
  <c r="A370" i="1"/>
  <c r="A354" i="2"/>
  <c r="A1034" i="1"/>
  <c r="A972" i="2"/>
  <c r="A1424" i="1"/>
  <c r="A1333" i="2"/>
  <c r="A1622"/>
  <c r="A1619"/>
  <c r="A1673" i="1"/>
  <c r="A1582" i="2"/>
  <c r="A436" i="1"/>
  <c r="A421" i="2"/>
  <c r="A193"/>
  <c r="A205" i="1"/>
  <c r="A169"/>
  <c r="A157" i="2"/>
  <c r="A1211"/>
  <c r="A1302" i="1"/>
  <c r="A242"/>
  <c r="A230" i="2"/>
  <c r="A1117"/>
  <c r="A1208" i="1"/>
  <c r="A1012" i="2"/>
  <c r="A1103" i="1"/>
  <c r="A1052" i="2"/>
  <c r="A1143" i="1"/>
  <c r="A1334" i="2"/>
  <c r="A1425" i="1"/>
  <c r="A1257" i="2"/>
  <c r="A1348" i="1"/>
  <c r="A1035"/>
  <c r="A973" i="2"/>
  <c r="A372" i="1"/>
  <c r="A356" i="2"/>
  <c r="A1621"/>
  <c r="A1624"/>
  <c r="A1674" i="1"/>
  <c r="A1584" i="2"/>
  <c r="A1583"/>
  <c r="A194"/>
  <c r="A206" i="1"/>
  <c r="A422" i="2"/>
  <c r="A437" i="1"/>
  <c r="A170"/>
  <c r="A158" i="2"/>
  <c r="A243" i="1"/>
  <c r="A231" i="2"/>
  <c r="A1118"/>
  <c r="A1210" i="1"/>
  <c r="A1304"/>
  <c r="A1212" i="2"/>
  <c r="A1013"/>
  <c r="A1104" i="1"/>
  <c r="A1053" i="2"/>
  <c r="A1144" i="1"/>
  <c r="A1258" i="2"/>
  <c r="A1349" i="1"/>
  <c r="A1427"/>
  <c r="A1335" i="2"/>
  <c r="A358"/>
  <c r="A373" i="1"/>
  <c r="A974" i="2"/>
  <c r="A1036" i="1"/>
  <c r="A1626" i="2"/>
  <c r="A1623"/>
  <c r="A423"/>
  <c r="A438" i="1"/>
  <c r="A195" i="2"/>
  <c r="A207" i="1"/>
  <c r="A171"/>
  <c r="A159" i="2"/>
  <c r="A1211" i="1"/>
  <c r="A1120" i="2"/>
  <c r="A1214"/>
  <c r="A1305" i="1"/>
  <c r="A244"/>
  <c r="A232" i="2"/>
  <c r="A1054"/>
  <c r="A1145" i="1"/>
  <c r="A1014" i="2"/>
  <c r="A1105" i="1"/>
  <c r="A1259" i="2"/>
  <c r="A1350" i="1"/>
  <c r="A975" i="2"/>
  <c r="A1037" i="1"/>
  <c r="A374"/>
  <c r="A359" i="2"/>
  <c r="A1337"/>
  <c r="A1428" i="1"/>
  <c r="A1628" i="2"/>
  <c r="A1625"/>
  <c r="A196"/>
  <c r="A209" i="1"/>
  <c r="A439"/>
  <c r="A424" i="2"/>
  <c r="A172" i="1"/>
  <c r="A160" i="2"/>
  <c r="A1215"/>
  <c r="A1306" i="1"/>
  <c r="A233" i="2"/>
  <c r="A245" i="1"/>
  <c r="A1213"/>
  <c r="A1121" i="2"/>
  <c r="A1015"/>
  <c r="A1106" i="1"/>
  <c r="A1146"/>
  <c r="A1055" i="2"/>
  <c r="A1038" i="1"/>
  <c r="A976" i="2"/>
  <c r="A1260"/>
  <c r="A1351" i="1"/>
  <c r="A1338" i="2"/>
  <c r="A1429" i="1"/>
  <c r="A360" i="2"/>
  <c r="A375" i="1"/>
  <c r="A1630" i="2"/>
  <c r="A1627"/>
  <c r="A425"/>
  <c r="A440" i="1"/>
  <c r="A198" i="2"/>
  <c r="A210" i="1"/>
  <c r="A173"/>
  <c r="A161" i="2"/>
  <c r="A247" i="1"/>
  <c r="A234" i="2"/>
  <c r="A1308" i="1"/>
  <c r="A1216" i="2"/>
  <c r="A1214" i="1"/>
  <c r="A1123" i="2"/>
  <c r="A1016"/>
  <c r="A1107" i="1"/>
  <c r="A1147"/>
  <c r="A1056" i="2"/>
  <c r="A977"/>
  <c r="A1039" i="1"/>
  <c r="A978" i="2"/>
  <c r="A361"/>
  <c r="A376" i="1"/>
  <c r="A1339" i="2"/>
  <c r="A1430" i="1"/>
  <c r="A1261" i="2"/>
  <c r="A1352" i="1"/>
  <c r="A1629" i="2"/>
  <c r="A1634"/>
  <c r="A1632"/>
  <c r="A211" i="1"/>
  <c r="A199" i="2"/>
  <c r="A441" i="1"/>
  <c r="A426" i="2"/>
  <c r="A162"/>
  <c r="A174" i="1"/>
  <c r="A1309"/>
  <c r="A1218" i="2"/>
  <c r="A1216" i="1"/>
  <c r="A1124" i="2"/>
  <c r="A248" i="1"/>
  <c r="A236" i="2"/>
  <c r="A1057"/>
  <c r="A1148" i="1"/>
  <c r="A1017" i="2"/>
  <c r="A1108" i="1"/>
  <c r="A1340" i="2"/>
  <c r="A1431" i="1"/>
  <c r="A377"/>
  <c r="A362" i="2"/>
  <c r="A1353" i="1"/>
  <c r="A1262" i="2"/>
  <c r="A1631"/>
  <c r="A442" i="1"/>
  <c r="A427" i="2"/>
  <c r="A212" i="1"/>
  <c r="A200" i="2"/>
  <c r="A163"/>
  <c r="A175" i="1"/>
  <c r="A1217"/>
  <c r="A1126" i="2"/>
  <c r="A237"/>
  <c r="A249" i="1"/>
  <c r="A1310"/>
  <c r="A1219" i="2"/>
  <c r="A1018"/>
  <c r="A1109" i="1"/>
  <c r="A1149"/>
  <c r="A1058" i="2"/>
  <c r="A1354" i="1"/>
  <c r="A1263" i="2"/>
  <c r="A363"/>
  <c r="A378" i="1"/>
  <c r="A1432"/>
  <c r="A1341" i="2"/>
  <c r="A1635"/>
  <c r="A1633"/>
  <c r="A213" i="1"/>
  <c r="A201" i="2"/>
  <c r="A443" i="1"/>
  <c r="A428" i="2"/>
  <c r="A164"/>
  <c r="A176" i="1"/>
  <c r="A165" i="2"/>
  <c r="A250" i="1"/>
  <c r="A238" i="2"/>
  <c r="A1220"/>
  <c r="A1312" i="1"/>
  <c r="A1127" i="2"/>
  <c r="A1218" i="1"/>
  <c r="A1019" i="2"/>
  <c r="A1110" i="1"/>
  <c r="A1150"/>
  <c r="A1059" i="2"/>
  <c r="A1433" i="1"/>
  <c r="A1342" i="2"/>
  <c r="A379" i="1"/>
  <c r="A364" i="2"/>
  <c r="A1264"/>
  <c r="A1355" i="1"/>
  <c r="A429" i="2"/>
  <c r="A444" i="1"/>
  <c r="A202" i="2"/>
  <c r="A214" i="1"/>
  <c r="A1222" i="2"/>
  <c r="A1313" i="1"/>
  <c r="A1128" i="2"/>
  <c r="A1219" i="1"/>
  <c r="A239" i="2"/>
  <c r="A252" i="1"/>
  <c r="A1020" i="2"/>
  <c r="A1111" i="1"/>
  <c r="A1060" i="2"/>
  <c r="A1151" i="1"/>
  <c r="A1265" i="2"/>
  <c r="A1356" i="1"/>
  <c r="A380"/>
  <c r="A365" i="2"/>
  <c r="A1434" i="1"/>
  <c r="A1343" i="2"/>
  <c r="A203"/>
  <c r="A215" i="1"/>
  <c r="A430" i="2"/>
  <c r="A445" i="1"/>
  <c r="A1129" i="2"/>
  <c r="A1220" i="1"/>
  <c r="A241" i="2"/>
  <c r="A253" i="1"/>
  <c r="A1314"/>
  <c r="A1223" i="2"/>
  <c r="A1061"/>
  <c r="A1152" i="1"/>
  <c r="A1021" i="2"/>
  <c r="A1112" i="1"/>
  <c r="A1435"/>
  <c r="A1344" i="2"/>
  <c r="A1266"/>
  <c r="A1357" i="1"/>
  <c r="A382"/>
  <c r="A366" i="2"/>
  <c r="A446" i="1"/>
  <c r="A431" i="2"/>
  <c r="A204"/>
  <c r="A216" i="1"/>
  <c r="A242" i="2"/>
  <c r="A254" i="1"/>
  <c r="A1130" i="2"/>
  <c r="A1221" i="1"/>
  <c r="A1224" i="2"/>
  <c r="A1315" i="1"/>
  <c r="A1113"/>
  <c r="A1022" i="2"/>
  <c r="A1153" i="1"/>
  <c r="A1062" i="2"/>
  <c r="A1267"/>
  <c r="A1358" i="1"/>
  <c r="A1436"/>
  <c r="A1345" i="2"/>
  <c r="A383" i="1"/>
  <c r="A368" i="2"/>
  <c r="A205"/>
  <c r="A217" i="1"/>
  <c r="A447"/>
  <c r="A433" i="2"/>
  <c r="A432"/>
  <c r="A1222" i="1"/>
  <c r="A1131" i="2"/>
  <c r="A1225"/>
  <c r="A1316" i="1"/>
  <c r="A255"/>
  <c r="A243" i="2"/>
  <c r="A1023"/>
  <c r="A1114" i="1"/>
  <c r="A1154"/>
  <c r="A1063" i="2"/>
  <c r="A1359" i="1"/>
  <c r="A1268" i="2"/>
  <c r="A369"/>
  <c r="A384" i="1"/>
  <c r="A1346" i="2"/>
  <c r="A1437" i="1"/>
  <c r="A219"/>
  <c r="A206" i="2"/>
  <c r="A1226"/>
  <c r="A1317" i="1"/>
  <c r="A244" i="2"/>
  <c r="A256" i="1"/>
  <c r="A1223"/>
  <c r="A1132" i="2"/>
  <c r="A1024"/>
  <c r="A1115" i="1"/>
  <c r="A1064" i="2"/>
  <c r="A1155" i="1"/>
  <c r="A1347" i="2"/>
  <c r="A1438" i="1"/>
  <c r="A385"/>
  <c r="A370" i="2"/>
  <c r="A1269"/>
  <c r="A1360" i="1"/>
  <c r="A208" i="2"/>
  <c r="A220" i="1"/>
  <c r="A257"/>
  <c r="A258"/>
  <c r="A259"/>
  <c r="A245" i="2"/>
  <c r="A1227"/>
  <c r="A1318" i="1"/>
  <c r="A1133" i="2"/>
  <c r="A1224" i="1"/>
  <c r="A1025" i="2"/>
  <c r="A1116" i="1"/>
  <c r="A1065" i="2"/>
  <c r="A1156" i="1"/>
  <c r="A1348" i="2"/>
  <c r="A1439" i="1"/>
  <c r="A1270" i="2"/>
  <c r="A1361" i="1"/>
  <c r="A371" i="2"/>
  <c r="A386" i="1"/>
  <c r="A209" i="2"/>
  <c r="A221" i="1"/>
  <c r="A1319"/>
  <c r="A1228" i="2"/>
  <c r="A1225" i="1"/>
  <c r="A1134" i="2"/>
  <c r="A246"/>
  <c r="A263" i="1"/>
  <c r="A260"/>
  <c r="A1066" i="2"/>
  <c r="A1157" i="1"/>
  <c r="A1026" i="2"/>
  <c r="A1117" i="1"/>
  <c r="A1271" i="2"/>
  <c r="A1362" i="1"/>
  <c r="A1440"/>
  <c r="A1349" i="2"/>
  <c r="A372"/>
  <c r="A387" i="1"/>
  <c r="A222"/>
  <c r="A211" i="2"/>
  <c r="A210"/>
  <c r="A264" i="1"/>
  <c r="A247" i="2"/>
  <c r="A261" i="1"/>
  <c r="A1226"/>
  <c r="A1135" i="2"/>
  <c r="A1320" i="1"/>
  <c r="A1229" i="2"/>
  <c r="A1027"/>
  <c r="A1118" i="1"/>
  <c r="A1028" i="2"/>
  <c r="A1158" i="1"/>
  <c r="A1067" i="2"/>
  <c r="A1350"/>
  <c r="A1441" i="1"/>
  <c r="A1363"/>
  <c r="A1272" i="2"/>
  <c r="A373"/>
  <c r="A388" i="1"/>
  <c r="A1136" i="2"/>
  <c r="A1227" i="1"/>
  <c r="A265"/>
  <c r="A262"/>
  <c r="A249" i="2"/>
  <c r="A248"/>
  <c r="A1321" i="1"/>
  <c r="A1230" i="2"/>
  <c r="A1159" i="1"/>
  <c r="A1068" i="2"/>
  <c r="A1351"/>
  <c r="A1442" i="1"/>
  <c r="A374" i="2"/>
  <c r="A389" i="1"/>
  <c r="A1365"/>
  <c r="A1273" i="2"/>
  <c r="A1231"/>
  <c r="A1322" i="1"/>
  <c r="A1228"/>
  <c r="A1137" i="2"/>
  <c r="A1069"/>
  <c r="A1160" i="1"/>
  <c r="A390"/>
  <c r="A376" i="2"/>
  <c r="A375"/>
  <c r="A1352"/>
  <c r="A1443" i="1"/>
  <c r="A1275" i="2"/>
  <c r="A1366" i="1"/>
  <c r="A1138" i="2"/>
  <c r="A1229" i="1"/>
  <c r="A1323"/>
  <c r="A1232" i="2"/>
  <c r="A1070"/>
  <c r="A1161" i="1"/>
  <c r="A1276" i="2"/>
  <c r="A1367" i="1"/>
  <c r="A1353" i="2"/>
  <c r="A1444" i="1"/>
  <c r="A1324"/>
  <c r="A1233" i="2"/>
  <c r="A1230" i="1"/>
  <c r="A1139" i="2"/>
  <c r="A1071"/>
  <c r="A1163" i="1"/>
  <c r="A1445"/>
  <c r="A1354" i="2"/>
  <c r="A1277"/>
  <c r="A1368" i="1"/>
  <c r="A1140" i="2"/>
  <c r="A1231" i="1"/>
  <c r="A1325"/>
  <c r="A1235" i="2"/>
  <c r="A1234"/>
  <c r="A1073"/>
  <c r="A1164" i="1"/>
  <c r="A1447"/>
  <c r="A1355" i="2"/>
  <c r="A1369" i="1"/>
  <c r="A1278" i="2"/>
  <c r="A1141"/>
  <c r="A1232" i="1"/>
  <c r="A1165"/>
  <c r="A1074" i="2"/>
  <c r="A1370" i="1"/>
  <c r="A1279" i="2"/>
  <c r="A1448" i="1"/>
  <c r="A1358" i="2"/>
  <c r="A1357"/>
  <c r="A1142"/>
  <c r="A1233" i="1"/>
  <c r="A1075" i="2"/>
  <c r="A1166" i="1"/>
  <c r="A1371"/>
  <c r="A1280" i="2"/>
  <c r="A1234" i="1"/>
  <c r="A1143" i="2"/>
  <c r="A1076"/>
  <c r="A1167" i="1"/>
  <c r="A1372"/>
  <c r="A1281" i="2"/>
  <c r="A1144"/>
  <c r="A1235" i="1"/>
  <c r="A1168"/>
  <c r="A1077" i="2"/>
  <c r="A1373" i="1"/>
  <c r="A1282" i="2"/>
  <c r="A1236" i="1"/>
  <c r="A1145" i="2"/>
  <c r="A1078"/>
  <c r="A1169" i="1"/>
  <c r="A1374"/>
  <c r="A1283" i="2"/>
  <c r="A1146"/>
  <c r="A1237" i="1"/>
  <c r="A1170"/>
  <c r="A1079" i="2"/>
  <c r="A1375" i="1"/>
  <c r="A1284" i="2"/>
  <c r="A1238" i="1"/>
  <c r="A1147" i="2"/>
  <c r="A1171" i="1"/>
  <c r="A1080" i="2"/>
  <c r="A1285"/>
  <c r="A1376" i="1"/>
  <c r="A1286" i="2"/>
  <c r="A1148"/>
  <c r="A1239" i="1"/>
  <c r="A1081" i="2"/>
  <c r="A1172" i="1"/>
  <c r="A1149" i="2"/>
  <c r="A1240" i="1"/>
  <c r="A1082" i="2"/>
  <c r="A1173" i="1"/>
  <c r="A1150" i="2"/>
  <c r="A1241" i="1"/>
  <c r="A1174"/>
  <c r="A1083" i="2"/>
  <c r="A1151"/>
  <c r="A1242" i="1"/>
  <c r="A1084" i="2"/>
  <c r="A1175" i="1"/>
  <c r="A1152" i="2"/>
  <c r="A1243" i="1"/>
  <c r="A1085" i="2"/>
  <c r="A1176" i="1"/>
  <c r="A1244"/>
  <c r="A1153" i="2"/>
  <c r="A1177" i="1"/>
  <c r="A1086" i="2"/>
  <c r="A1154"/>
  <c r="A1245" i="1"/>
  <c r="A1087" i="2"/>
  <c r="A1178" i="1"/>
  <c r="A1246"/>
  <c r="A1155" i="2"/>
  <c r="A1088"/>
  <c r="A1179" i="1"/>
  <c r="A1156" i="2"/>
  <c r="A1247" i="1"/>
  <c r="A1089" i="2"/>
  <c r="A1180" i="1"/>
  <c r="A1157" i="2"/>
  <c r="A1248" i="1"/>
  <c r="A1090" i="2"/>
  <c r="A1181" i="1"/>
  <c r="A1158" i="2"/>
  <c r="A1249" i="1"/>
  <c r="A1091" i="2"/>
  <c r="A1182" i="1"/>
  <c r="A1159" i="2"/>
  <c r="A1250" i="1"/>
  <c r="A1183"/>
  <c r="A1092" i="2"/>
  <c r="A1251" i="1"/>
  <c r="A1160" i="2"/>
  <c r="A1184" i="1"/>
  <c r="A1093" i="2"/>
  <c r="A1161"/>
  <c r="A1252" i="1"/>
  <c r="A1185"/>
  <c r="A1095" i="2"/>
  <c r="A1094"/>
  <c r="A1253" i="1"/>
  <c r="A1162" i="2"/>
  <c r="A1163"/>
  <c r="A1255" i="1"/>
  <c r="A1256"/>
  <c r="A1165" i="2"/>
  <c r="A1166"/>
  <c r="A1257" i="1"/>
  <c r="A1258"/>
  <c r="A1167" i="2"/>
  <c r="A1168"/>
  <c r="A1259" i="1"/>
  <c r="A1169" i="2"/>
  <c r="A1260" i="1"/>
  <c r="A1170" i="2"/>
  <c r="A1261" i="1"/>
  <c r="A1262"/>
  <c r="A1171" i="2"/>
  <c r="A1263" i="1"/>
  <c r="A1172" i="2"/>
  <c r="A1264" i="1"/>
  <c r="A1173" i="2"/>
  <c r="A1174"/>
  <c r="A1265" i="1"/>
  <c r="A1175" i="2"/>
  <c r="A1266" i="1"/>
  <c r="A1176" i="2"/>
  <c r="A1267" i="1"/>
  <c r="A1268"/>
  <c r="A1177" i="2"/>
  <c r="A1269" i="1"/>
  <c r="A1178" i="2"/>
  <c r="A1270" i="1"/>
  <c r="A1179" i="2"/>
  <c r="A1180"/>
  <c r="A1271" i="1"/>
  <c r="A1181" i="2"/>
  <c r="A1272" i="1"/>
  <c r="A1182" i="2"/>
  <c r="A1274" i="1"/>
  <c r="A1275"/>
  <c r="A1184" i="2"/>
  <c r="A1185"/>
  <c r="A1276" i="1"/>
  <c r="A1186" i="2"/>
  <c r="A1277" i="1"/>
  <c r="A1278"/>
  <c r="A1187" i="2"/>
  <c r="A1188"/>
  <c r="A1279" i="1"/>
  <c r="A1189" i="2"/>
  <c r="A1280" i="1"/>
  <c r="A1190" i="2"/>
</calcChain>
</file>

<file path=xl/sharedStrings.xml><?xml version="1.0" encoding="utf-8"?>
<sst xmlns="http://schemas.openxmlformats.org/spreadsheetml/2006/main" count="5338" uniqueCount="2096">
  <si>
    <t xml:space="preserve">        CÔNG BỐ</t>
  </si>
  <si>
    <t xml:space="preserve">TRÊN ĐỊA BÀN TỈNH AN GIANG </t>
  </si>
  <si>
    <t>STT</t>
  </si>
  <si>
    <t xml:space="preserve"> TÊN VÀ QUY CÁCH VẬT LIỆU </t>
  </si>
  <si>
    <t>ĐVT</t>
  </si>
  <si>
    <t>Giá bán chưa bao gồm thuế VAT</t>
  </si>
  <si>
    <t>Giá bán nơi sản xuất</t>
  </si>
  <si>
    <t>Giá bán tại các huyện, TX, TP trong phạm vi bán kính 3 km</t>
  </si>
  <si>
    <t>TP.Long Xuyên</t>
  </si>
  <si>
    <t>Các huyện, TX</t>
  </si>
  <si>
    <t>I</t>
  </si>
  <si>
    <t xml:space="preserve"> ĐÁ CÁC LOẠI : (đã bao gồm thuế tài nguyên và phí bảo vệ môi trường)</t>
  </si>
  <si>
    <t>* Đá khu vực Bà Đội: Cty TNHH MTV Khai thác &amp; Chế biến đá An Giang.</t>
  </si>
  <si>
    <t xml:space="preserve"> Đá 1 x 2 (lưới 29)</t>
  </si>
  <si>
    <t xml:space="preserve"> Đá 2 x4 </t>
  </si>
  <si>
    <t xml:space="preserve"> Đá 4 x 6 xay</t>
  </si>
  <si>
    <t xml:space="preserve"> Đá 5 x7 xay</t>
  </si>
  <si>
    <t xml:space="preserve"> Cấp phối (0x4) loại I (Dmax 37.5)</t>
  </si>
  <si>
    <t xml:space="preserve"> Cấp phối (0x4)  (Dmax 37.5)</t>
  </si>
  <si>
    <t xml:space="preserve"> Bụi (còn gọi là mi bụi)</t>
  </si>
  <si>
    <t xml:space="preserve"> Đá mi  (còn gọi là mi sàng)</t>
  </si>
  <si>
    <t xml:space="preserve"> Đá 20 x 30 (đá hộc)</t>
  </si>
  <si>
    <t>* Đá khu vực Cô Tô: Cty TNHH MTV Khai thác &amp; Chế biến đá An Giang</t>
  </si>
  <si>
    <t xml:space="preserve"> Đá 1 x 2 loại I (lưới 29)</t>
  </si>
  <si>
    <t xml:space="preserve"> Đá 1 x 2 (An Phước + máy 1 Cô Tô)</t>
  </si>
  <si>
    <t xml:space="preserve"> Đá 2 x 4 xay</t>
  </si>
  <si>
    <t xml:space="preserve"> Đá 5 x 7 xay </t>
  </si>
  <si>
    <t xml:space="preserve"> Đá cấp phối (0 x 4) loại I  (Dmax 37.5)</t>
  </si>
  <si>
    <t xml:space="preserve"> Đá cấp phối (0 x 4)          (Dmax 25)</t>
  </si>
  <si>
    <t xml:space="preserve"> Đá 2 x 3 dơ</t>
  </si>
  <si>
    <t xml:space="preserve"> Đá 20x30 (đá hộc)</t>
  </si>
  <si>
    <t xml:space="preserve"> Bụi xây dựng 0,6 - 0,7</t>
  </si>
  <si>
    <t xml:space="preserve"> Đá mi  0,8 - 0,9</t>
  </si>
  <si>
    <t>II</t>
  </si>
  <si>
    <t>* Cát đen san lấp:</t>
  </si>
  <si>
    <t xml:space="preserve"> </t>
  </si>
  <si>
    <t>đ/m3</t>
  </si>
  <si>
    <t>III</t>
  </si>
  <si>
    <t>NHỰA ĐƯỜNG, BÊ TÔNG NHỰA VÀ BÊ TÔNG TƯƠI:</t>
  </si>
  <si>
    <t>Bê tông nhựa nóng hạt mịn C9.5</t>
  </si>
  <si>
    <t>đ/tấn</t>
  </si>
  <si>
    <t>Bê tông nhựa nóng hạt trung C12.5</t>
  </si>
  <si>
    <t>Bê tông nhựa nóng hạt trung C19</t>
  </si>
  <si>
    <t>Bê tông nhựa nguội</t>
  </si>
  <si>
    <t>Nhựa đường thùng SHELL SINGAPORE 60/70 (hàng được giao trên xe tại Tp.LX)</t>
  </si>
  <si>
    <t>Bê tông nhựa nóng C19</t>
  </si>
  <si>
    <t>Bê tông nhựa nóng C12.5</t>
  </si>
  <si>
    <t>Bê tông nhựa nóng C8</t>
  </si>
  <si>
    <t xml:space="preserve">Bê tông tươi, mác 15 MPa </t>
  </si>
  <si>
    <t>Bê tông tươi, mác 20 MPa</t>
  </si>
  <si>
    <t xml:space="preserve">Bê tông tươi, mác 25 MPa </t>
  </si>
  <si>
    <t xml:space="preserve">Bê tông tươi, mác 30 MPa </t>
  </si>
  <si>
    <t>Bê tông tươi, mác 35 Mpa</t>
  </si>
  <si>
    <t>Bê tông tươi, mác 40 Mpa</t>
  </si>
  <si>
    <t>Bê tông tươi, mác 45 Mpa</t>
  </si>
  <si>
    <t>* Công ty TNHH Thành Giao (Phường Tân Phong, Quận 7, Thành phố Hồ Chí Minh) . Theo bảng giá ngày 23/3/2016</t>
  </si>
  <si>
    <t>Carboncor</t>
  </si>
  <si>
    <t>IV</t>
  </si>
  <si>
    <t>GỖ XẺ CÁC LOẠI:</t>
  </si>
  <si>
    <t>Gỗ ván cốp pha (tạp vườn)</t>
  </si>
  <si>
    <t>Gỗ dầu đỏ đố</t>
  </si>
  <si>
    <t>Gỗ dầu đỏ ván</t>
  </si>
  <si>
    <t>Gỗ chò chỉ đố</t>
  </si>
  <si>
    <t>Gỗ cà chất đố</t>
  </si>
  <si>
    <t xml:space="preserve">Gỗ thao lao đố </t>
  </si>
  <si>
    <t xml:space="preserve">Gỗ thao lao ván </t>
  </si>
  <si>
    <t>Gỗ căm xe đố</t>
  </si>
  <si>
    <t>Gỗ căm xe ván</t>
  </si>
  <si>
    <t>Cừ dài 5m  (đầu ngọn 4,0cm - 4,2cm)</t>
  </si>
  <si>
    <t>đ/cây</t>
  </si>
  <si>
    <t>Cừ dài 5m  (đầu ngọn 4,5cm - 5,0cm)</t>
  </si>
  <si>
    <t>Cừ dài 5m  (đầu ngọn 4,8cm - 5,0cm)</t>
  </si>
  <si>
    <t>Cừ dài 5m  (đầu ngọn 5,5cm - 6,5cm)</t>
  </si>
  <si>
    <t>V</t>
  </si>
  <si>
    <t>TRỤ, CỌC VÀ ỐNG CỐNG BÊ TÔNG LY TÂM CÁC LOẠI:</t>
  </si>
  <si>
    <t xml:space="preserve"> Trụ BTLT 14 A - PC 900</t>
  </si>
  <si>
    <t>đ/trụ</t>
  </si>
  <si>
    <t xml:space="preserve"> Trụ BTLT 14 A - PC 650</t>
  </si>
  <si>
    <t xml:space="preserve"> Trụ BTLT 12 A - PC 540</t>
  </si>
  <si>
    <t xml:space="preserve"> Trụ BTLT 10,5 A - PC 480</t>
  </si>
  <si>
    <t xml:space="preserve"> Trụ BTLT 10,5 A - PC 350</t>
  </si>
  <si>
    <t xml:space="preserve"> Trụ BTLT 8,5 B - PC 300</t>
  </si>
  <si>
    <t xml:space="preserve"> Trụ BTLT 8,5 A - PC 200</t>
  </si>
  <si>
    <t xml:space="preserve"> Đà cản 2,5m</t>
  </si>
  <si>
    <t>đ/cái</t>
  </si>
  <si>
    <t xml:space="preserve"> Đà cản 1,5m</t>
  </si>
  <si>
    <t xml:space="preserve"> Đà cản 1,2m</t>
  </si>
  <si>
    <t xml:space="preserve"> Móng neo  (0,4  x 1,2) m</t>
  </si>
  <si>
    <t xml:space="preserve"> Móng neo  (0,2  x 1,2) m</t>
  </si>
  <si>
    <t xml:space="preserve"> Móng neo  (0,5  x 1,5) m</t>
  </si>
  <si>
    <t>đ/m</t>
  </si>
  <si>
    <t xml:space="preserve"> - Cống bê tông ly tâm sản xuất theo tiêu chuẩn 22TCN 272 - 05</t>
  </si>
  <si>
    <t>Cống Φ 400mm, D = 50mm, M = 28Mpa</t>
  </si>
  <si>
    <t>Hoạt tải 65% HL93 (cống qua đường &gt; H10), cấp tải tiêu chuẩn</t>
  </si>
  <si>
    <t>Hoạt tải 100% HL93 (cống qua đường &gt; H30), cấp tải cao</t>
  </si>
  <si>
    <t>Cống Φ 600mm, D = 63mm, M = 28Mpa</t>
  </si>
  <si>
    <t>Cống Φ 800mm, D = 80mm, M = 28Mpa</t>
  </si>
  <si>
    <t>Cống Φ 1000mm, D = 100mm</t>
  </si>
  <si>
    <t>Cống Φ 1200mm, D = 120mm</t>
  </si>
  <si>
    <t>Cống Φ 1500mm, D = 150mm</t>
  </si>
  <si>
    <t>Gối cống các loại M200 :</t>
  </si>
  <si>
    <t>Gối cống fi 400</t>
  </si>
  <si>
    <t>Gối cống fi 600</t>
  </si>
  <si>
    <t>Gối cống fi 800</t>
  </si>
  <si>
    <t>Gối cống fi 1000</t>
  </si>
  <si>
    <t>Giăng cao su các loại:</t>
  </si>
  <si>
    <t>Giăng cao su cống fi 300</t>
  </si>
  <si>
    <t>đ/sợi</t>
  </si>
  <si>
    <t>Giăng cao su cống fi 400</t>
  </si>
  <si>
    <t>Giăng cao su cống fi 500</t>
  </si>
  <si>
    <t>Giăng cao su cống fi 600</t>
  </si>
  <si>
    <t>Giăng cao su cống fi 800</t>
  </si>
  <si>
    <t>Giăng cao su cống fi 1000</t>
  </si>
  <si>
    <t>Giăng cao su cống fi 1500</t>
  </si>
  <si>
    <t>Giăng cao su cống fi 1800</t>
  </si>
  <si>
    <t>Giăng cao su cống fi 2000</t>
  </si>
  <si>
    <t>Cọc bê tông DƯL 100 x 100, M400</t>
  </si>
  <si>
    <t>Cọc bê tông DƯL 120 x 120, M400</t>
  </si>
  <si>
    <t>Cọc bê tông DƯL 150 x 150, M400</t>
  </si>
  <si>
    <t>Cống Bê tông ly tâm</t>
  </si>
  <si>
    <t>Cống  BTLT D400 VH cấp tải thấp</t>
  </si>
  <si>
    <t>đ/md</t>
  </si>
  <si>
    <t>Cống  BTLT D400 H10 cấp tải tiêu chuẩn</t>
  </si>
  <si>
    <t>Cống  BTLT D400 H30 cấp tải cao</t>
  </si>
  <si>
    <t>Cống  BTLT D600 VH cấp tải thấp</t>
  </si>
  <si>
    <t>Cống  BTLT D600 H10 cấp tải tiêu chuẩn</t>
  </si>
  <si>
    <t>Cống  BTLT D600 H30 cấp tải cao</t>
  </si>
  <si>
    <t>Cống  BTLT D800 VH cấp tải thấp</t>
  </si>
  <si>
    <t>Cống  BTLT D800 H10 cấp tải tiêu chuẩn</t>
  </si>
  <si>
    <t>Cống  BTLT D800 H30 cấp tải cao</t>
  </si>
  <si>
    <t>Cống  BTLT D1000 VH cấp tải thấp</t>
  </si>
  <si>
    <t>Cống  BTLT D1000 H10 cấp tải tiêu chuẩn</t>
  </si>
  <si>
    <t>Cống  BTLT D1000 H30 cấp tải cao</t>
  </si>
  <si>
    <t>Cống  BTLT D1200 VH cấp tải thấp</t>
  </si>
  <si>
    <t>Cống  BTLT D1200 H10 cấp tải tiêu chuẩn</t>
  </si>
  <si>
    <t>Cống  BTLT D1200 H30 cấp tải cao</t>
  </si>
  <si>
    <t>Cống  BTLT D1500 VH cấp tải thấp</t>
  </si>
  <si>
    <t>Cống  BTLT D1500 H10 cấp tải tiêu chuẩn</t>
  </si>
  <si>
    <t>Cống  BTLT D1500 H30 cấp tải cao</t>
  </si>
  <si>
    <t>Gối cống</t>
  </si>
  <si>
    <t>Ron cống Bê tông</t>
  </si>
  <si>
    <t>Cọc bê tông DƯL, tiết diện 100x100, M400, chiều dài: 1,0 -4,0 mét</t>
  </si>
  <si>
    <t>Cọc bê tông DƯL, tiết diện 120x120, M400, chiều dài: 1,0 -5,0 mét</t>
  </si>
  <si>
    <t>Cọc bê tông DƯL, tiết diện 150x150, M400, chiều dài: 1,0 -6,0 mét</t>
  </si>
  <si>
    <t xml:space="preserve"> - Cống bê tông ly tâm sản xuất theo tiêu chuẩn TCCS01:2011</t>
  </si>
  <si>
    <t>Cống Φ 600mm, D = 50mm, M = 28Mpa</t>
  </si>
  <si>
    <t>Cống Φ 1000mm, D = 100mm, M = 28Mpa</t>
  </si>
  <si>
    <t>Cống Φ 1200mm, D = 120mm, M = 28Mpa</t>
  </si>
  <si>
    <t>Cống Φ 1500mm, D = 130mm, M = 28Mpa</t>
  </si>
  <si>
    <t>VI</t>
  </si>
  <si>
    <t>XI MĂNG :</t>
  </si>
  <si>
    <t xml:space="preserve"> Xi măng ACIFA PCB 30 (bao 50kg)</t>
  </si>
  <si>
    <t>đ/bao</t>
  </si>
  <si>
    <t xml:space="preserve"> Xi măng ACIFA PCB 40 (bao 50kg)</t>
  </si>
  <si>
    <t>Xi măng trắng  (1 bao = 40kg)</t>
  </si>
  <si>
    <t>Xi măng Holcim PCB 40 (bao 50kg)</t>
  </si>
  <si>
    <t>Xi măng Vicem Hà Tiên PCB 40 (bao 50kg)</t>
  </si>
  <si>
    <t>Xi măng Vicem Hà Tiên đa dụng (bao 50kg)</t>
  </si>
  <si>
    <t>Xi măng Vicem Hà Tiên xây tô (bao 50kg, đường thủy)</t>
  </si>
  <si>
    <t>Xi măng Công Thanh PCB40 (bao 50kg)</t>
  </si>
  <si>
    <t>VII</t>
  </si>
  <si>
    <t>THÉP CÁC LOẠI :</t>
  </si>
  <si>
    <t>Thép cuộn fi 6mm CB240T</t>
  </si>
  <si>
    <t>đ/kg</t>
  </si>
  <si>
    <t xml:space="preserve">Thép cuộn fi 8mm CB240T </t>
  </si>
  <si>
    <t xml:space="preserve">Thép cuộn fi 10mm CB240T </t>
  </si>
  <si>
    <t>Thép cây vằn  fi 10 SD390</t>
  </si>
  <si>
    <t xml:space="preserve">Thép cây vằn fi 12-32  SD390 </t>
  </si>
  <si>
    <t xml:space="preserve">Thép cây vằn fi 36-40 SD390 </t>
  </si>
  <si>
    <t>Thép cây vằn  fi 10 Grade 60</t>
  </si>
  <si>
    <t xml:space="preserve">Thép cây vằn fi 12-32  Grade 60 </t>
  </si>
  <si>
    <t xml:space="preserve">Thép cây vằn fi 36-40  Grade 60 </t>
  </si>
  <si>
    <t>Thép cây vằn  fi 10 CB500V</t>
  </si>
  <si>
    <t>Thép cây vằn fi 12-32  CB500V</t>
  </si>
  <si>
    <t>Thép cây vằn fi 36-40 CB500V</t>
  </si>
  <si>
    <t>Thép cuộn  fi 6 CT3</t>
  </si>
  <si>
    <t>Thép cuộn  fi 8 CT3</t>
  </si>
  <si>
    <t>Thép thanh vằn  fi 10  SD295A</t>
  </si>
  <si>
    <t>Thép thanh vằn  fi 12 - 25 CB300</t>
  </si>
  <si>
    <t xml:space="preserve"> - Tole tấm các loại:</t>
  </si>
  <si>
    <t xml:space="preserve"> 3 li x 1,5m x 6m (SS400 - Trung Quốc)</t>
  </si>
  <si>
    <t xml:space="preserve"> 4 li x 1,5m x 6m (SS400 - Trung Quốc)</t>
  </si>
  <si>
    <t xml:space="preserve"> 5 li x 1,5m x 6m (SS400 - Trung Quốc)</t>
  </si>
  <si>
    <t xml:space="preserve"> 6 li x 1,5m x 6m (SS400 - Trung Quốc)</t>
  </si>
  <si>
    <t xml:space="preserve"> 8 li x 1,5m x 6m (SS400 - Trung Quốc)</t>
  </si>
  <si>
    <t xml:space="preserve"> 10 li x 1,5m x 6m (SS400 - Trung Quốc)</t>
  </si>
  <si>
    <t xml:space="preserve"> - Thép hình chữ I:</t>
  </si>
  <si>
    <t xml:space="preserve"> Thép hình I 100 dài 6m (SS400 - Trung Quốc)</t>
  </si>
  <si>
    <t xml:space="preserve"> Thép hình I 120 dài 6m (SS400 - Trung Quốc)</t>
  </si>
  <si>
    <t xml:space="preserve"> Thép hình I 150 dài 6m (SS400 - Trung Quốc)</t>
  </si>
  <si>
    <t xml:space="preserve"> Thép hình I 200 dài 6m (SS400 - Trung Quốc)</t>
  </si>
  <si>
    <t xml:space="preserve"> Thép hình I 250 dài 6m (SS400 - Trung Quốc)</t>
  </si>
  <si>
    <t xml:space="preserve"> Thép hình I 300 dài 6m (SS400 - Trung Quốc)</t>
  </si>
  <si>
    <t xml:space="preserve"> - Thép hộp các loại (cây dài 6m):</t>
  </si>
  <si>
    <t>Thép hộp 13 x 26 x 1,2 (Trung Quốc)</t>
  </si>
  <si>
    <t>Thép hộp 20 x 40 x 1,2 (Trung Quốc)</t>
  </si>
  <si>
    <t>Thép hộp 25 x 50 x 1,2 (Trung Quốc)</t>
  </si>
  <si>
    <t>Thép hộp 30 x 60 x 1,2 (Trung Quốc)</t>
  </si>
  <si>
    <t>Thép hộp 40 x 80 x 1,2 (Trung Quốc)</t>
  </si>
  <si>
    <t>Thép hộp 50 x 100 x 1,4 (Trung Quốc)</t>
  </si>
  <si>
    <t xml:space="preserve"> - Thép ống kẽm mạ một mặt (ống dài 6m):</t>
  </si>
  <si>
    <t xml:space="preserve">Ống kẽm fi 21 x 1,4 li </t>
  </si>
  <si>
    <t>đ/ống</t>
  </si>
  <si>
    <t>Ống kẽm fi 27 x 1,4 li</t>
  </si>
  <si>
    <t>Ống kẽm fi 34 x 1,4 li</t>
  </si>
  <si>
    <t>Ống kẽm fi 49 x 1,4 li</t>
  </si>
  <si>
    <t>Ống kẽm fi 60 x 1,4 li</t>
  </si>
  <si>
    <t>Ống kẽm fi 76 x 1,4 li</t>
  </si>
  <si>
    <t>Ống kẽm fi 90 x 1,4 li</t>
  </si>
  <si>
    <t>Ống kẽm fi 114 x 1,4 li</t>
  </si>
  <si>
    <t xml:space="preserve"> - Thép ống kẽm mạ kẽm NQ hai mặt (ống dài 6m):</t>
  </si>
  <si>
    <t xml:space="preserve"> - Ống thép mạ kẽm (BS 1387 hoặc ASTM A53)</t>
  </si>
  <si>
    <t xml:space="preserve">Ống thép mạ kẽm nhúng nóng dày 1.6mm-1.9mm. Đường kính từ DN10- DN100 </t>
  </si>
  <si>
    <t xml:space="preserve">Ống thép mạ kẽm nhúng nóng dày 2.0mm-5.4mm. Đường kính từ DN10 - DN100 </t>
  </si>
  <si>
    <t xml:space="preserve">Ống thép mạ kẽm nhúng nóng dày trên 5.4mmmm. Đường kính từ DN10 - DN100 </t>
  </si>
  <si>
    <t xml:space="preserve">Ống thép mạ kẽm nhúng nóng dày 3.4mm - 8.2mm. Đường kính từ DN125 - DN200 </t>
  </si>
  <si>
    <t xml:space="preserve"> - Ống tôn kẽm (tròn, vuông, hộp) mã hiệu BS 1387 hoặc ASTM A500</t>
  </si>
  <si>
    <t>Thép cuộn Φ6 mác thép CB240-T/ CB300-T/ SWRM12/ CT3</t>
  </si>
  <si>
    <t>Thép cuộn Φ8 mác thép CB240-T/ CB300-T/ SWRM12/ CT6</t>
  </si>
  <si>
    <t>Thép cuộn Φ10 mác thép CB240-T/ CB300-T/ SWRM12/ CT8</t>
  </si>
  <si>
    <t>Thép thanh vằn D10 mác CB300-V/SD295A</t>
  </si>
  <si>
    <t>Thép thanh vằn D10 mác CB400-V/SD390/G60</t>
  </si>
  <si>
    <t>VIII</t>
  </si>
  <si>
    <t xml:space="preserve">SẢN PHẨM HỆ GIÀN VÀ XÀ GỒ THÉP MẠ </t>
  </si>
  <si>
    <t xml:space="preserve">  - Xà gồ, thanh dàn, vì kèo thép mạ hợp kim nhôm kẽm cường độ cao - BLUESCOPELYSAGHT</t>
  </si>
  <si>
    <t>Lysaght Smartruss C4075, dày 0.75mm TCT (Bề dày sau mạ 0.8mm)</t>
  </si>
  <si>
    <t>Lysaght Smartruss C7560, dày 0.66mm TCT (Bề dày sau mạ 0.66mm)</t>
  </si>
  <si>
    <t>Lysaght Smartruss C7575, dày 0.81mm TCT (Bề dày sau mạ 0.81mm)</t>
  </si>
  <si>
    <t>Lysaght Smartruss C7510, dày 1.06mm TCT (Bề dày sau mạ 1.06mm)</t>
  </si>
  <si>
    <t>Lysaght Smartruss C10075, dày 0.81mm TCT (Bề dày sau mạ 0.81mm)</t>
  </si>
  <si>
    <t>Lysaght Smartruss C10010, dày 1.06mm TCT (Bề dày sau mạ 1.06mm)</t>
  </si>
  <si>
    <t xml:space="preserve">  - Thanh rui mè thép mạ hợp kim nhôm kẽm cường độ cao BLUESCOPELYSAGHT</t>
  </si>
  <si>
    <t>Lysaght Smartruss TS4048, dày 0.53mmTCT (Bề dày sau mạ 0.53mm)</t>
  </si>
  <si>
    <t>Lysaght Smartruss TS4060, dày 0.65mmTCT (Bề dày sau mạ 0.65mm)</t>
  </si>
  <si>
    <t>Lysaght Smartruss TS6175, dày 0.8mmTCT (Bề dày sau mạ 0.8mm)</t>
  </si>
  <si>
    <t>Lysaght Smartruss TS6110,  dày 1.05mmTCT (Bề dày sau mạ 1.05mm)</t>
  </si>
  <si>
    <t xml:space="preserve"> - Phụ kiện đi kèm thép mạ hợp kim nhôm kẽm BLUESCOPELYSAGHT</t>
  </si>
  <si>
    <t>Vít liên kết ITW BTEK 12-14x20</t>
  </si>
  <si>
    <t>đ/con</t>
  </si>
  <si>
    <t>Vít liên kết TRUSSTITE (d=6mm)</t>
  </si>
  <si>
    <t>Bulon đạn M12 và ty răng 8.8 - M12x150mm, 2 long đền, 2 tán</t>
  </si>
  <si>
    <t>Bát liên kết đỉnh kèo mạ nhôm kẽm, dày 1.0mm - BM3</t>
  </si>
  <si>
    <t>Bát liên kết kèo và wall plate mạ kẽm, dày 1.9mm - BM1</t>
  </si>
  <si>
    <t>Máng xối thung lũng, Colorbond, dày 0,48mm APT,khổ 300mm, mạ màu (dài 6m)</t>
  </si>
  <si>
    <t>Máng xối thung lũng, thép Zincalume,khổ 300mm (dài 6m)</t>
  </si>
  <si>
    <t>C &amp; Z 10012 (dày 1,2mm), trọng lượng 2,09kg/m</t>
  </si>
  <si>
    <t>C &amp; Z 10015 (dày 1,5mm), trọng lượng 2,61kg/m</t>
  </si>
  <si>
    <t>C &amp; Z 10019 (dày 1,9mm), trọng lượng 3,31kg/m</t>
  </si>
  <si>
    <t>C &amp; Z 15012 (dày 1,2mm), trọng lượng 2,87kg/m</t>
  </si>
  <si>
    <t>C &amp; Z 15015 (dày 1,5mm), trọng lượng 3,58kg/m</t>
  </si>
  <si>
    <t>C &amp; Z 15019 (dày 1,9mm), trọng lượng 4,54kg/m</t>
  </si>
  <si>
    <t>C &amp; Z 20015 (dày 1,5mm), trọng lượng 4,56kg/m</t>
  </si>
  <si>
    <t>C &amp; Z 20019 (dày 1,9mm), trọng lượng 5,77kg/m</t>
  </si>
  <si>
    <t>C &amp; Z 20024 (dày 2,4mm), trọng lượng 7,29kg/m</t>
  </si>
  <si>
    <t>C &amp; Z 25019 (dày 1,9mm), trọng lượng 6,54kg/m</t>
  </si>
  <si>
    <t>C &amp; Z 25024 (dày 2,4mm), trọng lượng 8,26kg/m</t>
  </si>
  <si>
    <t>C &amp; Z 40024 (dày 2,4mm), trọng lượng 13,41kg/m</t>
  </si>
  <si>
    <t xml:space="preserve">Thanh giằng xà gồ 51 x 28 x 1,5mm (chưa tính bulông) </t>
  </si>
  <si>
    <t xml:space="preserve">Bu lông cho xà gồ M12 - G4.6 </t>
  </si>
  <si>
    <t>đ/bộ</t>
  </si>
  <si>
    <t>IX</t>
  </si>
  <si>
    <t xml:space="preserve">TOLE CÁC LOẠI </t>
  </si>
  <si>
    <t xml:space="preserve">   Tole LYSAGHT TRIMDEK OPTIMA - rộng 1015mm: </t>
  </si>
  <si>
    <t>Lysaght Trimdek 0.45mmTCTx1015mm-Zincalume-G550AZ150</t>
  </si>
  <si>
    <t xml:space="preserve">   Tole  LYSAGHT KLIP-LOK: </t>
  </si>
  <si>
    <t>Tôn lạnh Lysaght Klip-Lok 406mm, 3 sóng- chiều cao sóng 41mm, thép Zincalume AZ150, dày 0,45mm, liên kết bằng đai KL65</t>
  </si>
  <si>
    <t>Tôn lạnh màu Lysaght Klip-Lok 406mm, 3 sóng- chiều cao sóng 41mm, thép Clean ColorbondXRW AZ150, dày 0,48mm, liên kết bằng đai KL65</t>
  </si>
  <si>
    <t>Đai kẹp mạ kẽm KL65</t>
  </si>
  <si>
    <t>Vít gắn đai Klip-Lok vào xà thép &lt; 5mm</t>
  </si>
  <si>
    <t>X</t>
  </si>
  <si>
    <t>TẤM TRẦN CÁC LOẠI</t>
  </si>
  <si>
    <t>Hệ giàn thép Smartruss-Bluscope lysaght cho mái ngói</t>
  </si>
  <si>
    <t>- Vật tư hệ vì kèo thép 2 lớp (bảo hành 25 năm) chưa tính công lắp đặt ngói</t>
  </si>
  <si>
    <t>Hệ giàn thép Smartruss-Bluscope lysaght cho mái đổ bêtông</t>
  </si>
  <si>
    <t>- Vật tư hệ vì kèo thép mái bêtông (bảo hành 25 năm), chưa tính công lắp đặt ngói</t>
  </si>
  <si>
    <t>Hệ giàn thép Smartruss-Bluscope lysaght cho mái lợp tôn, chưa tính công lắp đặt tôn</t>
  </si>
  <si>
    <t>- Khung treo trần Ceidek -C43x27-0.05mmTCT (Zincalume) - dài 3 mét/cây</t>
  </si>
  <si>
    <t>- Dây treo trần đk 4mm - dài 3m/cây</t>
  </si>
  <si>
    <t>- Tăng đơ cho dây treo đk 4mm</t>
  </si>
  <si>
    <t>cái</t>
  </si>
  <si>
    <t>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t>
  </si>
  <si>
    <t>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t>
  </si>
  <si>
    <t>Trần khung chìm LÊ TRẦN MacroTEK S400 mạ nhôm kẽm, tấm thạch cao tiêu chuẩn 9,5mm
- Thanh chính LÊ TRẦN MacroTEK S400_(4000x35x14x0,4mm) @ 800mm
- Thanh phụ LÊ TRẦN MacroTEK S400_(4000x35x14x0,4mm) @ 406mm
- Thanh góc LÊ TRẦN MacroTEK W300_(21x21x4000x0,32mm)</t>
  </si>
  <si>
    <t>Trần khung chìm LÊ TRẦN ChannelTEK Pro, tấm thạch cao tiêu chuẩn 9,5mm
- Thanh chính LÊ TRẦN ChannelTEK Pro_Thanh xương cá (3660x20x30x0,6mm)@1000mm
- Thanh phụ LÊ TRẦN MacroTEK S450(4000x35x14x0,41mm)@407mm
- Thanh góc LÊ TRẦN MacroTEK W300(4000x21x21x0,32mm)</t>
  </si>
  <si>
    <t>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t>
  </si>
  <si>
    <t>XI</t>
  </si>
  <si>
    <t>GẠCH, NGÓI CÁC LOẠI:</t>
  </si>
  <si>
    <t>Gạch lát vỉa hè:</t>
  </si>
  <si>
    <t>Quy cách (400 x 400)mm, dày 30mm (+/-1.3) màu đỏ, vàng, tím, xanh lá cây, xám điểm hồng, xám xanh</t>
  </si>
  <si>
    <t>Quy cách (400 x 400)mm, dày 30mm (+/-1.3) màu xám, xám tro</t>
  </si>
  <si>
    <t>Gạch địa phương :</t>
  </si>
  <si>
    <t xml:space="preserve"> * Cơ sở gạch huyện Châu Thành (cách cầu Chắc Cà Đao 2 km, giá bán tại lò)</t>
  </si>
  <si>
    <t>Gạch ống loại 1 (7,5 x 7,5 x 17,5)</t>
  </si>
  <si>
    <t>đ/viên</t>
  </si>
  <si>
    <t>Gạch ống loại 2 (7,5 x 7,5 x 17,5)</t>
  </si>
  <si>
    <t>Gạch thẻ loại 1 (3,5 x 7,5 x 17,5)</t>
  </si>
  <si>
    <t>Gạch thẻ loại 2 (3,5 x 7,5 x 17,5)</t>
  </si>
  <si>
    <t xml:space="preserve"> * Cơ sở gạch huyện Châu Phú (cách thị trấn Cái Dầu 2,5 km)</t>
  </si>
  <si>
    <t xml:space="preserve"> * Cơ sở gạch huyện Chợ Mới (cách thị trấn Chợ Mới 5 km)</t>
  </si>
  <si>
    <t xml:space="preserve"> * Cơ sở gạch huyện Phú Tân (cách thị trấn Phú Tân 3 km)</t>
  </si>
  <si>
    <t xml:space="preserve"> Gạch ống 9 x 19</t>
  </si>
  <si>
    <t xml:space="preserve"> Gạch thẻ 9 x 19</t>
  </si>
  <si>
    <t xml:space="preserve"> Gạch cẩn (hóa chất)</t>
  </si>
  <si>
    <t xml:space="preserve"> Gạch trang trí (Hauydi)</t>
  </si>
  <si>
    <t xml:space="preserve"> Ngói âm (hoá chất)</t>
  </si>
  <si>
    <t xml:space="preserve"> Ngói dương (hoá chất)</t>
  </si>
  <si>
    <t xml:space="preserve"> Ngói diềm âm (hóa chất)</t>
  </si>
  <si>
    <t xml:space="preserve"> Ngói diềm dương (hóa chất)</t>
  </si>
  <si>
    <t xml:space="preserve"> Ngói mũi hài (hoá chất)</t>
  </si>
  <si>
    <t xml:space="preserve"> Ngói vẫy rồng (hoá chất)</t>
  </si>
  <si>
    <t xml:space="preserve"> Ngói sắp nóc (hoá chất)</t>
  </si>
  <si>
    <t xml:space="preserve"> Ngói sắp nóc nhỏ (hoá chất)</t>
  </si>
  <si>
    <t>Gạch ống 8 x 18</t>
  </si>
  <si>
    <t>Gạch thẻ 8 x 18</t>
  </si>
  <si>
    <t>Ngói nóc</t>
  </si>
  <si>
    <t>Ngói rìa</t>
  </si>
  <si>
    <t>Ngói LAMA ROMAN</t>
  </si>
  <si>
    <t>Ngói chính</t>
  </si>
  <si>
    <t>- Nhóm một màu: L101, L102, L103, L104</t>
  </si>
  <si>
    <t>- Nhóm hai màu: L201, L203, L204 và Nhóm màu đặc biệt: L105, L226</t>
  </si>
  <si>
    <t>Ngói cuối rìa</t>
  </si>
  <si>
    <t>Ngói cuối nóc</t>
  </si>
  <si>
    <t>Ngói cuối mái</t>
  </si>
  <si>
    <t>Thiết bị thông gió năng lượng mặt trời ZEPHER (bao gồm phí vận chuyển và lắp đặt tại khu vực An Giang)</t>
  </si>
  <si>
    <t>Zepher 30  (30 watt)</t>
  </si>
  <si>
    <t>Zepher 50  (50 watt)</t>
  </si>
  <si>
    <t>Zepher 30 + Phụ kiện lắp đặt Zepher dùng với mái ngói Lama Roma</t>
  </si>
  <si>
    <t>Zepher 50 + Phụ kiện lắp đặt Zepher dùng với mái vói Lama Roman</t>
  </si>
  <si>
    <t>Ngói rìa đuôi</t>
  </si>
  <si>
    <t>Ngói góc vuông</t>
  </si>
  <si>
    <t>Ngói chạc 3</t>
  </si>
  <si>
    <t>Ngói chạc 4</t>
  </si>
  <si>
    <t>Gạch Ceramic :</t>
  </si>
  <si>
    <t xml:space="preserve"> Loại A</t>
  </si>
  <si>
    <t>đ/thùng</t>
  </si>
  <si>
    <t xml:space="preserve"> Loại A A</t>
  </si>
  <si>
    <t>Gạch 30 x 45cm in kỹ thuật số - mài cạnh (07 viên/thùng/0,95m2)</t>
  </si>
  <si>
    <t>Gạch 30 x 45cm in kỹ thuật số - mài cạnh: đặc biệt (07 viên/thùng/0,95m2)</t>
  </si>
  <si>
    <t>Gạch men 25cm x 25cm, loại I</t>
  </si>
  <si>
    <t>Gạch men 25cm x 40cm, loại I màu nhạt</t>
  </si>
  <si>
    <t>Gạch men 30cm x 45cm, loại I màu nhạt</t>
  </si>
  <si>
    <t>Gạch Thạch anh (Granite nhân tạo) 30cm x 30cm, 11 viên/thùng</t>
  </si>
  <si>
    <t xml:space="preserve"> - Màu nhạt</t>
  </si>
  <si>
    <t xml:space="preserve"> - Màu đậm</t>
  </si>
  <si>
    <t>Gạch Thạch anh (Granite nhân tạo) 40cm x 40cm,</t>
  </si>
  <si>
    <t>Gạch Thạch anh (Granite nhân tạo) 60cm x 60cm
 - Màu nhạt</t>
  </si>
  <si>
    <t>Gạch Thạch anh bóng kiếng 60cm x 60cm</t>
  </si>
  <si>
    <t>Gạch thạch anh bóng kiếng 80cm x 80cm</t>
  </si>
  <si>
    <t>Gạch Thạch anh bóng kiếng 100cm x 100cm</t>
  </si>
  <si>
    <t>Gạch viền 7cm x 30cm. Loại 1. Mã số V50: 443, 244, 095, 344, 746, 316, 318, 320, 265,…</t>
  </si>
  <si>
    <t>Gạch viền 1cm x 30cm. Loại 1. Mã số TN: 6832,…</t>
  </si>
  <si>
    <t>đ/hộp</t>
  </si>
  <si>
    <t>Gạch men  50cm x 50cm (4 viên/hộp). Loại 1, Mã số TASA:  5001, 5002, 5004, 5008, 5010, 5011, 2015</t>
  </si>
  <si>
    <t>Gạch xây không nung:</t>
  </si>
  <si>
    <t>Gạch  90 x 190 x 390mm</t>
  </si>
  <si>
    <t>Gạch  90 x 190 x 190mm</t>
  </si>
  <si>
    <t>Gạch  45 x 190 x 90mm</t>
  </si>
  <si>
    <t>Gạch 190 x 190 x 390mm</t>
  </si>
  <si>
    <t xml:space="preserve">Gạch 100 x 190 x 390mm </t>
  </si>
  <si>
    <t xml:space="preserve">Gạch 100 x 190 x 200mm </t>
  </si>
  <si>
    <t xml:space="preserve">Gạch 50 x 100 x 200mm </t>
  </si>
  <si>
    <t xml:space="preserve">Gạch blốc Bêtông bọt HIDICO-CLC QCVN 16:2014
 8x20x60cm đến 20x20x60cm </t>
  </si>
  <si>
    <t>Vữa xây HIDICO-BTN TCVN 9028:2011 (bao 50 kg)</t>
  </si>
  <si>
    <t>XII</t>
  </si>
  <si>
    <t>THIẾT BỊ VỆ SINH:</t>
  </si>
  <si>
    <t xml:space="preserve">       </t>
  </si>
  <si>
    <t>* Sứ TOTO - JAPAN (CTy TNHH Thuận Phát, số 327/5-327/1 Hùng Vương, Tp.LX). Theo bảng giá ngày 01/3/2015</t>
  </si>
  <si>
    <t>Bàn cầu 2 khối TOTO CS300DT3Y1</t>
  </si>
  <si>
    <t>Bàn cầu 2 khối TOTO CS300DRT2</t>
  </si>
  <si>
    <t>Bàn cầu 2 khối TOTO CS320DRT3</t>
  </si>
  <si>
    <t>Bàn cầu 2 khối TOTO CS945DNT3</t>
  </si>
  <si>
    <t>Chậu treo tường TOTO LT300C</t>
  </si>
  <si>
    <t>Chậu treo tường TOTO LT210CT</t>
  </si>
  <si>
    <t>Sen tắm nóng lạnh HELIO, bát sen mạ (TX432SHBR)</t>
  </si>
  <si>
    <t xml:space="preserve">Tiểu nam treo tường UT57 (bao gồm nối tường) </t>
  </si>
  <si>
    <t>Tiểu nam treo tường UT904 (bao gồm nối tường)</t>
  </si>
  <si>
    <t>* Sứ vệ sinh AMERICAN STANDARD (màu trắng): Cty TNHH TM Hiển Nga - Tổng đại lý phân phối tại An Giang. Theo bảng giá ngày 01/11/2016</t>
  </si>
  <si>
    <t>Bàn cầu hai khối CARAVELLE Plus, mã số VF-2321</t>
  </si>
  <si>
    <t>Bàn cầu hai khối SUPER CARAVELLE, mã số VF-2322</t>
  </si>
  <si>
    <t>Bàn cầu hai khối WINSTON Plus, mã số VF-2396</t>
  </si>
  <si>
    <t>Bàn cầu hai khối WINSTON, mã số VF-2395</t>
  </si>
  <si>
    <t>Lavabo đặt bàn Aqualyn 520mm, mã số VF-0476</t>
  </si>
  <si>
    <t>Lavabo đặt dưới bàn Ovalyn 535mm, mã số VF-0470</t>
  </si>
  <si>
    <t>Lavabo treo tường Casablanca 500mm, mã số VF-0969</t>
  </si>
  <si>
    <t>Lavabo treo tường Gala 465mm, mã số VF-0940</t>
  </si>
  <si>
    <t>Chân treo Lavabo Casablanca, mã số VF-0912</t>
  </si>
  <si>
    <t>Bồn tiểu nam Mini-Washbrook, mã số VF-6401</t>
  </si>
  <si>
    <t>Bồn tiểu nam Wall, mã số VF-0412</t>
  </si>
  <si>
    <t>Bồn tiểu nam Eco, mã số VF-0414</t>
  </si>
  <si>
    <t xml:space="preserve"> * Vòi, sen tắm VALTA các loại : Cty TNHH TM Hiển Nga - Tổng đại lý phân phối tại An Giang. Theo bảng giá ngày 01/11/2016</t>
  </si>
  <si>
    <t>Vòi sen tắm nóng lạnh TD-2130S2 (bao gồm dây, gá, tay sen inox)</t>
  </si>
  <si>
    <t>Vòi sen tắm lạnh TD-263C T1.1 (bao gồm dây, gá, tay sen inox T1.1)</t>
  </si>
  <si>
    <t>Bộ xả tiểu nam TD-3142</t>
  </si>
  <si>
    <t>Vòi hồ TD-202C</t>
  </si>
  <si>
    <t>Vòi xịt TD-401</t>
  </si>
  <si>
    <t>Xiphon (Bộ xả lavabo) TD-306</t>
  </si>
  <si>
    <t>Bộ tay sen Inox T3</t>
  </si>
  <si>
    <t>Bộ tay sen nhựa T2</t>
  </si>
  <si>
    <t>Vòi Lavabo nóng lạnh TD-2111 (bao gồm dây cấp)</t>
  </si>
  <si>
    <t>Vòi Lavabo lạnh TD-705 (bao gồm dây cấp)</t>
  </si>
  <si>
    <t>Bộ cầu 2 khối (màu trắng)</t>
  </si>
  <si>
    <t>Cầu trẻ em Era (nắp nhựa, phụ kiện gạt)</t>
  </si>
  <si>
    <t>Cầu Ruby (nắp nhựa, phụ kiện gạt)</t>
  </si>
  <si>
    <t>Cầu King (nắp nhựa, phụ kiện 2 nhấn)</t>
  </si>
  <si>
    <t>Bộ cầu 1 khối (màu trắng)</t>
  </si>
  <si>
    <t>Bộ cầu Gold-N, gồm nắp nhựa rơi êm, phụ kiện 2 nhấn, Cleanmax</t>
  </si>
  <si>
    <t>Thân cầu và thùng nước rời (màu trắng)</t>
  </si>
  <si>
    <t>Cầu thấp 04 (CT0400)</t>
  </si>
  <si>
    <t>Thùng treo 06 (thùng nước + phụ kiện, TT06PKHA)</t>
  </si>
  <si>
    <t>Chậu và chân chậu (màu trắng)</t>
  </si>
  <si>
    <t>Chậu tròn 04 - lỗ lớn</t>
  </si>
  <si>
    <t>Chậu tròn 35 - lỗ lớn</t>
  </si>
  <si>
    <t>Bồn tiểu (màu trắng)</t>
  </si>
  <si>
    <t>Bồn tiểu 01</t>
  </si>
  <si>
    <t>Bồn tiểu 15</t>
  </si>
  <si>
    <t>Bàn cầu hai khối C-117VA</t>
  </si>
  <si>
    <t>Bàn cầu hai khối C-306VT</t>
  </si>
  <si>
    <t>Bàn cầu hai khối C-504VTN</t>
  </si>
  <si>
    <t>Lavabo treo tường + âm bàn L-282V</t>
  </si>
  <si>
    <t>Lavabo treo tường + âm bàn L-284V</t>
  </si>
  <si>
    <t>Lavabo treo tường + âm bàn L-2395V</t>
  </si>
  <si>
    <t>Bồn tiểu U-116V</t>
  </si>
  <si>
    <t>Bồn tiểu U-117V</t>
  </si>
  <si>
    <t>Vòi lạnh Lavabo 13B</t>
  </si>
  <si>
    <t>Vòi lạnh Lavabo 11B</t>
  </si>
  <si>
    <t>XIII</t>
  </si>
  <si>
    <t xml:space="preserve">VẢI ĐỊA KỸ THUẬT VÀ RỌ ĐÁ : </t>
  </si>
  <si>
    <t xml:space="preserve"> Vải địa kỹ thuật không dệt, sợi dài liên tục, 100% PP chính phẩm, ổn định hóa UV; nơi sản xuất : Malaysia</t>
  </si>
  <si>
    <t>Polyfelt TS 20 (4m x 250m)</t>
  </si>
  <si>
    <t>Polyfelt TS 30 (4m x 225m)</t>
  </si>
  <si>
    <t>Polyfelt TS 40 (4m x 200m)</t>
  </si>
  <si>
    <t>Polyfelt TS 50 (4m x 175m)</t>
  </si>
  <si>
    <t>Polyfelt TS 60 (4m x 135m)</t>
  </si>
  <si>
    <t>Polyfelt TS 65 (4m x 125m)</t>
  </si>
  <si>
    <t>Polyfelt TS 70 (4m x 100m)</t>
  </si>
  <si>
    <t>Polyfelt TS 80 (4m x 90m)</t>
  </si>
  <si>
    <t>Rọ đá bọc nhựa PVC: Thép mạ kẽm trung bình &gt;50g/m2 (TCVN 2053:1993)</t>
  </si>
  <si>
    <t xml:space="preserve">  - Rọ và thảm đá bọc nhựa PVC, loại P8 (8 x 10)cm: </t>
  </si>
  <si>
    <t>Dây đan 2,2 - 3,2mm; dây viền 2,7 - 3,7mm</t>
  </si>
  <si>
    <t>Dây đan 2,4 - 3mm; dây viền 2,7 - 3,7mm</t>
  </si>
  <si>
    <t>Dây đan 2,7 - 3,7mm; dây viền 3,4 - 4,4mm</t>
  </si>
  <si>
    <t xml:space="preserve">  - Rọ và thảm đá bọc nhựa PVC, loại P10 (10 x 12)cm: </t>
  </si>
  <si>
    <t>Dây đan 2,4 - 3,4mm; dây viền 2,7 - 3,7mm</t>
  </si>
  <si>
    <t>XIV</t>
  </si>
  <si>
    <t>BAO BÌ SINH THÁI (Giải pháp thiết lập kè chống xói lở, bảo vệ bờ) :</t>
  </si>
  <si>
    <t>Bao bì sinh thái, màu đen, bao gồm phụ kiện, kích thước: 120 x 40 x 20cm</t>
  </si>
  <si>
    <t>XV</t>
  </si>
  <si>
    <t>MÁY LẠNH CÁC LOẠI : không bao gồm vật tư và nhân công lắp đặt</t>
  </si>
  <si>
    <t>Công suất: 1HP</t>
  </si>
  <si>
    <t>Công suất: 1,5HP</t>
  </si>
  <si>
    <t>Công suất: 2HP</t>
  </si>
  <si>
    <t>Công suất: 2,5HP</t>
  </si>
  <si>
    <t>XVI</t>
  </si>
  <si>
    <t>QUẠT ĐIỆN CÁC LOẠI :</t>
  </si>
  <si>
    <t>* Cty Cơ điện lạnh và Xây dựng An Phát (số 327/2 Hùng Vương, phường Mỹ Long, Tp. Long Xuyên, An Giang), giao hàng tại Cty. Theo bảng giá ngày 12/6/2016</t>
  </si>
  <si>
    <t>Quạt trần Panasonic, model: F-60MZ2 (quạt trần hợp số nổi)</t>
  </si>
  <si>
    <t>Quạt trần Hậu Phong, mã QC308 (không hộp số)</t>
  </si>
  <si>
    <t>Quạt hút gắn tường Nedfon, model: APB 15-3-B (Lưu lượng 260m3/h)</t>
  </si>
  <si>
    <t>Quạt hút gắn trần Nedfon, model: BPT 10-13-H20 (Lưu lượng 120m3/h)</t>
  </si>
  <si>
    <t>Quạt hút gắn tường Panasonic loại 01 chiều không không màn che, model: FV-20AU9 (Lưu lượng 580m3/h)</t>
  </si>
  <si>
    <t>XVII</t>
  </si>
  <si>
    <t>SƠN TƯỜNG, BỘT TRÉT TƯỜNG CÁC LOẠI :</t>
  </si>
  <si>
    <t>* Sơn BOSS&amp;SPRING các loại: Cty TNHH TM Hiển Nga - Tổng đại lý phân phối tại An Giang. Theo bảng giá ngày 20/10/2016</t>
  </si>
  <si>
    <t>đ/lon</t>
  </si>
  <si>
    <t xml:space="preserve"> * Sơn USA PAINT : Cty TNHH XD Kiên Phú Thịnh (đường Hoàng Diệu, P.Châu Phú B, Tp. Châu Đốc, AG). Giao hàng tại công ty, chưa bao gồm phí vận chuyển, bốc xếp. Theo bảng giá ngày 01/01/2016</t>
  </si>
  <si>
    <t xml:space="preserve"> * Sơn USA PAINT : Cty TNHH MTV Trương Nguyễn Phát (số 21, đường số 4, TTTM Nam Châu Đốc, ấp Mỹ Chánh, xã Mỹ Đức, huyện Châu Phú, AG). Giá bán tại công ty, giao hàng trong phạm vi 10km. Theo bảng giá ngày 01/01/2016</t>
  </si>
  <si>
    <t>Sơn nước ngoại thất JONY (thùng 18 lít)</t>
  </si>
  <si>
    <t>Sơn nước nội thất AROMA (thùng 18 lít)</t>
  </si>
  <si>
    <t>Sơn lót ngoại thất - PROS  NEW(thùng 18 lít)</t>
  </si>
  <si>
    <t>Sơn lót nội thất - PROSIN  NEW(thùng 18 lít)</t>
  </si>
  <si>
    <t>Chống thấm gốc nước CT - J-555 (thùng 20kg)</t>
  </si>
  <si>
    <t>Bột trét tường ngoại thất JOTON (bao 40kg)</t>
  </si>
  <si>
    <t>Bột trét tường nội thất JOTON (bao 40 kg)</t>
  </si>
  <si>
    <t xml:space="preserve"> * Sơn PETROLIMEX : Cty TNHH MTV Xăng Dầu An Giang (số 145/1 Trần Hưng Đạo, Tp.LX, An Giang). Giao hàng tại Cty, giao đến chân công trình trên địa bàn tỉnh An Giang cho mỗi chuyến hàng từ 01 tấn trở lên. Theo bảng giá ngày 20/01/2016</t>
  </si>
  <si>
    <t>* Sơn TAKASON: Cty TNHH TMDV TAKA, số 31/1 Trần Hưng Đạo, phường Mỹ Quý, TP.Long Xuyên tỉnh An Giang, giao hàng tại kho Long Xuyên, Châu Đốc trong phạm vi bán kính 3km. Theo bảng giá ngày 06/6/2016</t>
  </si>
  <si>
    <t>* Sơn JYMEC: Công ty TNHH Một thành viên Thanh Vũ, số 28 Nguyễn Tri Phương, khóm Bình Khánh 6, p. Bình Khánh, Tp Long Xuyên, An Giang. Theo bảng giá ngày 01/01/2016</t>
  </si>
  <si>
    <t>XVIII</t>
  </si>
  <si>
    <t>CHUYÊN NGÀNH NƯỚC</t>
  </si>
  <si>
    <t xml:space="preserve"> * Công ty TNHH Hoá nhựa Đệ Nhất Áp dụng cho khu vực phía Nam từ Quảng Bình). Theo bảng giá ngày 10/05/2016</t>
  </si>
  <si>
    <t xml:space="preserve"> - Ống PVC Đệ Nhất ASTM 2241 # BS 3505 và B908:</t>
  </si>
  <si>
    <t xml:space="preserve"> Þ 21    (dày 1,7 mm)</t>
  </si>
  <si>
    <t xml:space="preserve"> Þ 27    (dày 1,9 mm)</t>
  </si>
  <si>
    <t xml:space="preserve"> Þ 34    (dày 2,1 mm)</t>
  </si>
  <si>
    <t xml:space="preserve"> Þ42    (dày 2,1 mm)</t>
  </si>
  <si>
    <t xml:space="preserve"> Þ 49    (dày 2,5 mm)</t>
  </si>
  <si>
    <t xml:space="preserve"> Þ 60    (dày 2,5 mm)</t>
  </si>
  <si>
    <t xml:space="preserve"> Þ 60    (dày 3,0 mm)</t>
  </si>
  <si>
    <t xml:space="preserve"> Þ 73    (dày 3,0 mm)</t>
  </si>
  <si>
    <t xml:space="preserve"> Þ 76    (dày 3,0 mm)</t>
  </si>
  <si>
    <t xml:space="preserve"> Þ 90   (dày 3,0 mm)</t>
  </si>
  <si>
    <t xml:space="preserve"> Þ 114  (dày 3,5 mm)</t>
  </si>
  <si>
    <t xml:space="preserve"> Þ 114  (dày 5,0 mm)</t>
  </si>
  <si>
    <t xml:space="preserve"> Þ140  (dày 3,5 mm)</t>
  </si>
  <si>
    <t xml:space="preserve"> Þ 140  (dày 5,0 mm)</t>
  </si>
  <si>
    <t xml:space="preserve"> Þ 168  (dày 4,5 mm)</t>
  </si>
  <si>
    <t xml:space="preserve"> - Phụ kiện Đệ Nhất tiêu chuẩn ASTM hệ inch - loại dày:</t>
  </si>
  <si>
    <t xml:space="preserve"> Nối fi 42 (1-1/4")</t>
  </si>
  <si>
    <t xml:space="preserve"> Nối fi 49 (1-1/2")</t>
  </si>
  <si>
    <t xml:space="preserve"> Nối fi 60 (2")</t>
  </si>
  <si>
    <t xml:space="preserve"> Nối fi 76 (2-1/2")</t>
  </si>
  <si>
    <t xml:space="preserve"> Nối fi 90 (3") </t>
  </si>
  <si>
    <t xml:space="preserve"> Nối fi 114 (4")</t>
  </si>
  <si>
    <t xml:space="preserve"> Nối fi 168 (6")</t>
  </si>
  <si>
    <t xml:space="preserve"> Chữ  T fi 21 (1/2") </t>
  </si>
  <si>
    <t xml:space="preserve"> Chữ  T fi 27 (3/4") </t>
  </si>
  <si>
    <t xml:space="preserve"> Chữ  T fi 34 (1") </t>
  </si>
  <si>
    <t xml:space="preserve"> Chữ  T fi 42 (1-1/4") </t>
  </si>
  <si>
    <t xml:space="preserve"> Chữ  T fi 49 (1-1/2") </t>
  </si>
  <si>
    <t xml:space="preserve"> Chữ  T fi 60 (2") </t>
  </si>
  <si>
    <t xml:space="preserve"> Chữ  T fi 76 (2 - 1/2") </t>
  </si>
  <si>
    <t xml:space="preserve"> Chữ  T fi 90 (3") </t>
  </si>
  <si>
    <t xml:space="preserve"> Chữ  T fi 114 (4") </t>
  </si>
  <si>
    <t xml:space="preserve"> Chữ  T fi 168 (6") </t>
  </si>
  <si>
    <t xml:space="preserve"> - Phụ kiện Đệ Nhất tiêu chuẩn ISO hệ mét - loại dày:</t>
  </si>
  <si>
    <t xml:space="preserve"> Nối fi 75</t>
  </si>
  <si>
    <t xml:space="preserve"> Nối fi 90</t>
  </si>
  <si>
    <t xml:space="preserve"> Nối fi 110</t>
  </si>
  <si>
    <t xml:space="preserve"> Nối fi 140  </t>
  </si>
  <si>
    <t xml:space="preserve"> Nối fi 160  </t>
  </si>
  <si>
    <t xml:space="preserve"> Nối fi 200  </t>
  </si>
  <si>
    <t xml:space="preserve"> Chữ T fi 50 </t>
  </si>
  <si>
    <t xml:space="preserve"> Chữ T fi 63 </t>
  </si>
  <si>
    <t xml:space="preserve"> Chữ T fi 75 </t>
  </si>
  <si>
    <t xml:space="preserve"> Chữ T fi 90 </t>
  </si>
  <si>
    <t xml:space="preserve"> Chữ T fi 110 </t>
  </si>
  <si>
    <t xml:space="preserve"> Chữ T fi 140</t>
  </si>
  <si>
    <t xml:space="preserve"> Chữ T fi 160</t>
  </si>
  <si>
    <t xml:space="preserve"> Chữ T fi 200</t>
  </si>
  <si>
    <t xml:space="preserve"> Keo dán ống Đệ Nhất (loại 1kg)</t>
  </si>
  <si>
    <t xml:space="preserve"> - Ống uPVC - Ống gân Bình Minh: Tiêu chuẩn BS 3505:1968 (hệ Inch)</t>
  </si>
  <si>
    <t xml:space="preserve">  Þ 21    (dày 1,6 mm) PN 15 bar</t>
  </si>
  <si>
    <t xml:space="preserve">  Þ 27    (dày 1,8 mm) PN 12 bar</t>
  </si>
  <si>
    <t xml:space="preserve">  Þ 34    (dày 2,0 mm) PN 12 bar</t>
  </si>
  <si>
    <t xml:space="preserve">  Þ 42    (dày 2,1 mm) PN 9 bar</t>
  </si>
  <si>
    <t xml:space="preserve">  Þ 49    (dày 2,4 mm) PN 9 bar</t>
  </si>
  <si>
    <t xml:space="preserve">  Þ 60    (dày 2,0 mm) PN 6 bar</t>
  </si>
  <si>
    <t xml:space="preserve">  Þ 90    (dày 2,9 mm) PN 6 bar</t>
  </si>
  <si>
    <t xml:space="preserve">  Þ 114  (dày 3,8 mm) PN 6 bar</t>
  </si>
  <si>
    <t xml:space="preserve">  Þ 114  (dày 4,9 mm) PN 9 bar</t>
  </si>
  <si>
    <t xml:space="preserve">  Þ 168  (dày 4,3 mm) PN 3 bar</t>
  </si>
  <si>
    <t xml:space="preserve">  Þ 220  (dày 5,1 mm) PN 3bar</t>
  </si>
  <si>
    <t xml:space="preserve"> - Ống uPVC Bình Minh: TCVN 6151:1996 - ISO 4422: 1990 (hệ mét)</t>
  </si>
  <si>
    <t xml:space="preserve">  fi  63 x 1,6mm PN 5 bar</t>
  </si>
  <si>
    <t xml:space="preserve">  fi  63 x 1,9mm PN 6 bar</t>
  </si>
  <si>
    <t xml:space="preserve">  Þ 75 x 2,2mm PN 6 bar</t>
  </si>
  <si>
    <t xml:space="preserve">  Þ  90 x 2,7mm PN 6 bar</t>
  </si>
  <si>
    <t xml:space="preserve">  Þ  110 x 3,2mm PN 6 bar</t>
  </si>
  <si>
    <t xml:space="preserve">  Þ 140 x 4,1mm PN 6 bar</t>
  </si>
  <si>
    <t xml:space="preserve">  Þ  160 x 4mm PN 4 bar</t>
  </si>
  <si>
    <t xml:space="preserve">  Þ 160 x 7,7mm PN 10 bar</t>
  </si>
  <si>
    <t xml:space="preserve">  Þ 200 x 5,9mm PN 6 bar</t>
  </si>
  <si>
    <t xml:space="preserve"> - Ống uPVC Bình Minh: Tiêu chuẩn AS 1477:1996 CIOD (nối với ống gang)</t>
  </si>
  <si>
    <t xml:space="preserve">  Þ 100 x 6,7mm PN 12 bar</t>
  </si>
  <si>
    <t xml:space="preserve">  Þ 150 x 9,7mm PN 12 bar</t>
  </si>
  <si>
    <t xml:space="preserve"> - Ống uPVC Bình Minh: Tiêu chuẩn CIOD ISO 2531 (nối với ống gang). </t>
  </si>
  <si>
    <t xml:space="preserve">  Þ 200 x 9,7mm PN 10 bar</t>
  </si>
  <si>
    <t xml:space="preserve">  Þ 200 x 11,4mm PN 12,5 bar</t>
  </si>
  <si>
    <t xml:space="preserve"> - Phụ tùng cho Ống - Keo dán Bình Minh. Theo bảng giá ngày 08/10/2015</t>
  </si>
  <si>
    <t xml:space="preserve"> Nối trơn  21  dày</t>
  </si>
  <si>
    <t xml:space="preserve"> Nối trơn  27  dày</t>
  </si>
  <si>
    <t xml:space="preserve"> Nối trơn  34  dày</t>
  </si>
  <si>
    <t xml:space="preserve"> Nối trơn  42  dày</t>
  </si>
  <si>
    <t xml:space="preserve"> Nối trơn  49  dày</t>
  </si>
  <si>
    <t xml:space="preserve"> Nối trơn  60  dày</t>
  </si>
  <si>
    <t xml:space="preserve"> Nối trơn  75D TC </t>
  </si>
  <si>
    <t xml:space="preserve"> Nối trơn  90  dày</t>
  </si>
  <si>
    <t xml:space="preserve"> Nối trơn  110 dày</t>
  </si>
  <si>
    <t xml:space="preserve"> Nối trơn  114 dày</t>
  </si>
  <si>
    <t xml:space="preserve"> Nối trơn  140 TC </t>
  </si>
  <si>
    <t xml:space="preserve"> Nối trơn  160 TC </t>
  </si>
  <si>
    <t xml:space="preserve"> Nối trơn  168 TC </t>
  </si>
  <si>
    <t xml:space="preserve"> Chữ  T fi 21 dày</t>
  </si>
  <si>
    <t xml:space="preserve"> Chữ  T fi 27 dày</t>
  </si>
  <si>
    <t xml:space="preserve"> Chữ  T fi 34 dày</t>
  </si>
  <si>
    <t xml:space="preserve"> Chữ  T fi 42 dày</t>
  </si>
  <si>
    <t xml:space="preserve"> Chữ  T fi 49 dày</t>
  </si>
  <si>
    <t xml:space="preserve"> Chữ  T fi 60 dày</t>
  </si>
  <si>
    <t xml:space="preserve"> Chữ  T fi 75 dày</t>
  </si>
  <si>
    <t xml:space="preserve"> Chữ  T fi 90 dày</t>
  </si>
  <si>
    <t xml:space="preserve"> Chữ  T fi 110 dày</t>
  </si>
  <si>
    <t xml:space="preserve"> Chữ  T fi 114 dày</t>
  </si>
  <si>
    <t xml:space="preserve"> Chữ  T fi 140 dày</t>
  </si>
  <si>
    <t xml:space="preserve"> Keo dán ống Bình Minh (loại 1kg)</t>
  </si>
  <si>
    <t xml:space="preserve"> Que hàn nhựa</t>
  </si>
  <si>
    <t xml:space="preserve"> - Ống HDPE Bình Minh: (tiêu chuẩn/Standard ISO 4427-2:2007). Theo bảng giá ngày 08/10/2015.</t>
  </si>
  <si>
    <t xml:space="preserve"> D180 x 10,7mm  PN 10 bar</t>
  </si>
  <si>
    <t xml:space="preserve"> D180 x 13,3mm  PN 12,5 bar</t>
  </si>
  <si>
    <t xml:space="preserve"> D180 x 16,4m  PN 16 bar</t>
  </si>
  <si>
    <t xml:space="preserve"> D200 x 11,9mm  PN 10 bar</t>
  </si>
  <si>
    <t xml:space="preserve"> D200 x 14,7mm  PN 12,5 bar</t>
  </si>
  <si>
    <t xml:space="preserve"> D200 x 18,2m  PN 16 bar</t>
  </si>
  <si>
    <t xml:space="preserve"> D225 x 13,4mm  PN 10 bar</t>
  </si>
  <si>
    <t xml:space="preserve"> D225 x 16,6mm  PN 12,5 bar</t>
  </si>
  <si>
    <t xml:space="preserve"> D225 x 20,5m  PN 16 bar</t>
  </si>
  <si>
    <t xml:space="preserve"> D250 x 14,8mm  PN 10 bar</t>
  </si>
  <si>
    <t xml:space="preserve"> D250 x 18,4mm  PN 12,5 bar</t>
  </si>
  <si>
    <t xml:space="preserve"> D250 x 22,7m  PN 16 bar</t>
  </si>
  <si>
    <t xml:space="preserve"> D280 x 16,6mm  PN 10 bar</t>
  </si>
  <si>
    <t xml:space="preserve"> D280 x 20,6mm  PN 12,5 bar</t>
  </si>
  <si>
    <t xml:space="preserve"> D280 x 25,4m  PN 16 bar</t>
  </si>
  <si>
    <t xml:space="preserve"> D315 x 18,7mm  PN 10 bar</t>
  </si>
  <si>
    <t xml:space="preserve"> D315 x 23,2mm  PN 12,5 bar</t>
  </si>
  <si>
    <t xml:space="preserve"> D315 x 28,6m  PN 16 bar</t>
  </si>
  <si>
    <t xml:space="preserve"> - Ống PP-R Bình Minh. Theo bảng giá ngày 08/10/2015</t>
  </si>
  <si>
    <t xml:space="preserve"> Þ 20 x 1,9mm   10 bar</t>
  </si>
  <si>
    <t xml:space="preserve"> Þ 32 x 2,9mm  10 bar</t>
  </si>
  <si>
    <t xml:space="preserve"> Þ 40 x 3,7mm  10 bar</t>
  </si>
  <si>
    <t xml:space="preserve"> Þ 63 x 5,8mm  10 bar</t>
  </si>
  <si>
    <t xml:space="preserve"> Þ 75 x 6,8mm  10 bar</t>
  </si>
  <si>
    <t xml:space="preserve"> Þ 90 x 8,2mm  10 bar</t>
  </si>
  <si>
    <t xml:space="preserve"> Þ 160 x 14,6mm  10 bar</t>
  </si>
  <si>
    <t xml:space="preserve"> - Ống uPVC Tân Tiến - tiêu chuẩn BS 3505: 1968 (hệ In)</t>
  </si>
  <si>
    <t xml:space="preserve"> Þ 21mm x 1,6mm</t>
  </si>
  <si>
    <t>đ/mét</t>
  </si>
  <si>
    <t xml:space="preserve"> Þ 21mm x 2,0mm</t>
  </si>
  <si>
    <t xml:space="preserve"> Þ 27mm x 1,8mm</t>
  </si>
  <si>
    <t xml:space="preserve"> Þ 34mm x 1,8mm</t>
  </si>
  <si>
    <t xml:space="preserve"> Þ 42mm x 2,1mm</t>
  </si>
  <si>
    <t xml:space="preserve"> Þ 42mm x 3,5mm</t>
  </si>
  <si>
    <t xml:space="preserve"> Þ 49mm x 2,4mm</t>
  </si>
  <si>
    <t xml:space="preserve"> Þ 49mm x 3,5mm</t>
  </si>
  <si>
    <t xml:space="preserve"> Þ 60mm x 3,5mm</t>
  </si>
  <si>
    <t xml:space="preserve"> Þ 90mm x 2,7mm</t>
  </si>
  <si>
    <t xml:space="preserve"> Þ 90mm x 3,8mm</t>
  </si>
  <si>
    <t xml:space="preserve"> Þ 114mm x 3,2mm</t>
  </si>
  <si>
    <t xml:space="preserve"> Þ 114mm x 3,8mm</t>
  </si>
  <si>
    <t xml:space="preserve"> Þ 168mm x 4,3mm</t>
  </si>
  <si>
    <t xml:space="preserve"> - Ống uPVC Tân Tiến - tiêu chuẩn TCVN 6151:1996  tương đương tiêu chuẩn ISO 4422:1990 (hệ mét)</t>
  </si>
  <si>
    <t xml:space="preserve"> Þ 75mm x 3,0mm</t>
  </si>
  <si>
    <t xml:space="preserve"> Þ 110mm x 3,2mm</t>
  </si>
  <si>
    <t xml:space="preserve"> Þ 140mm x 4,1mm</t>
  </si>
  <si>
    <t xml:space="preserve"> Þ 160mm x 4,7mm</t>
  </si>
  <si>
    <t xml:space="preserve"> Þ 200mm x 5,9mm</t>
  </si>
  <si>
    <t xml:space="preserve"> - Ống uPVC Tân Tiến - tiêu chuẩn AS 1477:1996 &amp; AS 2977: 1998 (CIOD - nối với ống gang) </t>
  </si>
  <si>
    <t xml:space="preserve"> Þ100 (121mm x 6,7mm)</t>
  </si>
  <si>
    <t xml:space="preserve"> Þ 150 (177mm x 9,7mm)</t>
  </si>
  <si>
    <t xml:space="preserve"> Þ 150 (177mm x 11,7mm)</t>
  </si>
  <si>
    <t xml:space="preserve"> - Ống uPVC Tân Tiến - tiêu chuẩn CIOD 2531 (nối với ống gang) </t>
  </si>
  <si>
    <t xml:space="preserve"> Þ 200 (222mm x 9,7mm)</t>
  </si>
  <si>
    <t xml:space="preserve"> Þ 200 (222mm x 11,4mm)</t>
  </si>
  <si>
    <t xml:space="preserve"> Þ 200 (222mm x 13,7mm)</t>
  </si>
  <si>
    <t xml:space="preserve"> - Ống HDPE - PE 100 Tân Tiến - tiêu chuẩn ISO 4427: 2007 hoặc DIN 8074:1999.</t>
  </si>
  <si>
    <t xml:space="preserve"> Þ 20 x 2.0mm, áp lực (PN) 16 bar</t>
  </si>
  <si>
    <t xml:space="preserve"> Þ 25 x 2.3mm, áp lực (PN) 16 bar</t>
  </si>
  <si>
    <t xml:space="preserve"> Þ 32 x 3.0mm, áp lực (PN) 16 bar</t>
  </si>
  <si>
    <t xml:space="preserve"> Þ 40 x 3.7mm, áp lực (PN) 16 bar</t>
  </si>
  <si>
    <t xml:space="preserve"> Þ 50 x 3.7mm, áp lực (PN) 12,5 bar</t>
  </si>
  <si>
    <t xml:space="preserve"> Þ 63 x 4.7mm, áp lực (PN) 12,5 bar</t>
  </si>
  <si>
    <t xml:space="preserve"> Þ 75 x 5.6mm, áp lực (PN) 12,5 bar</t>
  </si>
  <si>
    <t xml:space="preserve"> Þ 90 x 5.4mm, áp lực (PN) 10 bar</t>
  </si>
  <si>
    <t xml:space="preserve"> Þ 110 x 6.6mm, áp lực (PN) 10 bar</t>
  </si>
  <si>
    <t xml:space="preserve"> Þ 125 x 7.4mm, áp lực (PN) 10 bar</t>
  </si>
  <si>
    <t xml:space="preserve"> Þ 140 x 8.3mm, áp lực (PN) 10 bar</t>
  </si>
  <si>
    <t xml:space="preserve"> Þ 160 x 9.5mm, áp lực (PN) 10 bar</t>
  </si>
  <si>
    <t xml:space="preserve"> Þ 180 x 10.7mm, áp lực (PN) 10 bar</t>
  </si>
  <si>
    <t xml:space="preserve"> Þ 200 x 11.9mm, áp lực (PN) 10 bar</t>
  </si>
  <si>
    <t xml:space="preserve"> - Ống uPVC - tiêu chuẩn BS 3505</t>
  </si>
  <si>
    <t xml:space="preserve"> Þ  34mm x 2,0mm</t>
  </si>
  <si>
    <t xml:space="preserve"> Þ 60mm x 2,0mm</t>
  </si>
  <si>
    <t xml:space="preserve"> Þ 90mm x 2,9mm</t>
  </si>
  <si>
    <t xml:space="preserve"> Þ 114mm x 4,9mm</t>
  </si>
  <si>
    <t xml:space="preserve"> Þ 168mm x 4.3mm</t>
  </si>
  <si>
    <t xml:space="preserve"> Þ 168mm x 7,3mm</t>
  </si>
  <si>
    <t xml:space="preserve"> Þ 220mm x 5,1mm</t>
  </si>
  <si>
    <t xml:space="preserve"> Þ 220mm x8,7mm</t>
  </si>
  <si>
    <t xml:space="preserve"> - Ống HDPE PE 100 - Tiêu chuẩn ISO 4427-2:2007</t>
  </si>
  <si>
    <t xml:space="preserve"> Þ 32 dày 2,0mm</t>
  </si>
  <si>
    <t xml:space="preserve"> Þ 40 dày 2,4mm</t>
  </si>
  <si>
    <t xml:space="preserve"> Þ 50 dày 3,0mm</t>
  </si>
  <si>
    <t xml:space="preserve"> Þ 75 dày 4,5mm</t>
  </si>
  <si>
    <t xml:space="preserve"> Þ 90 dày 5,4mm</t>
  </si>
  <si>
    <t xml:space="preserve"> Þ 110 dày 4,2mm</t>
  </si>
  <si>
    <t xml:space="preserve"> Þ160 dày 5,4mm</t>
  </si>
  <si>
    <t xml:space="preserve"> Þ 200 dày 7,7mm</t>
  </si>
  <si>
    <t xml:space="preserve"> Þ 250 dày 9,6mm</t>
  </si>
  <si>
    <t xml:space="preserve"> Þ 400 dày 15,3mm</t>
  </si>
  <si>
    <t xml:space="preserve"> Þ 450 dày 17,2mm</t>
  </si>
  <si>
    <t xml:space="preserve"> Þ 500 dày 19,1mm</t>
  </si>
  <si>
    <t>* Chi nhánh Long Xuyên - Công ty CPTĐ Hoa Sen (Tổ 12, K.Bình Đức 5, P.Bình Đức, Tp.LX). Theo bảng giá ngày 15/02/2016</t>
  </si>
  <si>
    <t xml:space="preserve"> - Ống uPVC Hoa Sen - tiêu chuẩn BS 3505: 1968 (hệ In)</t>
  </si>
  <si>
    <t xml:space="preserve"> Þ 21mm x 1,2mm</t>
  </si>
  <si>
    <t xml:space="preserve"> Þ 21mm x 1,4mm</t>
  </si>
  <si>
    <t xml:space="preserve"> Þ 27mm x 1,3mm</t>
  </si>
  <si>
    <t xml:space="preserve"> Þ 27mm x 1,6mm</t>
  </si>
  <si>
    <t xml:space="preserve"> Þ 34mm x 1,4mm</t>
  </si>
  <si>
    <t xml:space="preserve"> Þ 34mm x 1,6mm</t>
  </si>
  <si>
    <t xml:space="preserve"> Þ 42mm x 1,4mm</t>
  </si>
  <si>
    <t xml:space="preserve"> Þ 42mm x 1,6mm</t>
  </si>
  <si>
    <t xml:space="preserve"> Þ 42mm x 2,0mm</t>
  </si>
  <si>
    <t xml:space="preserve"> Þ 49mm x 1,8mm</t>
  </si>
  <si>
    <t xml:space="preserve"> Þ 49mm x 2,0mm</t>
  </si>
  <si>
    <t xml:space="preserve"> Þ 49mm x 2,2mm</t>
  </si>
  <si>
    <t xml:space="preserve"> Þ 60mm x 1,5mm</t>
  </si>
  <si>
    <t xml:space="preserve"> Þ 60mm x 1,6mm</t>
  </si>
  <si>
    <t xml:space="preserve"> Þ 63mm x 1,6mm</t>
  </si>
  <si>
    <t xml:space="preserve"> Þ 76mm x 1,8mm</t>
  </si>
  <si>
    <t xml:space="preserve"> Þ 76mm x 2,2mm</t>
  </si>
  <si>
    <t xml:space="preserve"> Þ 90mm x 1,7mm</t>
  </si>
  <si>
    <t xml:space="preserve"> Þ 90mm x 2,2mm</t>
  </si>
  <si>
    <t xml:space="preserve"> Þ 110mm x 1,8mm</t>
  </si>
  <si>
    <t xml:space="preserve"> Þ 110mm x 2,7mm</t>
  </si>
  <si>
    <t xml:space="preserve"> Þ 114mm x 1,8mm</t>
  </si>
  <si>
    <t xml:space="preserve"> Þ 114mm x 2,6mm</t>
  </si>
  <si>
    <t xml:space="preserve"> Þ 114mm x 3,0mm</t>
  </si>
  <si>
    <t xml:space="preserve"> Þ 125 x 3,0mm</t>
  </si>
  <si>
    <t xml:space="preserve"> Þ 130 x 3,2mm</t>
  </si>
  <si>
    <t xml:space="preserve"> Þ 130 x 3,5mm</t>
  </si>
  <si>
    <t xml:space="preserve"> Þ 140 x 3,5mm</t>
  </si>
  <si>
    <t xml:space="preserve"> Þ 160 x 4,0mm</t>
  </si>
  <si>
    <t xml:space="preserve"> Þ 168 x 3,5mm</t>
  </si>
  <si>
    <t xml:space="preserve"> Þ 168 x 4,3mm</t>
  </si>
  <si>
    <t xml:space="preserve"> Þ 200 x 4,0mm</t>
  </si>
  <si>
    <t xml:space="preserve"> Þ 200 x 5,0mm</t>
  </si>
  <si>
    <t xml:space="preserve"> Þ 220 x 5,1mm</t>
  </si>
  <si>
    <t xml:space="preserve"> Þ 225 x 5,5mm</t>
  </si>
  <si>
    <t xml:space="preserve"> Þ 250 x 6,2mm</t>
  </si>
  <si>
    <t xml:space="preserve"> Þ 250 x 6,5mm</t>
  </si>
  <si>
    <t xml:space="preserve"> Þ 280 x 6,9mm</t>
  </si>
  <si>
    <t xml:space="preserve"> Þ 315 x 6,2mm</t>
  </si>
  <si>
    <t xml:space="preserve"> Þ 315 x 8,0mm</t>
  </si>
  <si>
    <t xml:space="preserve"> Þ 400 x 8,0mm</t>
  </si>
  <si>
    <t xml:space="preserve"> Þ 450 x 11,0mm</t>
  </si>
  <si>
    <t xml:space="preserve"> Þ 500 x 9,8mm</t>
  </si>
  <si>
    <t xml:space="preserve"> Þ 560 x 13,7mm</t>
  </si>
  <si>
    <t xml:space="preserve"> Þ 630 x 15,4mm</t>
  </si>
  <si>
    <t xml:space="preserve"> - Phụ tùng cho Ống - Keo dán Hoa Sen.</t>
  </si>
  <si>
    <t>Keo dán (1 kg)</t>
  </si>
  <si>
    <t>đ/tuýp</t>
  </si>
  <si>
    <t xml:space="preserve"> - Ống HDPE Hoa Sen - tiêu chuẩn TCVN 4427:2007 </t>
  </si>
  <si>
    <t xml:space="preserve"> Þ 16 x 2,0mm</t>
  </si>
  <si>
    <t xml:space="preserve"> Þ 20 x 2,0mm</t>
  </si>
  <si>
    <t xml:space="preserve"> Þ 25 x 3,0mm</t>
  </si>
  <si>
    <t xml:space="preserve"> Þ 32 x 3,6mm</t>
  </si>
  <si>
    <t xml:space="preserve"> Þ 40 x 4,5mm</t>
  </si>
  <si>
    <t xml:space="preserve"> Þ 50 x 5,6mm</t>
  </si>
  <si>
    <t xml:space="preserve"> Þ 63 x 7,1mm</t>
  </si>
  <si>
    <t xml:space="preserve"> Þ 75 x 8,4mm</t>
  </si>
  <si>
    <t xml:space="preserve"> Þ 90 x 10,1mm</t>
  </si>
  <si>
    <t xml:space="preserve"> Þ 110 x 12,3mm</t>
  </si>
  <si>
    <t xml:space="preserve"> Þ 125 x 14,0mm</t>
  </si>
  <si>
    <t xml:space="preserve"> Þ 140 x 15,7mm</t>
  </si>
  <si>
    <t xml:space="preserve"> Þ 160 x 17,9mm</t>
  </si>
  <si>
    <t xml:space="preserve"> - Ống PPR Hoa Sen - tiêu chuẩn DIN 8077:2008 / DIN 8077:2008</t>
  </si>
  <si>
    <t xml:space="preserve"> Þ 20 x 2,1mm</t>
  </si>
  <si>
    <t xml:space="preserve"> Þ 25 x 5,1mm</t>
  </si>
  <si>
    <t xml:space="preserve"> Þ 32 x 6,5mm</t>
  </si>
  <si>
    <t xml:space="preserve"> Þ 40 x 8,1mm</t>
  </si>
  <si>
    <t xml:space="preserve"> Þ 50 x 10,1mm</t>
  </si>
  <si>
    <t xml:space="preserve"> Þ 63 x 12,7mm</t>
  </si>
  <si>
    <t xml:space="preserve"> Þ 75 x 15,1mm</t>
  </si>
  <si>
    <t xml:space="preserve"> Þ 90 x 18,1mm</t>
  </si>
  <si>
    <t xml:space="preserve"> Þ 110 x 22,1mm</t>
  </si>
  <si>
    <t xml:space="preserve"> Þ 125 x 25,1mm</t>
  </si>
  <si>
    <t xml:space="preserve"> Þ 140 x 28,1mm</t>
  </si>
  <si>
    <t xml:space="preserve"> Þ 160 x 32,1mm</t>
  </si>
  <si>
    <t>Ống uPVC 16: 21 x 1.7 mm</t>
  </si>
  <si>
    <t>Ống uPVC 20: 27 x 1.6 mm</t>
  </si>
  <si>
    <t>Ống uPVC 25: 34 x 2.0 mm</t>
  </si>
  <si>
    <t>Ống uPVC 25: 34 x 3.0 mm</t>
  </si>
  <si>
    <t>Ống uPVC 32: 42 x 2.0 mm</t>
  </si>
  <si>
    <t>Ống uPVC 32: 42 x 3.0 mm</t>
  </si>
  <si>
    <t>Ống uPVC 40: 49 x 2.0 mm</t>
  </si>
  <si>
    <t>Ống uPVC 50: 60 x 1.8 mm</t>
  </si>
  <si>
    <t>Ống uPVC 65: 76 x 3.0 mm</t>
  </si>
  <si>
    <t>Ống uPVC 80: 90 x 4.0 mm</t>
  </si>
  <si>
    <t>Ống uPVC 80: 90 x 5.0 mm</t>
  </si>
  <si>
    <t>Ống uPVC 100: 114 x 5.0 mm</t>
  </si>
  <si>
    <t>Ống uPVC 125: 140 x 7.0 mm</t>
  </si>
  <si>
    <t>Ống uPVC 150: 168 x 7.0 mm</t>
  </si>
  <si>
    <t>Ống uPVC 200: 200 x 4.5 mm</t>
  </si>
  <si>
    <t>Ống uPVC 200: 200 x 5.9 mm</t>
  </si>
  <si>
    <t>XIX</t>
  </si>
  <si>
    <t>BỒN NƯỚC CÁC LOẠI:</t>
  </si>
  <si>
    <t xml:space="preserve"> * Bồn Inox Đại Sơn (kể cả chân bồn): Cty TNHH Thuận Phát Long Xuyên - Theo bảng giá ngày 06/5/2015</t>
  </si>
  <si>
    <t>Loại 1000 lít (bồn đứng) Inox dày 0,5mm</t>
  </si>
  <si>
    <t>Loại 1500 lít (bồn đứng) Inox dày 0,5mm</t>
  </si>
  <si>
    <t>Loại 2000 lít (bồn đứng) Inox dày 0,5mm</t>
  </si>
  <si>
    <t xml:space="preserve"> * Bồn Inox HWATA VINA: giao hàng tại Cty TNHH TM Hiển Nga - Tổng đại lý phân phối tại AG . Theo bảng giá ngày 01/5/2016</t>
  </si>
  <si>
    <t>Loại 1000 lít (bồn đứng) Inox dày 0,6mm</t>
  </si>
  <si>
    <t>Loại 3000 lít (bồn đứng) Inox dày 0,9mm</t>
  </si>
  <si>
    <t>Loại 4000 lít (bồn đứng) Inox dày 0,9mm</t>
  </si>
  <si>
    <t>Loại 5000 lít (bồn đứng) Inox dày 0,9mm</t>
  </si>
  <si>
    <t>Loại 1000 lít (bồn nằm) Inox dày 0,6mm</t>
  </si>
  <si>
    <t>Loại 1500 lít (bồn nằm)  Inox dày 0,7mm</t>
  </si>
  <si>
    <t>Loại 2000 lít (bồn nằm)  Inox dày 0,9mm</t>
  </si>
  <si>
    <t>XX</t>
  </si>
  <si>
    <t xml:space="preserve">CÁC LOẠI VẬT TƯ ĐIỆN </t>
  </si>
  <si>
    <t xml:space="preserve"> * DÂY VÀ CÁP ĐIỆN DAPHACO : Cty TNHH Cơ điện lạnh và Xây dựng An Phát (giao hàng tại kho Cty An Phát). Theo bảng giá ngày 12/6/2016</t>
  </si>
  <si>
    <t>Dây điện đơn 12/10</t>
  </si>
  <si>
    <t>Dây điện đơn 16/10</t>
  </si>
  <si>
    <t>Dây điện đơn 20/10</t>
  </si>
  <si>
    <t>Dây điện đơn 30/10</t>
  </si>
  <si>
    <t>Dây điện đôi 2x16</t>
  </si>
  <si>
    <t>Dây điện đôi 2x24</t>
  </si>
  <si>
    <t>Dây điện đôi 2x32</t>
  </si>
  <si>
    <t>Dây điện đôi 2x30</t>
  </si>
  <si>
    <t xml:space="preserve">Cáp CV 1.0    </t>
  </si>
  <si>
    <t>Cáp CV 1.5</t>
  </si>
  <si>
    <t>Cáp CV 2.0</t>
  </si>
  <si>
    <t>Cáp CV 2.5</t>
  </si>
  <si>
    <t>Cáp CV 3.0</t>
  </si>
  <si>
    <t>Cáp CV 4.0</t>
  </si>
  <si>
    <t>Cáp CV 5.0</t>
  </si>
  <si>
    <t>Cáp CV 6.0</t>
  </si>
  <si>
    <t>* ĐÈN SIÊU TIẾT KIỆM ĐIỆN T5 - GREENLIGHT (gồm: máng+ bóng T5+ tăng phô điện tử) - Cty TNHH Cơ điện lạnh và Xây dựng An Phát (giao hàng tại kho Cty An Phát). Theo bảng giá ngày 12/6/2016</t>
  </si>
  <si>
    <t xml:space="preserve">Máng đèn néon đơn 0,6m - 1 x 14W </t>
  </si>
  <si>
    <t xml:space="preserve">Máng đèn néon đôi 0,6m - 2 x 14W </t>
  </si>
  <si>
    <t xml:space="preserve">Máng đèn néon đơn 1,2m - 1 x 28W </t>
  </si>
  <si>
    <t xml:space="preserve">Máng đèn néon đôi 1,2m - 2 x 28W </t>
  </si>
  <si>
    <t xml:space="preserve"> * BÓNG ĐÈN HUỲNH QUANG TIẾT KIỆM ĐIỆN T5 : Cty TNHH Cơ điện lạnh và Xây dựng An Phát (giao hàng tại kho Cty An Phát). Theo bảng giá ngày 12/6/2016</t>
  </si>
  <si>
    <t>Bóng đèn màu trắng &amp; màu vàng 0,6m</t>
  </si>
  <si>
    <t>đ/bóng</t>
  </si>
  <si>
    <t>Bóng đèn màu trắng &amp; màu vàng 1,2m</t>
  </si>
  <si>
    <t xml:space="preserve">Bóng đèn màu xanh &amp; màu đỏ 1,2m </t>
  </si>
  <si>
    <t xml:space="preserve"> * THIẾT BỊ ĐIỆN PANASONIC: Cty TNHH Cơ điện lạnh và Xây dựng An Phát (giao hàng tại Cty). Theo bảng giá ngày 12/6/2016</t>
  </si>
  <si>
    <t>Công tắc đơn WNG50017 (1 way)</t>
  </si>
  <si>
    <t>Công tắc đôi WEV5002</t>
  </si>
  <si>
    <t>Công tắc E WEG5004K (4 way)</t>
  </si>
  <si>
    <t>Ổ cắm đơn có màn che WEV1081</t>
  </si>
  <si>
    <t>Ổ cắm anten TV WZ1201W</t>
  </si>
  <si>
    <t>Ổ cắm điện thoại 4 cực WNTG15649W</t>
  </si>
  <si>
    <t>Cầu dao tự động MCB 01P 10A, 16A, 20A</t>
  </si>
  <si>
    <t>Cầu dao tự động MCB 02P 10A, 16A, 20A</t>
  </si>
  <si>
    <t>Cầu dao tự động MCB 03P 10A, 16A, 20A</t>
  </si>
  <si>
    <t>Cầu dao tự động MCB 04P 10A, 16A, 20A</t>
  </si>
  <si>
    <t>Dây đồng đơn cứng bọc PVC</t>
  </si>
  <si>
    <t>VC-0.50 (Φ 0.80) - 300/500V</t>
  </si>
  <si>
    <t>VC-1.00 (Φ 1.13) - 300/500V</t>
  </si>
  <si>
    <t>Dây điện bọc nhựa PVC</t>
  </si>
  <si>
    <t>VCmd-2x1-(2x32/0.2) - 0,6/1kV</t>
  </si>
  <si>
    <t>VCmd-2x1,5-(2x30/0.25) - 0,6/1kV</t>
  </si>
  <si>
    <t>VCmd-2x2,5-(2x50/0.25) - 0,6/1kV</t>
  </si>
  <si>
    <t>Dây điện mềm bọc nhựa PVC</t>
  </si>
  <si>
    <t>VCmo-2x1-(2x32/0.2) - 300/500 V</t>
  </si>
  <si>
    <t>VCmo-2x1,5-(2x30/0.25) - 300/500 V</t>
  </si>
  <si>
    <t>VCmo-2x6-(2x7x12/0.30) - 300/500 V</t>
  </si>
  <si>
    <t>Cáp điện lực hạ thế</t>
  </si>
  <si>
    <t>CV-1.5 (7/0.52) -450/750V</t>
  </si>
  <si>
    <t>CV-2.5 (7/0.67) -450/750V</t>
  </si>
  <si>
    <t>CV-10 (7/1.35) -450/750V</t>
  </si>
  <si>
    <t>CV-50 - 750V</t>
  </si>
  <si>
    <t>CV-240 - 750V</t>
  </si>
  <si>
    <t>CV-300 - 750V</t>
  </si>
  <si>
    <t>Dây nhôm lõi thép các loại</t>
  </si>
  <si>
    <t>Dây nhôm lõi thép các loại &lt;= 50mm2</t>
  </si>
  <si>
    <t>Dây nhôm lõi thép các loại &gt;50 đến = 95mm2</t>
  </si>
  <si>
    <t>Dây nhôm lõi thép các loại &gt;95 đến = 240mm2</t>
  </si>
  <si>
    <t>* THIẾT BỊ ĐIỆN JUNSUN: Công ty TNHH JUNSUN Viện Nam (số 49/40/20-2 Trịnh Đình Trọng, P. Phú Trung, Q. Tân Phú, Tp HCM. Theo bảng giá ngày 01/01/2016</t>
  </si>
  <si>
    <t>CÁC SẲN PHẨM ÂM TƯỜNG HẠT LỚN JUNSUN</t>
  </si>
  <si>
    <t>PK-M01 -Mặt 1 lỗ (cỡ nhỏ)
PK-M02-Mặt 2 lỗ (cỡ nhỏ)
PK-M03-Mặt 3 lỗ (cỡ nhỏ)</t>
  </si>
  <si>
    <t>PK-M04Mặt 4 lỗ (cỡ nhỏ)
PK-M05-Mặt 5 lỗ (cỡ nhỏ)
PK-M06-Mặt 6 lỗ (cỡ nhỏ)</t>
  </si>
  <si>
    <t>PK-O11-Ổ cắm đơn có màng che (cỡ nhỏ)</t>
  </si>
  <si>
    <t>PK-O12-Ổ cắm đôi 2 chấu có màng che (cỡ nhỏ)</t>
  </si>
  <si>
    <t>PK-O13-Ổ cắm ba 2chấu có màng che (cỡ trung)</t>
  </si>
  <si>
    <t>PK-CT 17-Công tắc1 chiều (cỡ nhỏ)</t>
  </si>
  <si>
    <t>PK-CT 18-Công tắc 2 chiều (cỡ nhỏ)</t>
  </si>
  <si>
    <t>PK-TV 23-Ổ tivi</t>
  </si>
  <si>
    <t>PK-ĐT 24-Ổ điện thoại</t>
  </si>
  <si>
    <t>PK-VT 25- Ổ vi tính</t>
  </si>
  <si>
    <t>PK-DMD27-Bộ điều tốc đèn</t>
  </si>
  <si>
    <t>PK-DMQ28-Bộ điều tốc quạt</t>
  </si>
  <si>
    <t>PK-DX29-Đèn báo xanh</t>
  </si>
  <si>
    <t>PK-DD30-Đèn báo đỏ</t>
  </si>
  <si>
    <t>PK-CC31-Hạt cầu chì</t>
  </si>
  <si>
    <t>PK-DND32-Đế nổi đôi nhựa chống cháy</t>
  </si>
  <si>
    <t>PK-DN33-Đế nổi đơn nhựa chống cháy</t>
  </si>
  <si>
    <t>PK-AD34-Đế âm đôi nhựa chống cháy</t>
  </si>
  <si>
    <t>CÁC SẢN PHẨM TỦ ĐIỆN JUNSUN</t>
  </si>
  <si>
    <t>JS-TD-2-4-Tủ điện nhựa cao cấp chịu nhiệt, đế nhựa 2-4</t>
  </si>
  <si>
    <t>JS-TD 5-8-Tủ điện nhựa cao cấp chịu nhiệt, đế nhựa 5-8</t>
  </si>
  <si>
    <t>JS-TD 9-12-Tủ điện nhựa cao cấp chịu nhiệt, đế nhựa 9-12</t>
  </si>
  <si>
    <t>SLIMLED-003-Đèn SLIM LED 60x60cm, 42W</t>
  </si>
  <si>
    <t>CÁC SẢN PHẨM MÁNG ĐÈN JUNSUN</t>
  </si>
  <si>
    <t>JXC-5240-Máng đèn huỳnh quang xương cá đôi 2x1.2m (Không bóng)</t>
  </si>
  <si>
    <t>JMX-2340-Máng đèn tán quang âm trần 3x1.2m (Không bóng)</t>
  </si>
  <si>
    <t>JM-B1-T140-Máng đèn huỳnh quang siêu mỏng đơn 1x1.2m (Không bóng)</t>
  </si>
  <si>
    <t>JCH-12220-Máng đèn huỳnh quang chống thấm  đôi 2x0.6m (Không bóng)</t>
  </si>
  <si>
    <t>JMN-12120-Máng đèn huỳnh quang công nghiệp chóa phản quang  đơn 1x0.6m (Không bóng)</t>
  </si>
  <si>
    <t>SẢN PHẨM BỘ MÁNG ĐÈN BÓNG LED JUNSUN</t>
  </si>
  <si>
    <t>JMT8-12- Bộ máng đèn  bóng Led siêu mỏng-T8 1x1.2m</t>
  </si>
  <si>
    <t>SẢN PHẨM QUẠT THÔNG GIÓ JUNSUN</t>
  </si>
  <si>
    <t>JQT-15B- Quạt thông gió âm tường có đèn báo 150x150</t>
  </si>
  <si>
    <t>* Thiết bị điện. Công ty Cổ phần đầu tư ROBOT. (ĐC Công ty: 308 - 308C Điện Biên Phủ, P.4, Q.3, TP.HCM). Giá giao hàng áp dụng tại Công ty ROBOT, cùng tất cả các cửa hàng, đại lý của ROBOT trên toàn quốc. Theo bảng giá ngày 14/6/2016</t>
  </si>
  <si>
    <t>* Ổn áp</t>
  </si>
  <si>
    <t>Ổn áp 1 pha CLASSY: 3 KVA (130V - 270V)</t>
  </si>
  <si>
    <t>Ổn áp 1 pha CLASSY: 5 KVA (130V - 270V)</t>
  </si>
  <si>
    <t xml:space="preserve">Ổn áp 3 pha: 3 KVA (260V - 415V) </t>
  </si>
  <si>
    <t xml:space="preserve">Ổn áp 3 pha: 10 KVA (260V - 415V)  </t>
  </si>
  <si>
    <t>Thiết bị điện</t>
  </si>
  <si>
    <t>Biến thế đổi điện 1 pha: Biến thế 400VA (dây Nhôm)</t>
  </si>
  <si>
    <t>Biến thế đổi điện 1 pha: Biến thế 600VA (dây Nhôm)</t>
  </si>
  <si>
    <t>Biến thế đổi điện 1 pha: Biến thế 1KVA (dây Nhôm)</t>
  </si>
  <si>
    <t>Dây và cáp điện</t>
  </si>
  <si>
    <t>Dây đơn cứng VC: VCm 0.25</t>
  </si>
  <si>
    <t>Dây đơn cứng VC: VCm 0.5</t>
  </si>
  <si>
    <t>Dây đơn cứng VC: VCm 0.75</t>
  </si>
  <si>
    <t>Dây đơn cứng VC: VCm 1.0</t>
  </si>
  <si>
    <t>Dây đơn mềm VCm: VCm 0.25</t>
  </si>
  <si>
    <t>Dây đơn mềm VCm: VCm 0.5</t>
  </si>
  <si>
    <t>Dây đơn mềm VCm: VCm 0.75</t>
  </si>
  <si>
    <t>Dây đơn mềm VCm: VCm 1.0</t>
  </si>
  <si>
    <t>Dây đôi mềm VCm 2x: VCm 2x0.25</t>
  </si>
  <si>
    <t>Dây đôi mềm VCm 2x: VCm 2x0.5</t>
  </si>
  <si>
    <t>Dây đôi mềm VCm 2x: VCm 2x0.75</t>
  </si>
  <si>
    <t>Dây đôi mềm VCm 2x: VCm 2x1.0</t>
  </si>
  <si>
    <t>Bóng đèn Compact ROBOT</t>
  </si>
  <si>
    <t>COMPACT 2U: 11W đến 13 W</t>
  </si>
  <si>
    <t>COMPACT 3U: 14W</t>
  </si>
  <si>
    <t>COMPACT 3U: 18W</t>
  </si>
  <si>
    <t>COMPACT 3U: 20W</t>
  </si>
  <si>
    <t>COMPACT XOẮN: X-7W</t>
  </si>
  <si>
    <t>COMPACT XOẮN: X-11W</t>
  </si>
  <si>
    <t>Bóng chống ẩm ROBOT: 20W</t>
  </si>
  <si>
    <t>Ổ cắm công tắc âm tường</t>
  </si>
  <si>
    <t>Sản phẩm nguyên bộ: GS1</t>
  </si>
  <si>
    <t>Sản phẩm nguyên bộ: GS2</t>
  </si>
  <si>
    <t>Sản phẩm nguyên bộ: GS3-1</t>
  </si>
  <si>
    <t xml:space="preserve">Sản phẩm linh kiện rời: GP1 </t>
  </si>
  <si>
    <t>Sản phẩm linh kiện rời: GP3</t>
  </si>
  <si>
    <t>Sản phẩm linh kiện rời: GP6</t>
  </si>
  <si>
    <t>Ổ cắm nối dài</t>
  </si>
  <si>
    <t>Model Special 2S5: 2S5D3</t>
  </si>
  <si>
    <t xml:space="preserve">đ/cái </t>
  </si>
  <si>
    <t>Model Special 2S5: 2S5D5</t>
  </si>
  <si>
    <t>Model Special 2S5: 2S5T3</t>
  </si>
  <si>
    <t>Bơm đẩy cao: RB - 125A (Công suất: 125W)</t>
  </si>
  <si>
    <t>Bơm tăng áp tự động: RB - 130 Auto (Công suất: 130w)</t>
  </si>
  <si>
    <t>Bơm ly tâm: 1DK-16</t>
  </si>
  <si>
    <t>XXI</t>
  </si>
  <si>
    <t>CỬA VÀ KÍNH CÁC LOẠI :</t>
  </si>
  <si>
    <t>*Cty TNHH XD và DV TILA (đại lý tại số 147/5, Trần Hưng Đạo, P.Mỹ Phước - Tp.LX). Giá trên đã bao gồm chi phí vận chuyển và lắp đặt trong nội ô Tp.Long Xuyên. Theo bảng giá ngày 01/8/2016</t>
  </si>
  <si>
    <t>- Sản phẩm nhựa TILA Window  (Thanh profile của zhongcai, phụ kiện GU, GQ, kính trắng 5mm)</t>
  </si>
  <si>
    <t>Vách kính, kích thước 1,0mx1,0m (kính trắng 5mm)</t>
  </si>
  <si>
    <t>Cửa sổ lùa 2 cánh, kích thước 1,4mx1,4m (gồm khóa bán nguyệt, bánh xe)</t>
  </si>
  <si>
    <t>Cửa sổ 2 cánh mở quay ra ngoài, kích thước 1,4mx1,4m (gồm khóa đa điểm, bản lề chữ A)</t>
  </si>
  <si>
    <t>Cửa sổ 1 cánh mở hất ra ngoài, kích thước 0,6mx1,4m (gồm khóa đa điểm, bản lề chữ A)</t>
  </si>
  <si>
    <t>Cửa đi thông phòng/b.công 1 cánh, kích thước 0,9mx2,2m (gồm khóa đơn điểm, bản lề 3D)</t>
  </si>
  <si>
    <t>Cửa đi chính 2 cánh mở quay, kích thước 1,4mx2,2m (gồm khóa đa điểm, bản lề 3D)</t>
  </si>
  <si>
    <t>Cửa đi lùa 2 cánh, kích thước 1,6mx2,2m (gồm khóa đa điểm, bánh xe đôi)</t>
  </si>
  <si>
    <t>- Nhôm YNGHUA sơn tĩnh điện trắng sữa (gồm kính trắng 5mm)</t>
  </si>
  <si>
    <t>Vách kính</t>
  </si>
  <si>
    <t>Cửa đi chính 1 cánh mở quay, trên kính dưới lamri hệ 700 (gồm bản lề inox 304)</t>
  </si>
  <si>
    <t>Cửa đi chính 1 cánh mở quay, trên kính dưới lamri hệ 1000 (gồm lề sơn góc sơn tĩnh điện)</t>
  </si>
  <si>
    <t>* Cửa nhựa cao cấp uPVC: Công ty TNHH MTV N.WINDOW (Địa chỉ quốc lộ 9, Bình Hòa, Châu Thành, An Giang). Giao hàng và lắp đặt tại công trình. Theo bảng giá ngày 01/01/2016</t>
  </si>
  <si>
    <t>Cửa số 2 cánh mở trượt</t>
  </si>
  <si>
    <t>Cửa đi 2 cánh mở trượt</t>
  </si>
  <si>
    <t>Cửa số 2 cánh mở quay</t>
  </si>
  <si>
    <t>Cửa số 1 cánh mở hất</t>
  </si>
  <si>
    <t>Cửa số 1 cánh mở quay hất</t>
  </si>
  <si>
    <t>Cửa đi 1 cánh mở quay</t>
  </si>
  <si>
    <t>Cửa đi 2 cánh mở quay</t>
  </si>
  <si>
    <t>Cửa đi Pano - kính 1 cánh mở quay</t>
  </si>
  <si>
    <t>Cửa đi Pano - kính 2 cánh mở quay</t>
  </si>
  <si>
    <t>Eurowindow</t>
  </si>
  <si>
    <t>Cửa sổ 2 cánh mở trượt: kính trắng Việt Nhật 5mm. Phụ kiện kim khí (PKKK): Khóa bấm- hãng VITA</t>
  </si>
  <si>
    <t>Cửa sổ 2 cánh  mở quay lật vào trong (1 cánh mở quay và 1 cánh mở quay &amp; lật): kính trắng Việt Nhật5mm. 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</si>
  <si>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liền-Siegeinia</t>
  </si>
  <si>
    <t>Cửa sổ 1 cánh mở hất ra ngoài: kính trắng Việt Nhật 5mm. Phụ kiện kim khí (PKKK): thanh chốt đa điểm, bản lề chữ A, tay nắm-hãng ROTO, thanh hạn định-hãng GU</t>
  </si>
  <si>
    <t>Cửa đi chính 2 cánh mở quay ra ngoài: kính trắng Việt Nhật 5mm, pano thanh. Phụ kiện kim khí (PKKK): thanh chốt đa điểm, tay nắm, bản lề-Hãng ROTO, ổ khoá-hãng Winkhaus, chốt liền Seigeinia Aubi</t>
  </si>
  <si>
    <t>Cửa đi chính 1 cánh mở quay ra ngoài: kính trắng Việt Nhật 5mm, pano thanh. Phụ kiện kim khí (PKKK): thanh chốt đa điểm, tay nắm, bản lề-Hãng ROTO, ổ khoá-hãng Winkhaus</t>
  </si>
  <si>
    <t>AsiaWindow</t>
  </si>
  <si>
    <t>Cửa sổ 2 cánh mở quay lật vào trong (1 cánh mở quay, 1 cánh mở quay và lật): kính trắng Việt Nhật 5mm. Phụ kiện kim khí (PKKK): thanh chố đa điểm, bản lề, tay nắm, chốt liền-Eurowindow, kích thước (1,4m*1,4m)</t>
  </si>
  <si>
    <t>Cửa sổ 2 cánh mở quay ra ngoài, kính trắng Việt Nhật 5mm. Phụ kiện kim khí (PKKK): thanh chốt đa điểm, bản lề chữ A, tay nắm, bản lề ép cánh, chốt liền-Eurowindow, kích thước (1,4m*1,4m)</t>
  </si>
  <si>
    <t>Cửa sổ 1 cánh mở hất ra ngoài: kính trắng Việt Nhật 5mm. Phụ kiện kim khí ( PKKK): thanh chốt đa điểm, bản lề chữ A,  tay nắm, thanh hạn định -Eurowindow, kích thước (0,6m*1,4m).</t>
  </si>
  <si>
    <t>Cửa sổ 1 cánh  mở quay lật vào trong: kính trắng Việt Nhật 5mm. Phụ kiện kim khí (PKKK): thanh chố đa điểm, bản lề, tay nắm-hãng  Eurowindow,  kích thước (0,6m*1,4m)</t>
  </si>
  <si>
    <t>Cửa đi chính 2 cánh mở quay ra ngoài: kính trắng Việt nhật 5mm. Phụ kiện kim khí (PKKK): Thanh chốt đa điểm, chốt rời, 2 tay nắm, bản lề 3D, ổ khóa-Eurowindow, kích thước (1,4m*2,.2m).</t>
  </si>
  <si>
    <t>Cửa đi chính 1 cánh  mở quay ra ngoài: kính trắng Việt Nhật 5mm. Phụ kiện kim khí (PKKK): thanh chốt đa điểm, tay nắm, bản lề 3D, ổ khóa-Eurowindow, kích thước (0,9m*2,2m</t>
  </si>
  <si>
    <t>XXII</t>
  </si>
  <si>
    <t>CẦU THÉP CÁC LOẠI:</t>
  </si>
  <si>
    <t>Cầu thép NT 1.6 K, bề rộng mặt cầu 1,5m, tải trọng xe đơn 1,2 tấn</t>
  </si>
  <si>
    <t xml:space="preserve"> - Sơn bảo vệ bề mặt (trọng lượng 200kg/mét dài)</t>
  </si>
  <si>
    <t>đ/mdài</t>
  </si>
  <si>
    <t xml:space="preserve"> - Mạ kẽm bảo vệ bề mặt (trọng lượng 200kg/mét dài)</t>
  </si>
  <si>
    <t>Cầu thép NT 1.6 M, bề rộng mặt cầu 1,5m, tải trọng xe đơn 1,2 tấn</t>
  </si>
  <si>
    <t xml:space="preserve"> - Sơn bảo vệ bề mặt (trọng lượng 250kg/mét dài)</t>
  </si>
  <si>
    <t xml:space="preserve"> - Mạ kẽm bảo vệ bề mặt (trọng lượng 250kg/mét dài)</t>
  </si>
  <si>
    <t>Cầu thép NT 2.2 N bề rộng mặt cầu 2,0m, tải trọng xe đơn 2,8 tấn</t>
  </si>
  <si>
    <t xml:space="preserve"> - Sơn bảo vệ bề mặt (trọng lượng 205kg/mét dài)</t>
  </si>
  <si>
    <t xml:space="preserve"> - Mạ kẽm bảo vệ bề mặt (trọng lượng 205kg/mét dài)</t>
  </si>
  <si>
    <t>Cầu thép NT 2.2 K bề rộng mặt cầu 2,0m, tải trọng xe đơn 2,8 tấn</t>
  </si>
  <si>
    <t xml:space="preserve"> - Sơn bảo vệ bề mặt (trọng lượng 245kg/mét dài)</t>
  </si>
  <si>
    <t xml:space="preserve"> - Mạ kẽm bảo vệ bề mặt (trọng lượng 245kg/mét dài)</t>
  </si>
  <si>
    <t>Cầu thép NT 2.2 M bề rộng mặt cầu 2,0m, chiều dài tối đa 30m, tải trọng xe đơn 2,8 tấn</t>
  </si>
  <si>
    <t xml:space="preserve"> - Sơn bảo vệ bề mặt (trọng lượng 289kg/mét dài)</t>
  </si>
  <si>
    <t xml:space="preserve"> - Mạ kẽm bảo vệ bề mặt (trọng lượng 289kg/mét dài)</t>
  </si>
  <si>
    <t>* Cầu thép NT 2.6 K bề rộng mặt cầu 2,5m, tải trọng xe đơn 5 tấn; đoàn xe thô sơ H2.8</t>
  </si>
  <si>
    <t xml:space="preserve"> - Sơn bảo vệ bề mặt  (trọng lượng 332kg/mét dài)</t>
  </si>
  <si>
    <t xml:space="preserve"> - Mạ kẽm bảo vệ bề mặt (trọng lượng 332kg/mét dài)</t>
  </si>
  <si>
    <t>Cầu thép NT 2.6 M bề rộng mặt cầu 2,5m, tải trọng xe đơn 5 tấn; đoàn xe thô sơ H2.8</t>
  </si>
  <si>
    <t xml:space="preserve"> - Sơn bảo vệ bề mặt (trọng lượng 370kg/mét dài)</t>
  </si>
  <si>
    <t xml:space="preserve"> - Mạ kẽm bảo vệ bề mặt (trọng lượng 370kg/mét dài)</t>
  </si>
  <si>
    <t>Cầu thép NT 3.2 K bề rộng mặt cầu 3,0m, tải trọng xe đơn 5 tấn</t>
  </si>
  <si>
    <t xml:space="preserve"> - Sơn bảo vệ bề mặt (trọng lượng 420kg/mét dài)</t>
  </si>
  <si>
    <t xml:space="preserve"> - Mạ kẽm bảo vệ bề mặt (trọng lượng 420kg/mét dài)</t>
  </si>
  <si>
    <t>Cầu thép NT 3.2 M bề rộng mặt cầu 3,0m, tải trọng xe đơn 5 tấn</t>
  </si>
  <si>
    <t xml:space="preserve"> - Sơn bảo vệ bề mặt (trọng lượng 431kg/mét dài)</t>
  </si>
  <si>
    <t xml:space="preserve"> - Mạ kẽm bảo vệ bề mặt (trọng lượng 431kg/mét dài)</t>
  </si>
  <si>
    <t>Cầu thép NT 3.2 MK bề rộng mặt cầu 3,0m; tải trọng xe đơn 5 tấn; đoàn xe thô sơ H2.8</t>
  </si>
  <si>
    <t xml:space="preserve"> - Sơn bảo vệ bề mặt (trọng lượng 705kg/mét dài)</t>
  </si>
  <si>
    <t xml:space="preserve"> - Mạ kẽm bảo vệ bề mặt (trọng lượng 705kg/mét dài)</t>
  </si>
  <si>
    <t>Cầu thép NT 3.6 MK bề rộng mặt cầu 3,5m; tải trọng xe đơn 5 tấn; đoàn xe thô sơ H2.8</t>
  </si>
  <si>
    <t xml:space="preserve"> - Sơn bảo vệ bề mặt (trọng lượng 765kg/mét dài)</t>
  </si>
  <si>
    <t xml:space="preserve"> - Mạ kẽm bảo vệ bề mặt (trọng lượng 765kg/mét dài)</t>
  </si>
  <si>
    <t>Cầu thép NT 4.2 MK bề rộng mặt cầu 4,0m; tải trọng xe đơn 5 tấn; đoàn xe thô sơ H2.8</t>
  </si>
  <si>
    <t xml:space="preserve"> - Sơn bảo vệ bề mặt (trọng lượng 860kg/mét dài)</t>
  </si>
  <si>
    <t xml:space="preserve"> - Mạ kẽm bảo vệ bề mặt (trọng lượng 860kg/mét dài)</t>
  </si>
  <si>
    <t xml:space="preserve">Cầu thép NT 2.6 - Mạ kẽm, bề rộng mặt cầu 2,5m: </t>
  </si>
  <si>
    <t>NT 2.6 H -8 1/1 (trọng lượng 622kg/mét dài)</t>
  </si>
  <si>
    <t>NT 2.6 HB -8 1/1 (trọng lượng 705kg/mét dài)</t>
  </si>
  <si>
    <t>NT 2.6 HB 2/1 (trọng lượng 1.169g/mét dài)</t>
  </si>
  <si>
    <t xml:space="preserve">Cầu thép NT 3.2 - Mạ kẽm, bề rộng mặt cầu 3,0m: </t>
  </si>
  <si>
    <t>NT 3.2 A -5 1/1 (trọng lượng 616kg/mét dài)</t>
  </si>
  <si>
    <t>NT 3.2 HA -5 1/1 (trọng lượng 720kg/mét dài)</t>
  </si>
  <si>
    <t>NT 3.2 HB -5 1/1 (trọng lượng 770kg/mét dài)</t>
  </si>
  <si>
    <t>NT 3.2 H  -8 1/1 (trọng lượng 716kg/mét dài)</t>
  </si>
  <si>
    <t>NT 3.2 HB -8 1/1 (trọng lượng 852kg/mét dài)</t>
  </si>
  <si>
    <t>NT 3.2 A -8  2/1 (trọng lượng 915kg/mét dài)</t>
  </si>
  <si>
    <t>NT 3.2 HB -8 2/1 (trọng lượng 1.229kg/mét dài)</t>
  </si>
  <si>
    <t xml:space="preserve">Cầu thép NT 4.2 - Mạ kẽm, bề rộng mặt cầu 4,0m: </t>
  </si>
  <si>
    <t>NT 4.2 H -5 1/1 (trọng lượng 807kg/mét dài)</t>
  </si>
  <si>
    <t>NT 4.2 HB -5 1/1 (trọng lượng 891kg/mét dài)</t>
  </si>
  <si>
    <t>NT 4.2 B -8 1/1 (trọng lượng 713kg/mét dài)</t>
  </si>
  <si>
    <t>NT 4.2 A -8 1/1 (trọng lượng 766kg/mét dài)</t>
  </si>
  <si>
    <t>NT 4.2 H -8 1/1 (trọng lượng 838kg/mét dài)</t>
  </si>
  <si>
    <t xml:space="preserve">Đoạn nối nhịp; Đoạn sàn đầu cầu : </t>
  </si>
  <si>
    <t>Cầu NT 1.6  loại K, M mạ kẽm</t>
  </si>
  <si>
    <t>01 Đoạn nối nhịp (trọng lượng 15,5kg/mét dài)</t>
  </si>
  <si>
    <t>đ/đoạn</t>
  </si>
  <si>
    <t>01 Đoạn sàn đầu cầu (trọng lượng 146,5kg/mét dài)</t>
  </si>
  <si>
    <t>Cầu NT 2.2  loại N, K, M mạ kẽm</t>
  </si>
  <si>
    <t>01 Đoạn nối nhịp (trọng lượng 20kg/mét dài)</t>
  </si>
  <si>
    <t>01 Đoạn sàn đầu cầu (trọng lượng 211kg/mét dài)</t>
  </si>
  <si>
    <t>Cầu NT 2.6  loại K, M mạ kẽm</t>
  </si>
  <si>
    <t>01 Đoạn nối nhịp (trọng lượng 32kg/mét dài)</t>
  </si>
  <si>
    <t>01 Đoạn sàn đầu cầu (trọng lượng 271kg/mét dài)</t>
  </si>
  <si>
    <t>Cầu NT 3.2  loại M mạ kẽm</t>
  </si>
  <si>
    <t>01 Đoạn nối nhịp (trọng lượng 34kg/mét dài)</t>
  </si>
  <si>
    <t>01 Đoạn sàn đầu cầu (trọng lượng 290kg/mét dài)</t>
  </si>
  <si>
    <t>Cầu NT 3.2  loại K, MK mạ kẽm</t>
  </si>
  <si>
    <t>01 Đoạn nối nhịp (trọng lượng 183,5kg/mét dài)</t>
  </si>
  <si>
    <t>01 Đoạn sàn đầu cầu (trọng lượng 889kg/mét dài)</t>
  </si>
  <si>
    <t>Cầu NT 3.6  loại MK mạ kẽm</t>
  </si>
  <si>
    <t>01 Đoạn nối nhịp (trọng lượng 215kg/mét dài)</t>
  </si>
  <si>
    <t>01 Đoạn sàn đầu cầu (trọng lượng 1.040kg/mét dài)</t>
  </si>
  <si>
    <t>Cầu NT 4.2  loại MK mạ kẽm</t>
  </si>
  <si>
    <t>01 Đoạn nối nhịp (trọng lượng 245kg/mét dài)</t>
  </si>
  <si>
    <t>01 Đoạn sàn đầu cầu (trọng lượng 1.185kg/mét dài)</t>
  </si>
  <si>
    <t>Cầu NT 3.2  loại A, HA, HB mạ kẽm</t>
  </si>
  <si>
    <t>Cầu NT 4.2  loại B, HB mạ kẽm</t>
  </si>
  <si>
    <t xml:space="preserve">Gối cầu NT mạ kẽm bảo vệ bề mặt: </t>
  </si>
  <si>
    <t>Loại cầu A (trọng lượng 26kg/cái)</t>
  </si>
  <si>
    <t>Loại cầu B (trọng lượng 18kg/cái)</t>
  </si>
  <si>
    <t>Loại cầu H, HB (trọng lượng 31kg/cái)</t>
  </si>
  <si>
    <t>Loại cầu HC (trọng lượng 55kg/cái)</t>
  </si>
  <si>
    <t>XXIII</t>
  </si>
  <si>
    <t xml:space="preserve">CÁC LOẠI VẬT LIỆU KHÁC </t>
  </si>
  <si>
    <t>Đất đèn</t>
  </si>
  <si>
    <t>Giấy nhám Trung Quốc (20cm x 30cm)</t>
  </si>
  <si>
    <t>đ/tấm</t>
  </si>
  <si>
    <t>Chổi bông cỏ</t>
  </si>
  <si>
    <t>Bột màu Trung Quốc màu xanh</t>
  </si>
  <si>
    <t>Bột màu Trung Quốc màu vàng</t>
  </si>
  <si>
    <t>Đinh các loại</t>
  </si>
  <si>
    <t xml:space="preserve">Dây buộc </t>
  </si>
  <si>
    <t>Lưới B40 (khổ 0,8; 1,0; 1,2; 1,5; 1,8; 2,0; 2,2; 2,4m)</t>
  </si>
  <si>
    <t>Kẽm gai (1kg/6m)</t>
  </si>
  <si>
    <t>Vôi cục</t>
  </si>
  <si>
    <t>A dao Việt Nam (keo 1/2 kg)</t>
  </si>
  <si>
    <t>đ/keo</t>
  </si>
  <si>
    <t>Cửa nhựa Hân Vương có khóa, khuôn bao 0,75x1,9m</t>
  </si>
  <si>
    <t xml:space="preserve">Que hàn Việt Nam fi 3,2 và fi 4 (hộp 5kg) </t>
  </si>
  <si>
    <t>XXIV</t>
  </si>
  <si>
    <t>NHIÊN LIỆU :</t>
  </si>
  <si>
    <t>đ/lít</t>
  </si>
  <si>
    <t>Xăng sinh học E5 RON 92-II</t>
  </si>
  <si>
    <t>Dầu Diesel 0,05%S</t>
  </si>
  <si>
    <t>Dầu hỏa</t>
  </si>
  <si>
    <t xml:space="preserve">      - Chủ đầu tư và đơn vị Tư vấn xác định cự ly chi phí vận chuyển từ nơi sản xuất đến chân công trình đối với các loại vật liệu được nêu trong công bố giá đảm bảo hiệu quả kinh tế nhất.</t>
  </si>
  <si>
    <t xml:space="preserve">      - Đối với gói thầu sử dụng vốn nhà nước thuộc hình thức chỉ định thầu, nếu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</si>
  <si>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 xml:space="preserve">       Nơi nhận:</t>
  </si>
  <si>
    <t xml:space="preserve">       - Bộ Tài chính;</t>
  </si>
  <si>
    <t xml:space="preserve">       - Cục Quản lý Giá;</t>
  </si>
  <si>
    <t xml:space="preserve">       - VP.UBND tỉnh;</t>
  </si>
  <si>
    <t xml:space="preserve">       - Các Sở liên quan;</t>
  </si>
  <si>
    <t xml:space="preserve">       - Kho bạc Nhà nước tỉnh;</t>
  </si>
  <si>
    <t xml:space="preserve">       - Sở Tài chính các tỉnh;</t>
  </si>
  <si>
    <t xml:space="preserve">       - Lưu: VT Sở XD, Sở TC, Phòng KT.</t>
  </si>
  <si>
    <t>Vòi lavabo TOTO nóng lạnh TX108LHBR (bao gồm bộ xả, không gồm ống thải chữ P)</t>
  </si>
  <si>
    <t>* Sứ vệ sinh Inax: Công ty TNHH LIXIL Việt Nam (Gia Lâm, Hà Nội). Theo bảng báo giá ngày 01/4/2016. Giá sản phẩm giao tại địa bàn tỉnh An Giang</t>
  </si>
  <si>
    <t>Van xả tiểu UF-6V</t>
  </si>
  <si>
    <t>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t>
  </si>
  <si>
    <t>* Bộ tủ điện. Cty Cơ điện lạnh và Xây dựng An Phát (số 327/2 Hùng Vương, phường Mỹ Long, Tp. Long Xuyên, An Giang), giao hàng tại Cty. Theo bảng giá ngày 12/6/2016</t>
  </si>
  <si>
    <t>* Công ty Cổ phần Nhựa Thiếu Niên Tiền Phong phía Nam. Theo bảng giá ngày 17/3/2015</t>
  </si>
  <si>
    <t xml:space="preserve"> - Phụ tùng cho ống uPVC Thiếu Niên Tiền Phong phía Nam:</t>
  </si>
  <si>
    <t xml:space="preserve"> - Ống uPVC Hoa Sen - tiêu chuẩn TCVN 6151:1996 tương đương tiêu chuẩn ISO 4422:1990 (hệ mét)</t>
  </si>
  <si>
    <t>Loại 1500 lít (bồn đứng) Inox dày 0,7mm</t>
  </si>
  <si>
    <t>Loại 2000 lít (bồn đứng) Inox dày 0,9mm</t>
  </si>
  <si>
    <r>
      <t>đ/m</t>
    </r>
    <r>
      <rPr>
        <vertAlign val="superscript"/>
        <sz val="13"/>
        <rFont val="Times New Roman"/>
        <family val="1"/>
      </rPr>
      <t>3</t>
    </r>
  </si>
  <si>
    <r>
      <t xml:space="preserve">Cọc BTLT ƯLT PCA </t>
    </r>
    <r>
      <rPr>
        <sz val="13"/>
        <rFont val="Calibri"/>
        <family val="2"/>
      </rPr>
      <t>Φ</t>
    </r>
    <r>
      <rPr>
        <sz val="13"/>
        <rFont val="Times New Roman"/>
        <family val="1"/>
      </rPr>
      <t xml:space="preserve"> 600</t>
    </r>
  </si>
  <si>
    <r>
      <t xml:space="preserve">Cọc BTLT ƯLT PCA </t>
    </r>
    <r>
      <rPr>
        <sz val="13"/>
        <rFont val="Calibri"/>
        <family val="2"/>
      </rPr>
      <t>Φ</t>
    </r>
    <r>
      <rPr>
        <sz val="13"/>
        <rFont val="Times New Roman"/>
        <family val="1"/>
      </rPr>
      <t xml:space="preserve"> 500</t>
    </r>
  </si>
  <si>
    <r>
      <t xml:space="preserve">Cọc BTLT ƯLT PCA </t>
    </r>
    <r>
      <rPr>
        <sz val="13"/>
        <rFont val="Calibri"/>
        <family val="2"/>
      </rPr>
      <t>Φ</t>
    </r>
    <r>
      <rPr>
        <sz val="13"/>
        <rFont val="Times New Roman"/>
        <family val="1"/>
      </rPr>
      <t xml:space="preserve"> 400</t>
    </r>
  </si>
  <si>
    <r>
      <t xml:space="preserve">Cọc BTLT ƯLT PCA </t>
    </r>
    <r>
      <rPr>
        <sz val="13"/>
        <rFont val="Calibri"/>
        <family val="2"/>
      </rPr>
      <t>Φ</t>
    </r>
    <r>
      <rPr>
        <sz val="13"/>
        <rFont val="Times New Roman"/>
        <family val="1"/>
      </rPr>
      <t xml:space="preserve"> 350</t>
    </r>
  </si>
  <si>
    <r>
      <t xml:space="preserve">Cọc BTLT ƯLT PCA </t>
    </r>
    <r>
      <rPr>
        <sz val="13"/>
        <rFont val="Calibri"/>
        <family val="2"/>
      </rPr>
      <t>Φ</t>
    </r>
    <r>
      <rPr>
        <sz val="13"/>
        <rFont val="Times New Roman"/>
        <family val="1"/>
      </rPr>
      <t xml:space="preserve"> 300</t>
    </r>
  </si>
  <si>
    <r>
      <t xml:space="preserve">Cọc BTLT ƯLT PCA </t>
    </r>
    <r>
      <rPr>
        <sz val="13"/>
        <rFont val="Calibri"/>
        <family val="2"/>
      </rPr>
      <t>Φ</t>
    </r>
    <r>
      <rPr>
        <sz val="13"/>
        <rFont val="Times New Roman"/>
        <family val="1"/>
      </rPr>
      <t xml:space="preserve"> 250</t>
    </r>
  </si>
  <si>
    <r>
      <t xml:space="preserve">Ống cống BTLT ƯLT 4m </t>
    </r>
    <r>
      <rPr>
        <sz val="13"/>
        <rFont val="Calibri"/>
        <family val="2"/>
      </rPr>
      <t>Φ</t>
    </r>
    <r>
      <rPr>
        <sz val="13"/>
        <rFont val="Times New Roman"/>
        <family val="1"/>
      </rPr>
      <t>600 VH miệng loe</t>
    </r>
  </si>
  <si>
    <r>
      <t xml:space="preserve">Ống cống BTLT ƯLT 4m </t>
    </r>
    <r>
      <rPr>
        <sz val="13"/>
        <rFont val="Calibri"/>
        <family val="2"/>
      </rPr>
      <t>Φ</t>
    </r>
    <r>
      <rPr>
        <sz val="13"/>
        <rFont val="Times New Roman"/>
        <family val="1"/>
      </rPr>
      <t>600 H10 miệng loe</t>
    </r>
  </si>
  <si>
    <r>
      <t xml:space="preserve">Ống cống BTLT ƯLT 4m </t>
    </r>
    <r>
      <rPr>
        <sz val="13"/>
        <rFont val="Calibri"/>
        <family val="2"/>
      </rPr>
      <t>Φ</t>
    </r>
    <r>
      <rPr>
        <sz val="13"/>
        <rFont val="Times New Roman"/>
        <family val="1"/>
      </rPr>
      <t>600 H30 miệng loe</t>
    </r>
  </si>
  <si>
    <r>
      <t xml:space="preserve">Ống cống BTLT ƯLT 4m </t>
    </r>
    <r>
      <rPr>
        <sz val="13"/>
        <rFont val="Calibri"/>
        <family val="2"/>
      </rPr>
      <t>Φ</t>
    </r>
    <r>
      <rPr>
        <sz val="13"/>
        <rFont val="Times New Roman"/>
        <family val="1"/>
      </rPr>
      <t>400 VH miệng loe</t>
    </r>
  </si>
  <si>
    <r>
      <t xml:space="preserve">Ống cống BTLT ƯLT 4m </t>
    </r>
    <r>
      <rPr>
        <sz val="13"/>
        <rFont val="Calibri"/>
        <family val="2"/>
      </rPr>
      <t>Φ</t>
    </r>
    <r>
      <rPr>
        <sz val="13"/>
        <rFont val="Times New Roman"/>
        <family val="1"/>
      </rPr>
      <t>400 H10 miệng loe</t>
    </r>
  </si>
  <si>
    <r>
      <t xml:space="preserve">Ống cống BTLT ƯLT 4m </t>
    </r>
    <r>
      <rPr>
        <sz val="13"/>
        <rFont val="Calibri"/>
        <family val="2"/>
      </rPr>
      <t>Φ</t>
    </r>
    <r>
      <rPr>
        <sz val="13"/>
        <rFont val="Times New Roman"/>
        <family val="1"/>
      </rPr>
      <t>400 H30 miệng loe</t>
    </r>
  </si>
  <si>
    <r>
      <t xml:space="preserve">Ống cống BTLT ƯLT 4m </t>
    </r>
    <r>
      <rPr>
        <sz val="13"/>
        <rFont val="Calibri"/>
        <family val="2"/>
      </rPr>
      <t>Φ</t>
    </r>
    <r>
      <rPr>
        <sz val="13"/>
        <rFont val="Times New Roman"/>
        <family val="1"/>
      </rPr>
      <t>300 VH miệng loe</t>
    </r>
  </si>
  <si>
    <r>
      <t xml:space="preserve">Ống cống BTLT ƯLT 4m </t>
    </r>
    <r>
      <rPr>
        <sz val="13"/>
        <rFont val="Calibri"/>
        <family val="2"/>
      </rPr>
      <t>Φ</t>
    </r>
    <r>
      <rPr>
        <sz val="13"/>
        <rFont val="Times New Roman"/>
        <family val="1"/>
      </rPr>
      <t>300 H10 miệng loe</t>
    </r>
  </si>
  <si>
    <r>
      <t xml:space="preserve">Ống cống BTLT ƯLT 4m </t>
    </r>
    <r>
      <rPr>
        <sz val="13"/>
        <rFont val="Calibri"/>
        <family val="2"/>
      </rPr>
      <t>Φ</t>
    </r>
    <r>
      <rPr>
        <sz val="13"/>
        <rFont val="Times New Roman"/>
        <family val="1"/>
      </rPr>
      <t>300 H30 miệng loe</t>
    </r>
  </si>
  <si>
    <r>
      <t>Hoạt tải 3 x 10</t>
    </r>
    <r>
      <rPr>
        <vertAlign val="superscript"/>
        <sz val="13"/>
        <rFont val="Times New Roman"/>
        <family val="1"/>
      </rPr>
      <t>-3</t>
    </r>
    <r>
      <rPr>
        <sz val="13"/>
        <rFont val="Times New Roman"/>
        <family val="1"/>
      </rPr>
      <t xml:space="preserve"> Mpa (cống dọc đường), cấp tải thấp</t>
    </r>
  </si>
  <si>
    <r>
      <t xml:space="preserve"> - Cọc bê tông dự ứng lực sản xuất theo tiêu chuẩn 22TCN272-05 và TCXD 205:1998, Cường độ thép 17.250kg/cm</t>
    </r>
    <r>
      <rPr>
        <b/>
        <vertAlign val="superscript"/>
        <sz val="13"/>
        <rFont val="Times New Roman"/>
        <family val="1"/>
      </rPr>
      <t>2</t>
    </r>
  </si>
  <si>
    <r>
      <t xml:space="preserve">Gối cống </t>
    </r>
    <r>
      <rPr>
        <sz val="13"/>
        <rFont val="Calibri"/>
        <family val="2"/>
      </rPr>
      <t>Φ</t>
    </r>
    <r>
      <rPr>
        <sz val="13"/>
        <rFont val="Times New Roman"/>
        <family val="1"/>
      </rPr>
      <t xml:space="preserve"> 400 </t>
    </r>
  </si>
  <si>
    <r>
      <t xml:space="preserve">Gối cống </t>
    </r>
    <r>
      <rPr>
        <sz val="13"/>
        <rFont val="Calibri"/>
        <family val="2"/>
      </rPr>
      <t>Φ</t>
    </r>
    <r>
      <rPr>
        <sz val="13"/>
        <rFont val="Times New Roman"/>
        <family val="1"/>
      </rPr>
      <t xml:space="preserve"> 600</t>
    </r>
  </si>
  <si>
    <r>
      <t xml:space="preserve">Gối cống </t>
    </r>
    <r>
      <rPr>
        <sz val="13"/>
        <rFont val="Calibri"/>
        <family val="2"/>
      </rPr>
      <t>Φ</t>
    </r>
    <r>
      <rPr>
        <sz val="13"/>
        <rFont val="Times New Roman"/>
        <family val="1"/>
      </rPr>
      <t xml:space="preserve"> 800</t>
    </r>
  </si>
  <si>
    <r>
      <t xml:space="preserve">Gối cống </t>
    </r>
    <r>
      <rPr>
        <sz val="13"/>
        <rFont val="Calibri"/>
        <family val="2"/>
      </rPr>
      <t>Φ</t>
    </r>
    <r>
      <rPr>
        <sz val="13"/>
        <rFont val="Times New Roman"/>
        <family val="1"/>
      </rPr>
      <t xml:space="preserve"> 100</t>
    </r>
  </si>
  <si>
    <r>
      <t xml:space="preserve">Ron hình thang </t>
    </r>
    <r>
      <rPr>
        <sz val="13"/>
        <rFont val="Calibri"/>
        <family val="2"/>
      </rPr>
      <t>Φ 300</t>
    </r>
  </si>
  <si>
    <r>
      <t xml:space="preserve">Ron hình thang </t>
    </r>
    <r>
      <rPr>
        <sz val="13"/>
        <rFont val="Calibri"/>
        <family val="2"/>
      </rPr>
      <t>Φ 400</t>
    </r>
  </si>
  <si>
    <r>
      <t xml:space="preserve">Ron hình thang </t>
    </r>
    <r>
      <rPr>
        <sz val="13"/>
        <rFont val="Calibri"/>
        <family val="2"/>
      </rPr>
      <t>Φ 600</t>
    </r>
  </si>
  <si>
    <r>
      <t xml:space="preserve">Ron hình thang </t>
    </r>
    <r>
      <rPr>
        <sz val="13"/>
        <rFont val="Calibri"/>
        <family val="2"/>
      </rPr>
      <t>Φ 800</t>
    </r>
  </si>
  <si>
    <r>
      <t xml:space="preserve">Ron hình thang </t>
    </r>
    <r>
      <rPr>
        <sz val="13"/>
        <rFont val="Calibri"/>
        <family val="2"/>
      </rPr>
      <t>Φ 1000</t>
    </r>
  </si>
  <si>
    <r>
      <t xml:space="preserve">Ron hình tam giác </t>
    </r>
    <r>
      <rPr>
        <sz val="13"/>
        <rFont val="Calibri"/>
        <family val="2"/>
      </rPr>
      <t>Φ</t>
    </r>
    <r>
      <rPr>
        <sz val="13"/>
        <rFont val="Times New Roman"/>
        <family val="1"/>
      </rPr>
      <t xml:space="preserve"> 300</t>
    </r>
  </si>
  <si>
    <r>
      <t xml:space="preserve">Ron hình tam giác </t>
    </r>
    <r>
      <rPr>
        <sz val="13"/>
        <rFont val="Calibri"/>
        <family val="2"/>
      </rPr>
      <t>Φ</t>
    </r>
    <r>
      <rPr>
        <sz val="13"/>
        <rFont val="Times New Roman"/>
        <family val="1"/>
      </rPr>
      <t xml:space="preserve"> 400</t>
    </r>
  </si>
  <si>
    <r>
      <t xml:space="preserve">Ron hình tam giác </t>
    </r>
    <r>
      <rPr>
        <sz val="13"/>
        <rFont val="Calibri"/>
        <family val="2"/>
      </rPr>
      <t>Φ</t>
    </r>
    <r>
      <rPr>
        <sz val="13"/>
        <rFont val="Times New Roman"/>
        <family val="1"/>
      </rPr>
      <t xml:space="preserve"> 600</t>
    </r>
  </si>
  <si>
    <r>
      <t xml:space="preserve">Ron hình tam giác </t>
    </r>
    <r>
      <rPr>
        <sz val="13"/>
        <rFont val="Calibri"/>
        <family val="2"/>
      </rPr>
      <t>Φ</t>
    </r>
    <r>
      <rPr>
        <sz val="13"/>
        <rFont val="Times New Roman"/>
        <family val="1"/>
      </rPr>
      <t xml:space="preserve"> 800</t>
    </r>
  </si>
  <si>
    <r>
      <t xml:space="preserve">Ron hình tam giác </t>
    </r>
    <r>
      <rPr>
        <sz val="13"/>
        <rFont val="Calibri"/>
        <family val="2"/>
      </rPr>
      <t>Φ</t>
    </r>
    <r>
      <rPr>
        <sz val="13"/>
        <rFont val="Times New Roman"/>
        <family val="1"/>
      </rPr>
      <t xml:space="preserve"> 1000</t>
    </r>
  </si>
  <si>
    <r>
      <t xml:space="preserve">Thép thanh vằn D12 </t>
    </r>
    <r>
      <rPr>
        <sz val="13"/>
        <rFont val="Calibri"/>
        <family val="2"/>
      </rPr>
      <t>÷</t>
    </r>
    <r>
      <rPr>
        <sz val="13"/>
        <rFont val="Times New Roman"/>
        <family val="1"/>
      </rPr>
      <t xml:space="preserve"> D32 mác CB300V/SD295A</t>
    </r>
  </si>
  <si>
    <r>
      <t xml:space="preserve">Thép thanh vằn D12 </t>
    </r>
    <r>
      <rPr>
        <sz val="13"/>
        <rFont val="Calibri"/>
        <family val="2"/>
      </rPr>
      <t>÷</t>
    </r>
    <r>
      <rPr>
        <sz val="13"/>
        <rFont val="Times New Roman"/>
        <family val="1"/>
      </rPr>
      <t xml:space="preserve"> D32 mác CB400V/SD390/G60</t>
    </r>
  </si>
  <si>
    <r>
      <t xml:space="preserve">  - Khung thép, xà gồ thép khẩu độ lớn, mạ kẽm cường độ cao Lysaght Zine Hi Ten 275g/m</t>
    </r>
    <r>
      <rPr>
        <b/>
        <vertAlign val="superscript"/>
        <sz val="13"/>
        <rFont val="Times New Roman"/>
        <family val="1"/>
      </rPr>
      <t>2</t>
    </r>
    <r>
      <rPr>
        <b/>
        <sz val="13"/>
        <rFont val="Times New Roman"/>
        <family val="1"/>
      </rPr>
      <t>, G450Mpa (chưa tính công lắp đặt Tôn)</t>
    </r>
  </si>
  <si>
    <r>
      <t>đ/m</t>
    </r>
    <r>
      <rPr>
        <vertAlign val="superscript"/>
        <sz val="13"/>
        <rFont val="Times New Roman"/>
        <family val="1"/>
      </rPr>
      <t>2</t>
    </r>
  </si>
  <si>
    <r>
      <t xml:space="preserve"> Ngói lợp 22 viên/m</t>
    </r>
    <r>
      <rPr>
        <vertAlign val="superscript"/>
        <sz val="13"/>
        <rFont val="Times New Roman"/>
        <family val="1"/>
      </rPr>
      <t>2</t>
    </r>
    <r>
      <rPr>
        <sz val="13"/>
        <rFont val="Times New Roman"/>
        <family val="1"/>
      </rPr>
      <t xml:space="preserve"> (hóa chất)</t>
    </r>
  </si>
  <si>
    <r>
      <t xml:space="preserve"> Ngói vẫy cá 65 viên/m</t>
    </r>
    <r>
      <rPr>
        <vertAlign val="superscript"/>
        <sz val="13"/>
        <rFont val="Times New Roman"/>
        <family val="1"/>
      </rPr>
      <t xml:space="preserve">2 </t>
    </r>
    <r>
      <rPr>
        <sz val="13"/>
        <rFont val="Times New Roman"/>
        <family val="1"/>
      </rPr>
      <t>(hóa chất)</t>
    </r>
  </si>
  <si>
    <r>
      <t>Gạch 40cmx40cm (1 thùng 6 viên tương đương 0,96m</t>
    </r>
    <r>
      <rPr>
        <vertAlign val="superscript"/>
        <sz val="13"/>
        <rFont val="Times New Roman"/>
        <family val="1"/>
      </rPr>
      <t>2</t>
    </r>
    <r>
      <rPr>
        <sz val="13"/>
        <rFont val="Times New Roman"/>
        <family val="1"/>
      </rPr>
      <t>) các mã số mới: 4000, 4063, 4069, 4080, 4086, 4087, 4089, 4094, 4095, 4096, 4097, 4098, 4099, 4101, 4107, 4108, 4110,…</t>
    </r>
  </si>
  <si>
    <r>
      <t>Gạch 25cmx40cm (1 thùng 10 viên tương đương 1m</t>
    </r>
    <r>
      <rPr>
        <vertAlign val="superscript"/>
        <sz val="13"/>
        <rFont val="Times New Roman"/>
        <family val="1"/>
      </rPr>
      <t>2</t>
    </r>
    <r>
      <rPr>
        <sz val="13"/>
        <rFont val="Times New Roman"/>
        <family val="1"/>
      </rPr>
      <t>) men bóng</t>
    </r>
  </si>
  <si>
    <r>
      <t>Gạch men 25cm x 40cm (10 viên/hộp/1m</t>
    </r>
    <r>
      <rPr>
        <vertAlign val="superscript"/>
        <sz val="13"/>
        <rFont val="Times New Roman"/>
        <family val="1"/>
      </rPr>
      <t>2</t>
    </r>
    <r>
      <rPr>
        <sz val="13"/>
        <rFont val="Times New Roman"/>
        <family val="1"/>
      </rPr>
      <t>). Loại 1. Mã số : 2403, 2404, 2405,…</t>
    </r>
  </si>
  <si>
    <r>
      <t>Gạch men 30cm x 30cm (11 viên/hộp/1m</t>
    </r>
    <r>
      <rPr>
        <vertAlign val="superscript"/>
        <sz val="13"/>
        <rFont val="Times New Roman"/>
        <family val="1"/>
      </rPr>
      <t>2</t>
    </r>
    <r>
      <rPr>
        <sz val="13"/>
        <rFont val="Times New Roman"/>
        <family val="1"/>
      </rPr>
      <t>). Loại 1. Mã số TASA: 3001, 3002, 3004, 3005,...</t>
    </r>
  </si>
  <si>
    <r>
      <t>Gạch men 40cm x 40cm (6 viên/hộp/0.96m</t>
    </r>
    <r>
      <rPr>
        <vertAlign val="superscript"/>
        <sz val="13"/>
        <rFont val="Times New Roman"/>
        <family val="1"/>
      </rPr>
      <t>2</t>
    </r>
    <r>
      <rPr>
        <sz val="13"/>
        <rFont val="Times New Roman"/>
        <family val="1"/>
      </rPr>
      <t>). Loại 1. Mã số TASA: 4402, 4403, 4406,…</t>
    </r>
  </si>
  <si>
    <r>
      <t>đ/m</t>
    </r>
    <r>
      <rPr>
        <vertAlign val="superscript"/>
        <sz val="13"/>
        <rFont val="Times New Roman"/>
        <family val="1"/>
      </rPr>
      <t>2</t>
    </r>
    <r>
      <rPr>
        <sz val="13"/>
        <rFont val="Times New Roman"/>
        <family val="1"/>
      </rPr>
      <t>lưới</t>
    </r>
  </si>
  <si>
    <r>
      <t xml:space="preserve"> Co 45</t>
    </r>
    <r>
      <rPr>
        <vertAlign val="superscript"/>
        <sz val="13"/>
        <rFont val="Times New Roman"/>
        <family val="1"/>
      </rPr>
      <t>0</t>
    </r>
    <r>
      <rPr>
        <sz val="13"/>
        <rFont val="Times New Roman"/>
        <family val="1"/>
      </rPr>
      <t xml:space="preserve">  fi 42 (1-1/4")</t>
    </r>
  </si>
  <si>
    <r>
      <t xml:space="preserve"> Co 45</t>
    </r>
    <r>
      <rPr>
        <vertAlign val="superscript"/>
        <sz val="13"/>
        <rFont val="Times New Roman"/>
        <family val="1"/>
      </rPr>
      <t>0</t>
    </r>
    <r>
      <rPr>
        <sz val="13"/>
        <rFont val="Times New Roman"/>
        <family val="1"/>
      </rPr>
      <t xml:space="preserve">  fi 49 (1-1/2")</t>
    </r>
  </si>
  <si>
    <r>
      <t xml:space="preserve"> Co 45</t>
    </r>
    <r>
      <rPr>
        <vertAlign val="superscript"/>
        <sz val="13"/>
        <rFont val="Times New Roman"/>
        <family val="1"/>
      </rPr>
      <t>0</t>
    </r>
    <r>
      <rPr>
        <sz val="13"/>
        <rFont val="Times New Roman"/>
        <family val="1"/>
      </rPr>
      <t xml:space="preserve">  fi 60 (2") </t>
    </r>
  </si>
  <si>
    <r>
      <t xml:space="preserve"> Co 45</t>
    </r>
    <r>
      <rPr>
        <vertAlign val="superscript"/>
        <sz val="13"/>
        <rFont val="Times New Roman"/>
        <family val="1"/>
      </rPr>
      <t>0</t>
    </r>
    <r>
      <rPr>
        <sz val="13"/>
        <rFont val="Times New Roman"/>
        <family val="1"/>
      </rPr>
      <t xml:space="preserve">  fi 76 (2-1/2")</t>
    </r>
  </si>
  <si>
    <r>
      <t xml:space="preserve"> Co 45</t>
    </r>
    <r>
      <rPr>
        <vertAlign val="superscript"/>
        <sz val="13"/>
        <rFont val="Times New Roman"/>
        <family val="1"/>
      </rPr>
      <t>0</t>
    </r>
    <r>
      <rPr>
        <sz val="13"/>
        <rFont val="Times New Roman"/>
        <family val="1"/>
      </rPr>
      <t xml:space="preserve">  fi 90 (3") </t>
    </r>
  </si>
  <si>
    <r>
      <t xml:space="preserve"> Co 45</t>
    </r>
    <r>
      <rPr>
        <vertAlign val="superscript"/>
        <sz val="13"/>
        <rFont val="Times New Roman"/>
        <family val="1"/>
      </rPr>
      <t>0</t>
    </r>
    <r>
      <rPr>
        <sz val="13"/>
        <rFont val="Times New Roman"/>
        <family val="1"/>
      </rPr>
      <t xml:space="preserve"> fi 114 (4")</t>
    </r>
  </si>
  <si>
    <r>
      <t xml:space="preserve"> Co 45</t>
    </r>
    <r>
      <rPr>
        <vertAlign val="superscript"/>
        <sz val="13"/>
        <rFont val="Times New Roman"/>
        <family val="1"/>
      </rPr>
      <t>0</t>
    </r>
    <r>
      <rPr>
        <sz val="13"/>
        <rFont val="Times New Roman"/>
        <family val="1"/>
      </rPr>
      <t xml:space="preserve"> fi 168 (6")</t>
    </r>
  </si>
  <si>
    <r>
      <t xml:space="preserve"> Co 45</t>
    </r>
    <r>
      <rPr>
        <vertAlign val="superscript"/>
        <sz val="13"/>
        <rFont val="Times New Roman"/>
        <family val="1"/>
      </rPr>
      <t>0</t>
    </r>
    <r>
      <rPr>
        <sz val="13"/>
        <rFont val="Times New Roman"/>
        <family val="1"/>
      </rPr>
      <t xml:space="preserve">  fi 50</t>
    </r>
  </si>
  <si>
    <r>
      <t xml:space="preserve"> Co 45</t>
    </r>
    <r>
      <rPr>
        <vertAlign val="superscript"/>
        <sz val="13"/>
        <rFont val="Times New Roman"/>
        <family val="1"/>
      </rPr>
      <t>0</t>
    </r>
    <r>
      <rPr>
        <sz val="13"/>
        <rFont val="Times New Roman"/>
        <family val="1"/>
      </rPr>
      <t xml:space="preserve">  fi 63 </t>
    </r>
  </si>
  <si>
    <r>
      <t xml:space="preserve"> Co 45</t>
    </r>
    <r>
      <rPr>
        <vertAlign val="superscript"/>
        <sz val="13"/>
        <rFont val="Times New Roman"/>
        <family val="1"/>
      </rPr>
      <t>0</t>
    </r>
    <r>
      <rPr>
        <sz val="13"/>
        <rFont val="Times New Roman"/>
        <family val="1"/>
      </rPr>
      <t xml:space="preserve">  fi 75</t>
    </r>
  </si>
  <si>
    <r>
      <t xml:space="preserve"> Co 45</t>
    </r>
    <r>
      <rPr>
        <vertAlign val="superscript"/>
        <sz val="13"/>
        <rFont val="Times New Roman"/>
        <family val="1"/>
      </rPr>
      <t>0</t>
    </r>
    <r>
      <rPr>
        <sz val="13"/>
        <rFont val="Times New Roman"/>
        <family val="1"/>
      </rPr>
      <t xml:space="preserve">  fi 90 </t>
    </r>
  </si>
  <si>
    <r>
      <t xml:space="preserve"> Co 45</t>
    </r>
    <r>
      <rPr>
        <vertAlign val="superscript"/>
        <sz val="13"/>
        <rFont val="Times New Roman"/>
        <family val="1"/>
      </rPr>
      <t>0</t>
    </r>
    <r>
      <rPr>
        <sz val="13"/>
        <rFont val="Times New Roman"/>
        <family val="1"/>
      </rPr>
      <t xml:space="preserve"> fi 110 </t>
    </r>
  </si>
  <si>
    <r>
      <t xml:space="preserve"> Co 45</t>
    </r>
    <r>
      <rPr>
        <vertAlign val="superscript"/>
        <sz val="13"/>
        <rFont val="Times New Roman"/>
        <family val="1"/>
      </rPr>
      <t>0</t>
    </r>
    <r>
      <rPr>
        <sz val="13"/>
        <rFont val="Times New Roman"/>
        <family val="1"/>
      </rPr>
      <t xml:space="preserve"> fi 140 </t>
    </r>
  </si>
  <si>
    <r>
      <t xml:space="preserve"> Co 45</t>
    </r>
    <r>
      <rPr>
        <vertAlign val="superscript"/>
        <sz val="13"/>
        <rFont val="Times New Roman"/>
        <family val="1"/>
      </rPr>
      <t>0</t>
    </r>
    <r>
      <rPr>
        <sz val="13"/>
        <rFont val="Times New Roman"/>
        <family val="1"/>
      </rPr>
      <t xml:space="preserve"> fi 160 </t>
    </r>
  </si>
  <si>
    <r>
      <t xml:space="preserve"> Co 45</t>
    </r>
    <r>
      <rPr>
        <vertAlign val="superscript"/>
        <sz val="13"/>
        <rFont val="Times New Roman"/>
        <family val="1"/>
      </rPr>
      <t>0</t>
    </r>
    <r>
      <rPr>
        <sz val="13"/>
        <rFont val="Times New Roman"/>
        <family val="1"/>
      </rPr>
      <t xml:space="preserve"> fi 200</t>
    </r>
  </si>
  <si>
    <r>
      <t xml:space="preserve"> Co 45</t>
    </r>
    <r>
      <rPr>
        <vertAlign val="superscript"/>
        <sz val="13"/>
        <rFont val="Times New Roman"/>
        <family val="1"/>
      </rPr>
      <t>0</t>
    </r>
    <r>
      <rPr>
        <sz val="13"/>
        <rFont val="Times New Roman"/>
        <family val="1"/>
      </rPr>
      <t xml:space="preserve"> 21 dày</t>
    </r>
  </si>
  <si>
    <r>
      <t xml:space="preserve"> Co 45</t>
    </r>
    <r>
      <rPr>
        <vertAlign val="superscript"/>
        <sz val="13"/>
        <rFont val="Times New Roman"/>
        <family val="1"/>
      </rPr>
      <t>0</t>
    </r>
    <r>
      <rPr>
        <sz val="13"/>
        <rFont val="Times New Roman"/>
        <family val="1"/>
      </rPr>
      <t xml:space="preserve"> 27 dày</t>
    </r>
  </si>
  <si>
    <r>
      <t xml:space="preserve"> Co 45</t>
    </r>
    <r>
      <rPr>
        <vertAlign val="superscript"/>
        <sz val="13"/>
        <rFont val="Times New Roman"/>
        <family val="1"/>
      </rPr>
      <t>0</t>
    </r>
    <r>
      <rPr>
        <sz val="13"/>
        <rFont val="Times New Roman"/>
        <family val="1"/>
      </rPr>
      <t xml:space="preserve"> 34 dày</t>
    </r>
  </si>
  <si>
    <r>
      <t xml:space="preserve"> Co 45</t>
    </r>
    <r>
      <rPr>
        <vertAlign val="superscript"/>
        <sz val="13"/>
        <rFont val="Times New Roman"/>
        <family val="1"/>
      </rPr>
      <t>0</t>
    </r>
    <r>
      <rPr>
        <sz val="13"/>
        <rFont val="Times New Roman"/>
        <family val="1"/>
      </rPr>
      <t xml:space="preserve"> 42 dày</t>
    </r>
  </si>
  <si>
    <r>
      <t xml:space="preserve"> Co 45</t>
    </r>
    <r>
      <rPr>
        <vertAlign val="superscript"/>
        <sz val="13"/>
        <rFont val="Times New Roman"/>
        <family val="1"/>
      </rPr>
      <t>0</t>
    </r>
    <r>
      <rPr>
        <sz val="13"/>
        <rFont val="Times New Roman"/>
        <family val="1"/>
      </rPr>
      <t xml:space="preserve"> 49 dày</t>
    </r>
  </si>
  <si>
    <r>
      <t xml:space="preserve"> Co 45</t>
    </r>
    <r>
      <rPr>
        <vertAlign val="superscript"/>
        <sz val="13"/>
        <rFont val="Times New Roman"/>
        <family val="1"/>
      </rPr>
      <t>0</t>
    </r>
    <r>
      <rPr>
        <sz val="13"/>
        <rFont val="Times New Roman"/>
        <family val="1"/>
      </rPr>
      <t xml:space="preserve"> 60 dày</t>
    </r>
  </si>
  <si>
    <r>
      <t xml:space="preserve"> Co 45</t>
    </r>
    <r>
      <rPr>
        <vertAlign val="superscript"/>
        <sz val="13"/>
        <rFont val="Times New Roman"/>
        <family val="1"/>
      </rPr>
      <t>0</t>
    </r>
    <r>
      <rPr>
        <sz val="13"/>
        <rFont val="Times New Roman"/>
        <family val="1"/>
      </rPr>
      <t xml:space="preserve"> 75 TC</t>
    </r>
  </si>
  <si>
    <r>
      <t xml:space="preserve"> Co 45</t>
    </r>
    <r>
      <rPr>
        <vertAlign val="superscript"/>
        <sz val="13"/>
        <rFont val="Times New Roman"/>
        <family val="1"/>
      </rPr>
      <t>0</t>
    </r>
    <r>
      <rPr>
        <sz val="13"/>
        <rFont val="Times New Roman"/>
        <family val="1"/>
      </rPr>
      <t xml:space="preserve"> 90 dày</t>
    </r>
  </si>
  <si>
    <r>
      <t xml:space="preserve"> Co 45</t>
    </r>
    <r>
      <rPr>
        <vertAlign val="superscript"/>
        <sz val="13"/>
        <rFont val="Times New Roman"/>
        <family val="1"/>
      </rPr>
      <t>0</t>
    </r>
    <r>
      <rPr>
        <sz val="13"/>
        <rFont val="Times New Roman"/>
        <family val="1"/>
      </rPr>
      <t xml:space="preserve"> 110 dày</t>
    </r>
  </si>
  <si>
    <r>
      <t xml:space="preserve"> Co 45</t>
    </r>
    <r>
      <rPr>
        <vertAlign val="superscript"/>
        <sz val="13"/>
        <rFont val="Times New Roman"/>
        <family val="1"/>
      </rPr>
      <t>0</t>
    </r>
    <r>
      <rPr>
        <sz val="13"/>
        <rFont val="Times New Roman"/>
        <family val="1"/>
      </rPr>
      <t xml:space="preserve"> 114 dày</t>
    </r>
  </si>
  <si>
    <r>
      <t xml:space="preserve"> Co 45</t>
    </r>
    <r>
      <rPr>
        <vertAlign val="superscript"/>
        <sz val="13"/>
        <rFont val="Times New Roman"/>
        <family val="1"/>
      </rPr>
      <t>0</t>
    </r>
    <r>
      <rPr>
        <sz val="13"/>
        <rFont val="Times New Roman"/>
        <family val="1"/>
      </rPr>
      <t xml:space="preserve"> 140 dày</t>
    </r>
  </si>
  <si>
    <r>
      <t xml:space="preserve"> Co 45</t>
    </r>
    <r>
      <rPr>
        <vertAlign val="superscript"/>
        <sz val="13"/>
        <rFont val="Times New Roman"/>
        <family val="1"/>
      </rPr>
      <t>0</t>
    </r>
    <r>
      <rPr>
        <sz val="13"/>
        <rFont val="Times New Roman"/>
        <family val="1"/>
      </rPr>
      <t xml:space="preserve"> 168  TC</t>
    </r>
  </si>
  <si>
    <r>
      <t xml:space="preserve"> Nối thẳng </t>
    </r>
    <r>
      <rPr>
        <sz val="13"/>
        <rFont val="VNI-Times"/>
      </rPr>
      <t>Þ</t>
    </r>
    <r>
      <rPr>
        <sz val="13"/>
        <rFont val="Times New Roman"/>
        <family val="1"/>
      </rPr>
      <t xml:space="preserve">  21 D</t>
    </r>
  </si>
  <si>
    <r>
      <t xml:space="preserve"> Nối thẳng </t>
    </r>
    <r>
      <rPr>
        <sz val="13"/>
        <rFont val="VNI-Times"/>
      </rPr>
      <t>Þ</t>
    </r>
    <r>
      <rPr>
        <sz val="13"/>
        <rFont val="Times New Roman"/>
        <family val="1"/>
      </rPr>
      <t xml:space="preserve">  27 D</t>
    </r>
  </si>
  <si>
    <r>
      <t xml:space="preserve"> Nối thẳng </t>
    </r>
    <r>
      <rPr>
        <sz val="13"/>
        <rFont val="VNI-Times"/>
      </rPr>
      <t>Þ</t>
    </r>
    <r>
      <rPr>
        <sz val="13"/>
        <rFont val="Times New Roman"/>
        <family val="1"/>
      </rPr>
      <t xml:space="preserve">  34 D</t>
    </r>
  </si>
  <si>
    <r>
      <t xml:space="preserve"> Nối thẳng </t>
    </r>
    <r>
      <rPr>
        <sz val="13"/>
        <rFont val="VNI-Times"/>
      </rPr>
      <t>Þ</t>
    </r>
    <r>
      <rPr>
        <sz val="13"/>
        <rFont val="Times New Roman"/>
        <family val="1"/>
      </rPr>
      <t xml:space="preserve">  42 D</t>
    </r>
  </si>
  <si>
    <r>
      <t xml:space="preserve"> Nối thẳng </t>
    </r>
    <r>
      <rPr>
        <sz val="13"/>
        <rFont val="VNI-Times"/>
      </rPr>
      <t>Þ</t>
    </r>
    <r>
      <rPr>
        <sz val="13"/>
        <rFont val="Times New Roman"/>
        <family val="1"/>
      </rPr>
      <t xml:space="preserve">  60 D</t>
    </r>
  </si>
  <si>
    <r>
      <t xml:space="preserve"> Nối thẳng </t>
    </r>
    <r>
      <rPr>
        <sz val="13"/>
        <rFont val="VNI-Times"/>
      </rPr>
      <t>Þ</t>
    </r>
    <r>
      <rPr>
        <sz val="13"/>
        <rFont val="Times New Roman"/>
        <family val="1"/>
      </rPr>
      <t xml:space="preserve">  90 D</t>
    </r>
  </si>
  <si>
    <r>
      <t xml:space="preserve"> Nối thẳng </t>
    </r>
    <r>
      <rPr>
        <sz val="13"/>
        <rFont val="VNI-Times"/>
      </rPr>
      <t>Þ</t>
    </r>
    <r>
      <rPr>
        <sz val="13"/>
        <rFont val="Times New Roman"/>
        <family val="1"/>
      </rPr>
      <t xml:space="preserve">  114 M</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</si>
  <si>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</si>
  <si>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</si>
  <si>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</si>
  <si>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</si>
  <si>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</si>
  <si>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</si>
  <si>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M</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</si>
  <si>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</si>
  <si>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</si>
  <si>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</si>
  <si>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</si>
  <si>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</si>
  <si>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</si>
  <si>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</si>
  <si>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</si>
  <si>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</si>
  <si>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</si>
  <si>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</si>
  <si>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</si>
  <si>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</si>
  <si>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</si>
  <si>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</si>
  <si>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</si>
  <si>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</si>
  <si>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</si>
  <si>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</si>
  <si>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</si>
  <si>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 xml:space="preserve"> Nối trơn </t>
    </r>
    <r>
      <rPr>
        <sz val="13"/>
        <rFont val="VNI-Times"/>
      </rPr>
      <t>Þ</t>
    </r>
    <r>
      <rPr>
        <sz val="13"/>
        <rFont val="Times New Roman"/>
        <family val="1"/>
      </rPr>
      <t xml:space="preserve">  21 dày</t>
    </r>
  </si>
  <si>
    <r>
      <t xml:space="preserve"> Nối trơn </t>
    </r>
    <r>
      <rPr>
        <sz val="13"/>
        <rFont val="VNI-Times"/>
      </rPr>
      <t>Þ</t>
    </r>
    <r>
      <rPr>
        <sz val="13"/>
        <rFont val="Times New Roman"/>
        <family val="1"/>
      </rPr>
      <t xml:space="preserve">  27 dày</t>
    </r>
  </si>
  <si>
    <r>
      <t xml:space="preserve"> Nối trơn </t>
    </r>
    <r>
      <rPr>
        <sz val="13"/>
        <rFont val="VNI-Times"/>
      </rPr>
      <t>Þ</t>
    </r>
    <r>
      <rPr>
        <sz val="13"/>
        <rFont val="Times New Roman"/>
        <family val="1"/>
      </rPr>
      <t xml:space="preserve">  34 dày</t>
    </r>
  </si>
  <si>
    <r>
      <t xml:space="preserve"> Nối trơn </t>
    </r>
    <r>
      <rPr>
        <sz val="13"/>
        <rFont val="VNI-Times"/>
      </rPr>
      <t>Þ</t>
    </r>
    <r>
      <rPr>
        <sz val="13"/>
        <rFont val="Times New Roman"/>
        <family val="1"/>
      </rPr>
      <t xml:space="preserve">  42 dày</t>
    </r>
  </si>
  <si>
    <r>
      <t xml:space="preserve"> Nối trơn </t>
    </r>
    <r>
      <rPr>
        <sz val="13"/>
        <rFont val="VNI-Times"/>
      </rPr>
      <t>Þ</t>
    </r>
    <r>
      <rPr>
        <sz val="13"/>
        <rFont val="Times New Roman"/>
        <family val="1"/>
      </rPr>
      <t xml:space="preserve">  49 dày</t>
    </r>
  </si>
  <si>
    <r>
      <t xml:space="preserve"> Nối trơn </t>
    </r>
    <r>
      <rPr>
        <sz val="13"/>
        <rFont val="VNI-Times"/>
      </rPr>
      <t>Þ</t>
    </r>
    <r>
      <rPr>
        <sz val="13"/>
        <rFont val="Times New Roman"/>
        <family val="1"/>
      </rPr>
      <t xml:space="preserve">  60 dày</t>
    </r>
  </si>
  <si>
    <r>
      <t xml:space="preserve">     * </t>
    </r>
    <r>
      <rPr>
        <b/>
        <u/>
        <sz val="12"/>
        <rFont val="Times New Roman"/>
        <family val="1"/>
      </rPr>
      <t>Ghi chú</t>
    </r>
    <r>
      <rPr>
        <b/>
        <sz val="12"/>
        <rFont val="Times New Roman"/>
        <family val="1"/>
      </rPr>
      <t xml:space="preserve">:  </t>
    </r>
  </si>
  <si>
    <r>
      <t xml:space="preserve"> </t>
    </r>
    <r>
      <rPr>
        <b/>
        <sz val="14"/>
        <rFont val="Times New Roman"/>
        <family val="1"/>
      </rPr>
      <t>Máy bơm nước</t>
    </r>
  </si>
  <si>
    <t>* Công ty Cổ phần Nhựa Bình Minh (Phía Nam: 240 Hậu Giang, P.9, Q.6, Tp.HCM). Theo văn bản đến bảng giá ngày 04/01/2017</t>
  </si>
  <si>
    <t>Lysaght Trimdek 0.43mmAPTx1015mmCOLORBONDXRW-G550AZ150</t>
  </si>
  <si>
    <t>Lysaght Trimdek 0.48mmAPTx1015mmCOLORBONDXRW-G550AZ150</t>
  </si>
  <si>
    <t xml:space="preserve"> * Giá bán gạch TAICERA (loại I) : Công ty Cổ phần Công nghiệp Gốm Sứ TAICERA (bao gồm phí vận chuyển trong khu vực Tp.Long Xuyên). Theo bảng giá ngày 01/01/2017</t>
  </si>
  <si>
    <t xml:space="preserve">    LIÊN SỞ XÂY DỰNG - TÀI CHÍNH                                                                     Độc lập - Tự do - Hạnh phúc     </t>
  </si>
  <si>
    <t>1</t>
  </si>
  <si>
    <t>Đá (0,5 x 2,0)</t>
  </si>
  <si>
    <t>2</t>
  </si>
  <si>
    <t>Đá (1 x 2) sàng 22, sàng 25, sàng 28</t>
  </si>
  <si>
    <t>3</t>
  </si>
  <si>
    <t>Đá (1 x 2) sàng 27</t>
  </si>
  <si>
    <t>4</t>
  </si>
  <si>
    <t>Đá (4 x 6) loại 1</t>
  </si>
  <si>
    <t>5</t>
  </si>
  <si>
    <t>Đá (4 x 6) Dmax63</t>
  </si>
  <si>
    <t>6</t>
  </si>
  <si>
    <t>Đá (4 x 6) loại 2</t>
  </si>
  <si>
    <t>7</t>
  </si>
  <si>
    <t>Đá (5 x 7)</t>
  </si>
  <si>
    <t>8</t>
  </si>
  <si>
    <t>Đá (9 x 15)</t>
  </si>
  <si>
    <t>9</t>
  </si>
  <si>
    <t>Cấp phối (0 x 4) sàng 25</t>
  </si>
  <si>
    <t>10</t>
  </si>
  <si>
    <t>Cấp phối (0 x 4) sàng 37,5</t>
  </si>
  <si>
    <t>11</t>
  </si>
  <si>
    <t>Cấp phối (0 x 4) loại 1</t>
  </si>
  <si>
    <t>12</t>
  </si>
  <si>
    <t>Cấp phối (0 x 4) loại 2</t>
  </si>
  <si>
    <t>13</t>
  </si>
  <si>
    <t>Đá mi sàng</t>
  </si>
  <si>
    <t>14</t>
  </si>
  <si>
    <t>Đá mi sàng (0 x 0,5)</t>
  </si>
  <si>
    <t>15</t>
  </si>
  <si>
    <t>Đá (2 x 4)</t>
  </si>
  <si>
    <t>16</t>
  </si>
  <si>
    <t>Đá (15 x 20)</t>
  </si>
  <si>
    <t>17</t>
  </si>
  <si>
    <t>Đá hộc (20 x 30)</t>
  </si>
  <si>
    <t>18</t>
  </si>
  <si>
    <t>Đá hộc (20 x 60)</t>
  </si>
  <si>
    <t>19</t>
  </si>
  <si>
    <t>Đá (1 x 2) sàng 22 ly tâm</t>
  </si>
  <si>
    <t>20</t>
  </si>
  <si>
    <t>Đá (1 x 2) sàng 27 ly tâm</t>
  </si>
  <si>
    <t>21</t>
  </si>
  <si>
    <t>Đá (0,5 x 2,0) ly tâm</t>
  </si>
  <si>
    <t>22</t>
  </si>
  <si>
    <t>Đá (1,0 x 1,6) ly tâm</t>
  </si>
  <si>
    <t>23</t>
  </si>
  <si>
    <t>Đá (1,0 x 1,9) ly tâm</t>
  </si>
  <si>
    <t>24</t>
  </si>
  <si>
    <t>Đá (1,6 x 2,0) ly tâm</t>
  </si>
  <si>
    <t>25</t>
  </si>
  <si>
    <t>Đá mi sàng ly tâm</t>
  </si>
  <si>
    <t>26</t>
  </si>
  <si>
    <t>Cát nghiền 06</t>
  </si>
  <si>
    <r>
      <t>đồng/m</t>
    </r>
    <r>
      <rPr>
        <vertAlign val="superscript"/>
        <sz val="13"/>
        <rFont val="Times New Roman"/>
        <family val="1"/>
      </rPr>
      <t>3</t>
    </r>
  </si>
  <si>
    <t>đồng/m3</t>
  </si>
  <si>
    <t>Xăng không chì RON 95-III</t>
  </si>
  <si>
    <t>Xăng không chì RON 92-II</t>
  </si>
  <si>
    <t>C &amp; Z 30024 (dày 2,4mm), trọng lượng 10,21kg/m</t>
  </si>
  <si>
    <r>
      <t xml:space="preserve">               UBND TỈNH AN GIANG                                                              </t>
    </r>
    <r>
      <rPr>
        <b/>
        <sz val="14"/>
        <rFont val="Times New Roman"/>
        <family val="1"/>
      </rPr>
      <t>CỘNG HÒA XÃ HỘI CHỦ NGHĨA VIỆT NAM</t>
    </r>
  </si>
  <si>
    <t>* Đá ANTRACO: Cty TNHH Liên Doanh ANTRACO (bao gồm: tiền vận chuyển từ bãi đá thành phẩm đến bến cảng Antraco; tiền bốc xếp xuống phương tiện và thuế VAT) . Theo bảng giá áp dụng từ ngày 01/02/2017</t>
  </si>
  <si>
    <t xml:space="preserve"> * Cty CP XNK Nông Sản Thực Phẩm AG (QL91, Khóm Đông Thạnh B, Mỹ Thạnh, Tp. Long Xuyên, An Giang). Theo bảng giá ngày 16/03/2017</t>
  </si>
  <si>
    <t>CỪ TRÀM: CH Mỹ Linh (Số 19/9E Trần Hưng Đạo, P. Mỹ Quý, Tp.LX, An Giang). Giao hàng trong nội ô Tp.Long Xuyên. Theo bảng giá tham khảo ngày 16/03/2017</t>
  </si>
  <si>
    <t>* Cty Cổ phần Đầu tư và thương mại DIC. (số 952 Nguyễn Xiển, Phường Long Bình, Quận 9, Tp HCM), giá không bao gồm phí vận chuyển. Theo báo giá ngày 24/02/2017</t>
  </si>
  <si>
    <t xml:space="preserve"> * Cty TNHH CN LAMA VN (Đại lý Tín Đạt, số 933/86 đường Phạm Cự Lượng, Tp. LX, AG),  bao gồm phí giao hàng đến công trình tại An Giang, không bao gồm chi phí dỡ hàng xuống. Theo bảng giá ngày 03/03/2017</t>
  </si>
  <si>
    <t xml:space="preserve"> * Giá bán gạch TASA : Cty TNHH Thanh Long Long Xuyên (QL91, ấp Bình Phú 2, xã Hòa Bình, huyện Châu Thành) Theo bảng giá ngày 01/3/2017</t>
  </si>
  <si>
    <t>Tấm trần Ceidek, dày 0,43mmAPT, rộng 150mm - Apex</t>
  </si>
  <si>
    <t>* Cửa EUROWINDOW: Công ty cổ phần EUROWINDOW (địa chỉ Lô số 15, KCN Quang Minh, huyện Mê Linh, Tp Hà Nội). Giao hàng và lắp đặt tại công trình. Theo bảng giá ngày 15/3/2017</t>
  </si>
  <si>
    <t xml:space="preserve"> - Phụ kiện của tole Lysaght Klip-Lok:</t>
  </si>
  <si>
    <t xml:space="preserve"> Đá 9 x 15 xay </t>
  </si>
  <si>
    <t xml:space="preserve"> Đá 0 x 4 chưa đủ cấp phối</t>
  </si>
  <si>
    <t xml:space="preserve"> Đá mi sàng (5-10mm)</t>
  </si>
  <si>
    <t xml:space="preserve"> Bụi (còn gọi là mi bụi)  (0-10mm)</t>
  </si>
  <si>
    <t xml:space="preserve"> Bụi sàng (0-5mm)</t>
  </si>
  <si>
    <r>
      <t>Gạch men 60x60cm (4 viên/hộp/1,44m</t>
    </r>
    <r>
      <rPr>
        <vertAlign val="superscript"/>
        <sz val="13"/>
        <rFont val="Times New Roman"/>
        <family val="1"/>
      </rPr>
      <t>2</t>
    </r>
    <r>
      <rPr>
        <sz val="13"/>
        <rFont val="Times New Roman"/>
        <family val="1"/>
      </rPr>
      <t xml:space="preserve">). Loại 1. Mã số TASA: 6004, 6005, 6006, 6007, 6008, </t>
    </r>
    <r>
      <rPr>
        <sz val="13"/>
        <color indexed="10"/>
        <rFont val="Times New Roman"/>
        <family val="1"/>
      </rPr>
      <t>6011, 6012, 6014, 6015, 6018, 6019, 6020...</t>
    </r>
  </si>
  <si>
    <t>* Sơn Kim Cương: Công ty Cổ phần SX - TM Tâm Thành Long (Đ/c 624 QL 91, Bình Hòa, huyện Châu Thành, tỉnh An Giang) Theo bảng báo giá ngày 01/03/2017)</t>
  </si>
  <si>
    <t>Sơn nội thất Sanda Interior (24 kg)</t>
  </si>
  <si>
    <t>Sơn ngoại thất Sanda Exterior (23kg)</t>
  </si>
  <si>
    <t>Sơn nội thất Kobe Interior (22,5kg)</t>
  </si>
  <si>
    <t>Sơn nội thất Kobe Easy Clean (22,5kg)</t>
  </si>
  <si>
    <t>Sơn ngoại thất Koke Shield Plus (21kg)</t>
  </si>
  <si>
    <t>Sơn bóng nội thất Kobe Max Wash (21,5kg)</t>
  </si>
  <si>
    <t>Sơn ngoại thất Kobe High Sheen (20kg)</t>
  </si>
  <si>
    <t>Sơn lót chống kiềm Sanda (22kg)</t>
  </si>
  <si>
    <t>Sơn chống kiềm Kobe (21,6kg)</t>
  </si>
  <si>
    <t>Bột Sanda nội thất (40kg)</t>
  </si>
  <si>
    <t>Bột Sanda ngoại thất (40kg)</t>
  </si>
  <si>
    <t>SẢN PHẨM ĐÈN SLIM LED JUNSUN</t>
  </si>
  <si>
    <t>d</t>
  </si>
  <si>
    <t>Chênh lệch</t>
  </si>
  <si>
    <t>t3</t>
  </si>
  <si>
    <t>t4</t>
  </si>
  <si>
    <t xml:space="preserve">ĐƠN VỊ </t>
  </si>
  <si>
    <t>Nội dung công bố giá</t>
  </si>
  <si>
    <t>Thời gian đăng ký giá gần nhất</t>
  </si>
  <si>
    <t>Điều chỉnh giá</t>
  </si>
  <si>
    <t>Theo bảng giá ngày 01/02/2017</t>
  </si>
  <si>
    <t xml:space="preserve">* Đá ANTRACO: Cty TNHH Liên Doanh ANTRACO (bao gồm: tiền vận chuyển từ bãi đá thành phẩm đến bến cảng Antraco; tiền bốc xếp xuống phương tiện và thuế VAT) . </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</si>
  <si>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
  </si>
  <si>
    <t>Giữ giá cũ</t>
  </si>
  <si>
    <t xml:space="preserve">* Công ty TNHH Trường Thắng (giao hàng tại KCB Bình Hòa, huyện Châu Thành). </t>
  </si>
  <si>
    <t>Theo bảng giá ngày 16/03/2017</t>
  </si>
  <si>
    <t xml:space="preserve">* Công ty TNHH TM-SX-DV Tín Thịnh (số 102H, Nguyễn Xuân Khoát, P.Tân Thành, Q.Tân Phú, Tp.HCM). </t>
  </si>
  <si>
    <t xml:space="preserve"> * Xí nghiệp Xây dựng - Cty TNHH MTV Xây lắp An Giang, giá bán tại Trạm bê tông nhựa nóng tại khu CN Bình Hòa, huyện Châu Thành, An Giang (giá chưa tính phí khoan nhựa và đo E tại hiện trường).</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</si>
  <si>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
  </si>
  <si>
    <t xml:space="preserve"> Cty CP XNK Nông Sản Thực Phẩm AG (QL91, Khóm Đông Thạnh B, Mỹ Thạnh, Tp. Long Xuyên, An Giang. </t>
  </si>
  <si>
    <t xml:space="preserve">CỪ TRÀM: CH Mỹ Linh (Số 19/9E Trần Hưng Đạo, P. Mỹ Quý, Tp.LX, An Giang). Giao hàng trong nội ô Tp.Long Xuyên. </t>
  </si>
  <si>
    <t xml:space="preserve"> * Công ty Cổ phần Bê tông ly tâm An Giang: giao hàng tại Công ty (bốc dỡ 01 đầu lên phương tiện khách hàng). </t>
  </si>
  <si>
    <t xml:space="preserve"> * Công ty Cổ phần Địa ốc An Giang sản xuất (giao hàng tại Nhà máy cấu kiện bê tông An Giang, xã Vĩnh Thạnh Trung, huyện Châu Phú). </t>
  </si>
  <si>
    <t xml:space="preserve">* Cống Bêtông Ly Tâm : Cty TNHH Trường Thắng (Địa chỉ liên hệ: số 116/5 Thoại Ngọc Hầu, P.Mỹ Phước, Tp.LX, An Giang), giao hàng tại Khu Công nghiệp Bình Hòa, huyện Châu Thành. </t>
  </si>
  <si>
    <t xml:space="preserve"> * Cọc bê tông dự ứng lực: Cty TNHH Thái Sơn An Giang sản xuất (Địa chỉ: Lô 05 KCN Phú Hòa, huyện Thoại Sơn, An Giang), giao hàng tại nơi sản xuất, chưa tính chi phí bốc dỡ vận chuyển. </t>
  </si>
  <si>
    <t xml:space="preserve"> * Cống bê tông ly tâm: Cty TNHH MTV Xây Lắp An Giang sản xuất (giao hàng tại Nhà máy, P. Mỹ Thạnh, Tp. LX).</t>
  </si>
  <si>
    <t xml:space="preserve"> * Xi măng các loại : Cty TNHH MTV Xây Lắp AG (giao tại Nhà máy xi măng An Giang).</t>
  </si>
  <si>
    <t xml:space="preserve"> * Xi măng Vicem Hà Tiên (giá bán tại nhà máy Kiên Lương; trạm nghiền Phú Hữu, trạm nghiền Long An, chưa bao gồm các chi phí khác). </t>
  </si>
  <si>
    <t xml:space="preserve"> * Xi măng Công Thanh : </t>
  </si>
  <si>
    <t xml:space="preserve">* Công ty TNHH Thương mại thép Pomina. Giá chưa bao gồm phí vận chuyển và bẻ, giao hàng trên phương tiện bên mua tại Nhà máy, đường 27, KCN Sóng Thần II, huyện Dĩ An, tỉnh Bình Dương. </t>
  </si>
  <si>
    <t xml:space="preserve">* Công ty Thép Tây Đô: giao hàng tại Nhà máy (lô 45, đường số 2, KCN Trà Nóc 1, Tp.Cần Thơ). </t>
  </si>
  <si>
    <t>* Xí nghiệp Cơ khí Long Xuyên - Cửa hàng KD Sắt Thép, địa chỉ liên hệ: 28/1 Trần Hưng Đạo, P. Mỹ Quý, Tp.LX, An Giang.</t>
  </si>
  <si>
    <t>Theo bảng giá ngày 01/01/2016</t>
  </si>
  <si>
    <t xml:space="preserve">* Công ty TNHH Thép VINA KYOEI (KCN Phú Mỹ I, huyện Tân Thành, tỉnh Bà Rịa- Vũng Tàu), giá bán cho Nhà phân phối chính thức và giao hàng tại nhà máy Vina Kyoei. </t>
  </si>
  <si>
    <t xml:space="preserve"> * Công ty NS TNHH BLUESCOPE LYSAGHT VIỆT NAM. </t>
  </si>
  <si>
    <t>* Cty NS TNHH BLUESCOPE LYSAGHT VIỆT NAM.</t>
  </si>
  <si>
    <t xml:space="preserve"> * Hệ giàn thép SMARTRUSS : Cty NS TNHH BLUESCOPE LYSAGHT VIỆT NAM. </t>
  </si>
  <si>
    <t xml:space="preserve"> * Trần &amp; Vách ngăn thạch cao : Cty TNHH Xây dựng-Thương mại-Dịch vụ Lê Trần, địa chỉ: 25 Trần Bình Trọng, P.1, Q.5, Tp.HCM. Chưa bao gồm phí lắp đặt. </t>
  </si>
  <si>
    <t xml:space="preserve">* Gạch Terrazzo - Lát vĩa hè TCVN 7744:2007 : Cty CP Địa ốc An Giang SX (giao trên phương tiên của bên mua tại Nhà máy cấu kiện bê tông An Giang, xã Vĩnh Thạnh Trung, Châu Phú). </t>
  </si>
  <si>
    <t>Theo bảng giá ngày 10/3/2017</t>
  </si>
  <si>
    <t xml:space="preserve"> *Giá bán tại nhà máy gạch ngói Tuynel Long Xuyên (giá xuất xưởng): Công ty TNHH MTV Xây Lắp An Giang. </t>
  </si>
  <si>
    <t xml:space="preserve"> * Giá bán gạch Tuynel tại nhà máy gạch Tri Tôn An Giang (giá xuất xưởng): Công ty TNHH MTV Xây Lắp An Giang. </t>
  </si>
  <si>
    <t xml:space="preserve"> * Cty TNHH CN LAMA VN (Đại lý Tín Đạt, số 933/86 đường Phạm Cự Lượng, Tp. LX, AG),  bao gồm phí giao hàng đến công trình tại An Giang, không bao gồm chi phí dỡ hàng xuống. </t>
  </si>
  <si>
    <t>Theo bảng giá ngày 03/03/2017</t>
  </si>
  <si>
    <t xml:space="preserve">* Cty Đầu tư và thương mại DIC. (số 952 Nguyễn Xiển, Phường Long Bình, Quận 9, Tp HCM), giá không bao gồm phí vận chuyển. </t>
  </si>
  <si>
    <t>Theo báo giá ngày 24/02/2017</t>
  </si>
  <si>
    <t>* Giá gạch men cao cấp ACERA giao tại nhà máy gạch ACERA An Giang, TCVN 6415.</t>
  </si>
  <si>
    <t xml:space="preserve"> * Giá bán gạch TAICERA (loại I) : Công ty Cổ phần Công nghiệp Gốm Sứ TAICERA (bao gồm phí vận chuyển trong khu vực Tp.Long Xuyên).</t>
  </si>
  <si>
    <t xml:space="preserve"> Theo bảng giá ngày 01/01/2017</t>
  </si>
  <si>
    <t xml:space="preserve"> * Giá bán gạch TASA : Cty TNHH Thanh Long Long Xuyên (QL91, ấp Bình Phú 2, xã Hòa Bình, huyện Châu Thành)</t>
  </si>
  <si>
    <t xml:space="preserve"> Theo bảng giá ngày 01/3/2017</t>
  </si>
  <si>
    <t>* Cty CP Địa ốc An Giang SX (giao trên phương tiên của bên mua tại Nhà máy cấu kiện bê tông An Giang, xã Vĩnh Thạnh Trung, Châu Phú).</t>
  </si>
  <si>
    <t xml:space="preserve"> * Cty TNHH MTV Xây lắp An Giang, bao gồm chi phí bốc xếp lên phương tiện đường bộ hoặc đường thủy của bên mua tại nhà máy sản xuất. </t>
  </si>
  <si>
    <t xml:space="preserve"> * Cty CP KHCN HIDICO ((Số 01-03, Hồ Biểu Chánh, Khu 500 căn, Phường Mỹ Phú, Tp.Cao Lãnh, Đồng Tháp), đơn giá giao tại Kho Tp Long Xuyên, An Giang. </t>
  </si>
  <si>
    <t>Sứ TOTO - JaPan</t>
  </si>
  <si>
    <t xml:space="preserve">* Sứ vệ sinh AMERICAN STANDARD (màu trắng): Cty TNHH TM Hiển Nga - Tổng đại lý phân phối tại An Giang. </t>
  </si>
  <si>
    <t>Theo bảng  giá ngày 01/11/2016</t>
  </si>
  <si>
    <t xml:space="preserve"> * Vòi sen VALTA : Cty TNHH TM Hiển Nga - Tổng đại lý phân phối tại An Giang. </t>
  </si>
  <si>
    <t>Theo bảng giá 01/11/2016</t>
  </si>
  <si>
    <t xml:space="preserve"> * Sứ vệ sinh Thiên Thanh - loại AA : Cty TNHH TM Hiển Nga - Tổng đại lý phân phối tại An Giang. </t>
  </si>
  <si>
    <t>Theo bảng giá 01/10/2016 đến 31/12/2016</t>
  </si>
  <si>
    <t>*  Inax: Công ty TNHH LIXIL Việt Nam (Gia Lâm, Hà Nội). Theo bảng báo giá ngày 01/4/2016..Giá sản phẩm gia tại địa bàn tỉnh An Giang</t>
  </si>
  <si>
    <t>Theo bảng giá 01/4/2016</t>
  </si>
  <si>
    <t xml:space="preserve">* Cty CP SX-TM Liên Phát  (số 57 Đào Duy Anh, P.9, Q. Phú Nhuận, Tp.HCM), giao hàng tại kho Cty. </t>
  </si>
  <si>
    <t>BAO BÌ SINH THÁI (Giải pháp thiết lập Kè chống xói lở, bảo vệ bờ) :</t>
  </si>
  <si>
    <t xml:space="preserve"> Cty TNHH PTKT &amp; VLXD Đại Viễn (số 18/6 Nguyễn Hiến Lê, P.13, Q. Tân Bình,Tp. HCM). </t>
  </si>
  <si>
    <t xml:space="preserve">* Cty TNHH Cơ điện lạnh và Xây dựng An Phát (327/2 Hùng Vương P.Mỹ Long, Tp.Long Xuyên), không bao gồm vật tư và nhân công lắp đặt, giao hàng tại kho Cty An Phát. </t>
  </si>
  <si>
    <t>Theo bảng giá ngày 12/6/2016</t>
  </si>
  <si>
    <t xml:space="preserve">* Cty Cơ điện lạnh và Xây dựng An Phát (số 327/2 Hùng Vương, phường Mỹ Long, Tp. Long Xuyên, An Giang), giao hàng tại Cty. </t>
  </si>
  <si>
    <t xml:space="preserve">* Sơn Kim Cương: Công ty Cổ phần SX - TM Tâm Thành Long (Đ/c 624 QL 91, Bình Hòa, huyện Châu Thành, tỉnh An Giang) </t>
  </si>
  <si>
    <t xml:space="preserve"> * Công ty TNHH Hoá nhựa Đệ Nhất Áp dụng cho khu vực phía Nam từ Quảng Bình).</t>
  </si>
  <si>
    <t xml:space="preserve"> Theo bảng giá ngày 10/05/2016</t>
  </si>
  <si>
    <t xml:space="preserve">* Công ty Cổ phần Nhựa Bình Minh (Phía Nam: 240 Hậu Giang, P.9, Q.6, Tp.HCM). </t>
  </si>
  <si>
    <t>Theo bảng giá ngày 08/10/2015</t>
  </si>
  <si>
    <t xml:space="preserve">*  Công ty Cổ phần Nhựa Tân Tiến (giá giao tại công trình). </t>
  </si>
  <si>
    <t>Theo bảng giá ngày 02/01/2016 đến 31/12/2016</t>
  </si>
  <si>
    <t>* Công ty Cổ phần Nhựa Thiếu Niên Tiền Phong Phía Nam.</t>
  </si>
  <si>
    <t xml:space="preserve"> Theo bảng giá ngày 17/3/2015</t>
  </si>
  <si>
    <t>* Chi nhánh Long Xuyên - Công ty CPTĐ Hoa Sen (Tổ 12, K.Bình Đức 5, P.Bình Đức, Tp.LX).</t>
  </si>
  <si>
    <t xml:space="preserve"> Theo bảng giá ngày 15/02/2016</t>
  </si>
  <si>
    <t xml:space="preserve">* Ống uPVC TCVN 8491-2:2011. Công ty TNHH nhựa Giang Hiệp Thăng (Đc: Lô C1 Cụm CN Nhựa Đức Hòa, Đứcc Hòa Hạ, Đức Hòa, Long An. Giá bán tại nơi sản xuất </t>
  </si>
  <si>
    <t>Theo bảng giá ngày 15/02/2016</t>
  </si>
  <si>
    <t xml:space="preserve"> * Bồn Inox Đại Sơn (kể cả chân bồn): Cty TNHH Thuận Phát Long Xuyên - </t>
  </si>
  <si>
    <t>Theo bảng giá ngày 06/5/2015</t>
  </si>
  <si>
    <t xml:space="preserve"> * Bồn Inox HWATA VINA: giao hàng tại Cty TNHH TM Hiển Nga - Tổng đại lý phân phối tại AG . </t>
  </si>
  <si>
    <t>Theo bảng giá ngày 01/05/2016</t>
  </si>
  <si>
    <t xml:space="preserve"> * DÂY VÀ CÁP ĐIỆN DAPHACO : Cty TNHH Cơ điện lạnh và Xây dựng An Phát (giao hàng tại kho Cty An Phát). </t>
  </si>
  <si>
    <t xml:space="preserve">* ĐÈN SIÊU TIẾT KIỆM ĐIỆN T5 - GREENLIGHT (gồm: máng+ bóng T5+ tăng phô điện tử) - Cty TNHH Cơ điện lạnh và Xây dựng An Phát (giao hàng tại kho Cty An Phát). </t>
  </si>
  <si>
    <t xml:space="preserve"> * BÓNG ĐÈN HUỲNH QUANG TIẾT KIỆM ĐIỆN T5 : Cty TNHH Cơ điện lạnh và Xây dựng An Phát (giao hàng tại kho Cty An Phát).</t>
  </si>
  <si>
    <t xml:space="preserve"> Theo bảng giá ngày 12/6/2016</t>
  </si>
  <si>
    <t xml:space="preserve"> * THIẾT BỊ ĐIỆN PANASONIC: Cty TNHH Cơ điện lạnh và Xây dựng An Phát (giao hàng tại Cty). </t>
  </si>
  <si>
    <t xml:space="preserve"> * DÂY CÁP ĐIỆN CADIVI: Cty CP Dây cáp điện Việt Nam (số 70-72 Nam Kỳ Khởi Nghĩa, Q.1, Tp.HCM).</t>
  </si>
  <si>
    <t xml:space="preserve">* THIẾT BỊ ĐIỆN JUNSUN: Công ty TNHH JUNSUN Viện Nam(số 49/40/20-2 Trịnh Đình </t>
  </si>
  <si>
    <t>* Bộ tủ điện - Cty Cơ điện lạnh và Xây dựng An Phát (số 327/2 Hùng Vương, phường Mỹ Long, Tp. Long Xuyên, An Giang), giao hàng tại Cty. Theo bảng giá ngày 12/6/2016</t>
  </si>
  <si>
    <t>Theo bảng giá ngày 13/6/2016</t>
  </si>
  <si>
    <t>Theo bảng giá ngày 14/6/2017</t>
  </si>
  <si>
    <t>*Cty TNHH XD và DV TILA (đại lý tại số 147/5, Trần Hưng Đạo, P.Mỹ Phước - Tp.LX). Giá trên đã bao gồm chi phí vận chuyển và lắp đặt trong nội ô Tp.Long Xuyên .</t>
  </si>
  <si>
    <t>Theo bảng giá ngày 01/08/2016</t>
  </si>
  <si>
    <t>*Cty TNHH Cơ khí Xây dựng Nguyên Long (635A/32 Thái Phiên, P.Bình Khánh - Tp.LX), giá cửa sắt chưa bao gồm phí vận chuyển và lắp đặt.</t>
  </si>
  <si>
    <t>Theo bảng giá ngày 18/01/2016</t>
  </si>
  <si>
    <t xml:space="preserve">* Cửu nhựa cao cấp uPVC: công ty TNHH MTV N.WINDOW (Địa chỉ quốc lộ 9, Bình Hòa, Châu Thành, An Giang. Giao hàng và lắp đặt tại công trình. </t>
  </si>
  <si>
    <t>* Cửu EUROWINDOW: Công ty cổ phần EUROWINDOW (địa chỉ Lô số 15, KCN Quang Minh, huyện Mê Linh, Tp Hà Nội) Giao hàng tại nhà máy. Theo bản giá ngày 16/6/2016</t>
  </si>
  <si>
    <t>Theo bảng giá ngày 15/3/2017</t>
  </si>
  <si>
    <t xml:space="preserve">Cầu thép nông thôn: Cty Cổ phần Cơ khí An Giang sản xuất (giao hàng tại Cty trên phương tiện bên mua). </t>
  </si>
  <si>
    <t>Theo bảng giá ngày 01/3/2016</t>
  </si>
  <si>
    <t xml:space="preserve">*  Xăng dầu Petrolimex: Cty TNHH MTV Xăng Dầu An Giang. </t>
  </si>
  <si>
    <t>Theo bảng bao giá ngày 01/3/2017</t>
  </si>
  <si>
    <t xml:space="preserve">      - Đối với giá của một số vật liệu ghi theo báo giá của cơ sở sản xuất có thời gian báo giá năm 2015 và 2016 là do cơ sở báo đến thời điểm hiện nay giá vẫn đang áp dụng, không thay đổi giá (khi có sự thay đổi giá sẽ thông báo)./. </t>
  </si>
  <si>
    <t xml:space="preserve"> * Cty TNHH bêtông nhẹ  HIDICO (lô CI-2, Khu C Khu công nghiệp Se đéc, Tp.Cao Lãnh, Đồng Tháp), đơn giá giao tại Kho Tp Long Xuyên, An Giang. Theo bảng giá ngày 24/4/2017</t>
  </si>
  <si>
    <t>* Sơn NINZA : Công ty TNHH SXTMXNK SAKURA (số 43/14B, Tiên Lan, Hóc Môn TP.HCM). Theo bảng báo giá 01/5/2017</t>
  </si>
  <si>
    <t>Bột trét tường ngoại thất NIZ.16</t>
  </si>
  <si>
    <t>Bột trét tường ngoại thất cao cấp  NIZ.18</t>
  </si>
  <si>
    <t>Sơn nội thất ECO-INTERIOR (láng mịn) NIZ.01</t>
  </si>
  <si>
    <t>Sơn nội thất cao cấp EASY CLEAR (lBóng mờ, lau chùi hiệu quả)  NIZ.03</t>
  </si>
  <si>
    <t>Sơn nội thất cao cấp SATIN-INT (lBóng ngọc trai, , chùi rữa dễ đang)  NIZ.05</t>
  </si>
  <si>
    <t>Sơn ngoại thất ECO-INTERIOR (láng mịn) NIZ.02</t>
  </si>
  <si>
    <t>Sơn ngoại thất cao cấp EASY CLEAR (lBóng mờ, lau chùi hiệu quả)  NIZ.04</t>
  </si>
  <si>
    <t>Sơn ngoại thất cao cấp SATIN-INT (lBóng ngọc trai, , chùi rữa dễ đang)  NIZ.06</t>
  </si>
  <si>
    <t xml:space="preserve">Lót ngoại thất cao cấp TOTAL PRIMER SEALER NIZ.10 </t>
  </si>
  <si>
    <t>Lót ngoại thất cao cấp NANO PRIMER SEALER NIZ.12 (gốc nước kháng kiềm siêu hạng)</t>
  </si>
  <si>
    <t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t>
  </si>
  <si>
    <t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t>
  </si>
  <si>
    <t>Đất cát dọn hầm (khu vực Cô Tô)</t>
  </si>
  <si>
    <t>Đất cát dọn hầm (khu vực Bà Đội)</t>
  </si>
  <si>
    <t xml:space="preserve">                                      ----------------------                                                                                                                                                     ----------------------------------------------</t>
  </si>
  <si>
    <t>Theo bảng giá ngày 01/6/2017</t>
  </si>
  <si>
    <t xml:space="preserve">Sơn JOTON : Chi nhánh Công ty CP L.Q JOTON tại Cần Thơ (KV Thạnh Mỹ, P. Thường Thạnh, Q. Cái Răng, Tp. Cần Thơ). </t>
  </si>
  <si>
    <t xml:space="preserve">            Căn cứ Thông tư số 06/2016/TT-BXD ngày 10/03/2016 của Bộ Xây dựng hướng dẫn xác định và quản lý chi phí đầu tư xây dựng;</t>
  </si>
  <si>
    <t>* Ống uPVC TCVN 8491-2:2011. Công ty TNHH nhựa Giang Hiệp Thăng (Địa chỉ: Lô C1 Cụm CN Nhựa Đức Hòa, Đức Hòa Hạ, Đức Hòa, Long An. Giá bán tại nơi sản xuất, theo bảng giá ngày 01/6/2017</t>
  </si>
  <si>
    <t xml:space="preserve"> Đá 1 x 2 xay</t>
  </si>
  <si>
    <t xml:space="preserve"> Đá 0 x4  xay</t>
  </si>
  <si>
    <t xml:space="preserve"> Đá cát dơ đầu cần</t>
  </si>
  <si>
    <t xml:space="preserve"> Đá cát dơ tầng phủ</t>
  </si>
  <si>
    <t>Gạch không nung đặc 80 x 40 x 180mm</t>
  </si>
  <si>
    <t>Gạch không nung 2 lỗ  80 x 80 x 180mm</t>
  </si>
  <si>
    <t>Gạch không nung đặc 90 x 45 x 190mm</t>
  </si>
  <si>
    <t>Gạch không nung 4 lỗ  80 x 80 x 180mm</t>
  </si>
  <si>
    <t>Gạch không nung 3 lỗ  90 x 90 x 190mm</t>
  </si>
  <si>
    <t>Gạch không nung đặc  100 x 50 x 190mm</t>
  </si>
  <si>
    <t>Gạch không nung 3 lỗ  100 x 190 x 390mm</t>
  </si>
  <si>
    <t>Gạch không nung 3 lỗ  190 x 190 x 390mm</t>
  </si>
  <si>
    <t>Gạch 40cmx40cm men matt ) các mã số :4109, 4111, 4114,4115, 4124 …</t>
  </si>
  <si>
    <t>Gạch 25cmx40cm màu đặc biệt</t>
  </si>
  <si>
    <t xml:space="preserve">Gạch 25 x 40cm in kỹ thuật số - mài cạnh </t>
  </si>
  <si>
    <t>* Cty CP Địa ốc An Giang SX (giao trên phương tiên của bên mua tại Nhà máy cấu kiện bê tông An Giang, xã Vĩnh Thạnh Trung, Châu Phú). Theo bảng giá ngày 07/6/2017</t>
  </si>
  <si>
    <t xml:space="preserve"> * Công ty Cổ phần Địa ốc An Giang sản xuất (giao hàng tại Nhà máy cấu kiện bê tông An Giang, xã Vĩnh Thạnh Trung, huyện Châu Phú). Theo bảng giá ngày 07/6/2017</t>
  </si>
  <si>
    <t>Cọc bê tông DƯL 200 x 200, M400</t>
  </si>
  <si>
    <t>* Gạch Terrazzo - Lát vĩa hè TCVN 7744:2007 : Cty CP Địa ốc An Giang SX (giao trên phương tiên của bên mua tại Nhà máy cấu kiện bê tông An Giang, xã Vĩnh Thạnh Trung, Châu Phú). Theo bảng giá ngày 07/6/2017</t>
  </si>
  <si>
    <t>* Công ty TNHH Trường Thắng (giao hàng tại KCB Bình Hòa, huyện Châu Thành). Theo bảng giá ngày 02/6/2017</t>
  </si>
  <si>
    <t>* Cống Bê tông Ly Tâm : Cty TNHH Trường Thắng (Địa chỉ liên hệ: số 116/5 Thoại Ngọc Hầu, P.Mỹ Phước, Tp.LX, An Giang), giao hàng tại Khu Công nghiệp Bình Hòa, huyện Châu Thành. Theo bảng giá ngày 02/6/2017</t>
  </si>
  <si>
    <t>Cống  BTLT D300 VH cấp tải thấp</t>
  </si>
  <si>
    <t>Cống  BTLT D300 VH cấp tiêu chuẩn</t>
  </si>
  <si>
    <t>Cống  BTLT D300 VH cấp tải cao</t>
  </si>
  <si>
    <r>
      <t xml:space="preserve">Ron hình thang </t>
    </r>
    <r>
      <rPr>
        <sz val="13"/>
        <rFont val="Calibri"/>
        <family val="2"/>
      </rPr>
      <t>Φ 1200</t>
    </r>
  </si>
  <si>
    <r>
      <t xml:space="preserve">Ron hình thang </t>
    </r>
    <r>
      <rPr>
        <sz val="13"/>
        <rFont val="Calibri"/>
        <family val="2"/>
      </rPr>
      <t>Φ 1500</t>
    </r>
  </si>
  <si>
    <r>
      <t xml:space="preserve">Ron hình tam giác </t>
    </r>
    <r>
      <rPr>
        <sz val="13"/>
        <rFont val="Calibri"/>
        <family val="2"/>
      </rPr>
      <t>Φ</t>
    </r>
    <r>
      <rPr>
        <sz val="13"/>
        <rFont val="Times New Roman"/>
        <family val="1"/>
      </rPr>
      <t xml:space="preserve"> 1200</t>
    </r>
  </si>
  <si>
    <r>
      <t xml:space="preserve">Ron hình tam giác </t>
    </r>
    <r>
      <rPr>
        <sz val="13"/>
        <rFont val="Calibri"/>
        <family val="2"/>
      </rPr>
      <t>Φ</t>
    </r>
    <r>
      <rPr>
        <sz val="13"/>
        <rFont val="Times New Roman"/>
        <family val="1"/>
      </rPr>
      <t xml:space="preserve"> 1500</t>
    </r>
  </si>
  <si>
    <t xml:space="preserve"> 12 li x 1,5m x 6m (SS400 - Trung Quốc)</t>
  </si>
  <si>
    <t>Ống kẽm fi 42 x 1,5 li</t>
  </si>
  <si>
    <t>Theo bảng giá ngày 02/6/2017</t>
  </si>
  <si>
    <t>Theo bảng giá ngày 07/6/2017</t>
  </si>
  <si>
    <t xml:space="preserve"> Theo bảng giá ngày 07/6/2017</t>
  </si>
  <si>
    <t>Theo bảng giá ngày 24/4/2017</t>
  </si>
  <si>
    <t>Cát san lấp:</t>
  </si>
  <si>
    <t xml:space="preserve">Cát xây dựng </t>
  </si>
  <si>
    <t>CÁT CÁC LOẠI:</t>
  </si>
  <si>
    <t>Sơn MAXICALI, EVEREST &amp; SHERWI-WILLIAMS các loại: Công ty cổ phần TDD Việt Nam (506 Lê Văn Nhung, P.Thới An, quận 12, TP.HCM) áp dụng giá từ ngày 01/6/2017</t>
  </si>
  <si>
    <t>Sơn nhãn hiệu MAIXCALI</t>
  </si>
  <si>
    <t>Sơn nội thất Cali Extra (thùng 18 lít-25,56 kg)</t>
  </si>
  <si>
    <t>Sơn nước nội thất Maixicali (thùng 25,38 kg)</t>
  </si>
  <si>
    <t>Sơn nước nội thất Maixicali siêu trắng (thùng 18 lít - 25,38kg)</t>
  </si>
  <si>
    <t>Sơn nội thất Pro Catex (thùng 17 lít - 23,67kg)</t>
  </si>
  <si>
    <t>Sơn nội thất Limo (thừng 17 lít-24,14kg)</t>
  </si>
  <si>
    <t>Sơn lót kháng kiềm nội thất, ngoại thất Maixicali Sealer (thùng 18 lít, 21,6kg)</t>
  </si>
  <si>
    <t>Bột trét tường nội thất (bao 40 kg)</t>
  </si>
  <si>
    <t>Sơn ngoại thất Cali Extra (thùng 18 lít - 24,48kg)</t>
  </si>
  <si>
    <t>Sơn ngoại thất Maxicali (thùng 18 lít - 24,3kg)</t>
  </si>
  <si>
    <t>Sơn ngoại thất Pro Catex (thùng 17 lít - 22,95kg)</t>
  </si>
  <si>
    <t>Bột trét tường ngoại thất Maxicali (bao 40kg)</t>
  </si>
  <si>
    <t>Sơn nhãn hiệu EVEREST</t>
  </si>
  <si>
    <t>Sơn nước ngoại thất Tropc Đen (thùng 18 lít-11,8kg)</t>
  </si>
  <si>
    <t>Sơn nước ngoại thất Tropc Vàng (thùng 5 lít-5,9kg)</t>
  </si>
  <si>
    <t>Sơn lót kháng kiềm Tropic Sealer (thùng 18 lít - 26,68 kg)</t>
  </si>
  <si>
    <t>Sơn nước nội thất Everest Satin (thùng 15 lít - 18kg)</t>
  </si>
  <si>
    <t>Sơn nước nội thất Everest Silk (thùng 15 lít - 20,4kg)</t>
  </si>
  <si>
    <t>Sơn nước nội thất Everest Kid (thùng 10 lít - 12kg)</t>
  </si>
  <si>
    <t>Sơn nước ngoại thất Everest Bio (thùng 15 lít - 17,7kg)</t>
  </si>
  <si>
    <t>Sơn nước ngoại thất Everest Nano (thùng 15 lít - 18kg)</t>
  </si>
  <si>
    <t>Sơn lót kháng kiềm nội thất, ngoại thất Everest Plus Sealer (thùng 18 lít, 22,68kg)</t>
  </si>
  <si>
    <t>Sơn lót kháng kiềm nội thất Everest Sealer 3 in 1 (thùng 18 lít - 20,7kg)</t>
  </si>
  <si>
    <t>Sơn lót kháng kiềm ngoại thất Everest Sealer 3 in 1 (thùng 18 lít - 19,26kg)</t>
  </si>
  <si>
    <t>Sơn chống thấm đa năng Everest Sand (thùng 20kg)</t>
  </si>
  <si>
    <t>Bột trét tường nội thất Everest (bao 40kg)</t>
  </si>
  <si>
    <t>Bột trét tường ngoại thất Everest (bao 40kg)</t>
  </si>
  <si>
    <t>Bột trét tường nội, ngoại thất Everest Plus (bao 40kg)</t>
  </si>
  <si>
    <t>Sơn nhãn hiệu SHERWIN-WILLIAMS</t>
  </si>
  <si>
    <t>Sơn nước nội thất Promar 400 Eg-Shel (thùng 3,8 lít - 4,79kg)</t>
  </si>
  <si>
    <t>Sơn nước nội thất Superpaint (thùng 3,8 lít - 4,83kg)</t>
  </si>
  <si>
    <t>Sơn nước nội thất Paint Shield (thùng 3,8 lít - 5,25kg)</t>
  </si>
  <si>
    <t>Sơn nước nội thất Sherlastic Elastomeric (thùng 3,8 lít- 4,9kg)</t>
  </si>
  <si>
    <t>Sơn nước ngoại thất bề mặt mờ Solo (thùng 3,8 lít - 5,02kg)</t>
  </si>
  <si>
    <t>Sơn nước ngoại thất bề mặt bóng Solo (thùng 3,8 lít - 4,48kg)</t>
  </si>
  <si>
    <t>Sơn nước ngoại thất Superpaint (thùng 3,8 lít - 4,48kg)</t>
  </si>
  <si>
    <t>Sơn lót kháng kiềm Quick Dry (thùng 3,8 lít - 4,75kg)</t>
  </si>
  <si>
    <t>Sơn lót kháng kiềm Loxon (thùng 3,8 lít - 4,83kg)</t>
  </si>
  <si>
    <t>Xi măng Hà Tiên II PCB 40 (bao 50kg)</t>
  </si>
  <si>
    <t>Xi măng Hà Tiên II PCB 50 (bao 50kg)</t>
  </si>
  <si>
    <t>Xi măng Hà Tiên đa dụng</t>
  </si>
  <si>
    <t>Thép cuộn  fi 6 CT3 (Miền Nam)</t>
  </si>
  <si>
    <t>Thép cuộn  fi 8 CT3 (Miền Nam)</t>
  </si>
  <si>
    <t>Thép thanh vằn  fi 10  SD295 (Miền Nam)</t>
  </si>
  <si>
    <t>Thép thanh vằn  fi 12  SD295 (Miền Nam)</t>
  </si>
  <si>
    <t>Thép thanh vằn  fi 14-25  SD29 (Miền Nam)</t>
  </si>
  <si>
    <t>Thép cuộn  fi 6 (Tây Đô)</t>
  </si>
  <si>
    <t>Thép cuộn  fi 8 (Tây Đô)</t>
  </si>
  <si>
    <t>Thép cuộn  fi 10 (Tây Đô)</t>
  </si>
  <si>
    <t>Cát san lấp</t>
  </si>
  <si>
    <t>Cát đen trong san lấp - xây dựng:</t>
  </si>
  <si>
    <t>Xi măng Tophome PCB40 (bao 50kg)</t>
  </si>
  <si>
    <t>* Xi măng Đỉnh Cao ((giá bán tại nhà máy tại Thới Thuận - Thốt Nốt - Cần Thơ). Theo bảng giá ngày 20/5/2017</t>
  </si>
  <si>
    <t>* Công ty TNHH Phát triển kỹ thuật và VLXD Đại Viễn (số 18/06 Nguyễn Hiền Lê, P.13, Q. Tân Bình, TP.HCM) Theo bảng báo giá 17/07/2017.</t>
  </si>
  <si>
    <t>Vải địa kỹ thuật không dệt.</t>
  </si>
  <si>
    <t>HD15C (4x250m)</t>
  </si>
  <si>
    <t>HD19C (4x250m)</t>
  </si>
  <si>
    <t>HD24C (4x225m)</t>
  </si>
  <si>
    <t>HD28C (4x175m)</t>
  </si>
  <si>
    <t>HD30C (4x175m)</t>
  </si>
  <si>
    <t>HD38C (4x150m)</t>
  </si>
  <si>
    <t>HD50C (4x100m)</t>
  </si>
  <si>
    <t>HD44C (4x150m)</t>
  </si>
  <si>
    <t>HD60C (4x90m)</t>
  </si>
  <si>
    <t>HD78C (4x60m)</t>
  </si>
  <si>
    <t>HD90C (4x60m)</t>
  </si>
  <si>
    <t>HD110C (4x45m)</t>
  </si>
  <si>
    <t>HD120C (4x45m)</t>
  </si>
  <si>
    <t>Ống địa kỹ thuật</t>
  </si>
  <si>
    <t>Ống địa kỹ thuật Geotabe HDG1:1000-C7/20 (chu vi C=7m; chiều dài L=20m) - 02 mặt bích</t>
  </si>
  <si>
    <t>Ống địa kỹ thuật Geotabe HDG1:1000-C8/20 (chu vi C=8m; chiều dài L=20m) - 02 mặt bích</t>
  </si>
  <si>
    <t>Ống địa kỹ thuật Geotabe HDG1:1000-C10/20 (chu vi C=10m; chiều dài L=20m) - 02 mặt bích</t>
  </si>
  <si>
    <t>đồng/ống</t>
  </si>
  <si>
    <t>Ống địa kỹ thuật Geotabe HDG1:1000-C12/20 (chu vi C=12m; chiều dài L=20m) - 02 mặt bích</t>
  </si>
  <si>
    <t>Ống địa kỹ thuật Geotabe HDG1:1200-C7/20 (chu vi C=7m; chiều dài L=20m) - 02 mặt bích</t>
  </si>
  <si>
    <t>Ống địa kỹ thuật Geotabe HDG1:1200-C8/20 (chu vi C=8m; chiều dài L=20m) - 02 mặt bích</t>
  </si>
  <si>
    <t>Ống địa kỹ thuật Geotabe HDG1:1200-C10/20 (chu vi C=10m; chiều dài L=20m) - 02 mặt bích</t>
  </si>
  <si>
    <t>Ống địa kỹ thuật Geotabe HDG1:1200-C12/20 (chu vi C=12m; chiều dài L=20m) - 02 mặt bích</t>
  </si>
  <si>
    <t xml:space="preserve"> Cty TNHH PTKT &amp; VLXD Đại Viễn (số 18/6 Nguyễn Hiến Lê, P.13, Q. Tân Bình,Tp. HCM). Theo bảng giá ngày 17/7/2017</t>
  </si>
  <si>
    <t>Bao bì sinh thái, màu đen, bao gồm phụ kiện, kích thước: 100 x 40 x 20cm</t>
  </si>
  <si>
    <t>* Cửa nhôm cao cấp YNGHUA: Công ty TNHH Sản xuất Thương mại đầu tư nhôm An Lập Phát (địa chỉ B5/3 Trần Đại Nghĩa ấp 2, xã Tân Kiên, huyện Bình Chánh, TP.HCM ). Giao hàng và lắp đặt tại công trình. Theo bảng giá ngày 15/7/2017</t>
  </si>
  <si>
    <t>Cửa sổ lùa 2 cánh, kích thước 1,2mx1,4m (gồm phụ kiện, khóa)</t>
  </si>
  <si>
    <t>Cửa sổ bật 01 cánh, kích thước 0,6mx1,4m (gồm phụ kiện, khóa)</t>
  </si>
  <si>
    <t>Cửa đi 01 cánh, kích thước 0,9mx2,2m (gồm phụ kiện, khóa)</t>
  </si>
  <si>
    <t>Tháng 6-2017</t>
  </si>
  <si>
    <t>Tháng 7-2017</t>
  </si>
  <si>
    <t>Xi măng Đĩnh Cao</t>
  </si>
  <si>
    <t>Theo bảng giá ngày 20/5/2017</t>
  </si>
  <si>
    <t>Giữ mới</t>
  </si>
  <si>
    <t>Theo bảng giá ngày 01/5/2017</t>
  </si>
  <si>
    <t>Theo bảng bao giá ngày 01/6//2017</t>
  </si>
  <si>
    <t>Thép thanh vằn  fi 12-20  (Tây Đô)</t>
  </si>
  <si>
    <t>Cửa sổ lùa hệ 700, nhôm thanh hiệu YNGHUA, kính 5ly (màu trắng sữa)</t>
  </si>
  <si>
    <t>Cửa sổ lùa hệ 888, nhôm thanh hiệu YNGHUA, kính 5ly (màu trắng sữa)</t>
  </si>
  <si>
    <t>Cửa sổ lùa hệ 93, nhôm thanh hiệu YNGHUA, kính 5ly (màu trắng sữa)</t>
  </si>
  <si>
    <t>Cửa sổ lùa hệ PTC (cách âm), nhôm thanh hiệu YNGHUA, kính 5ly (màu trắng sữa)</t>
  </si>
  <si>
    <t>Cửa sổ lùa hệ 1039, nhôm thanh hiệu YNGHUA, kính 5ly, bản lề chữ A, khóa tay gạt Đài Loan (màu trắng sữa)</t>
  </si>
  <si>
    <t>Cửa sổ lùa hệ 55, nhôm thanh hiệu YNGHUA, kính 5ly, bản lề chữ A, khóa tay gạt Đài Loan (màu trắng sữa)</t>
  </si>
  <si>
    <t>Cửa sổ lùa hệ PTC (cách âm), nhôm thanh hiệu YNGHUA, kính 5ly, bản lề chữ A, khóa tay gạt Đài Loan (màu trắng sữa)</t>
  </si>
  <si>
    <t>Cửa đi hệ 1000-3 cm, nhôm thanh hiệu YNGHUA, kính 5ly  (màu trắng sữa)</t>
  </si>
  <si>
    <t>Cửa đi hệ 55, nhôm thanh hiệu YNGHUA, kính 5ly  (màu trắng sữa)</t>
  </si>
  <si>
    <t>Cửa đi hệ PTC (cách âm), nhôm thanh hiệu YNGHUA, kính 5ly (màu trắng sữa)</t>
  </si>
  <si>
    <t xml:space="preserve">      - Giá đá đã bao gồm phí bảo vệ môi trường (căn cứ Quyết định số 22/2017/QĐ-UBND ngày 22/5/2017 của UBND tỉnh về mức thu phí bảo vệ môi trường đối với khai thác khoáng sản trên địa bàn tỉnh An Giang, có hiệu lực kể từ ngày 02/6/2017 ).</t>
  </si>
  <si>
    <t>Sơn trang trí các loại: Công ty TNHH MTV Thương Mại Dịch vụ Chí Nguyễn (số 01 Đường 30/4 P.Châu Phú B, TP.Châu Đốc) áp dụng giá từ ngày 01/6/2017</t>
  </si>
  <si>
    <t>Sơn Kinh tế FLY màu INT thùng 5 kg</t>
  </si>
  <si>
    <t>Sơn Kinh tế FLY màu INT thùng 18 kg</t>
  </si>
  <si>
    <t>Sơn Kinh tế FLY màu EXT thùng 5 kg</t>
  </si>
  <si>
    <t>Sơn Kinh tế FLY màu EXT thùng 18 kg</t>
  </si>
  <si>
    <t>Sơn phủ nội thất ONIP, MAX thùng 5kg</t>
  </si>
  <si>
    <t>Sơn phủ nội thất ONIP, MAX thùng 18kg</t>
  </si>
  <si>
    <t>Sơn phủ nội thất ONIP, PLUS thùng 5kg</t>
  </si>
  <si>
    <t>Sơn phủ nội thất ONIP, PLUS thùng 18kg</t>
  </si>
  <si>
    <t>Sơn phủ nội thất ONIP, ARCADIA MAT thùng 5kg</t>
  </si>
  <si>
    <t>Sơn phủ nội thất ONIP, ARCADIA MAT thùng 18kg</t>
  </si>
  <si>
    <t>Sơn phủ nội thất ONIP, AQUA 50 MATT thùng 5kg</t>
  </si>
  <si>
    <t>Sơn phủ nội thất ONIP, AQUA 50 MATT thùng 18kg</t>
  </si>
  <si>
    <t>Sơn phủ nội thất ONIP, ARCADIA SATIN thùng 5kg</t>
  </si>
  <si>
    <t>Sơn phủ nội thất ONIP, ARCADIA SATIN thùng 18kg</t>
  </si>
  <si>
    <t>Sơn phủ nội thất SUPER WHITE thùng 5kg</t>
  </si>
  <si>
    <t>Sơn phủ nội thất SUPER WHITE thùng 18kg</t>
  </si>
  <si>
    <t>Sơn phủ ngoại thất ONIP, RS thùng 01 kg</t>
  </si>
  <si>
    <t>Sơn phủ ngoại thất ONIP, RS thùng 05 kg</t>
  </si>
  <si>
    <t>Sơn phủ ngoại thất ONIP, RS thùng 18 kg</t>
  </si>
  <si>
    <t>Sơn phủ ngoại thất ONIP, XP thùng 01 kg</t>
  </si>
  <si>
    <t>Sơn phủ ngoại thất ONIP, XP thùng 05 kg</t>
  </si>
  <si>
    <t>Sơn phủ ngoại thất ONIP, XP thùng 18 kg</t>
  </si>
  <si>
    <t>Sơn phủ ngoại thất ONIP, OPACRYL SATIN thùng 01 kg</t>
  </si>
  <si>
    <t>Sơn phủ ngoại thất ONIP, OPACRYL SATIN thùng 5 lít</t>
  </si>
  <si>
    <t>Sơn phủ ngoại thất ONIP, SUPER SHINY thùng 01 kg</t>
  </si>
  <si>
    <t>Sơn phủ ngoại thất ONIP, SUPER SHINY thùng 5 lít</t>
  </si>
  <si>
    <t>Sơn phủ nội thất ONIP, ARCADIA SATIN thùng 1kg</t>
  </si>
  <si>
    <t>Sơn lót FLY thùng 04kg</t>
  </si>
  <si>
    <t>Sơn lót FLY thùng 05kg</t>
  </si>
  <si>
    <t>Sơn lót FLY thùng 18kg</t>
  </si>
  <si>
    <t>Sơn lót ONIP SEALER chống kiểm thùng 05 kg</t>
  </si>
  <si>
    <t>Sơn lót ONIP SEALER chống kiểm thùng 18 kg</t>
  </si>
  <si>
    <t>Sơn lót ONIP PRIMER chống kiểm thùng 05 kg</t>
  </si>
  <si>
    <t>Sơn lót ONIP PRIMER chống kiểm thùng 18 kg</t>
  </si>
  <si>
    <t>Sơn lót ONIP AQUA 2050 PRIMER thùng 05 kg</t>
  </si>
  <si>
    <t>Sơn lót ONIP AQUA 2050 PRIMER thùng 18 kg</t>
  </si>
  <si>
    <t>Sơn chóng nóng HEATSHIELD THÙNG 05 kg</t>
  </si>
  <si>
    <t>Sơn chóng nóng HEATSHIELD THÙNG 18 kg</t>
  </si>
  <si>
    <t>Sơn lót nhũ vàng thùng 01 kg</t>
  </si>
  <si>
    <t>Sơn lót nhũ vàng thùng 05 kg</t>
  </si>
  <si>
    <t>Sơn nhũ vàng thùng 01 kg</t>
  </si>
  <si>
    <t>Sơn nhũ vàng thùng 05 kg</t>
  </si>
  <si>
    <t>Chống thấm KINGSHIELD (thùng 06kg)</t>
  </si>
  <si>
    <t>Chống thấm KINGSHIELD (thùng 01kg)</t>
  </si>
  <si>
    <t>Chống thấm KINGSHIELD (thùng 20kg)</t>
  </si>
  <si>
    <t>Chống thấm SONATA (thùng 05kg)</t>
  </si>
  <si>
    <t>Chống thấm SONATA (thùng 18kg)</t>
  </si>
  <si>
    <t>Bột trét tường MASTIC D'ACCORD nội thất</t>
  </si>
  <si>
    <t>Bột trét tường MASTIC D'ACCORD ngoại thất</t>
  </si>
  <si>
    <t>Bột trét tường MASTIC ONIP QUALITEE đặt biệt</t>
  </si>
  <si>
    <t xml:space="preserve">Ống tôn kẽm (tròn, vuông, hộp) dày 1.0mm-2,3mm. Đường kính từ DN10 - DN200 </t>
  </si>
  <si>
    <t>Thanh giằng mái khổ 50mm, mạ nhôm kẽm, D 0.81mm, màu đồng  AZ200 (dài 50m)</t>
  </si>
  <si>
    <t>Giá bán tại nội ô TP.Châu Đốc, đã bao gồm thuế GTGT và chi phí vận chuyển</t>
  </si>
  <si>
    <t>Giá bán tại huyện An Phú, đã bao gồm thuế GTGT và chi phí vận chuyển</t>
  </si>
  <si>
    <t>Giá bán tại huyện Tri Tôn, đã bao gồm thuế GTGT và chi phí vận chuyển</t>
  </si>
  <si>
    <t>Giá bán tại TT.Nhà Bàn,huyện Tịnh Biên, đã bao gồm thuế GTGT và chi phí vận chuyển</t>
  </si>
  <si>
    <t xml:space="preserve">Tại nơi khai cát đen của Công ty TNHH MTV Xây lắp An Giang </t>
  </si>
  <si>
    <t>Tại xã Tấn Mỹ, huyện Chợ Mới: Công ty TNHH xây dựng thương mại Hải Toàn</t>
  </si>
  <si>
    <t>Tại xã Vĩnh Hòa, TX.Tân Châu: Công ty TNHH Thiện Nghĩa</t>
  </si>
  <si>
    <t>Tại xã Bình Thủy, huyện Châu Phú và xã Tân Hòa huyện Phú Tân: Công ty cổ phần xáng cát An Giang</t>
  </si>
  <si>
    <t>Tại xã Bình Thành, huyện Châu Phú và xã Nhơn Mỹ, huyện Chợ Mới: DNTN Thái Bình</t>
  </si>
  <si>
    <t xml:space="preserve">Công ty TNHH TM-DV Châu Long </t>
  </si>
  <si>
    <t>Tại xã Bình Thủy, huyện Châu Phú và xã Mỹ Hội Đông, huyện Chợ Mới: Công ty TNHH MTV Tân Lê Quang</t>
  </si>
  <si>
    <t>Theo bảng giá ngày 19/09/2016</t>
  </si>
  <si>
    <t xml:space="preserve"> * Công ty Cổ phần Bê tông ly tâm An Giang: giao hàng tại Công ty (bốc dỡ 01 đầu lên phương tiện khách hàng). Theo bảng giá ngày 19/09/2016</t>
  </si>
  <si>
    <t xml:space="preserve"> * Cty TNHH MTV Xây Lắp AG (giao tại Kho Phan Bội Châu, P.Bình Khánh).</t>
  </si>
  <si>
    <t>* Cty TNHH thép SeAH Việt Nam (số 7, đường 3A, KCN Biên Hòa II, Đồng Nai)</t>
  </si>
  <si>
    <t>Sơn công ty TNHH thương mại Dịch vụ Chí Nguyễn</t>
  </si>
  <si>
    <t>* Cty TNHH Cơ điện lạnh và Xây dựng An Phát (327/2 Hùng Vương P.Mỹ Long, Tp.Long Xuyên), không bao gồm vật tư và nhân công lắp đặt, giao hàng tại kho Cty An Phát. Theo bảng giá ngày 01/8/2017</t>
  </si>
  <si>
    <t xml:space="preserve"> - Máy lạnh hiệu Toshiba xuất xứ Nhật-Thái Lan)</t>
  </si>
  <si>
    <t xml:space="preserve"> - Máy lạnh hiệu Aikibi (loại treo tường INVERTER - GÁ R410A chỉ làm lạnh)</t>
  </si>
  <si>
    <t>Công suất: 1HP (tiêu chuẩn)</t>
  </si>
  <si>
    <t>Công suất: 1,5HP (tiêu chuẩn)</t>
  </si>
  <si>
    <t>Công suất: 2HP (tiêu chuẩn)</t>
  </si>
  <si>
    <t>Công suất: 1HP (INVERTER)</t>
  </si>
  <si>
    <t>Công suất: 1,5HP (INVERTER)</t>
  </si>
  <si>
    <t>Công suất: 2HP (INVERTER)</t>
  </si>
  <si>
    <t xml:space="preserve"> - Máy lạnh hiệu Panasonic xuất xứ Nhật - Malaysia</t>
  </si>
  <si>
    <t>Công suất: 2,5HP (tiêu chuẩn)</t>
  </si>
  <si>
    <t xml:space="preserve"> - Máy lạnh hiệu Mitsubishi Electric, xuất xứ Nhật- Thái Lan</t>
  </si>
  <si>
    <t xml:space="preserve"> - Máy lạnh hiệu Mitsubishi Heavy, xuất xứ Nhật- Thái Lan</t>
  </si>
  <si>
    <t xml:space="preserve"> - Máy lạnh hiệu LG, xuất xứ Hàn Quốc - Việt Nam</t>
  </si>
  <si>
    <t xml:space="preserve"> - Máy lạnh hiệu SAMSUNG, xuất xứ Hàn Quốc - Thái Lan</t>
  </si>
  <si>
    <t xml:space="preserve"> - Máy lạnh hiệu SHARP, xuất xứ Nhật - Thái Lan</t>
  </si>
  <si>
    <t xml:space="preserve"> - Máy lạnh hiệu MIDEA, xuất xứ Nhật - Thái Lan</t>
  </si>
  <si>
    <t xml:space="preserve"> - Máy điều hòa không khí hiệu DAIKIN</t>
  </si>
  <si>
    <t xml:space="preserve"> - Máy lạnh hiệu REETECH, xuất xứ Việt Nam </t>
  </si>
  <si>
    <t>Thanh valley rafter U40/U61, mạ nhôm kẽm, dày 0.81mm, màu đồng-AZ200 (dài 6m)</t>
  </si>
  <si>
    <t xml:space="preserve"> * Sứ vệ sinh Thiên Thanh - loại AA : Cty TNHH TM Hiển Nga - Tổng đại lý phân phối tại An Giang. Theo bảng giá 01/10/2016</t>
  </si>
  <si>
    <t>Công suất: 1HP R-32(INVERTER)</t>
  </si>
  <si>
    <t>Công suất: 1,5HP R-32 (INVERTER)</t>
  </si>
  <si>
    <t>Công suất: 2HP, R-32 (INVERTER)</t>
  </si>
  <si>
    <t>Công suất: 2,5HP, R-32 (INVERTER)</t>
  </si>
  <si>
    <t>Máy ĐHKK dàn lạnh treo tường, R410a- không INVERTER, xuất xứ Thái Lan</t>
  </si>
  <si>
    <t>Máy ĐHKK dàn lạnh tủ đứng thổit trực tiếp, R410a - không INVERTER, xuất xứ Malaysia</t>
  </si>
  <si>
    <t>Công suất: 3HP , điều khiển không dây</t>
  </si>
  <si>
    <t>Công suất: 4,5HP, điều khiển không dây</t>
  </si>
  <si>
    <t>Công suất: 5HP, điều khiển không dây</t>
  </si>
  <si>
    <t>Công suất: 6HP, điều khiển không dây</t>
  </si>
  <si>
    <t xml:space="preserve">Công suất: 1HP (loại cao cấp) </t>
  </si>
  <si>
    <t>Công suất: 1,5HP (loại cao cấp)</t>
  </si>
  <si>
    <t>Công suất: 2HP (loại cao cấp)</t>
  </si>
  <si>
    <t>Công suất: 2,5HP (loại cao cấp)</t>
  </si>
  <si>
    <t>Công suất: 3HP (loại cao cấp)</t>
  </si>
  <si>
    <t>Máy ĐHKK dàn lạnh treo tường, R410a - INVERTER, xuất xứ Thái Lan</t>
  </si>
  <si>
    <t>Máy ĐHKK dàn lạnh áp trần, R410a - không INVERTER, xuất xứ Thái Lan</t>
  </si>
  <si>
    <t>Công suất: 1,5HP, điều khiển có dây</t>
  </si>
  <si>
    <t>Công suất: 2HP, điều khiển có dây</t>
  </si>
  <si>
    <t>Công suất: 2,5HP, điều khiển có dây</t>
  </si>
  <si>
    <t>Công suất: 3HP, điều khiển có dây</t>
  </si>
  <si>
    <t>Công suất: 3,5HP, điều khiển có dây</t>
  </si>
  <si>
    <t>Công suất: 4HP, điều khiển có dây</t>
  </si>
  <si>
    <t>Công suất: 4,5HP, điều khiển có dây</t>
  </si>
  <si>
    <t>Công suất: 5,5HP, điều khiển có dây</t>
  </si>
  <si>
    <t>Thanh valley rafter U40/U61, mạ nhôm kẽm, dày 0.54mm, màu đồng-AZ200 (dài 6m)</t>
  </si>
  <si>
    <t>* Công ty TNHH Thép VINA KYOEI (KCN Phú Mỹ I, huyện Tân Thành, tỉnh Bà Rịa- Vũng Tàu), giá bán cho Nhà phân phối chính thức và giao hàng tại nhà máy Vina Kyoei. Theo bảng giá ngày 25/8/2017</t>
  </si>
  <si>
    <t>Thép cây vằn  fi 10 CB400V</t>
  </si>
  <si>
    <t xml:space="preserve">Thép cây vằn fi 12-32  CB400V </t>
  </si>
  <si>
    <t>Thép cây vằn fi 36-40 CB400V</t>
  </si>
  <si>
    <t xml:space="preserve"> * Sơn JOTON : Chi nhánh Công ty CP L.Q JOTON tại Cần Thơ (KV Thạnh Mỹ, P. Thường Thạnh, Q. Cái Răng, Tp. Cần Thơ). Theo bảng giá ngày 29/8/2017</t>
  </si>
  <si>
    <t>Ống uPVC 50: 60 x 2.3 mm</t>
  </si>
  <si>
    <t xml:space="preserve"> * Cty TNHH MTV Xây lắp An Giang, bao gồm chi phí bốc xếp lên phương tiện đường bộ hoặc đường thủy của bên mua tại nhà máy sản xuất. Theo bảng giá ngày 07/9/2017</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</si>
  <si>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07/9/2017</t>
  </si>
  <si>
    <t xml:space="preserve"> * Cống bê tông ly tâm: Cty TNHH MTV Xây Lắp An Giang sản xuất (giao hàng tại Nhà máy, P. Mỹ Thạnh, Tp. LX). Theo bảng giá ngày 7/9/2017 </t>
  </si>
  <si>
    <t xml:space="preserve"> *Giá bán tại nhà máy gạch ngói Tuynel Long Xuyên (giá xuất xưởng): Công ty TNHH MTV Xây Lắp An Giang. Theo bảng giá ngày 07/9/2017</t>
  </si>
  <si>
    <t xml:space="preserve"> * Giá bán gạch Tuynel tại nhà máy gạch Tri Tôn An Giang (giá xuất xưởng): Công ty TNHH MTV Xây Lắp An Giang. Theo bảng giá ngày 07/9/2017</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</si>
  <si>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07/9/2017</t>
  </si>
  <si>
    <t>* Giá gạch men cao cấp ACERA giao tại nhà máy gạch ACERA An Giang, TCVN 6415. Theo bảng giá ngày 07/9/2017</t>
  </si>
  <si>
    <t xml:space="preserve"> * Xí nghiệp Xây dựng - Cty TNHH MTV Xây lắp An Giang, giá bán tại Trạm bê tông nhựa nóng tại khu CN Bình Hòa, huyện Châu Thành, An Giang (giá chưa tính phí khoan nhựa và đo E tại hiện trường).  Theo bảng giá ngày 07/9/2017</t>
  </si>
  <si>
    <t xml:space="preserve"> * Xi măng các loại : Cty TNHH MTV Xây Lắp AG (giao tại Nhà máy xi măng An Giang). Theo bảng giá ngày 07/9/2017</t>
  </si>
  <si>
    <t xml:space="preserve"> * Cty TNHH MTV Xây Lắp AG (giao tại Kho Phan Bội Châu, P.Bình Khánh). Theo bảng giá ngày 07/9/2017</t>
  </si>
  <si>
    <t>Bột SPEC INT&amp;ÈILLER (bao 40Kg)</t>
  </si>
  <si>
    <t>Sơn ngoại thất chống bám bẩn SPEC HI-ANTISTAIN (01 lít)</t>
  </si>
  <si>
    <t>Sơn ngoại thất chống bám bẩn SPEC HI-ANTISTAIN  (05 lít)</t>
  </si>
  <si>
    <t>Sơn ngoại thất cao cấp bóng lau chùi hiệu quả SPEC HELOO SATINKOTE  (01 lít)</t>
  </si>
  <si>
    <t>Sơn ngoại thất cao cấp bóng lau chùi hiệu quả SPEC HELOO SATINKOTE  (05 lít)</t>
  </si>
  <si>
    <t>Sơn ngoại thất cao cấp bóng lau chùi hiệu quả SPEC HELOO SATINKOTE  (18 lít)</t>
  </si>
  <si>
    <t>Sơn nội thất cao cấp bóng lau chùi hiệu quả SPEC HELOO SATINKOTE FOR INT (18 lít)</t>
  </si>
  <si>
    <t>Sơn nội thất cao cấp bóng lau chùi hiệu quả SPEC HELOO SATINKOTE FOR INT (01 lít)</t>
  </si>
  <si>
    <t>Sơn nội thất cao cấp bóng lau chùi hiệu quả SPEC HELOO SATINKOTE FOR INT (05 lít)</t>
  </si>
  <si>
    <t>Sơn nội thất dễ lau chùi hiệu quả SPEC HELLO EASY WASH (01 lít)</t>
  </si>
  <si>
    <t>Sơn nội thất dễ lau chùi hiệu quả SPEC HELLO EASY WASH (05 lít)</t>
  </si>
  <si>
    <t>Sơn nội thất dễ lau chùi hiệu quả SPEC HELLO EASY WASH (18 lít)</t>
  </si>
  <si>
    <t>Sơn nội thất SPEC HELLO FAST INT (01 lít)</t>
  </si>
  <si>
    <t>Sơn ngoại thất bóng mờ, lau chùi hiệu quả SPEC HELLO ALL EXTERIOR (01 lít)</t>
  </si>
  <si>
    <t>Sơn ngoại thất mờ, lau chùi được SPEC HELLO FAST ERTERIOR (01 lít)</t>
  </si>
  <si>
    <t>Sơn lót chống thấm ngược SPEX DAMP SEALER (05 lit)</t>
  </si>
  <si>
    <t>Sơn nội thất SPEC HELLO FAST INT (05 lít)</t>
  </si>
  <si>
    <t>Sơn nội thất SPEC HELLO FAST INT (18 lít)</t>
  </si>
  <si>
    <t>Sơn ngoại thất bóng mờ, lau chùi hiệu quả SPEC HELLO ALL EXTERIOR (05 lít)</t>
  </si>
  <si>
    <t>Sơn ngoại thất bóng mờ, lau chùi hiệu quả SPEC HELLO ALL EXTERIOR (18 lít)</t>
  </si>
  <si>
    <t>Sơn ngoại thất mờ, lau chùi được SPEC HELLO FAST ERTERIOR (05 lít)</t>
  </si>
  <si>
    <t>Sơn ngoại thất mờ, lau chùi được SPEC HELLO FAST ERTERIOR (18 lít)</t>
  </si>
  <si>
    <t>Chống kiềm cao cấp INT&amp;EXTERIOR  (05 lít)</t>
  </si>
  <si>
    <t>Chống kiềm cao cấp INT&amp;EXTERIOR  (18 lít)</t>
  </si>
  <si>
    <t>Chống kiềm nội thất cao cấp (18 lít)</t>
  </si>
  <si>
    <t>Chống kiềm nội thất cao cấp (05 lít)</t>
  </si>
  <si>
    <t>\</t>
  </si>
  <si>
    <t>* Cửa các loại: Công ty TNHH MTV Thanh Vũ: địa chỉ 28 Nguyễn Tri Phương, P.Mỹ Bình, TPLX. Theo bảng giá ngày 09/9/2017</t>
  </si>
  <si>
    <t>Vách + cửa nhôm Tungshin, sơn tĩnh điện, bao gồm phụ kiện và khóa</t>
  </si>
  <si>
    <t>Vách ngăn nhôm hệ 700, kính trắng 05mm</t>
  </si>
  <si>
    <t>Vách ngăn nhôm hệ 700, kính trắng 08mm</t>
  </si>
  <si>
    <t>Vách ngăn nhôm hệ 700, kính trắng 10mm</t>
  </si>
  <si>
    <t>Vách ngăn nhôm hệ 1000, kính trắng 05mm</t>
  </si>
  <si>
    <t>Vách ngăn nhôm hệ 1000, kính trắng 08mm</t>
  </si>
  <si>
    <t>Vách ngăn nhôm hệ 1000, kính trắng 10mm</t>
  </si>
  <si>
    <t>Cửa sổ lùa nhôm hệ 500, kính 05mm</t>
  </si>
  <si>
    <t>Cửa sổ lùa nhôm hệ 500, kính 08mm</t>
  </si>
  <si>
    <t>Cửa sổ lùa nhôm hệ 888, kính 05mm</t>
  </si>
  <si>
    <t>Cửa sổ lùa nhôm hệ 888, kính 08mm</t>
  </si>
  <si>
    <t>Cửa đi nhôm hệ 700, kính trắng 05mm</t>
  </si>
  <si>
    <t>Cửa đi nhôm hệ 700, kính trắng 08mm</t>
  </si>
  <si>
    <t>Cửa đi nhôm hệ 1000, kính trắng 05mm</t>
  </si>
  <si>
    <t>Cửa đi nhôm hệ 1000, kính trắng 08mm</t>
  </si>
  <si>
    <t>Cửa đi nhôm hệ 1000, kính trắng 10mm</t>
  </si>
  <si>
    <t>Cửa sổ bật, kính trắng 05mm</t>
  </si>
  <si>
    <t>Cửa đi giả gỗ đố 30x60 dày 1,4mm, không kính</t>
  </si>
  <si>
    <t>Cửa đi giả gỗ đố 30x60 dày 1,4mm, kính 05mm</t>
  </si>
  <si>
    <t>Cửa sắt (chưa bao gồm khóa)</t>
  </si>
  <si>
    <t>Cửa đi giả gỗ đố 30x60 dày 1,4mm, có bông bảo vệ, không kính</t>
  </si>
  <si>
    <t>Cửa đi đố 30x60 dày 1,4mm, có bông bảo vệ, không kính</t>
  </si>
  <si>
    <t>Cửa sổ có khuôn bông, không kính</t>
  </si>
  <si>
    <t>Cửa đi đố 30x60 dày 1,4mm, có bông bảo vệ, kính trắng 05mm</t>
  </si>
  <si>
    <t>Cửa đi giả gỗ đố 30x60 dày 1,4mm, có bông bảo vệ , kính trắng 05mm</t>
  </si>
  <si>
    <t>Cửa sổ có khuôn bông, kính trắng 05mm</t>
  </si>
  <si>
    <t>Sơn SPEC: Cửa hàng Bảy Khá tổ 05, ấp Vĩnh Lộc, thị trấn Cái Dầu, huyện Châu Phú, áp dụng từ ngày 13/9/2017</t>
  </si>
  <si>
    <t>Theo bảng giá ngày 07/9/2017</t>
  </si>
  <si>
    <t>Theo bảng giá ngày 25/8/2017</t>
  </si>
  <si>
    <t>Theo bảng giá ngày 09/9/2017</t>
  </si>
  <si>
    <t xml:space="preserve"> * DÂY CÁP ĐIỆN CADIVI: Cty CP Dây cáp điện Việt Nam (số 70-72 Nam Kỳ Khởi Nghĩa, Q.1, Tp.HCM). Theo bảng giá ngày 05/9/2017 và có hiệu lực đến hết Quí IV/2017  (báo giá được cập nhật khi công ty có thay đổi giá)</t>
  </si>
  <si>
    <t xml:space="preserve"> * Công ty NS TNHH BLUESCOPE LYSAGHT VIỆT NAM. Theo bảng giá từ ngày 01/10/2017. Giao tại Long Xuyên.</t>
  </si>
  <si>
    <t>* Cty NS TNHH BLUESCOPE LYSAGHT VIỆT NAM. Theo bảng giá từ ngày 01/10/2017</t>
  </si>
  <si>
    <t xml:space="preserve"> * Hệ giàn thép SMARTRUSS : Cty NS TNHH BLUESCOPE LYSAGHT VIỆT NAM. Theo bảng giá từ ngày 01/10/2017</t>
  </si>
  <si>
    <t>Theo bảng giá từ ngày 01/10/2017</t>
  </si>
  <si>
    <t>* Cầu thép nông thôn: Cty Cổ phần Cơ khí An Giang sản xuất (giao hàng tại Cty trên phương tiện bên mua). Theo bảng giá ngày 16/10/2017</t>
  </si>
  <si>
    <t>NT 4.2 HA -8 1/1 (trọng lượng 867kg/mét dài)</t>
  </si>
  <si>
    <t>* Cửa các loại: Công ty TNHH MTV Thanh Vũ: địa chỉ 28 Nguyễn Tri Phương, P.Bình Khánh, TPLX. Theo bảng giá ngày 20/9/2017</t>
  </si>
  <si>
    <r>
      <t>đ/m</t>
    </r>
    <r>
      <rPr>
        <vertAlign val="superscript"/>
        <sz val="13"/>
        <color indexed="10"/>
        <rFont val="Times New Roman"/>
        <family val="1"/>
      </rPr>
      <t>3</t>
    </r>
  </si>
  <si>
    <r>
      <t>đồng/m</t>
    </r>
    <r>
      <rPr>
        <vertAlign val="superscript"/>
        <sz val="13"/>
        <color indexed="10"/>
        <rFont val="Times New Roman"/>
        <family val="1"/>
      </rPr>
      <t>3</t>
    </r>
  </si>
  <si>
    <r>
      <t>đ/m</t>
    </r>
    <r>
      <rPr>
        <vertAlign val="superscript"/>
        <sz val="13"/>
        <color indexed="10"/>
        <rFont val="Times New Roman"/>
        <family val="1"/>
      </rPr>
      <t>2</t>
    </r>
  </si>
  <si>
    <r>
      <t>đ/m</t>
    </r>
    <r>
      <rPr>
        <vertAlign val="superscript"/>
        <sz val="13"/>
        <color indexed="10"/>
        <rFont val="Times New Roman"/>
        <family val="1"/>
      </rPr>
      <t>2</t>
    </r>
    <r>
      <rPr>
        <sz val="13"/>
        <color indexed="10"/>
        <rFont val="Times New Roman"/>
        <family val="1"/>
      </rPr>
      <t>lưới</t>
    </r>
  </si>
  <si>
    <t>Cọc bê tông DƯL, tiết diện 200x200, M400, chiều dài: 6,0 mét</t>
  </si>
  <si>
    <t>Sơn DURA: Cửa hàng Trung Hưng số 7-8 Nguyễn Thái Học, phường Mỹ Hòa, TP.LX, AG, áp dụng từ ngày 10/10/2017</t>
  </si>
  <si>
    <t>Sơn nước + bột trét KANSAI-ALPHANAM: Công ty TNHH Phương Anh Long Xuyên số 26-28 Lý Bôn, phường Bình Khánh, TP.LX, AG, áp dụng từ ngày 04/9/2017</t>
  </si>
  <si>
    <t>Sơn lót chống kiềm ngoại thất SEALER PRO (Thùng 18lít-23,76kg) mã hiệu DPE</t>
  </si>
  <si>
    <t>Sơn nội thất mờ MATT FINISH FOR INTERIOR (Thùng 18lít-26,28kg) mã hiệu DI10</t>
  </si>
  <si>
    <t>Sơn nội thất lau chùi hiệu quả CLEAN PRO (Thùng 18lít-21,06kg) mã hiệu DI16</t>
  </si>
  <si>
    <t>Sơn ngoại thất mờ MATT FINISH FOR EXTERIOR (Thùng 18lít-24,48kg) mã hiệu DE11</t>
  </si>
  <si>
    <t>Sơn ngoại thất lau chùi hiệu quả SHEEN PRO (Thùng 18lít-21,06kg) mã hiệu DE9</t>
  </si>
  <si>
    <t>01 Đoạn nối nhịp (trọng lượng 475kg/mét dài)</t>
  </si>
  <si>
    <t>01 Đoạn sàn đầu cầu (trọng lượng 2.376kg/mét dài)</t>
  </si>
  <si>
    <t>Gối cầu CV,CM, SC,SD,LK kẽm</t>
  </si>
  <si>
    <t>Cầu thép NT6.2 SC 1/1, bề rộng mặt cầu 06m, chiều dài nhịp tối đa 21m, tải trọng 0,65xHL93</t>
  </si>
  <si>
    <t xml:space="preserve"> - Sơn bảo vệ bề mặt (trọng lượng 1.835kg/mét dài)</t>
  </si>
  <si>
    <t xml:space="preserve"> - Mạ kẽm bảo vệ bề mặt (trọng lượng 1.835kg/mét dài)</t>
  </si>
  <si>
    <t>Cầu thép NT6.2 SD 2/1, bề rộng mặt cầu 06m, chiều dài nhịp tối đa 21m, tải trọng HL93</t>
  </si>
  <si>
    <t xml:space="preserve"> - Sơn bảo vệ bề mặt (trọng lượng 2.613kg/mét dài)</t>
  </si>
  <si>
    <t xml:space="preserve"> - Mạ kẽm bảo vệ bề mặt (trọng lượng 2.613kg/mét dài)</t>
  </si>
  <si>
    <t>Cầu thép NT6.2 SD 2/1, bề rộng mặt cầu 06m, chiều dài nhịp tối đa 27m, tải trọng 0,65xHL93</t>
  </si>
  <si>
    <t xml:space="preserve"> - Sơn bảo vệ bề mặt (trọng lượng 2.483kg/mét dài)</t>
  </si>
  <si>
    <t xml:space="preserve"> - Mạ kẽm bảo vệ bề mặt (trọng lượng 2.483kg/mét dài)</t>
  </si>
  <si>
    <t>Cầu thép NT6.2LK 2/1, bề rộng mặt cầu 06m, chiều dài nhịp tối đa 30m, tải trọng 0,65xHL93</t>
  </si>
  <si>
    <t xml:space="preserve"> - Sơn bảo vệ bề mặt (trọng lượng 2.900kg/mét dài)</t>
  </si>
  <si>
    <t xml:space="preserve"> - Mạ kẽm bảo vệ bề mặt (trọng lượng 2.900kg/mét dài)</t>
  </si>
  <si>
    <t>Cầu thép NT5.5CV 1/1, bề rộng mặt cầu 5.5m, chiều dài nhịp tối đa 21m, tải trọng 0,65xHL93</t>
  </si>
  <si>
    <t xml:space="preserve"> - Sơn bảo vệ bề mặt (trọng lượng 1.755kg/mét dài)</t>
  </si>
  <si>
    <t xml:space="preserve"> - Mạ kẽm bảo vệ bề mặt (trọng lượng 1.755kg/mét dài)</t>
  </si>
  <si>
    <t>Cầu thép NT5.5CV 1/1, bề rộng mặt cầu 5.5m, chiều dài nhịp tối đa 27m, tải trọng HL93</t>
  </si>
  <si>
    <t xml:space="preserve"> - Sơn bảo vệ bề mặt (trọng lượng 2.635kg/mét dài)</t>
  </si>
  <si>
    <t xml:space="preserve"> - Mạ kẽm bảo vệ bề mặt (trọng lượng 2.635kg/mét dài)</t>
  </si>
  <si>
    <t>Cầu thép NT5.2CV 2/1, bề rộng mặt cầu 05m, chiều dài nhịp tối đa 30m, tải trọng HL93</t>
  </si>
  <si>
    <t xml:space="preserve"> - Sơn bảo vệ bề mặt (trọng lượng 2.231kg/mét dài)</t>
  </si>
  <si>
    <t xml:space="preserve"> - Mạ kẽm bảo vệ bề mặt (trọng lượng 2.231kg/mét dài)</t>
  </si>
  <si>
    <t>Cầu thép NT5.2CM 2/1, bề rộng mặt cầu 05m, chiều dài nhịp tối đa 30m, tải trọng 0,5xHL93</t>
  </si>
  <si>
    <t xml:space="preserve"> - Sơn bảo vệ bề mặt (trọng lượng 1.584kg/mét dài)</t>
  </si>
  <si>
    <t xml:space="preserve"> - Mạ kẽm bảo vệ bề mặt (trọng lượng 1.584kg/mét dài)</t>
  </si>
  <si>
    <t>Cầu thép NT5.2CV 1/1, bề rộng mặt cầu 05m, chiều dài nhịp tối đa 24m, tải trọng 0,65xHL93</t>
  </si>
  <si>
    <t xml:space="preserve"> - Sơn bảo vệ bề mặt (trọng lượng 1.800kg/mét dài)</t>
  </si>
  <si>
    <t xml:space="preserve"> - Mạ kẽm bảo vệ bề mặt (trọng lượng 1.800kg/mét dài)</t>
  </si>
  <si>
    <t>Cầu thép NT5.2CV 2/1, bề rộng mặt cầu 05m, chiều dài nhịp tối đa 30m, tải trọng 0,65xHL93</t>
  </si>
  <si>
    <t xml:space="preserve"> - Sơn bảo vệ bề mặt (trọng lượng 1.960kg/mét dài)</t>
  </si>
  <si>
    <t xml:space="preserve"> - Mạ kẽm bảo vệ bề mặt (trọng lượng 1.960kg/mét dài)</t>
  </si>
  <si>
    <t>Cầu thép NT5.2CV 3/1, bề rộng mặt cầu 05m, chiều dài nhịp tối đa 33m, tải trọng 0,65xHL93</t>
  </si>
  <si>
    <t xml:space="preserve"> - Sơn bảo vệ bề mặt (trọng lượng 2.530kg/mét dài)</t>
  </si>
  <si>
    <t xml:space="preserve"> - Mạ kẽm bảo vệ bề mặt (trọng lượng 2.530kg/mét dài)</t>
  </si>
  <si>
    <t>Cầu thép NT5.2CV 3/1, bề rộng mặt cầu 05m, chiều dài nhịp tối đa 33m, tải trọng HL93</t>
  </si>
  <si>
    <t xml:space="preserve"> - Sơn bảo vệ bề mặt (trọng lượng 2.878kg/mét dài)</t>
  </si>
  <si>
    <t xml:space="preserve"> - Mạ kẽm bảo vệ bề mặt (trọng lượng 2.878kg/mét dài)</t>
  </si>
  <si>
    <t>Cầu NT5.2  loại CV,CM, SC,SD,LK mạ kẽm</t>
  </si>
  <si>
    <t>01 Đoạn nối nhịp (trọng lượng 407kg/mét dài)</t>
  </si>
  <si>
    <t>01 Đoạn sàn đầu cầu (trọng lượng 1975kg/mét dài)</t>
  </si>
  <si>
    <t>Cầu NT5.2  loại CV,CM, SC,SD,LK sơn</t>
  </si>
  <si>
    <t>01 Đoạn sàn đầu cầu (trọng lượng 1.975kg/mét dài)</t>
  </si>
  <si>
    <t>Cầu NT5.5  loại CV,CM, SC,SD,LK mạ kẽm</t>
  </si>
  <si>
    <t>01 Đoạn nối nhịp (trọng lượng 420kg/mét dài)</t>
  </si>
  <si>
    <t>01 Đoạn sàn đầu cầu (trọng lượng 2,034kg/mét dài)</t>
  </si>
  <si>
    <t>Cầu NT5.5  loại CV,CM, SC,SD,LK sơn</t>
  </si>
  <si>
    <t>Cầu NT6.2  loại CV,CM, SC,SD,LK mạ kẽm</t>
  </si>
  <si>
    <t>Cầu NT6.2  loại CV,CM, SC,SD,LK sơn</t>
  </si>
  <si>
    <t>Gối cầu CV,CM, SC,SD,LK sơn</t>
  </si>
  <si>
    <t>Tháp treo cầu (2 tháp) CV,CM, SC,SD,LK kẽm</t>
  </si>
  <si>
    <t xml:space="preserve">Lắp đặt tháp treo cầu (2 tháp) CV,CM, SC,SD,LK </t>
  </si>
  <si>
    <t>mét</t>
  </si>
  <si>
    <t>đoạn</t>
  </si>
  <si>
    <t xml:space="preserve">cái </t>
  </si>
  <si>
    <t>* Xí nghiệp Cơ khí Long Xuyên - Cửa hàng KD Sắt Thép, địa chỉ liên hệ: 28/1 Trần Hưng Đạo, P. Mỹ Quý, Tp.LX, An Giang. Theo bảng giá ngày 19/10/2017</t>
  </si>
  <si>
    <t>Thép hộp 60 x 120 x 1,5 (Trung Quốc)</t>
  </si>
  <si>
    <t>Ống kẽm fi 76 x 1,5 li</t>
  </si>
  <si>
    <t>Ống kẽm fi 90 x 1,5 li</t>
  </si>
  <si>
    <t>Ống kẽm fi 114 x 1,8 li</t>
  </si>
  <si>
    <t>Sơn nội thất ENRIC STAINLESS INT chống bám bẩn (01 lít, 1,5kg)</t>
  </si>
  <si>
    <t>Sơn nội thất ENRIC STAINLESS INT chống bám bẩn (05 lít, 7,5kg)</t>
  </si>
  <si>
    <t>Sơn nội thất ENRIC STAINLESS INT chống bám bẩn (18 lít, 27kg)</t>
  </si>
  <si>
    <t>Sơn nội thất LAVENDER đa dụng (05 lít, 7,5kg)</t>
  </si>
  <si>
    <t>Sơn nội thất LAVENDER đa dụng (18 lít, 27kg)</t>
  </si>
  <si>
    <t>Sơn nội thất VEGO bóng mờ cổ điển (05 lít, 7,5kg).</t>
  </si>
  <si>
    <t>Sơn nội thất VEGO bóng mờ cổ điển (18 lít, 27kg).</t>
  </si>
  <si>
    <t>Sơn nội thất ZURIK dễ lau chùi (01lít, 1,5 kg)</t>
  </si>
  <si>
    <t>Sơn nội thất ZURIK dễ lau chùi (05lít, 7,5 kg)</t>
  </si>
  <si>
    <t>Sơn nội thất ZURIK dễ lau chùi (18lít, 27 kg)</t>
  </si>
  <si>
    <t>Sơn ngoại thất ZURIK bóng cao cấp (01 lít, 1,5kg)</t>
  </si>
  <si>
    <t>Sơn ngoại thất ZURIK bóng cao cấp (05 lít, 7,5kg)</t>
  </si>
  <si>
    <t>Sơn ngoại thất ZURIK bóng cao cấp (18 lít, 27kg)</t>
  </si>
  <si>
    <t>Sơn nội thất ENRIC PEARL SILK bóng ngọc trai (01 lít, 1,5kg)</t>
  </si>
  <si>
    <t>Sơn nội thất ENRIC PEARL SILK bóng ngọc trai (05 lít, 7,5kg)</t>
  </si>
  <si>
    <t>Sơn ngoại thất LAVENDER đa dụng (05 lít, 7,5kg)</t>
  </si>
  <si>
    <t>Sơn ngoại thất LAVENDER đa dụng (18 lít, 27kg)</t>
  </si>
  <si>
    <t>Sơn ngoại thất VEGO bóng mờ cổ điển (05 lít, 7,5kg).</t>
  </si>
  <si>
    <t>Sơn ngoại thất VEGO bóng mờ cổ điển (18 lít, 27kg).</t>
  </si>
  <si>
    <t>Sơn ngoại thất VEGO bóng mờ cổ điển (01 lít, 1,5kg).</t>
  </si>
  <si>
    <t>Sơn ngoại thất ENRIC STAINLESS INT chống bám bẩn (01 lít, 1,5kg)</t>
  </si>
  <si>
    <t>Sơn ngoại thất ENRIC STAINLESS INT chống bám bẩn (05 lít, 7,5kg)</t>
  </si>
  <si>
    <t>Sơn ngoại thất ENRIC SAFE PERFECT hoàn hảo (05 lít, 7,5kg)</t>
  </si>
  <si>
    <t>Sơn ngoại thất ENRIC SAFE PERFECT hoàn hảo (01 lít, 1,5kg)</t>
  </si>
  <si>
    <t>Sơn lót nội thất ENRIC NANO SEALER (05 lít, 7,5kg)</t>
  </si>
  <si>
    <t>Sơn lót nội thất ENRIC NANO SEALER (18 lít, 27kg)</t>
  </si>
  <si>
    <t>Sơn lót ngoại thất ENRIC NANO SEALER (05 lít, 7,5kg)</t>
  </si>
  <si>
    <t>Sơn lót ngoại thất ENRIC NANO SEALER (18 lít, 27kg)</t>
  </si>
  <si>
    <t>Chống thấm ENRIC đa năng (05 lít, 7,5kg)</t>
  </si>
  <si>
    <t>Chống thấm ENRIC đa năng (18 lít, 27kg)</t>
  </si>
  <si>
    <t>Bột trét tường ZURIK chống bong tróc 40kg</t>
  </si>
  <si>
    <t>Bột trét tường ZURIK chống thắm 40kg</t>
  </si>
  <si>
    <t>Bột trét tường ZURIK chống thắm tối ưu 40kg</t>
  </si>
  <si>
    <t>Tại mỏ cát Vĩnh Xương, mỏ cát Cái Dầu và Phú An của Công ty TNHH MTV Xây lắp An Giang (Theo giá bán tại mỏ áp dụng từ 06/11/2017,  đã bao gồm thuế GTGT, thuế tài nguyên, phí bảo vệ môi trường và các loại phí khác)</t>
  </si>
  <si>
    <t>Tại xã Tấn Mỹ, huyện Chợ Mới: Công ty TNHH xây dựng thương mại Hải Toàn (giá bán tại mỏ áp dụng từ ngày 11/9/2017, đã bao gồm thuế GTGT, thuế tài nguyên, phí bảo vệ môi trường và các loại phí khác)</t>
  </si>
  <si>
    <t>Tại xã Vĩnh Hòa, TX.Tân Châu: Theo bảng kê khai giá áp dụng từ ngày 30/10/2017 của Công ty TNHH Thiện Nghĩa (giá bán tại mỏ, đã bao gồm thuế GTGT, thuế tài nguyên, phí bảo vệ môi trường và các loại phí khác)</t>
  </si>
  <si>
    <t>Tại xã Bình Thủy, huyện Châu Phú và xã Tân Hòa huyện Phú Tân: Theo bảng kê khai giá áp dụng từ ngày 01/9/2017 của Công ty cổ phần xáng cát An Giang (giá bán tại mỏ, đã bao gồm thuế GTGT, thuế tài nguyên, phí bảo vệ môi trường và các loại phí khác)</t>
  </si>
  <si>
    <t>Tại xã Bình Thành, huyện Châu Phú và xã Nhơn Mỹ, huyện Chợ Mới: Theo bảng kê khai giá áp dụng từ ngày 08/9/2017 của DNTN Thái Bình (giá bán tại mỏ, đã bao gồm thuế GTGT, thuế tài nguyên, phí bảo vệ môi trường và các loại phí khác)</t>
  </si>
  <si>
    <t>Công ty TNHH TM-DV Châu Long (giá áp dụng từ ngày 10/11/2017)</t>
  </si>
  <si>
    <t>Tại xã Bình Thủy, huyện Châu Phú và xã Mỹ Hội Đông, huyện Chợ Mới: Theo bảng kê khai giá áp dụng từ ngày 10/11/2017 của Công ty TNHH MTV Tân Lê Quang (giá bán tại mỏ, đã bao gồm thuế GTGT, thuế tài nguyên, phí bảo vệ môi trường và các loại phí khác)</t>
  </si>
  <si>
    <t xml:space="preserve"> * Cọc bê tông dự ứng lực: Cty TNHH Thái Sơn An Giang sản xuất (Địa chỉ: tỉnh lộ 943, xã Vĩnh Trạch, huyện Thoại Sơn, An Giang), giao hàng tại nơi sản xuất, chưa tính chi phí bốc dỡ vận chuyển. Theo bảng giá ngày 01/11/2017</t>
  </si>
  <si>
    <t>* Công ty CP SX-TM Liên Phát  (số 57 Đào Duy Anh, P.9, Q. Phú Nhuận, Tp.HCM), giao hàng tại kho Công ty. Theo bảng giá ngày 09/11/2017</t>
  </si>
  <si>
    <t>* Xăng dầu Petrolimex: Cty TNHH MTV Xăng Dầu An Giang. Áp dụng kể từ 15 giờ 00 ngày 20/11/2017 trên địa bàn tỉnh An Giang.</t>
  </si>
  <si>
    <t>Theo bảng giá ngày 6/11/2017</t>
  </si>
  <si>
    <t>Theo bảng giá ngày 11/9/2017</t>
  </si>
  <si>
    <t>Theo bảng giá ngày 30/10/2017</t>
  </si>
  <si>
    <t>Theo bảng giá ngày 01/9/2017</t>
  </si>
  <si>
    <t>Theo bảng giá ngày 08/9/2017</t>
  </si>
  <si>
    <t>Theo bảng giá ngày 10/11/2017</t>
  </si>
  <si>
    <t>Theo bảng giá ngày 01/11/2017</t>
  </si>
  <si>
    <t xml:space="preserve"> Theo bảng giá ngay 19/10/2017</t>
  </si>
  <si>
    <t>Áp dụng kể từ 15 giờ 00 ngày 20/11/2017</t>
  </si>
  <si>
    <t xml:space="preserve">            GIÁ VẬT LIỆU XÂY DỰNG VÀ TRANG TRÍ NỘI THẤT THÁNG 12 NĂM 2017</t>
  </si>
  <si>
    <t xml:space="preserve">           Liên Sở Xây dựng - Tài chính công bố giá bán các loại vật liệu xây dựng và trang trí nội thất chủ yếu thời điểm tháng 12 năm 2017 trên địa bàn tỉnh An Giang như sau:</t>
  </si>
  <si>
    <t>* Công ty TNHH Thương mại và sản xuất Thép Việt (thép Pomina). Giá chưa bao gồm phí vận chuyển và bẻ, giao hàng trên phương tiện bên mua tại Nhà máy, KCN Sóng Thần II, huyện Dĩ An, tỉnh Bình Dương. Theo bảng giá ngày 01/12/2017</t>
  </si>
  <si>
    <t xml:space="preserve"> * Xi măng Công Thanh (Tòa nhà TINA, 21/4-16 Hàm Nghi, Bến Nghé, Q1, TP HCM): Theo bảng giá ngày 01/12/2017</t>
  </si>
  <si>
    <t xml:space="preserve"> * Xi măng Vicem Hà Tiên (giá bán tại nhà máy Kiên Lương; trạm nghiền Phú Hữu, trạm nghiền Long An, chưa bao gồm các chi phí khác). Theo bảng giá ngày 01/12/2017</t>
  </si>
  <si>
    <t>* Công ty Thép Tây Đô: giao hàng tại Nhà máy (lô 45, đường số 2, KCN Trà Nóc 1, Tp.Cần Thơ). Theo bảng giá ngày 30/11/2017</t>
  </si>
  <si>
    <t>* Công ty TNHH TM-SX-DV Tín Thịnh (số 102H, Nguyễn Xuân Khoát, P.Tân Thành, Q.Tân Phú, Tp.HCM). Giao tại Tp. Long Xuyên. Theo bảng giá ngày 01/12/2017</t>
  </si>
  <si>
    <t>Sơn nước KENNY: Công ty TNHH SX-TM Sơn Phúc (CN 551/162 Lê Văn Khương, P.Hiệp Thành, Quận 12, TP.HCM, áp dụng từ ngày 01/12/2017)</t>
  </si>
  <si>
    <t>Sơn nước nội thất KENNY NICE (sơn kinh tế)</t>
  </si>
  <si>
    <t>Sơn nước nội thất KENNY INT (sơn chất lượng cao)</t>
  </si>
  <si>
    <t>Sơn nước nội thất KENNY SUPER WHITE (Siêu trắng)</t>
  </si>
  <si>
    <t>Sơn nước nội thất KENNY LIGHT (Cao cấp, lau chùi) màu thường</t>
  </si>
  <si>
    <t>Sơn nước nội thất KENNY DELUXE 5 TRONG 1 (Bóng mờ, chùi rửa) màu thường.</t>
  </si>
  <si>
    <t>Sơn nước nội thất KENNY SATIN (Bóng cao cấp, chùi rửa)</t>
  </si>
  <si>
    <t>Sơn nước ngoại thất KENNY EXT PLUS (kháng kiềm tốt)</t>
  </si>
  <si>
    <t>Sơn nước ngoại thất KENNY EXTRA (cao cấp, chống thấm) - màu thường</t>
  </si>
  <si>
    <t>Sơn nước ngoại thất KENNY MAXSHELD (chống nóng, chống thấm) - màu thường</t>
  </si>
  <si>
    <t>Sơn nước ngoại thất KENNY SHIELD (Bóng cao cấp, chống thấm) - màu thường</t>
  </si>
  <si>
    <t>Sơn nước ngoại thất KENNY NANOSILK (ngoại thất siêu hạng) - màu thường</t>
  </si>
  <si>
    <t>Sơn lót chống kiềm KENNY ANGEL nội thất cao cấp</t>
  </si>
  <si>
    <t xml:space="preserve">Sơn lót chống kiềm KENNY SEALER ngoại thất chất lượng cao </t>
  </si>
  <si>
    <t xml:space="preserve">Sơn lót chống kiềm KENNY PRIMER ngoại thất chất lượng cao </t>
  </si>
  <si>
    <t xml:space="preserve">Sơn lót chống kiềm KENNY NANOSILK 5 trong 1 ngoại thất siêu hạng </t>
  </si>
  <si>
    <t xml:space="preserve">Sơn chống thấm KENNY RAINKOTE màu đen cao cấp </t>
  </si>
  <si>
    <t>Sơn chống thấm KENNY LATEX K11A đa năng cao cấp</t>
  </si>
  <si>
    <t>Sơn chống thấm KENNY LATEX CT11B - Hợp chất pha xi măng, vữa tô.</t>
  </si>
  <si>
    <t>Bột trét tường nội thất KENNY LINGT cao cấp</t>
  </si>
  <si>
    <t>Bột trét tường nội thất KENNY DELUXE cao cấp</t>
  </si>
  <si>
    <t>Bột trét tường nội thất KENNY SATIN siêu bền</t>
  </si>
  <si>
    <t>Bột trét tường ngoại thất KENNY NICE kinh tế</t>
  </si>
  <si>
    <t>Bột trét tường nội thất KENNY NICE kinh tế</t>
  </si>
  <si>
    <t>Bột trét tường nội thất KENNY INT chất lượng cao</t>
  </si>
  <si>
    <t>Bột trét tường ngoại thất KENNY EXT chất lượng cao</t>
  </si>
  <si>
    <t>Bột trét tường ngoại thất KENNY EXTRA cao cấp</t>
  </si>
  <si>
    <t>Bột trét tường ngoại thất KENNY MAXSHIELD cao cấp</t>
  </si>
  <si>
    <t>Bột trét tường ngoại thất KENNY SHIELD siêu bền</t>
  </si>
  <si>
    <t>Bột trét tường ngoại thất KENNY PRO cao cấp</t>
  </si>
  <si>
    <t>Sơn dầu trang trí KENNY - trắng bóng</t>
  </si>
  <si>
    <t>Sơn dầu trang trí KENNY - màu bóng</t>
  </si>
  <si>
    <t>Sơn dầu trang trí KENNY - trắng mờ</t>
  </si>
  <si>
    <t>Sơn dầu trang trí KENNY - đen mờ</t>
  </si>
  <si>
    <t>Sơn dầu chống rỉ KENNY màu đỏ</t>
  </si>
  <si>
    <t>Sơn dầu chống rỉ KENNY màu xám</t>
  </si>
  <si>
    <t>Sơn dầu chống rỉ kim loại mạ kẽm KENNY màu đỏ</t>
  </si>
  <si>
    <t>Sơn dầu chống rỉ kim loại mạ kẽm KENNY màu xanh</t>
  </si>
  <si>
    <t>Sơn dầu chống rỉ kim loại mạ kẽm KENNY màu trắng</t>
  </si>
  <si>
    <t>lít</t>
  </si>
  <si>
    <r>
      <t xml:space="preserve">            </t>
    </r>
    <r>
      <rPr>
        <sz val="14"/>
        <rFont val="Times New Roman"/>
        <family val="1"/>
      </rPr>
      <t xml:space="preserve">  Số: 209/CBLS/XD-TC</t>
    </r>
    <r>
      <rPr>
        <b/>
        <sz val="14"/>
        <rFont val="Times New Roman"/>
        <family val="1"/>
      </rPr>
      <t xml:space="preserve">                                                                         </t>
    </r>
    <r>
      <rPr>
        <i/>
        <sz val="14"/>
        <rFont val="Times New Roman"/>
        <family val="1"/>
      </rPr>
      <t>An Giang, ngày   18   tháng  12 năm 2017</t>
    </r>
  </si>
  <si>
    <t>* Cty TNHH thép SeAH Việt Nam (số 7, đường 3A, KCN Biên Hòa II, Đồng Nai), giao hàng tại tỉnh An Giang. Theo bảng giá ngày 15/12/2017</t>
  </si>
  <si>
    <t>* Xăng dầu Petrolimex: Cty TNHH MTV Xăng Dầu An Giang. Áp dụng kể từ 15 giờ 00 ngày 05/12/2017 trên địa bàn tỉnh An Giang.</t>
  </si>
  <si>
    <t>Áp dụng kể từ 15 giờ 00 ngày 05/12/2017</t>
  </si>
  <si>
    <t>ĐÈN LED CHIẾU SÁNG ĐƯỜNG PHỐ SLIGTING  CHIP LED CREE – USA ; MILED - MALAYSIA; CITIZEN - G7 – BẢO HÀNH: 5 NĂM.</t>
  </si>
  <si>
    <t>Đèn LED SLI-SL7-50w  IP66, tiết giảm công suất 2-6 cấp</t>
  </si>
  <si>
    <t>Chiếc</t>
  </si>
  <si>
    <t>Đèn LED SLI-SL7-80w    IP66, tiết giảm công suất 2-6 cấp</t>
  </si>
  <si>
    <t>Đèn LED SLI-SL7-120w    IP66, tiết giảm công suất 2-6 cấp</t>
  </si>
  <si>
    <t>Đèn LED SLI-SL7-150w    IP66, tiết giảm công suất 2-6 cấp</t>
  </si>
  <si>
    <t>Đèn LED SLI-SL17-100w   IP66, tiết giảm công suất 2-6 cấp</t>
  </si>
  <si>
    <t>Đèn LED SLI-SL17-160w    IP66, tiết giảm công suất 2-6 cấp</t>
  </si>
  <si>
    <t>Đèn LED SLI-SL17-170w    IP66, tiết giảm công suất 2-6 cấp</t>
  </si>
  <si>
    <t>Đèn LED SLI-SL10-50w    IP66, tiết giảm công suất 2-6 cấp</t>
  </si>
  <si>
    <t>Đèn LED SLI-SL10-75w    IP66, tiết giảm công suất 2-6 cấp</t>
  </si>
  <si>
    <t>Đèn LED SLI-SL10-100w    IP66, tiết giảm công suất 2-6 cấp</t>
  </si>
  <si>
    <t>Đèn LED SLI-SL10-125w    IP66, tiết giảm công suất 2-6 cấp</t>
  </si>
  <si>
    <t>Đèn LED SLI-SL10-150w     IP66, tiết giảm công suất 2-6 cấp</t>
  </si>
  <si>
    <t>Đèn LED SLI-FL6-50w      IP66, tiết giảm công suất 2-6 cấp</t>
  </si>
  <si>
    <t>Đèn LED SLI-FL6-100w     IP66, tiết giảm công suất 2-6 cấp</t>
  </si>
  <si>
    <t>Đèn LED SLI-FL6-150w     IP66, tiết giảm công suất 2-6 cấp</t>
  </si>
  <si>
    <t>Đèn LED SLI-FL6-200w     IP66, tiết giảm công suất 2-6 cấp</t>
  </si>
  <si>
    <t>Đèn LED SLI-FL6-245w    IP66, tiết giảm công suất 2-6 cấp</t>
  </si>
  <si>
    <t>Đèn LED SLI-FL6-300w     IP66, tiết giảm công suất 2-6 cấp</t>
  </si>
  <si>
    <t xml:space="preserve">Bóng LED Buld SLI-SBL7  </t>
  </si>
  <si>
    <t>Bóng LED Buld SLI-SBL9</t>
  </si>
  <si>
    <t>Bóng LED SLI-LR1</t>
  </si>
  <si>
    <t>TRỤ ĐÈN CHIẾU SÁNG  SLIGHTING(WWW. CHIEUSANGVIET.COM)</t>
  </si>
  <si>
    <t xml:space="preserve">Cột thép Bát giác, Tròn côn liền cần đơn, H=6m tôn dày 3mm </t>
  </si>
  <si>
    <t>Cột thép Bát giác, Tròn côn liền cần đơn, H=7m tôn dày 3mm</t>
  </si>
  <si>
    <t>Cột thép Bát giác, Tròn côn liền cần đơn, H=8m tôn dày 3mm</t>
  </si>
  <si>
    <t>Cột thép Bát giác, Tròn côn liền cần đơn, H=9m tôn dày 3mm</t>
  </si>
  <si>
    <t>Cột thép Bát giác, Tròn côn liền cần đơn, H=10m tôn dày 3mm</t>
  </si>
  <si>
    <t>Cột thép Bát giác, Tròn côn liền cần đơn, H=7m tôn dày 3,5mm</t>
  </si>
  <si>
    <t>Cột thép Bát giác, Tròn côn liền cần đơn, H=8m tôn dày 3,5mm</t>
  </si>
  <si>
    <t>Cột thép Bát giác, Tròn côn liền cần đơn, H=9m tôn dày 3,5mm</t>
  </si>
  <si>
    <t>Cột thép Bát giác, Tròn côn liền cần đơn, H=10m tôn dày 3,5mm</t>
  </si>
  <si>
    <t>Cột thép Bát giác, Tròn côn liền cần đơn, H=11m tôn dày 3,5mm</t>
  </si>
  <si>
    <t>Cột thép Bát giác, Tròn côn liền cần đơn, H=9m tôn dày 4mm</t>
  </si>
  <si>
    <t>Cột thép Bát giác, Tròn côn liền cần đơn, H=10m tôn dày 4mm</t>
  </si>
  <si>
    <t>Cột thép Bát giác, Tròn côn liền cần đơn, H=11m tôn dày 4mm</t>
  </si>
  <si>
    <t>Cột thép Bát giác, Tròn côn rời cần đơn, H=11,3m tôn dày 4mm. Mạ kẽm, sơn phủ</t>
  </si>
  <si>
    <t>Cột thép Bát giác, Tròn côn 6m D78-3mm</t>
  </si>
  <si>
    <t>Cột thép Bát giác, Tròn côn 7m D78-3mm</t>
  </si>
  <si>
    <t>Cột thép Bát giác, Tròn côn 8m D78-3mm</t>
  </si>
  <si>
    <t>Cột thép Bát giác, Tròn côn 8m D78-3,5mm</t>
  </si>
  <si>
    <t>Cột thép Bát giác, Tròn côn 9m D78-3,5mm</t>
  </si>
  <si>
    <t>Cột thép Bát giác, Tròn côn 10m D78-3,5mm</t>
  </si>
  <si>
    <t>Cột thép Bát giác, Tròn côn 8m D78-4mm</t>
  </si>
  <si>
    <t>Cột thép Bát giác, Tròn côn 9m D78-4mm</t>
  </si>
  <si>
    <t>Cột thép Bát giác, Tròn côn 10m D78-4mm</t>
  </si>
  <si>
    <t>Cột thép Bát giác, Tròn côn 11m D78-4mm</t>
  </si>
  <si>
    <t xml:space="preserve"> Cần đèn CD-01 cao 2m, vươn 1,5m</t>
  </si>
  <si>
    <t xml:space="preserve"> Cần đèn CD-02;CD-04; CD-07; CD-14; CD-23; CD-32; CD-43; CD-45  cao 2m, vươn 1,5m</t>
  </si>
  <si>
    <t xml:space="preserve"> Cần đèn CD-03; CD-05; CD-10; CD-11; CD-16; CD-18; CD-21; CD-22; CD-24; CD-26; CD-29; CD-39; CD-40; CD-46 cao 2m, vươn 1,5m</t>
  </si>
  <si>
    <t xml:space="preserve"> Cần đèn CD-06; CD-08; CD-09; CD-13; CD-25; CD-30; CD-42 cao 2m, vươn 1,5m</t>
  </si>
  <si>
    <t>Cần đèn CK-02 cao 2m, vươn 1,5m</t>
  </si>
  <si>
    <t xml:space="preserve"> Cần đèn CK-03; CK-04; CK-22; CK-28; CK-32; CK-35 cao 2m, vươn 1,5m</t>
  </si>
  <si>
    <t xml:space="preserve"> Cần đèn CK-05 cao 2m, vươn 1,5m</t>
  </si>
  <si>
    <t xml:space="preserve"> Cần đèn CK-06; CK-10; CK-14; CK-23; CK-24; CK-36; CK-39 cao 2m, vươn 1,5m</t>
  </si>
  <si>
    <t xml:space="preserve"> Cần đèn CK-07; CK-08; CK-09; CK-16; CK-17; CK-20; CK-25; CK-30; CK-37; CK-38; CK-45 cao 2m, vươn 1,5m</t>
  </si>
  <si>
    <t xml:space="preserve"> Cần đèn CK-11; CK-19; CK-33; CK44 cao 2m, vươn 1,5m</t>
  </si>
  <si>
    <t>Đế gang DP01 cao 1,38m thân cột thép cao 8m ngọn  D78-3.5</t>
  </si>
  <si>
    <t>Đế gang DP01 cao 1,38m thân cột thép cao 8m ngọn  D78-4.0</t>
  </si>
  <si>
    <t>Đế gang DP01 cao 1,38m thân cột thép cao 9m ngọn  D78-3.5</t>
  </si>
  <si>
    <t>Đế gang DP01 cao 1,38m thân cột thép cao 9m ngọn  D78-4.0</t>
  </si>
  <si>
    <t>Đế gang DP01 cao 1,38m thân cột thép cao 10m ngọn  D78-4.0</t>
  </si>
  <si>
    <t>Đế gang DP05 cao 1,58m thân cột thép cao 9m ngọn D78-3.5</t>
  </si>
  <si>
    <t>Đế gang DP05 cao 1,58m thân cột thép cao 9m ngọn D78-4.0</t>
  </si>
  <si>
    <t>Đế gang DP05 cao 1,58m thân cột thép cao 10m ngọn D78-4.0</t>
  </si>
  <si>
    <t xml:space="preserve"> Cột đa giác 14m-130-5mm</t>
  </si>
  <si>
    <t xml:space="preserve"> Cột đa giác 17m-150-5mm</t>
  </si>
  <si>
    <t xml:space="preserve"> Cột đa giác 20m-180-5mm</t>
  </si>
  <si>
    <t xml:space="preserve"> Cột đa giác 25m-260-6mm
Giàn đèn pha di động lắp trên cột 25-30m không đèn</t>
  </si>
  <si>
    <t xml:space="preserve"> Cột đa giác 30m-260-8mm 
Giàn đèn pha di động lắp trên cột 25-30m không đèn</t>
  </si>
  <si>
    <t>C01/SV3-9/QT-12m-3.0</t>
  </si>
  <si>
    <t>C01/SV8-1/DB3-8m-3.0; C01/SV8-4/DB4-6m-3.0</t>
  </si>
  <si>
    <t>C01/SV8-4/DB4-8m-3.0</t>
  </si>
  <si>
    <t>TRỤ TRANG TRÍ SÂN VƯỜN  SLIGHTING: Đế, thân bằng gang đúc,  sơn trang trí bên ngoài. Chùm bằng hợp kim nhôm đúc, sơn trang trí bên ngoài. Bảo hành 24 tháng (WWW. CHIEUSANGVIET.COM)</t>
  </si>
  <si>
    <t>Cột đế gang thân nhôm C05 cao 3,7m</t>
  </si>
  <si>
    <t>Cột đế gang thân gang C07 cao 3,2m; Cột đế gang thân gang C06 cao 3,2m</t>
  </si>
  <si>
    <t>Cột đế gang thân nhôm C07 theo tiêu chuẩn</t>
  </si>
  <si>
    <t>Cột đế nhôm thân nhôm C09 cao 4m</t>
  </si>
  <si>
    <t>Chùm CH05-2; Chùm CH06-4; Chùm CH1-2</t>
  </si>
  <si>
    <t>Chùm CH08-4</t>
  </si>
  <si>
    <t>Chùm CH09-1</t>
  </si>
  <si>
    <t>Chùm CH09-2</t>
  </si>
  <si>
    <t>Chùm CH11-4</t>
  </si>
  <si>
    <t>Chùm CH12-4</t>
  </si>
  <si>
    <t>Cầu trang trí SV3A-D300</t>
  </si>
  <si>
    <t>Cầu trang trí SV3A-D400</t>
  </si>
  <si>
    <t>ĐÈN CAO ÁP  SLIGHTING: Bảo hành 12 tháng, Bộ điện  SLIGHTING (WWW. CHIEUSANGVIET.COM)</t>
  </si>
  <si>
    <t>Đèn cao áp 1 công suất 150W, Sodium - SLI-S3</t>
  </si>
  <si>
    <t>Đèn cao áp 1 công suất 250W, Sodium - SLI-S3</t>
  </si>
  <si>
    <t>Đèn cao áp 2 công suất 250/150, Sodium - SLI-S3</t>
  </si>
  <si>
    <t>Đèn cao áp 1 công suất 250W, Sodium - SLI-S6</t>
  </si>
  <si>
    <t>Đèn cao áp 2 công suất 150/100, Sodium - SLI-S6</t>
  </si>
  <si>
    <t>Đèn cao áp 2 công suất 250/150, Sodium - SLI-S6</t>
  </si>
  <si>
    <t>Đèn 80WCompact - SLI-S12</t>
  </si>
  <si>
    <t>Đèn cao áp 1 công suất 70W, Sodium - SLI-S12</t>
  </si>
  <si>
    <t>Đèn cao áp 1 công suất 150W, Sodium- SLI-S12</t>
  </si>
  <si>
    <t>Đèn cao áp 2 công suất 150/100, Sodium- SLI-S12</t>
  </si>
  <si>
    <t>Đèn cao áp 1 công suất 150W, Sodium - SLI-S18</t>
  </si>
  <si>
    <t>Đèn cao áp 1 công suất 250W, Sodium - SLI-S18</t>
  </si>
  <si>
    <t>Đèn cao áp 2 công suất 150/100, Sodium - SLI-S18</t>
  </si>
  <si>
    <t>Đèn cao áp 2 công suất 250/150, Sodium - SLI-S18</t>
  </si>
  <si>
    <t>Đèn cao áp 1 công suất 250W, Sodium - SLI-S19</t>
  </si>
  <si>
    <t>Đèn cao áp 2 công suất 250/150, Sodium - SLI-S19</t>
  </si>
  <si>
    <t>Đèn pha FM4-400 Metal Halide/ Sodium</t>
  </si>
  <si>
    <t>Đèn pha FM4-1000 Metal Halide/ Sodium</t>
  </si>
  <si>
    <t>Đèn pha FM15-1000 Metal Halide/ Sodium</t>
  </si>
  <si>
    <t>Đèn pha FM17-1000 Metal Halide/ Sodium</t>
  </si>
  <si>
    <t>LINH KIỆN:</t>
  </si>
  <si>
    <t>Cọc tiếp địa V63x63x6x2500</t>
  </si>
  <si>
    <t>KM cột 05 M16x340x340x500</t>
  </si>
  <si>
    <t>KM cột M16x260x260x500</t>
  </si>
  <si>
    <t>KM cột M16x240x240x525</t>
  </si>
  <si>
    <t>KM cột M24x300x300x675</t>
  </si>
  <si>
    <t>KM cột đa giác M24x1375x8</t>
  </si>
  <si>
    <t>KM cột đa giác M30x1875x12</t>
  </si>
  <si>
    <t xml:space="preserve"> Tủ điện ĐK HTCS 1000x600x350 thiết bị ngoại 100A</t>
  </si>
  <si>
    <t>Chấn lưu 1 cấp công suất OGS150w SLIGHTING</t>
  </si>
  <si>
    <t>Chấn lưu 1 cấp công suất OGS250w SLIGHTING</t>
  </si>
  <si>
    <t>Chấn lưu 1 cấp công suất OGS400w SLIGHTING</t>
  </si>
  <si>
    <t>Chấn lưu 1 cấp công suất OGS1000w SLIGHTING</t>
  </si>
  <si>
    <t>Chấn lưu 2 cấp công suất 150w/100w SLIGHTING</t>
  </si>
  <si>
    <t>Chấn lưu 2 cấp công suất 250w/150w SLIGHTING</t>
  </si>
  <si>
    <t>Chấn lưu 2 cấp công suất 400w/250w SLIGHTING</t>
  </si>
  <si>
    <t>Bóng đèn cao áp Sodium SHP T70wE40 SLIGHTING</t>
  </si>
  <si>
    <t>Bóng đèn cao áp Sodium SHP T 150wE40 SLIGHTING</t>
  </si>
  <si>
    <t>Bóng đèn cao áp Sodium SHP T 250wE40 SLIGHTING</t>
  </si>
  <si>
    <t>Bóng đèn cao áp Sodium SHP T 400wE40 SLIGHTING</t>
  </si>
  <si>
    <t>Bóng đèn cao áp Sodium SHP T 1000wE40 SLIGHTING</t>
  </si>
  <si>
    <t>Bộ chuyển mạch 2 cấp công suất SLIGHTING</t>
  </si>
  <si>
    <t>Tụ mồi 70-400w SLIGHTING</t>
  </si>
  <si>
    <t>Tụ bù 32MF SLIGHTING</t>
  </si>
  <si>
    <t>SẢN PHẨM CHIẾU SÁNG CÔNG TY CỔ PHẦN SLIGHTINH VIỆT NAM, số 168, đường K2, phường Cầu Diễn, quận Nam Từ Liêm, Hà Nội áp dụng từ ngày 01/12/2017, giá đến chân công trình.</t>
  </si>
  <si>
    <t>Các đơn vị đăng ký giá  vật liệu tháng 12/2017</t>
  </si>
  <si>
    <t>Các nội dung bổ sung, điều chỉnh giá VLXD tháng 12-2017 so với tháng 11-2017</t>
  </si>
  <si>
    <t>Theo bảng giá ngày 01/12/2017</t>
  </si>
  <si>
    <t>Theo bảng giá ngày 30/11/2017</t>
  </si>
  <si>
    <t xml:space="preserve"> Theo bảng giá ngày 15/12/2017</t>
  </si>
  <si>
    <t>Theo bảng giá từ ngày 30/11/2017</t>
  </si>
  <si>
    <t>Theo bảng giá ngày 01/8/2017</t>
  </si>
  <si>
    <t>Theo bảng giá ngày 17/7/2017</t>
  </si>
  <si>
    <t>Theo bảng giá ngày 09/11/2017</t>
  </si>
  <si>
    <t>Theo bảng giá ngày 29/8/2017</t>
  </si>
  <si>
    <t>Theo báo giá ngày 13/9/2017</t>
  </si>
  <si>
    <t>Sơn SPEC: Cửa hàng Bảy Khá tổ 05, ấp Vĩnh Lộc, thị trấn Cái Dầu, huyện Châu Phú</t>
  </si>
  <si>
    <t>Theo báo giá ngày 10/10/2017</t>
  </si>
  <si>
    <t>Sơn DURA: Cửa hàng Trung Hưng số 7-8 Nguyễn Thái Học, phường Mỹ Hòa, TP.LX, AG</t>
  </si>
  <si>
    <t>Theo báo giá ngày 04/9/2017</t>
  </si>
  <si>
    <t>Sơn nước + bột trét KANSAI-ALPHANAM: Công ty TNHH Phương Anh Long Xuyên số 26-28 Lý Bôn, phường Bình Khánh, TP.LX, AG</t>
  </si>
  <si>
    <t>Theo báo giá ngày 01/12/2017</t>
  </si>
  <si>
    <t>giá mới</t>
  </si>
  <si>
    <t xml:space="preserve"> * Trần &amp; Vách ngăn thạch cao : Cty TNHH Xây dựng-Thương mại-Dịch vụ Lê Trần, địa chỉ: 25 Trần Bình Trọng, P.1, Q.5, Tp.HCM. Chưa bao gồm phí lắp đặt. Theo bảng giá ngày 20/11/2017</t>
  </si>
  <si>
    <t>*  Công ty Cổ phần Nhựa Tân Tiến (giá giao tại công trình). Theo bảng giá ngày 02/01/2016</t>
  </si>
</sst>
</file>

<file path=xl/styles.xml><?xml version="1.0" encoding="utf-8"?>
<styleSheet xmlns="http://schemas.openxmlformats.org/spreadsheetml/2006/main">
  <numFmts count="5">
    <numFmt numFmtId="43" formatCode="_(* #,##0.00_);_(* \(#,##0.00\);_(* &quot;-&quot;??_);_(@_)"/>
    <numFmt numFmtId="172" formatCode="_(* #,##0_);_(* \(#,##0\);_(* &quot;-&quot;??_);_(@_)"/>
    <numFmt numFmtId="173" formatCode="#,##0.000"/>
    <numFmt numFmtId="174" formatCode="_(* ###,0&quot;.&quot;00_);_(* \(###,0&quot;.&quot;00\);_(* &quot;-&quot;??_);_(@_)"/>
    <numFmt numFmtId="175" formatCode="_(&quot;+&quot;* #,##0_);_(&quot;+&quot;* \(#,##0\);_(&quot;+&quot;* &quot;-&quot;_);_(@_)"/>
  </numFmts>
  <fonts count="47">
    <font>
      <sz val="11"/>
      <color theme="1"/>
      <name val="Calibri"/>
      <family val="2"/>
      <scheme val="minor"/>
    </font>
    <font>
      <sz val="14"/>
      <name val="Times New Roman"/>
      <family val="1"/>
    </font>
    <font>
      <b/>
      <sz val="14"/>
      <name val="Times New Roman"/>
      <family val="1"/>
    </font>
    <font>
      <sz val="10"/>
      <name val="Times New Roman"/>
      <family val="1"/>
    </font>
    <font>
      <b/>
      <sz val="12"/>
      <name val="Times New Roman"/>
      <family val="1"/>
    </font>
    <font>
      <b/>
      <sz val="18"/>
      <name val="Times New Roman"/>
      <family val="1"/>
    </font>
    <font>
      <b/>
      <sz val="15"/>
      <name val="Times New Roman"/>
      <family val="1"/>
    </font>
    <font>
      <sz val="12"/>
      <name val="Times New Roman"/>
      <family val="1"/>
    </font>
    <font>
      <b/>
      <u/>
      <sz val="10.5"/>
      <name val="Times New Roman"/>
      <family val="1"/>
    </font>
    <font>
      <sz val="11"/>
      <name val="Times New Roman"/>
      <family val="1"/>
    </font>
    <font>
      <b/>
      <sz val="13"/>
      <name val="Times New Roman"/>
      <family val="1"/>
    </font>
    <font>
      <sz val="10"/>
      <name val="Arial"/>
      <family val="2"/>
    </font>
    <font>
      <sz val="10"/>
      <name val="VNI-Times"/>
    </font>
    <font>
      <b/>
      <i/>
      <sz val="12"/>
      <name val="Times New Roman"/>
      <family val="1"/>
    </font>
    <font>
      <sz val="11.5"/>
      <name val="Times New Roman"/>
      <family val="1"/>
    </font>
    <font>
      <i/>
      <sz val="14"/>
      <name val="Times New Roman"/>
      <family val="1"/>
    </font>
    <font>
      <sz val="13"/>
      <name val="Times New Roman"/>
      <family val="1"/>
    </font>
    <font>
      <vertAlign val="superscript"/>
      <sz val="13"/>
      <name val="Times New Roman"/>
      <family val="1"/>
    </font>
    <font>
      <sz val="13"/>
      <name val="Calibri"/>
      <family val="2"/>
    </font>
    <font>
      <b/>
      <vertAlign val="superscript"/>
      <sz val="13"/>
      <name val="Times New Roman"/>
      <family val="1"/>
    </font>
    <font>
      <b/>
      <u/>
      <sz val="13"/>
      <name val="Times New Roman"/>
      <family val="1"/>
    </font>
    <font>
      <sz val="13"/>
      <name val="VNI-Times"/>
    </font>
    <font>
      <u/>
      <sz val="13"/>
      <name val="Times New Roman"/>
      <family val="1"/>
    </font>
    <font>
      <b/>
      <u/>
      <sz val="12"/>
      <name val="Times New Roman"/>
      <family val="1"/>
    </font>
    <font>
      <sz val="13"/>
      <color indexed="10"/>
      <name val="Times New Roman"/>
      <family val="1"/>
    </font>
    <font>
      <i/>
      <u/>
      <sz val="14"/>
      <name val="Times New Roman"/>
      <family val="1"/>
    </font>
    <font>
      <sz val="14"/>
      <name val="VNI-Times"/>
    </font>
    <font>
      <b/>
      <sz val="9"/>
      <name val="Times New Roman"/>
      <family val="1"/>
    </font>
    <font>
      <b/>
      <sz val="11.5"/>
      <name val="Times New Roman"/>
      <family val="1"/>
    </font>
    <font>
      <sz val="13"/>
      <color indexed="10"/>
      <name val="Times New Roman"/>
      <family val="1"/>
    </font>
    <font>
      <vertAlign val="superscript"/>
      <sz val="13"/>
      <color indexed="10"/>
      <name val="Times New Roman"/>
      <family val="1"/>
    </font>
    <font>
      <sz val="11"/>
      <color theme="1"/>
      <name val="Calibri"/>
      <family val="2"/>
      <scheme val="minor"/>
    </font>
    <font>
      <sz val="11"/>
      <color rgb="FFFF0000"/>
      <name val="Calibri"/>
      <family val="2"/>
      <scheme val="minor"/>
    </font>
    <font>
      <sz val="13"/>
      <name val="Calibri"/>
      <family val="2"/>
      <scheme val="minor"/>
    </font>
    <font>
      <sz val="14"/>
      <name val="Calibri"/>
      <family val="2"/>
      <scheme val="minor"/>
    </font>
    <font>
      <sz val="11"/>
      <name val="Calibri"/>
      <family val="2"/>
      <scheme val="minor"/>
    </font>
    <font>
      <sz val="12"/>
      <name val="Calibri"/>
      <family val="2"/>
      <scheme val="minor"/>
    </font>
    <font>
      <sz val="13"/>
      <color rgb="FFFF0000"/>
      <name val="Times New Roman"/>
      <family val="1"/>
    </font>
    <font>
      <b/>
      <sz val="13"/>
      <name val="Calibri"/>
      <family val="2"/>
      <scheme val="minor"/>
    </font>
    <font>
      <b/>
      <sz val="11"/>
      <name val="Calibri"/>
      <family val="2"/>
      <scheme val="minor"/>
    </font>
    <font>
      <sz val="13"/>
      <color rgb="FFFF0000"/>
      <name val="Calibri"/>
      <family val="2"/>
      <scheme val="minor"/>
    </font>
    <font>
      <sz val="14"/>
      <color rgb="FFFF0000"/>
      <name val="Calibri"/>
      <family val="2"/>
      <scheme val="minor"/>
    </font>
    <font>
      <sz val="12"/>
      <color rgb="FFFF0000"/>
      <name val="Calibri"/>
      <family val="2"/>
      <scheme val="minor"/>
    </font>
    <font>
      <b/>
      <sz val="13"/>
      <color rgb="FFFF0000"/>
      <name val="Calibri"/>
      <family val="2"/>
      <scheme val="minor"/>
    </font>
    <font>
      <b/>
      <sz val="13"/>
      <color rgb="FFFF0000"/>
      <name val="Times New Roman"/>
      <family val="1"/>
    </font>
    <font>
      <b/>
      <u/>
      <sz val="13"/>
      <color rgb="FFFF0000"/>
      <name val="Times New Roman"/>
      <family val="1"/>
    </font>
    <font>
      <b/>
      <sz val="14"/>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31" fillId="0" borderId="0" applyFont="0" applyFill="0" applyBorder="0" applyAlignment="0" applyProtection="0"/>
    <xf numFmtId="0" fontId="11" fillId="0" borderId="0"/>
    <xf numFmtId="175" fontId="12" fillId="0" borderId="0" applyFont="0" applyFill="0" applyBorder="0" applyAlignment="0" applyProtection="0"/>
  </cellStyleXfs>
  <cellXfs count="299">
    <xf numFmtId="0" fontId="0" fillId="0" borderId="0" xfId="0"/>
    <xf numFmtId="0" fontId="1" fillId="0" borderId="0" xfId="0" applyFont="1" applyFill="1" applyBorder="1"/>
    <xf numFmtId="0" fontId="4" fillId="0" borderId="0" xfId="0" applyFont="1" applyFill="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3"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right" vertical="center" wrapText="1"/>
    </xf>
    <xf numFmtId="0" fontId="16"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10"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center" vertical="center" wrapText="1"/>
    </xf>
    <xf numFmtId="0" fontId="33" fillId="0" borderId="1" xfId="0" applyFont="1" applyFill="1" applyBorder="1" applyAlignment="1">
      <alignment horizontal="right" vertical="center" wrapText="1"/>
    </xf>
    <xf numFmtId="172" fontId="16" fillId="0" borderId="1" xfId="1" applyNumberFormat="1" applyFont="1" applyFill="1" applyBorder="1" applyAlignment="1">
      <alignment horizontal="right" vertical="center" wrapText="1"/>
    </xf>
    <xf numFmtId="0" fontId="16" fillId="0" borderId="1" xfId="0" applyFont="1" applyFill="1" applyBorder="1" applyAlignment="1">
      <alignment horizontal="right" vertical="center" wrapText="1"/>
    </xf>
    <xf numFmtId="0" fontId="20" fillId="0" borderId="1" xfId="0"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left" vertical="center" wrapText="1"/>
    </xf>
    <xf numFmtId="173" fontId="16"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center"/>
    </xf>
    <xf numFmtId="0" fontId="16" fillId="0" borderId="1" xfId="0" quotePrefix="1" applyNumberFormat="1" applyFont="1" applyFill="1" applyBorder="1" applyAlignment="1">
      <alignment horizontal="left" vertical="center" wrapText="1"/>
    </xf>
    <xf numFmtId="3" fontId="10" fillId="0" borderId="1" xfId="0" applyNumberFormat="1" applyFont="1" applyFill="1" applyBorder="1" applyAlignment="1">
      <alignment horizontal="left" vertical="center" wrapText="1"/>
    </xf>
    <xf numFmtId="0" fontId="21" fillId="0" borderId="1" xfId="0" applyFont="1" applyFill="1" applyBorder="1" applyAlignment="1">
      <alignment horizontal="right" vertical="center" wrapText="1"/>
    </xf>
    <xf numFmtId="3" fontId="16" fillId="0" borderId="1" xfId="0" quotePrefix="1" applyNumberFormat="1" applyFont="1" applyFill="1" applyBorder="1" applyAlignment="1">
      <alignment horizontal="center" vertical="center" wrapText="1"/>
    </xf>
    <xf numFmtId="0" fontId="10" fillId="0" borderId="1" xfId="0" applyFont="1" applyFill="1" applyBorder="1" applyAlignment="1">
      <alignment horizontal="right" vertical="center" wrapText="1"/>
    </xf>
    <xf numFmtId="0" fontId="16" fillId="0" borderId="1" xfId="0" quotePrefix="1" applyNumberFormat="1" applyFont="1" applyFill="1" applyBorder="1" applyAlignment="1">
      <alignment horizontal="center" vertical="center" wrapText="1"/>
    </xf>
    <xf numFmtId="174" fontId="16" fillId="0" borderId="1" xfId="1"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72" fontId="16" fillId="0" borderId="1" xfId="0" applyNumberFormat="1" applyFont="1" applyFill="1" applyBorder="1" applyAlignment="1">
      <alignment horizontal="left" vertical="center" wrapText="1"/>
    </xf>
    <xf numFmtId="172" fontId="10" fillId="0" borderId="1"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0" fontId="16" fillId="0" borderId="1" xfId="2" applyNumberFormat="1" applyFont="1" applyFill="1" applyBorder="1" applyAlignment="1">
      <alignment horizontal="left" vertical="center" wrapText="1"/>
    </xf>
    <xf numFmtId="0" fontId="16" fillId="0" borderId="1" xfId="2" applyNumberFormat="1" applyFont="1" applyFill="1" applyBorder="1" applyAlignment="1">
      <alignment horizontal="center" vertical="center" wrapText="1"/>
    </xf>
    <xf numFmtId="0" fontId="16" fillId="0" borderId="1" xfId="2" applyFont="1" applyFill="1" applyBorder="1" applyAlignment="1">
      <alignment horizontal="right" vertical="center" wrapText="1"/>
    </xf>
    <xf numFmtId="3" fontId="16" fillId="0" borderId="1" xfId="2" applyNumberFormat="1" applyFont="1" applyFill="1" applyBorder="1" applyAlignment="1">
      <alignment horizontal="right" vertical="center" wrapText="1"/>
    </xf>
    <xf numFmtId="0" fontId="16" fillId="0" borderId="1" xfId="2"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0" fontId="16" fillId="0" borderId="1" xfId="3" applyNumberFormat="1" applyFont="1" applyFill="1" applyBorder="1" applyAlignment="1">
      <alignment horizontal="left" vertical="center" wrapText="1"/>
    </xf>
    <xf numFmtId="172" fontId="16" fillId="0" borderId="1" xfId="1" applyNumberFormat="1" applyFont="1" applyFill="1" applyBorder="1" applyAlignment="1">
      <alignment horizontal="left" vertical="center" wrapText="1"/>
    </xf>
    <xf numFmtId="172" fontId="16" fillId="0" borderId="1" xfId="1" applyNumberFormat="1" applyFont="1" applyFill="1" applyBorder="1" applyAlignment="1">
      <alignment vertical="center"/>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vertical="center"/>
    </xf>
    <xf numFmtId="3" fontId="16" fillId="0" borderId="1" xfId="0" applyNumberFormat="1" applyFont="1" applyFill="1" applyBorder="1" applyAlignment="1"/>
    <xf numFmtId="0" fontId="16" fillId="0" borderId="1" xfId="0" applyFont="1" applyFill="1" applyBorder="1" applyAlignment="1"/>
    <xf numFmtId="43" fontId="2" fillId="0" borderId="1" xfId="1" applyFont="1" applyFill="1" applyBorder="1" applyAlignment="1">
      <alignment horizontal="left" vertical="center" wrapText="1"/>
    </xf>
    <xf numFmtId="0" fontId="1" fillId="0" borderId="1" xfId="0" quotePrefix="1"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3" fontId="1" fillId="0" borderId="1" xfId="0" applyNumberFormat="1" applyFont="1" applyFill="1" applyBorder="1" applyAlignment="1">
      <alignment vertical="center" wrapText="1"/>
    </xf>
    <xf numFmtId="0" fontId="34"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33" fillId="0" borderId="0" xfId="0" applyFont="1" applyFill="1"/>
    <xf numFmtId="0" fontId="2" fillId="0" borderId="0" xfId="0" applyFont="1" applyFill="1" applyBorder="1" applyAlignment="1">
      <alignment horizontal="left"/>
    </xf>
    <xf numFmtId="0" fontId="2" fillId="0" borderId="0" xfId="0" applyFont="1" applyFill="1" applyBorder="1" applyAlignment="1">
      <alignment wrapText="1"/>
    </xf>
    <xf numFmtId="0" fontId="16" fillId="0" borderId="1" xfId="2" quotePrefix="1" applyFont="1" applyFill="1" applyBorder="1" applyAlignment="1">
      <alignment horizontal="center" vertical="center" wrapText="1"/>
    </xf>
    <xf numFmtId="0" fontId="16" fillId="0" borderId="1" xfId="2" quotePrefix="1" applyFont="1" applyFill="1" applyBorder="1" applyAlignment="1">
      <alignment horizontal="left" vertical="center" wrapText="1"/>
    </xf>
    <xf numFmtId="3" fontId="16" fillId="0" borderId="1" xfId="2" quotePrefix="1" applyNumberFormat="1" applyFont="1" applyFill="1" applyBorder="1" applyAlignment="1">
      <alignment horizontal="right" vertical="center" wrapText="1"/>
    </xf>
    <xf numFmtId="0" fontId="1" fillId="0" borderId="0" xfId="0" applyFont="1" applyFill="1" applyAlignment="1"/>
    <xf numFmtId="0" fontId="35" fillId="0" borderId="0" xfId="0" applyFont="1" applyFill="1"/>
    <xf numFmtId="0" fontId="34" fillId="0" borderId="0" xfId="0" applyFont="1" applyFill="1"/>
    <xf numFmtId="0" fontId="36" fillId="0" borderId="0" xfId="0" applyFont="1" applyFill="1"/>
    <xf numFmtId="3" fontId="37" fillId="0" borderId="1" xfId="0" applyNumberFormat="1" applyFont="1" applyFill="1" applyBorder="1" applyAlignment="1">
      <alignment horizontal="right" vertical="center" wrapText="1"/>
    </xf>
    <xf numFmtId="0" fontId="33" fillId="0" borderId="1" xfId="0" applyFont="1" applyFill="1" applyBorder="1"/>
    <xf numFmtId="0" fontId="34" fillId="0" borderId="1" xfId="0" applyFont="1" applyFill="1" applyBorder="1"/>
    <xf numFmtId="3" fontId="33" fillId="0" borderId="1" xfId="0" applyNumberFormat="1" applyFont="1" applyFill="1" applyBorder="1"/>
    <xf numFmtId="0" fontId="4" fillId="0" borderId="1" xfId="0" applyFont="1" applyFill="1" applyBorder="1" applyAlignment="1">
      <alignment horizontal="center" vertical="center"/>
    </xf>
    <xf numFmtId="0" fontId="38" fillId="0" borderId="0" xfId="0" applyFont="1" applyFill="1"/>
    <xf numFmtId="3" fontId="35" fillId="0" borderId="0" xfId="0" applyNumberFormat="1" applyFont="1" applyFill="1"/>
    <xf numFmtId="3" fontId="4"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xf>
    <xf numFmtId="3" fontId="39" fillId="0" borderId="0" xfId="0" applyNumberFormat="1" applyFont="1" applyFill="1"/>
    <xf numFmtId="0" fontId="2"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26" fillId="3" borderId="0" xfId="0" applyFont="1" applyFill="1" applyAlignment="1">
      <alignment horizontal="center"/>
    </xf>
    <xf numFmtId="3" fontId="2" fillId="3" borderId="1" xfId="0" applyNumberFormat="1" applyFont="1" applyFill="1" applyBorder="1" applyAlignment="1">
      <alignment horizontal="center"/>
    </xf>
    <xf numFmtId="0" fontId="1" fillId="3" borderId="1" xfId="0" applyNumberFormat="1" applyFont="1" applyFill="1" applyBorder="1" applyAlignment="1">
      <alignment horizontal="left" vertical="center" wrapText="1"/>
    </xf>
    <xf numFmtId="3" fontId="1" fillId="3" borderId="1" xfId="0" applyNumberFormat="1" applyFont="1" applyFill="1" applyBorder="1" applyAlignment="1">
      <alignment horizontal="center"/>
    </xf>
    <xf numFmtId="0" fontId="1" fillId="3" borderId="1" xfId="0" applyNumberFormat="1" applyFont="1" applyFill="1" applyBorder="1" applyAlignment="1">
      <alignment vertical="center" wrapText="1"/>
    </xf>
    <xf numFmtId="3" fontId="1" fillId="3" borderId="1" xfId="0" quotePrefix="1" applyNumberFormat="1" applyFont="1" applyFill="1" applyBorder="1" applyAlignment="1"/>
    <xf numFmtId="0" fontId="26" fillId="3" borderId="0" xfId="0" applyFont="1" applyFill="1"/>
    <xf numFmtId="0" fontId="26" fillId="3" borderId="0" xfId="0" applyFont="1" applyFill="1" applyAlignment="1">
      <alignment vertical="center"/>
    </xf>
    <xf numFmtId="0" fontId="1" fillId="3" borderId="0" xfId="0" applyFont="1" applyFill="1" applyAlignment="1">
      <alignment horizontal="left" vertical="center"/>
    </xf>
    <xf numFmtId="0" fontId="1" fillId="3" borderId="0" xfId="0" applyFont="1" applyFill="1" applyBorder="1" applyAlignment="1">
      <alignment vertical="center"/>
    </xf>
    <xf numFmtId="0" fontId="2" fillId="3" borderId="0" xfId="0" applyFont="1" applyFill="1" applyBorder="1" applyAlignment="1">
      <alignment horizontal="center" vertical="center"/>
    </xf>
    <xf numFmtId="0" fontId="1" fillId="3" borderId="0" xfId="3" applyNumberFormat="1" applyFont="1" applyFill="1" applyBorder="1" applyAlignment="1">
      <alignment horizontal="left" vertical="center"/>
    </xf>
    <xf numFmtId="0" fontId="1" fillId="3" borderId="0" xfId="3"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NumberFormat="1" applyFont="1" applyFill="1" applyBorder="1" applyAlignment="1">
      <alignment horizontal="left" vertical="center" wrapText="1"/>
    </xf>
    <xf numFmtId="3" fontId="25" fillId="3" borderId="1" xfId="0" applyNumberFormat="1" applyFont="1" applyFill="1" applyBorder="1"/>
    <xf numFmtId="3" fontId="1" fillId="3" borderId="1" xfId="0" applyNumberFormat="1" applyFont="1" applyFill="1" applyBorder="1" applyAlignment="1">
      <alignment horizontal="right"/>
    </xf>
    <xf numFmtId="0" fontId="26" fillId="3" borderId="1" xfId="0" applyFont="1" applyFill="1" applyBorder="1" applyAlignment="1">
      <alignment horizontal="center"/>
    </xf>
    <xf numFmtId="0" fontId="1" fillId="3" borderId="1" xfId="0" applyFont="1" applyFill="1" applyBorder="1" applyAlignment="1">
      <alignment vertical="center"/>
    </xf>
    <xf numFmtId="3" fontId="1"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top" wrapText="1"/>
    </xf>
    <xf numFmtId="14" fontId="2" fillId="3" borderId="1" xfId="0" applyNumberFormat="1" applyFont="1" applyFill="1" applyBorder="1" applyAlignment="1">
      <alignment horizontal="left" vertical="center" wrapText="1"/>
    </xf>
    <xf numFmtId="0" fontId="26" fillId="3" borderId="1" xfId="0" applyFont="1" applyFill="1" applyBorder="1"/>
    <xf numFmtId="0" fontId="26" fillId="3" borderId="1" xfId="0" applyFont="1" applyFill="1" applyBorder="1" applyAlignment="1">
      <alignment vertical="center"/>
    </xf>
    <xf numFmtId="43" fontId="7" fillId="3" borderId="1" xfId="1" applyNumberFormat="1" applyFont="1" applyFill="1" applyBorder="1" applyAlignment="1">
      <alignment vertical="center" wrapText="1"/>
    </xf>
    <xf numFmtId="43" fontId="4" fillId="3" borderId="1" xfId="1" applyNumberFormat="1" applyFont="1" applyFill="1" applyBorder="1" applyAlignment="1">
      <alignment vertical="center" wrapText="1"/>
    </xf>
    <xf numFmtId="0" fontId="1" fillId="3" borderId="1" xfId="0" applyFont="1" applyFill="1" applyBorder="1" applyAlignment="1">
      <alignment horizontal="left" vertical="center"/>
    </xf>
    <xf numFmtId="3" fontId="1" fillId="3" borderId="1" xfId="0" applyNumberFormat="1" applyFont="1" applyFill="1" applyBorder="1" applyAlignment="1">
      <alignment horizontal="center" wrapText="1"/>
    </xf>
    <xf numFmtId="0" fontId="9" fillId="0" borderId="0" xfId="0" applyFont="1" applyFill="1" applyAlignment="1">
      <alignment horizontal="center"/>
    </xf>
    <xf numFmtId="0" fontId="16" fillId="0" borderId="1" xfId="0" applyFont="1" applyFill="1" applyBorder="1" applyAlignment="1">
      <alignment horizontal="center"/>
    </xf>
    <xf numFmtId="0" fontId="1" fillId="0" borderId="1" xfId="0" applyFont="1" applyFill="1" applyBorder="1" applyAlignment="1">
      <alignment horizontal="center"/>
    </xf>
    <xf numFmtId="172" fontId="9" fillId="0" borderId="0" xfId="1" applyNumberFormat="1" applyFont="1" applyFill="1"/>
    <xf numFmtId="172" fontId="10" fillId="0" borderId="1" xfId="1" applyNumberFormat="1" applyFont="1" applyFill="1" applyBorder="1" applyAlignment="1">
      <alignment horizontal="center" vertical="center" wrapText="1"/>
    </xf>
    <xf numFmtId="172" fontId="16" fillId="0" borderId="1" xfId="1" applyNumberFormat="1" applyFont="1" applyFill="1" applyBorder="1"/>
    <xf numFmtId="172" fontId="16" fillId="0" borderId="1" xfId="1" applyNumberFormat="1" applyFont="1" applyFill="1" applyBorder="1" applyAlignment="1">
      <alignment horizontal="center" vertical="center" wrapText="1"/>
    </xf>
    <xf numFmtId="172" fontId="16" fillId="0" borderId="1" xfId="1" applyNumberFormat="1" applyFont="1" applyFill="1" applyBorder="1" applyAlignment="1">
      <alignment horizontal="center"/>
    </xf>
    <xf numFmtId="172" fontId="16" fillId="0" borderId="1" xfId="1" applyNumberFormat="1" applyFont="1" applyFill="1" applyBorder="1" applyAlignment="1">
      <alignment horizontal="right"/>
    </xf>
    <xf numFmtId="172" fontId="1" fillId="0" borderId="1" xfId="1" applyNumberFormat="1" applyFont="1" applyFill="1" applyBorder="1"/>
    <xf numFmtId="0" fontId="32" fillId="0" borderId="0" xfId="0" applyFont="1" applyFill="1"/>
    <xf numFmtId="0" fontId="37" fillId="0" borderId="1" xfId="0" applyNumberFormat="1" applyFont="1" applyFill="1" applyBorder="1" applyAlignment="1">
      <alignment horizontal="right" vertical="center" wrapText="1"/>
    </xf>
    <xf numFmtId="0" fontId="40" fillId="0" borderId="1" xfId="0" applyFont="1" applyFill="1" applyBorder="1"/>
    <xf numFmtId="0" fontId="41" fillId="0" borderId="1" xfId="0" applyFont="1" applyFill="1" applyBorder="1"/>
    <xf numFmtId="3" fontId="9" fillId="0" borderId="0" xfId="0" applyNumberFormat="1" applyFont="1" applyFill="1"/>
    <xf numFmtId="3" fontId="16" fillId="0" borderId="1" xfId="0" applyNumberFormat="1" applyFont="1" applyFill="1" applyBorder="1"/>
    <xf numFmtId="3" fontId="10" fillId="0" borderId="1" xfId="0" applyNumberFormat="1" applyFont="1" applyFill="1" applyBorder="1"/>
    <xf numFmtId="0"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172" fontId="37" fillId="0" borderId="1" xfId="1" applyNumberFormat="1" applyFont="1" applyFill="1" applyBorder="1" applyAlignment="1">
      <alignment horizontal="center"/>
    </xf>
    <xf numFmtId="0" fontId="33" fillId="2" borderId="1" xfId="0" applyFont="1" applyFill="1" applyBorder="1"/>
    <xf numFmtId="3" fontId="33" fillId="2" borderId="1" xfId="0" applyNumberFormat="1" applyFont="1" applyFill="1" applyBorder="1"/>
    <xf numFmtId="0" fontId="34" fillId="2" borderId="1" xfId="0" applyFont="1" applyFill="1" applyBorder="1"/>
    <xf numFmtId="3" fontId="16" fillId="2" borderId="1" xfId="0" applyNumberFormat="1" applyFont="1" applyFill="1" applyBorder="1" applyAlignment="1">
      <alignment horizontal="right" vertical="center" wrapText="1"/>
    </xf>
    <xf numFmtId="0" fontId="33" fillId="2" borderId="0" xfId="0" applyFont="1" applyFill="1"/>
    <xf numFmtId="0" fontId="36" fillId="2" borderId="0" xfId="0" applyFont="1" applyFill="1"/>
    <xf numFmtId="0" fontId="35" fillId="2" borderId="0" xfId="0" applyFont="1" applyFill="1"/>
    <xf numFmtId="3"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left" vertical="center" wrapText="1"/>
    </xf>
    <xf numFmtId="3" fontId="16" fillId="3" borderId="1" xfId="0" applyNumberFormat="1" applyFont="1" applyFill="1" applyBorder="1" applyAlignment="1"/>
    <xf numFmtId="0" fontId="40" fillId="3" borderId="1" xfId="0" applyFont="1" applyFill="1" applyBorder="1"/>
    <xf numFmtId="172" fontId="16" fillId="3" borderId="1" xfId="1" applyNumberFormat="1" applyFont="1" applyFill="1" applyBorder="1" applyAlignment="1">
      <alignment horizontal="right" vertical="center" wrapText="1"/>
    </xf>
    <xf numFmtId="172" fontId="16" fillId="3" borderId="1" xfId="1" applyNumberFormat="1" applyFont="1" applyFill="1" applyBorder="1"/>
    <xf numFmtId="3" fontId="1"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3" fontId="1" fillId="3" borderId="1" xfId="0" applyNumberFormat="1" applyFont="1" applyFill="1" applyBorder="1" applyAlignment="1">
      <alignment vertical="center" wrapText="1"/>
    </xf>
    <xf numFmtId="0" fontId="41" fillId="3" borderId="1" xfId="0" applyFont="1" applyFill="1" applyBorder="1"/>
    <xf numFmtId="0" fontId="1" fillId="3" borderId="1" xfId="0" applyFont="1" applyFill="1" applyBorder="1" applyAlignment="1">
      <alignment horizontal="center"/>
    </xf>
    <xf numFmtId="172" fontId="1" fillId="3" borderId="1" xfId="1" applyNumberFormat="1" applyFont="1" applyFill="1" applyBorder="1"/>
    <xf numFmtId="3" fontId="16" fillId="3" borderId="1" xfId="0" applyNumberFormat="1" applyFont="1" applyFill="1" applyBorder="1" applyAlignment="1">
      <alignment vertical="center"/>
    </xf>
    <xf numFmtId="3" fontId="1" fillId="3" borderId="1" xfId="0" applyNumberFormat="1" applyFont="1" applyFill="1" applyBorder="1" applyAlignment="1">
      <alignment vertical="center"/>
    </xf>
    <xf numFmtId="3" fontId="1" fillId="3" borderId="1" xfId="0" applyNumberFormat="1"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16" fillId="3" borderId="1" xfId="0" quotePrefix="1" applyNumberFormat="1" applyFont="1" applyFill="1" applyBorder="1" applyAlignment="1">
      <alignment horizontal="center" vertical="center" wrapText="1"/>
    </xf>
    <xf numFmtId="172" fontId="16"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right" vertical="center" wrapText="1"/>
    </xf>
    <xf numFmtId="172" fontId="2" fillId="3" borderId="1" xfId="0" quotePrefix="1" applyNumberFormat="1"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right" vertical="center" wrapText="1"/>
    </xf>
    <xf numFmtId="0" fontId="16" fillId="3" borderId="1" xfId="0" applyFont="1" applyFill="1" applyBorder="1" applyAlignment="1">
      <alignment horizontal="center"/>
    </xf>
    <xf numFmtId="0" fontId="16" fillId="3"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0" fontId="1" fillId="3" borderId="1" xfId="0" quotePrefix="1" applyNumberFormat="1" applyFont="1" applyFill="1" applyBorder="1" applyAlignment="1">
      <alignment horizontal="center" vertical="center" wrapText="1"/>
    </xf>
    <xf numFmtId="0" fontId="21" fillId="3" borderId="1" xfId="0" applyFont="1" applyFill="1" applyBorder="1" applyAlignment="1">
      <alignment horizontal="right" vertical="center" wrapText="1"/>
    </xf>
    <xf numFmtId="172" fontId="10" fillId="3" borderId="1" xfId="0" applyNumberFormat="1" applyFont="1" applyFill="1" applyBorder="1" applyAlignment="1">
      <alignment horizontal="left" vertical="center" wrapText="1"/>
    </xf>
    <xf numFmtId="3" fontId="37" fillId="3" borderId="1" xfId="0" applyNumberFormat="1" applyFont="1" applyFill="1" applyBorder="1" applyAlignment="1">
      <alignment horizontal="right" vertical="center" wrapText="1"/>
    </xf>
    <xf numFmtId="3"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16" fillId="3" borderId="1" xfId="0" applyFont="1" applyFill="1" applyBorder="1" applyAlignment="1">
      <alignment horizontal="right" vertical="center" wrapText="1"/>
    </xf>
    <xf numFmtId="0" fontId="10" fillId="3" borderId="1" xfId="0" applyNumberFormat="1" applyFont="1" applyFill="1" applyBorder="1" applyAlignment="1">
      <alignment horizontal="right" vertical="center" wrapText="1"/>
    </xf>
    <xf numFmtId="0" fontId="16" fillId="3" borderId="1" xfId="0" applyFont="1" applyFill="1" applyBorder="1" applyAlignment="1">
      <alignment horizontal="left" vertical="center" wrapText="1"/>
    </xf>
    <xf numFmtId="0" fontId="22" fillId="3" borderId="1" xfId="0" applyFont="1" applyFill="1" applyBorder="1" applyAlignment="1">
      <alignment horizontal="right" vertical="center" wrapText="1"/>
    </xf>
    <xf numFmtId="0" fontId="4" fillId="3" borderId="0" xfId="0" applyNumberFormat="1" applyFont="1" applyFill="1" applyBorder="1" applyAlignment="1">
      <alignment horizontal="left"/>
    </xf>
    <xf numFmtId="0" fontId="23" fillId="3" borderId="0" xfId="0" applyFont="1" applyFill="1" applyBorder="1"/>
    <xf numFmtId="0" fontId="7" fillId="3" borderId="0" xfId="0" applyFont="1" applyFill="1" applyBorder="1" applyAlignment="1">
      <alignment horizontal="center"/>
    </xf>
    <xf numFmtId="3" fontId="7" fillId="3" borderId="0" xfId="0" applyNumberFormat="1" applyFont="1" applyFill="1" applyBorder="1" applyAlignment="1">
      <alignment horizontal="center"/>
    </xf>
    <xf numFmtId="0" fontId="42" fillId="3" borderId="0" xfId="0" applyFont="1" applyFill="1"/>
    <xf numFmtId="0" fontId="7" fillId="3" borderId="0" xfId="0" applyFont="1" applyFill="1" applyAlignment="1">
      <alignment horizontal="center"/>
    </xf>
    <xf numFmtId="172" fontId="7" fillId="3" borderId="0" xfId="1" applyNumberFormat="1" applyFont="1" applyFill="1"/>
    <xf numFmtId="0" fontId="16" fillId="3" borderId="0" xfId="0" applyFont="1" applyFill="1" applyBorder="1" applyAlignment="1">
      <alignment horizontal="justify" vertical="center" wrapText="1"/>
    </xf>
    <xf numFmtId="0" fontId="35" fillId="3" borderId="0" xfId="0" applyFont="1" applyFill="1"/>
    <xf numFmtId="0" fontId="32" fillId="3" borderId="0" xfId="0" applyFont="1" applyFill="1"/>
    <xf numFmtId="0" fontId="9" fillId="3" borderId="0" xfId="0" applyFont="1" applyFill="1" applyAlignment="1">
      <alignment horizontal="center"/>
    </xf>
    <xf numFmtId="172" fontId="9" fillId="3" borderId="0" xfId="1" applyNumberFormat="1" applyFont="1" applyFill="1"/>
    <xf numFmtId="0" fontId="2" fillId="3" borderId="0" xfId="0" applyNumberFormat="1" applyFont="1" applyFill="1" applyBorder="1" applyAlignment="1">
      <alignment horizontal="center"/>
    </xf>
    <xf numFmtId="0" fontId="8" fillId="3" borderId="0" xfId="0" applyFont="1" applyFill="1" applyBorder="1" applyAlignment="1">
      <alignment horizontal="center"/>
    </xf>
    <xf numFmtId="0" fontId="35" fillId="3" borderId="0" xfId="0" applyFont="1" applyFill="1" applyBorder="1"/>
    <xf numFmtId="0" fontId="2" fillId="3" borderId="0" xfId="0" applyFont="1" applyFill="1" applyBorder="1"/>
    <xf numFmtId="0" fontId="14" fillId="3" borderId="0" xfId="0" applyFont="1" applyFill="1" applyBorder="1"/>
    <xf numFmtId="0" fontId="3" fillId="3" borderId="0" xfId="0" applyFont="1" applyFill="1" applyBorder="1"/>
    <xf numFmtId="0" fontId="37" fillId="0" borderId="1" xfId="0" applyFont="1" applyFill="1" applyBorder="1" applyAlignment="1">
      <alignment horizontal="right" vertical="center" wrapText="1"/>
    </xf>
    <xf numFmtId="0" fontId="28" fillId="0" borderId="2" xfId="0" applyNumberFormat="1" applyFont="1" applyBorder="1" applyAlignment="1">
      <alignment horizontal="left" vertical="center" wrapText="1"/>
    </xf>
    <xf numFmtId="172" fontId="37" fillId="0" borderId="1" xfId="1" applyNumberFormat="1" applyFont="1" applyFill="1" applyBorder="1" applyAlignment="1">
      <alignment horizontal="right" vertical="center" wrapText="1"/>
    </xf>
    <xf numFmtId="172" fontId="37" fillId="0" borderId="1" xfId="1" applyNumberFormat="1" applyFont="1" applyFill="1" applyBorder="1"/>
    <xf numFmtId="172" fontId="10" fillId="0" borderId="1" xfId="1" applyNumberFormat="1" applyFont="1" applyFill="1" applyBorder="1" applyAlignment="1">
      <alignment horizontal="right" vertical="center" wrapText="1"/>
    </xf>
    <xf numFmtId="0" fontId="43" fillId="0" borderId="1" xfId="0" applyFont="1" applyFill="1" applyBorder="1"/>
    <xf numFmtId="172" fontId="10" fillId="0" borderId="1" xfId="1" applyNumberFormat="1" applyFont="1" applyFill="1" applyBorder="1"/>
    <xf numFmtId="3" fontId="38" fillId="0" borderId="1" xfId="0" applyNumberFormat="1" applyFont="1" applyFill="1" applyBorder="1"/>
    <xf numFmtId="0" fontId="16" fillId="3" borderId="0" xfId="0" applyFont="1" applyFill="1" applyBorder="1" applyAlignment="1">
      <alignment horizontal="justify" vertical="center" wrapText="1"/>
    </xf>
    <xf numFmtId="0" fontId="2" fillId="3" borderId="0" xfId="0" applyNumberFormat="1" applyFont="1" applyFill="1" applyBorder="1" applyAlignment="1">
      <alignment horizontal="center"/>
    </xf>
    <xf numFmtId="0"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2" quotePrefix="1" applyFont="1" applyFill="1" applyBorder="1" applyAlignment="1">
      <alignment horizontal="center" vertical="center" wrapText="1"/>
    </xf>
    <xf numFmtId="172" fontId="44" fillId="0" borderId="1" xfId="1" applyNumberFormat="1" applyFont="1" applyFill="1" applyBorder="1" applyAlignment="1">
      <alignment horizontal="right" vertical="center" wrapText="1"/>
    </xf>
    <xf numFmtId="0" fontId="37" fillId="0" borderId="1" xfId="0" applyFont="1" applyFill="1" applyBorder="1" applyAlignment="1">
      <alignment horizontal="center"/>
    </xf>
    <xf numFmtId="3" fontId="37" fillId="0" borderId="1" xfId="0" applyNumberFormat="1" applyFont="1" applyFill="1" applyBorder="1" applyAlignment="1">
      <alignment horizontal="center" vertical="center" wrapText="1"/>
    </xf>
    <xf numFmtId="0" fontId="37" fillId="3" borderId="1" xfId="0" applyNumberFormat="1" applyFont="1" applyFill="1" applyBorder="1" applyAlignment="1">
      <alignment horizontal="center" vertical="center" wrapText="1"/>
    </xf>
    <xf numFmtId="3"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40" fillId="0" borderId="1" xfId="0" applyFont="1" applyFill="1" applyBorder="1" applyAlignment="1">
      <alignment horizontal="right" vertical="center" wrapText="1"/>
    </xf>
    <xf numFmtId="0" fontId="37" fillId="0" borderId="1" xfId="2" applyNumberFormat="1" applyFont="1" applyFill="1" applyBorder="1" applyAlignment="1">
      <alignment horizontal="center" vertical="center" wrapText="1"/>
    </xf>
    <xf numFmtId="3" fontId="37" fillId="0" borderId="1" xfId="2" applyNumberFormat="1" applyFont="1" applyFill="1" applyBorder="1" applyAlignment="1">
      <alignment horizontal="right" vertical="center" wrapText="1"/>
    </xf>
    <xf numFmtId="0" fontId="45" fillId="0" borderId="1" xfId="0" applyFont="1" applyFill="1" applyBorder="1" applyAlignment="1">
      <alignment horizontal="right" vertical="center" wrapText="1"/>
    </xf>
    <xf numFmtId="0" fontId="44" fillId="0" borderId="1" xfId="0" applyNumberFormat="1" applyFont="1" applyFill="1" applyBorder="1" applyAlignment="1">
      <alignment horizontal="center" vertical="center" wrapText="1"/>
    </xf>
    <xf numFmtId="0" fontId="37" fillId="3" borderId="1" xfId="0" applyFont="1" applyFill="1" applyBorder="1" applyAlignment="1">
      <alignment horizontal="center"/>
    </xf>
    <xf numFmtId="172" fontId="37" fillId="3" borderId="1" xfId="1" applyNumberFormat="1" applyFont="1" applyFill="1" applyBorder="1"/>
    <xf numFmtId="0" fontId="16" fillId="0" borderId="3" xfId="0" applyNumberFormat="1" applyFont="1" applyFill="1" applyBorder="1" applyAlignment="1">
      <alignment horizontal="left" vertical="center" wrapText="1"/>
    </xf>
    <xf numFmtId="0" fontId="16" fillId="0" borderId="4" xfId="0" applyNumberFormat="1" applyFont="1" applyFill="1" applyBorder="1" applyAlignment="1">
      <alignment horizontal="center" vertical="center" wrapText="1"/>
    </xf>
    <xf numFmtId="3" fontId="16" fillId="0" borderId="4" xfId="0" applyNumberFormat="1" applyFont="1" applyFill="1" applyBorder="1" applyAlignment="1">
      <alignment horizontal="right" vertical="center" wrapText="1"/>
    </xf>
    <xf numFmtId="3" fontId="16" fillId="0" borderId="2" xfId="0" applyNumberFormat="1" applyFont="1" applyFill="1" applyBorder="1"/>
    <xf numFmtId="0" fontId="44"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1" fillId="2" borderId="0" xfId="0" applyFont="1" applyFill="1" applyAlignment="1">
      <alignment vertical="center"/>
    </xf>
    <xf numFmtId="3"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Alignment="1">
      <alignment vertical="center"/>
    </xf>
    <xf numFmtId="0" fontId="44" fillId="0" borderId="1" xfId="0" applyNumberFormat="1" applyFont="1" applyFill="1" applyBorder="1" applyAlignment="1">
      <alignment horizontal="left" vertical="center" wrapText="1"/>
    </xf>
    <xf numFmtId="3" fontId="44" fillId="0" borderId="1" xfId="0" applyNumberFormat="1" applyFont="1" applyFill="1" applyBorder="1" applyAlignment="1">
      <alignment horizontal="right" vertical="center" wrapText="1"/>
    </xf>
    <xf numFmtId="3" fontId="10" fillId="3" borderId="1"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43" fontId="10" fillId="0" borderId="3" xfId="1" applyFont="1" applyFill="1" applyBorder="1" applyAlignment="1">
      <alignment horizontal="left" vertical="center" wrapText="1"/>
    </xf>
    <xf numFmtId="43" fontId="10" fillId="0" borderId="4" xfId="1" applyFont="1" applyFill="1" applyBorder="1" applyAlignment="1">
      <alignment horizontal="left" vertical="center" wrapText="1"/>
    </xf>
    <xf numFmtId="43" fontId="10" fillId="0" borderId="2" xfId="1" applyFont="1" applyFill="1" applyBorder="1" applyAlignment="1">
      <alignment horizontal="left" vertical="center" wrapText="1"/>
    </xf>
    <xf numFmtId="0" fontId="9" fillId="3" borderId="0" xfId="0" applyNumberFormat="1" applyFont="1" applyFill="1" applyBorder="1" applyAlignment="1">
      <alignment horizontal="left"/>
    </xf>
    <xf numFmtId="0" fontId="2" fillId="3" borderId="0" xfId="0" applyNumberFormat="1" applyFont="1" applyFill="1" applyBorder="1" applyAlignment="1">
      <alignment horizontal="center"/>
    </xf>
    <xf numFmtId="0" fontId="2" fillId="3" borderId="0" xfId="0" applyNumberFormat="1" applyFont="1" applyFill="1" applyBorder="1" applyAlignment="1"/>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43" fontId="2" fillId="0" borderId="3" xfId="1" applyFont="1" applyFill="1" applyBorder="1" applyAlignment="1">
      <alignment horizontal="left" vertical="center" wrapText="1"/>
    </xf>
    <xf numFmtId="43" fontId="2" fillId="0" borderId="4" xfId="1" applyFont="1" applyFill="1" applyBorder="1" applyAlignment="1">
      <alignment horizontal="left" vertical="center" wrapText="1"/>
    </xf>
    <xf numFmtId="43" fontId="2" fillId="0" borderId="2" xfId="1" applyFont="1" applyFill="1" applyBorder="1" applyAlignment="1">
      <alignment horizontal="left" vertical="center" wrapText="1"/>
    </xf>
    <xf numFmtId="43" fontId="10" fillId="0" borderId="1" xfId="1" applyFont="1" applyFill="1" applyBorder="1" applyAlignment="1">
      <alignment horizontal="left" vertical="center" wrapText="1"/>
    </xf>
    <xf numFmtId="43" fontId="2" fillId="3" borderId="1" xfId="1" applyFont="1" applyFill="1" applyBorder="1" applyAlignment="1">
      <alignment horizontal="left" vertical="center" wrapText="1"/>
    </xf>
    <xf numFmtId="0" fontId="13" fillId="3" borderId="0" xfId="0" applyNumberFormat="1" applyFont="1" applyFill="1" applyBorder="1" applyAlignment="1">
      <alignment horizontal="left"/>
    </xf>
    <xf numFmtId="0" fontId="2" fillId="3" borderId="0" xfId="0" applyNumberFormat="1" applyFont="1" applyFill="1" applyBorder="1" applyAlignment="1">
      <alignment horizontal="left"/>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2" fillId="3" borderId="2" xfId="0" applyNumberFormat="1" applyFont="1" applyFill="1" applyBorder="1" applyAlignment="1">
      <alignment horizontal="left" vertical="center" wrapText="1"/>
    </xf>
    <xf numFmtId="43" fontId="10" fillId="3" borderId="3" xfId="1" applyFont="1" applyFill="1" applyBorder="1" applyAlignment="1">
      <alignment horizontal="left" vertical="center" wrapText="1"/>
    </xf>
    <xf numFmtId="43" fontId="10" fillId="3" borderId="4" xfId="1" applyFont="1" applyFill="1" applyBorder="1" applyAlignment="1">
      <alignment horizontal="left" vertical="center" wrapText="1"/>
    </xf>
    <xf numFmtId="43" fontId="10" fillId="3" borderId="2" xfId="1" applyFont="1" applyFill="1" applyBorder="1" applyAlignment="1">
      <alignment horizontal="left" vertical="center" wrapText="1"/>
    </xf>
    <xf numFmtId="0" fontId="10" fillId="3" borderId="3" xfId="0" applyNumberFormat="1" applyFont="1" applyFill="1" applyBorder="1" applyAlignment="1">
      <alignment horizontal="left" vertical="center" wrapText="1"/>
    </xf>
    <xf numFmtId="0" fontId="10" fillId="3" borderId="4"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43" fontId="2" fillId="3" borderId="3" xfId="1" applyFont="1" applyFill="1" applyBorder="1" applyAlignment="1">
      <alignment horizontal="left" vertical="center" wrapText="1"/>
    </xf>
    <xf numFmtId="43" fontId="2" fillId="3" borderId="4" xfId="1" applyFont="1" applyFill="1" applyBorder="1" applyAlignment="1">
      <alignment horizontal="left" vertical="center" wrapText="1"/>
    </xf>
    <xf numFmtId="43" fontId="2" fillId="3" borderId="2" xfId="1" applyFont="1" applyFill="1" applyBorder="1" applyAlignment="1">
      <alignment horizontal="left" vertical="center" wrapText="1"/>
    </xf>
    <xf numFmtId="0" fontId="16" fillId="3" borderId="0" xfId="0" applyFont="1" applyFill="1" applyBorder="1" applyAlignment="1">
      <alignment horizontal="justify" vertical="center" wrapText="1"/>
    </xf>
    <xf numFmtId="0" fontId="16" fillId="3" borderId="0" xfId="0" applyNumberFormat="1" applyFont="1" applyFill="1" applyBorder="1" applyAlignment="1">
      <alignment horizontal="justify" vertical="center" wrapText="1"/>
    </xf>
    <xf numFmtId="0" fontId="46" fillId="3" borderId="3" xfId="0" applyNumberFormat="1" applyFont="1" applyFill="1" applyBorder="1" applyAlignment="1">
      <alignment horizontal="left" vertical="center" wrapText="1"/>
    </xf>
    <xf numFmtId="0" fontId="46" fillId="3" borderId="4" xfId="0" applyNumberFormat="1" applyFont="1" applyFill="1" applyBorder="1" applyAlignment="1">
      <alignment horizontal="left" vertical="center" wrapText="1"/>
    </xf>
    <xf numFmtId="0" fontId="46" fillId="3" borderId="2"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27" fillId="0" borderId="0" xfId="0" applyFont="1" applyFill="1" applyBorder="1" applyAlignment="1">
      <alignment horizontal="left"/>
    </xf>
    <xf numFmtId="0" fontId="2" fillId="0" borderId="0" xfId="0" applyFont="1" applyFill="1" applyBorder="1" applyAlignment="1">
      <alignment horizontal="left"/>
    </xf>
    <xf numFmtId="0" fontId="5"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xf>
    <xf numFmtId="172" fontId="10" fillId="0" borderId="1" xfId="1" applyNumberFormat="1" applyFont="1" applyFill="1" applyBorder="1" applyAlignment="1">
      <alignment horizontal="center" vertical="center" wrapText="1"/>
    </xf>
    <xf numFmtId="0" fontId="2" fillId="0" borderId="0"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3" xfId="0" applyNumberFormat="1" applyFont="1" applyFill="1" applyBorder="1" applyAlignment="1">
      <alignment horizontal="left" wrapText="1"/>
    </xf>
    <xf numFmtId="0" fontId="10" fillId="0" borderId="4" xfId="0" applyNumberFormat="1" applyFont="1" applyFill="1" applyBorder="1" applyAlignment="1">
      <alignment horizontal="left" wrapText="1"/>
    </xf>
    <xf numFmtId="0" fontId="10" fillId="0" borderId="2" xfId="0" applyNumberFormat="1" applyFont="1" applyFill="1" applyBorder="1" applyAlignment="1">
      <alignment horizontal="left" wrapText="1"/>
    </xf>
    <xf numFmtId="43" fontId="10" fillId="3" borderId="1" xfId="1" applyFont="1" applyFill="1" applyBorder="1" applyAlignment="1">
      <alignment horizontal="left" vertical="center" wrapText="1"/>
    </xf>
    <xf numFmtId="172" fontId="2" fillId="3" borderId="3" xfId="0" quotePrefix="1" applyNumberFormat="1" applyFont="1" applyFill="1" applyBorder="1" applyAlignment="1">
      <alignment horizontal="left" vertical="center" wrapText="1"/>
    </xf>
    <xf numFmtId="172" fontId="2" fillId="3" borderId="4" xfId="0" quotePrefix="1" applyNumberFormat="1" applyFont="1" applyFill="1" applyBorder="1" applyAlignment="1">
      <alignment horizontal="left" vertical="center" wrapText="1"/>
    </xf>
    <xf numFmtId="172" fontId="2" fillId="3" borderId="2" xfId="0" quotePrefix="1" applyNumberFormat="1" applyFont="1" applyFill="1" applyBorder="1" applyAlignment="1">
      <alignment horizontal="left" vertical="center" wrapText="1"/>
    </xf>
    <xf numFmtId="3" fontId="10" fillId="3" borderId="3" xfId="0" applyNumberFormat="1" applyFont="1" applyFill="1" applyBorder="1" applyAlignment="1">
      <alignment horizontal="left" vertical="center" wrapText="1"/>
    </xf>
    <xf numFmtId="3" fontId="10" fillId="3" borderId="4" xfId="0" applyNumberFormat="1" applyFont="1" applyFill="1" applyBorder="1" applyAlignment="1">
      <alignment horizontal="left" vertical="center" wrapText="1"/>
    </xf>
    <xf numFmtId="3" fontId="10" fillId="3" borderId="2"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10" fillId="0" borderId="4"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2" fillId="3" borderId="0" xfId="0" applyNumberFormat="1" applyFont="1" applyFill="1" applyAlignment="1">
      <alignment horizontal="center" vertical="center" wrapText="1"/>
    </xf>
  </cellXfs>
  <cellStyles count="4">
    <cellStyle name="Comma" xfId="1" builtinId="3"/>
    <cellStyle name="Normal" xfId="0" builtinId="0"/>
    <cellStyle name="Normal_Sheet1" xfId="2"/>
    <cellStyle name="Style 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428625</xdr:colOff>
      <xdr:row>2047</xdr:row>
      <xdr:rowOff>104775</xdr:rowOff>
    </xdr:from>
    <xdr:to>
      <xdr:col>1</xdr:col>
      <xdr:colOff>3238500</xdr:colOff>
      <xdr:row>2055</xdr:row>
      <xdr:rowOff>28575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28700" y="613781475"/>
          <a:ext cx="2809875" cy="2238375"/>
        </a:xfrm>
        <a:prstGeom prst="rect">
          <a:avLst/>
        </a:prstGeom>
        <a:solidFill>
          <a:srgbClr val="FFFFFF"/>
        </a:solidFill>
        <a:ln w="9525">
          <a:noFill/>
          <a:miter lim="800000"/>
          <a:headEnd/>
          <a:tailEnd/>
        </a:ln>
      </xdr:spPr>
    </xdr:pic>
    <xdr:clientData/>
  </xdr:twoCellAnchor>
  <xdr:twoCellAnchor>
    <xdr:from>
      <xdr:col>10</xdr:col>
      <xdr:colOff>371475</xdr:colOff>
      <xdr:row>2050</xdr:row>
      <xdr:rowOff>19050</xdr:rowOff>
    </xdr:from>
    <xdr:to>
      <xdr:col>13</xdr:col>
      <xdr:colOff>323850</xdr:colOff>
      <xdr:row>2056</xdr:row>
      <xdr:rowOff>28575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58025" y="614410125"/>
          <a:ext cx="2990850" cy="1847850"/>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2065"/>
  <sheetViews>
    <sheetView tabSelected="1" view="pageBreakPreview" zoomScale="70" zoomScaleNormal="70" zoomScaleSheetLayoutView="70" zoomScalePageLayoutView="40" workbookViewId="0">
      <selection activeCell="K2050" sqref="K2050:N2050"/>
    </sheetView>
  </sheetViews>
  <sheetFormatPr defaultColWidth="8.7109375" defaultRowHeight="15"/>
  <cols>
    <col min="1" max="1" width="9" style="65" customWidth="1"/>
    <col min="2" max="2" width="91.28515625" style="65" customWidth="1"/>
    <col min="3" max="3" width="11.5703125" style="65" hidden="1" customWidth="1"/>
    <col min="4" max="4" width="15.85546875" style="65" hidden="1" customWidth="1"/>
    <col min="5" max="5" width="16.140625" style="65" hidden="1" customWidth="1"/>
    <col min="6" max="6" width="15" style="65" hidden="1" customWidth="1"/>
    <col min="7" max="7" width="9.5703125" style="125" hidden="1" customWidth="1"/>
    <col min="8" max="8" width="14.5703125" style="125" hidden="1" customWidth="1"/>
    <col min="9" max="9" width="17" style="125" hidden="1" customWidth="1"/>
    <col min="10" max="10" width="13.5703125" style="125" hidden="1" customWidth="1"/>
    <col min="11" max="11" width="11.140625" style="115" customWidth="1"/>
    <col min="12" max="12" width="19.140625" style="118" bestFit="1" customWidth="1"/>
    <col min="13" max="13" width="15.28515625" style="118" customWidth="1"/>
    <col min="14" max="14" width="15.42578125" style="118" customWidth="1"/>
    <col min="15" max="16" width="15.7109375" style="65" customWidth="1"/>
    <col min="17" max="17" width="8.7109375" style="65"/>
    <col min="18" max="18" width="18.28515625" style="65" customWidth="1"/>
    <col min="19" max="16384" width="8.7109375" style="65"/>
  </cols>
  <sheetData>
    <row r="1" spans="1:16" ht="18" customHeight="1">
      <c r="A1" s="64" t="s">
        <v>1272</v>
      </c>
      <c r="B1" s="64"/>
      <c r="C1" s="60"/>
      <c r="D1" s="60"/>
      <c r="E1" s="60"/>
      <c r="F1" s="60"/>
    </row>
    <row r="2" spans="1:16" ht="18" customHeight="1">
      <c r="A2" s="59" t="s">
        <v>1214</v>
      </c>
      <c r="B2" s="59"/>
      <c r="C2" s="60"/>
      <c r="D2" s="60"/>
      <c r="E2" s="60"/>
      <c r="F2" s="60"/>
    </row>
    <row r="3" spans="1:16" ht="10.5" customHeight="1">
      <c r="A3" s="276" t="s">
        <v>1423</v>
      </c>
      <c r="B3" s="277"/>
      <c r="C3" s="277"/>
      <c r="D3" s="277"/>
      <c r="E3" s="277"/>
      <c r="F3" s="277"/>
      <c r="G3" s="277"/>
      <c r="H3" s="277"/>
      <c r="I3" s="277"/>
      <c r="J3" s="277"/>
      <c r="K3" s="277"/>
      <c r="L3" s="277"/>
      <c r="M3" s="277"/>
      <c r="N3" s="277"/>
    </row>
    <row r="4" spans="1:16" ht="30" customHeight="1">
      <c r="A4" s="282" t="s">
        <v>1939</v>
      </c>
      <c r="B4" s="282"/>
      <c r="C4" s="282"/>
      <c r="D4" s="282"/>
      <c r="E4" s="282"/>
      <c r="F4" s="282"/>
      <c r="G4" s="282"/>
      <c r="H4" s="282"/>
      <c r="I4" s="282"/>
      <c r="J4" s="282"/>
      <c r="K4" s="282"/>
      <c r="L4" s="282"/>
      <c r="M4" s="282"/>
      <c r="N4" s="282"/>
    </row>
    <row r="5" spans="1:16" ht="33" customHeight="1">
      <c r="A5" s="1"/>
      <c r="B5" s="2"/>
      <c r="C5" s="2"/>
      <c r="D5" s="2"/>
      <c r="E5" s="2"/>
      <c r="F5" s="2"/>
    </row>
    <row r="6" spans="1:16" ht="25.5" customHeight="1">
      <c r="A6" s="278" t="s">
        <v>0</v>
      </c>
      <c r="B6" s="278"/>
      <c r="C6" s="278"/>
      <c r="D6" s="278"/>
      <c r="E6" s="278"/>
      <c r="F6" s="278"/>
      <c r="G6" s="278"/>
      <c r="H6" s="278"/>
      <c r="I6" s="278"/>
      <c r="J6" s="278"/>
      <c r="K6" s="278"/>
      <c r="L6" s="278"/>
      <c r="M6" s="278"/>
      <c r="N6" s="278"/>
    </row>
    <row r="7" spans="1:16" ht="20.100000000000001" customHeight="1">
      <c r="A7" s="279" t="s">
        <v>1892</v>
      </c>
      <c r="B7" s="279"/>
      <c r="C7" s="279"/>
      <c r="D7" s="279"/>
      <c r="E7" s="279"/>
      <c r="F7" s="279"/>
      <c r="G7" s="279"/>
      <c r="H7" s="279"/>
      <c r="I7" s="279"/>
      <c r="J7" s="279"/>
      <c r="K7" s="279"/>
      <c r="L7" s="279"/>
      <c r="M7" s="279"/>
      <c r="N7" s="279"/>
    </row>
    <row r="8" spans="1:16" ht="20.100000000000001" customHeight="1">
      <c r="A8" s="279" t="s">
        <v>1</v>
      </c>
      <c r="B8" s="279"/>
      <c r="C8" s="279"/>
      <c r="D8" s="279"/>
      <c r="E8" s="279"/>
      <c r="F8" s="279"/>
      <c r="G8" s="279"/>
      <c r="H8" s="279"/>
      <c r="I8" s="279"/>
      <c r="J8" s="279"/>
      <c r="K8" s="279"/>
      <c r="L8" s="279"/>
      <c r="M8" s="279"/>
      <c r="N8" s="279"/>
    </row>
    <row r="9" spans="1:16" ht="26.25" customHeight="1">
      <c r="A9" s="3"/>
      <c r="B9" s="4"/>
      <c r="C9" s="4"/>
      <c r="D9" s="4"/>
      <c r="E9" s="4"/>
      <c r="F9" s="4"/>
    </row>
    <row r="10" spans="1:16" ht="50.25" customHeight="1">
      <c r="A10" s="280" t="s">
        <v>1426</v>
      </c>
      <c r="B10" s="280"/>
      <c r="C10" s="280"/>
      <c r="D10" s="280"/>
      <c r="E10" s="280"/>
      <c r="F10" s="280"/>
      <c r="G10" s="280"/>
      <c r="H10" s="280"/>
      <c r="I10" s="280"/>
      <c r="J10" s="280"/>
      <c r="K10" s="280"/>
      <c r="L10" s="280"/>
      <c r="M10" s="280"/>
      <c r="N10" s="280"/>
    </row>
    <row r="11" spans="1:16" ht="48.75" customHeight="1">
      <c r="A11" s="280" t="s">
        <v>1893</v>
      </c>
      <c r="B11" s="280"/>
      <c r="C11" s="280"/>
      <c r="D11" s="280"/>
      <c r="E11" s="280"/>
      <c r="F11" s="280"/>
      <c r="G11" s="280"/>
      <c r="H11" s="280"/>
      <c r="I11" s="280"/>
      <c r="J11" s="280"/>
      <c r="K11" s="280"/>
      <c r="L11" s="280"/>
      <c r="M11" s="280"/>
      <c r="N11" s="280"/>
    </row>
    <row r="12" spans="1:16" ht="8.25" customHeight="1">
      <c r="A12" s="5"/>
      <c r="B12" s="6"/>
      <c r="C12" s="6"/>
      <c r="D12" s="6"/>
      <c r="E12" s="6"/>
      <c r="F12" s="6"/>
    </row>
    <row r="13" spans="1:16" s="58" customFormat="1" ht="32.25" customHeight="1">
      <c r="A13" s="283" t="s">
        <v>2</v>
      </c>
      <c r="B13" s="274" t="s">
        <v>3</v>
      </c>
      <c r="C13" s="274" t="s">
        <v>4</v>
      </c>
      <c r="D13" s="274" t="s">
        <v>5</v>
      </c>
      <c r="E13" s="274"/>
      <c r="F13" s="274"/>
      <c r="G13" s="275" t="s">
        <v>4</v>
      </c>
      <c r="H13" s="275" t="s">
        <v>5</v>
      </c>
      <c r="I13" s="275"/>
      <c r="J13" s="275"/>
      <c r="K13" s="274" t="s">
        <v>4</v>
      </c>
      <c r="L13" s="281" t="s">
        <v>5</v>
      </c>
      <c r="M13" s="281"/>
      <c r="N13" s="281"/>
    </row>
    <row r="14" spans="1:16" s="58" customFormat="1" ht="52.5" customHeight="1">
      <c r="A14" s="283"/>
      <c r="B14" s="274"/>
      <c r="C14" s="274"/>
      <c r="D14" s="274" t="s">
        <v>6</v>
      </c>
      <c r="E14" s="274" t="s">
        <v>7</v>
      </c>
      <c r="F14" s="274"/>
      <c r="G14" s="275"/>
      <c r="H14" s="275" t="s">
        <v>6</v>
      </c>
      <c r="I14" s="275" t="s">
        <v>7</v>
      </c>
      <c r="J14" s="275"/>
      <c r="K14" s="274"/>
      <c r="L14" s="281" t="s">
        <v>6</v>
      </c>
      <c r="M14" s="281" t="s">
        <v>7</v>
      </c>
      <c r="N14" s="281"/>
    </row>
    <row r="15" spans="1:16" s="58" customFormat="1" ht="36" customHeight="1">
      <c r="A15" s="283"/>
      <c r="B15" s="274"/>
      <c r="C15" s="274"/>
      <c r="D15" s="274"/>
      <c r="E15" s="8" t="s">
        <v>8</v>
      </c>
      <c r="F15" s="8" t="s">
        <v>9</v>
      </c>
      <c r="G15" s="275"/>
      <c r="H15" s="275"/>
      <c r="I15" s="226" t="s">
        <v>8</v>
      </c>
      <c r="J15" s="226" t="s">
        <v>9</v>
      </c>
      <c r="K15" s="274"/>
      <c r="L15" s="281"/>
      <c r="M15" s="119" t="s">
        <v>8</v>
      </c>
      <c r="N15" s="119" t="s">
        <v>9</v>
      </c>
      <c r="O15" s="8" t="s">
        <v>1303</v>
      </c>
      <c r="P15" s="8" t="s">
        <v>1304</v>
      </c>
    </row>
    <row r="16" spans="1:16" s="58" customFormat="1" ht="26.25" customHeight="1">
      <c r="A16" s="7" t="s">
        <v>10</v>
      </c>
      <c r="B16" s="237" t="s">
        <v>11</v>
      </c>
      <c r="C16" s="238"/>
      <c r="D16" s="238"/>
      <c r="E16" s="238"/>
      <c r="F16" s="238"/>
      <c r="G16" s="238"/>
      <c r="H16" s="238"/>
      <c r="I16" s="238"/>
      <c r="J16" s="238"/>
      <c r="K16" s="238"/>
      <c r="L16" s="238"/>
      <c r="M16" s="238"/>
      <c r="N16" s="239"/>
      <c r="O16" s="69"/>
      <c r="P16" s="69"/>
    </row>
    <row r="17" spans="1:16" s="58" customFormat="1" ht="25.5" customHeight="1">
      <c r="A17" s="7"/>
      <c r="B17" s="237" t="s">
        <v>12</v>
      </c>
      <c r="C17" s="238"/>
      <c r="D17" s="238"/>
      <c r="E17" s="238"/>
      <c r="F17" s="238"/>
      <c r="G17" s="238"/>
      <c r="H17" s="238"/>
      <c r="I17" s="238"/>
      <c r="J17" s="238"/>
      <c r="K17" s="238"/>
      <c r="L17" s="238"/>
      <c r="M17" s="238"/>
      <c r="N17" s="239"/>
      <c r="O17" s="69"/>
      <c r="P17" s="69"/>
    </row>
    <row r="18" spans="1:16" s="58" customFormat="1" ht="42.75" customHeight="1">
      <c r="A18" s="7"/>
      <c r="B18" s="237" t="s">
        <v>1420</v>
      </c>
      <c r="C18" s="238"/>
      <c r="D18" s="238"/>
      <c r="E18" s="238"/>
      <c r="F18" s="238"/>
      <c r="G18" s="238"/>
      <c r="H18" s="238"/>
      <c r="I18" s="238"/>
      <c r="J18" s="238"/>
      <c r="K18" s="238"/>
      <c r="L18" s="238"/>
      <c r="M18" s="238"/>
      <c r="N18" s="239"/>
      <c r="O18" s="69"/>
      <c r="P18" s="69"/>
    </row>
    <row r="19" spans="1:16" s="58" customFormat="1" ht="27.95" customHeight="1">
      <c r="A19" s="10">
        <v>1</v>
      </c>
      <c r="B19" s="11" t="s">
        <v>13</v>
      </c>
      <c r="C19" s="12" t="s">
        <v>1097</v>
      </c>
      <c r="D19" s="19">
        <v>260700</v>
      </c>
      <c r="E19" s="14"/>
      <c r="F19" s="14"/>
      <c r="G19" s="206" t="s">
        <v>1767</v>
      </c>
      <c r="H19" s="68"/>
      <c r="I19" s="126"/>
      <c r="J19" s="126"/>
      <c r="K19" s="12" t="s">
        <v>1097</v>
      </c>
      <c r="L19" s="19">
        <f>D19</f>
        <v>260700</v>
      </c>
      <c r="M19" s="120"/>
      <c r="N19" s="120"/>
      <c r="O19" s="71">
        <f>D19</f>
        <v>260700</v>
      </c>
      <c r="P19" s="71">
        <f>L19</f>
        <v>260700</v>
      </c>
    </row>
    <row r="20" spans="1:16" s="58" customFormat="1" ht="27.95" customHeight="1">
      <c r="A20" s="10">
        <v>2</v>
      </c>
      <c r="B20" s="11" t="s">
        <v>14</v>
      </c>
      <c r="C20" s="12" t="s">
        <v>1097</v>
      </c>
      <c r="D20" s="19">
        <v>255200</v>
      </c>
      <c r="E20" s="14"/>
      <c r="F20" s="14"/>
      <c r="G20" s="206" t="s">
        <v>1767</v>
      </c>
      <c r="H20" s="68"/>
      <c r="I20" s="126"/>
      <c r="J20" s="126"/>
      <c r="K20" s="12" t="s">
        <v>1097</v>
      </c>
      <c r="L20" s="19">
        <f t="shared" ref="L20:L28" si="0">D20</f>
        <v>255200</v>
      </c>
      <c r="M20" s="120"/>
      <c r="N20" s="120"/>
      <c r="O20" s="71">
        <f t="shared" ref="O20:O28" si="1">D20</f>
        <v>255200</v>
      </c>
      <c r="P20" s="71">
        <f t="shared" ref="P20:P28" si="2">L20</f>
        <v>255200</v>
      </c>
    </row>
    <row r="21" spans="1:16" s="58" customFormat="1" ht="27.95" customHeight="1">
      <c r="A21" s="10">
        <v>3</v>
      </c>
      <c r="B21" s="11" t="s">
        <v>15</v>
      </c>
      <c r="C21" s="12" t="s">
        <v>1097</v>
      </c>
      <c r="D21" s="19">
        <v>200200</v>
      </c>
      <c r="E21" s="14"/>
      <c r="F21" s="14"/>
      <c r="G21" s="206" t="s">
        <v>1767</v>
      </c>
      <c r="H21" s="68"/>
      <c r="I21" s="126"/>
      <c r="J21" s="126"/>
      <c r="K21" s="12" t="s">
        <v>1097</v>
      </c>
      <c r="L21" s="19">
        <f t="shared" si="0"/>
        <v>200200</v>
      </c>
      <c r="M21" s="120"/>
      <c r="N21" s="120"/>
      <c r="O21" s="71">
        <f t="shared" si="1"/>
        <v>200200</v>
      </c>
      <c r="P21" s="71">
        <f t="shared" si="2"/>
        <v>200200</v>
      </c>
    </row>
    <row r="22" spans="1:16" s="58" customFormat="1" ht="27.95" customHeight="1">
      <c r="A22" s="10">
        <v>4</v>
      </c>
      <c r="B22" s="11" t="s">
        <v>16</v>
      </c>
      <c r="C22" s="12" t="s">
        <v>1097</v>
      </c>
      <c r="D22" s="19">
        <v>190300</v>
      </c>
      <c r="E22" s="14"/>
      <c r="F22" s="14"/>
      <c r="G22" s="206" t="s">
        <v>1767</v>
      </c>
      <c r="H22" s="68"/>
      <c r="I22" s="126"/>
      <c r="J22" s="126"/>
      <c r="K22" s="12" t="s">
        <v>1097</v>
      </c>
      <c r="L22" s="19">
        <f t="shared" si="0"/>
        <v>190300</v>
      </c>
      <c r="M22" s="120"/>
      <c r="N22" s="120"/>
      <c r="O22" s="71">
        <f t="shared" si="1"/>
        <v>190300</v>
      </c>
      <c r="P22" s="71">
        <f t="shared" si="2"/>
        <v>190300</v>
      </c>
    </row>
    <row r="23" spans="1:16" s="58" customFormat="1" ht="27.95" customHeight="1">
      <c r="A23" s="10">
        <v>5</v>
      </c>
      <c r="B23" s="11" t="s">
        <v>17</v>
      </c>
      <c r="C23" s="12" t="s">
        <v>1097</v>
      </c>
      <c r="D23" s="19">
        <v>162800</v>
      </c>
      <c r="E23" s="14"/>
      <c r="F23" s="14"/>
      <c r="G23" s="206" t="s">
        <v>1767</v>
      </c>
      <c r="H23" s="68"/>
      <c r="I23" s="126"/>
      <c r="J23" s="126"/>
      <c r="K23" s="12" t="s">
        <v>1097</v>
      </c>
      <c r="L23" s="19">
        <f t="shared" si="0"/>
        <v>162800</v>
      </c>
      <c r="M23" s="120"/>
      <c r="N23" s="120"/>
      <c r="O23" s="71">
        <f t="shared" si="1"/>
        <v>162800</v>
      </c>
      <c r="P23" s="71">
        <f t="shared" si="2"/>
        <v>162800</v>
      </c>
    </row>
    <row r="24" spans="1:16" s="58" customFormat="1" ht="27.95" customHeight="1">
      <c r="A24" s="10">
        <v>6</v>
      </c>
      <c r="B24" s="11" t="s">
        <v>18</v>
      </c>
      <c r="C24" s="12" t="s">
        <v>1097</v>
      </c>
      <c r="D24" s="19">
        <v>171600</v>
      </c>
      <c r="E24" s="14"/>
      <c r="F24" s="14"/>
      <c r="G24" s="206" t="s">
        <v>1767</v>
      </c>
      <c r="H24" s="68"/>
      <c r="I24" s="126"/>
      <c r="J24" s="126"/>
      <c r="K24" s="12" t="s">
        <v>1097</v>
      </c>
      <c r="L24" s="19">
        <f t="shared" si="0"/>
        <v>171600</v>
      </c>
      <c r="M24" s="120"/>
      <c r="N24" s="120"/>
      <c r="O24" s="71">
        <f t="shared" si="1"/>
        <v>171600</v>
      </c>
      <c r="P24" s="71">
        <f t="shared" si="2"/>
        <v>171600</v>
      </c>
    </row>
    <row r="25" spans="1:16" s="58" customFormat="1" ht="27.95" customHeight="1">
      <c r="A25" s="10">
        <v>7</v>
      </c>
      <c r="B25" s="11" t="s">
        <v>19</v>
      </c>
      <c r="C25" s="12" t="s">
        <v>1097</v>
      </c>
      <c r="D25" s="19">
        <v>112200</v>
      </c>
      <c r="E25" s="14"/>
      <c r="F25" s="14"/>
      <c r="G25" s="206" t="s">
        <v>1767</v>
      </c>
      <c r="H25" s="68"/>
      <c r="I25" s="126"/>
      <c r="J25" s="126"/>
      <c r="K25" s="12" t="s">
        <v>1097</v>
      </c>
      <c r="L25" s="19">
        <f t="shared" si="0"/>
        <v>112200</v>
      </c>
      <c r="M25" s="120"/>
      <c r="N25" s="120"/>
      <c r="O25" s="71">
        <f t="shared" si="1"/>
        <v>112200</v>
      </c>
      <c r="P25" s="71">
        <f t="shared" si="2"/>
        <v>112200</v>
      </c>
    </row>
    <row r="26" spans="1:16" s="58" customFormat="1" ht="27.95" customHeight="1">
      <c r="A26" s="10">
        <v>8</v>
      </c>
      <c r="B26" s="11" t="s">
        <v>20</v>
      </c>
      <c r="C26" s="12" t="s">
        <v>1097</v>
      </c>
      <c r="D26" s="19">
        <v>167200</v>
      </c>
      <c r="E26" s="14"/>
      <c r="F26" s="14"/>
      <c r="G26" s="206" t="s">
        <v>1767</v>
      </c>
      <c r="H26" s="68"/>
      <c r="I26" s="68"/>
      <c r="J26" s="126"/>
      <c r="K26" s="12" t="s">
        <v>1097</v>
      </c>
      <c r="L26" s="19">
        <f t="shared" si="0"/>
        <v>167200</v>
      </c>
      <c r="M26" s="120"/>
      <c r="N26" s="120"/>
      <c r="O26" s="71">
        <f t="shared" si="1"/>
        <v>167200</v>
      </c>
      <c r="P26" s="71">
        <f t="shared" si="2"/>
        <v>167200</v>
      </c>
    </row>
    <row r="27" spans="1:16" s="58" customFormat="1" ht="27.95" customHeight="1">
      <c r="A27" s="10">
        <v>9</v>
      </c>
      <c r="B27" s="11" t="s">
        <v>21</v>
      </c>
      <c r="C27" s="12" t="s">
        <v>1097</v>
      </c>
      <c r="D27" s="19">
        <v>202400</v>
      </c>
      <c r="E27" s="14"/>
      <c r="F27" s="14"/>
      <c r="G27" s="206" t="s">
        <v>1767</v>
      </c>
      <c r="H27" s="68"/>
      <c r="I27" s="126"/>
      <c r="J27" s="126"/>
      <c r="K27" s="12" t="s">
        <v>1097</v>
      </c>
      <c r="L27" s="19">
        <f t="shared" si="0"/>
        <v>202400</v>
      </c>
      <c r="M27" s="120"/>
      <c r="N27" s="120"/>
      <c r="O27" s="71">
        <f t="shared" si="1"/>
        <v>202400</v>
      </c>
      <c r="P27" s="71">
        <f t="shared" si="2"/>
        <v>202400</v>
      </c>
    </row>
    <row r="28" spans="1:16" s="58" customFormat="1" ht="24.6" customHeight="1">
      <c r="A28" s="10">
        <v>10</v>
      </c>
      <c r="B28" s="11" t="s">
        <v>1422</v>
      </c>
      <c r="C28" s="12" t="s">
        <v>1097</v>
      </c>
      <c r="D28" s="19">
        <v>68200</v>
      </c>
      <c r="E28" s="14"/>
      <c r="F28" s="14"/>
      <c r="G28" s="206" t="s">
        <v>1767</v>
      </c>
      <c r="H28" s="68"/>
      <c r="I28" s="127"/>
      <c r="J28" s="127"/>
      <c r="K28" s="12" t="s">
        <v>1097</v>
      </c>
      <c r="L28" s="19">
        <f t="shared" si="0"/>
        <v>68200</v>
      </c>
      <c r="M28" s="120"/>
      <c r="N28" s="120"/>
      <c r="O28" s="71">
        <f t="shared" si="1"/>
        <v>68200</v>
      </c>
      <c r="P28" s="71">
        <f t="shared" si="2"/>
        <v>68200</v>
      </c>
    </row>
    <row r="29" spans="1:16" s="58" customFormat="1" ht="17.25">
      <c r="A29" s="10"/>
      <c r="B29" s="9" t="s">
        <v>22</v>
      </c>
      <c r="C29" s="15"/>
      <c r="D29" s="13"/>
      <c r="E29" s="13"/>
      <c r="F29" s="13"/>
      <c r="G29" s="207"/>
      <c r="H29" s="68"/>
      <c r="I29" s="68"/>
      <c r="J29" s="68"/>
      <c r="K29" s="116"/>
      <c r="L29" s="120"/>
      <c r="M29" s="120"/>
      <c r="N29" s="120"/>
      <c r="O29" s="69"/>
      <c r="P29" s="69"/>
    </row>
    <row r="30" spans="1:16" s="58" customFormat="1" ht="42" customHeight="1">
      <c r="A30" s="10"/>
      <c r="B30" s="237" t="s">
        <v>1419</v>
      </c>
      <c r="C30" s="238"/>
      <c r="D30" s="238"/>
      <c r="E30" s="238"/>
      <c r="F30" s="238"/>
      <c r="G30" s="238"/>
      <c r="H30" s="238"/>
      <c r="I30" s="238"/>
      <c r="J30" s="238"/>
      <c r="K30" s="238"/>
      <c r="L30" s="238"/>
      <c r="M30" s="238"/>
      <c r="N30" s="239"/>
      <c r="O30" s="69"/>
      <c r="P30" s="69"/>
    </row>
    <row r="31" spans="1:16" s="58" customFormat="1" ht="24.6" customHeight="1">
      <c r="A31" s="10">
        <v>1</v>
      </c>
      <c r="B31" s="11" t="s">
        <v>23</v>
      </c>
      <c r="C31" s="12" t="s">
        <v>1097</v>
      </c>
      <c r="D31" s="19">
        <v>258500</v>
      </c>
      <c r="E31" s="14"/>
      <c r="F31" s="14"/>
      <c r="G31" s="206" t="s">
        <v>1767</v>
      </c>
      <c r="H31" s="68"/>
      <c r="I31" s="127"/>
      <c r="J31" s="127"/>
      <c r="K31" s="12" t="s">
        <v>1097</v>
      </c>
      <c r="L31" s="19">
        <f t="shared" ref="L31:L45" si="3">D31</f>
        <v>258500</v>
      </c>
      <c r="M31" s="120"/>
      <c r="N31" s="120"/>
      <c r="O31" s="71">
        <f t="shared" ref="O31:O44" si="4">D31</f>
        <v>258500</v>
      </c>
      <c r="P31" s="71">
        <f t="shared" ref="P31:P44" si="5">L31</f>
        <v>258500</v>
      </c>
    </row>
    <row r="32" spans="1:16" s="58" customFormat="1" ht="24.6" customHeight="1">
      <c r="A32" s="10">
        <v>2</v>
      </c>
      <c r="B32" s="11" t="s">
        <v>24</v>
      </c>
      <c r="C32" s="12" t="s">
        <v>1097</v>
      </c>
      <c r="D32" s="19">
        <v>253000</v>
      </c>
      <c r="E32" s="14"/>
      <c r="F32" s="14"/>
      <c r="G32" s="206" t="s">
        <v>1767</v>
      </c>
      <c r="H32" s="68"/>
      <c r="I32" s="127"/>
      <c r="J32" s="127"/>
      <c r="K32" s="12" t="s">
        <v>1097</v>
      </c>
      <c r="L32" s="19">
        <f t="shared" si="3"/>
        <v>253000</v>
      </c>
      <c r="M32" s="120"/>
      <c r="N32" s="120"/>
      <c r="O32" s="71">
        <f t="shared" si="4"/>
        <v>253000</v>
      </c>
      <c r="P32" s="71">
        <f t="shared" si="5"/>
        <v>253000</v>
      </c>
    </row>
    <row r="33" spans="1:16" s="58" customFormat="1" ht="24.6" customHeight="1">
      <c r="A33" s="10">
        <v>3</v>
      </c>
      <c r="B33" s="11" t="s">
        <v>25</v>
      </c>
      <c r="C33" s="12" t="s">
        <v>1097</v>
      </c>
      <c r="D33" s="19">
        <v>253000</v>
      </c>
      <c r="E33" s="14"/>
      <c r="F33" s="14"/>
      <c r="G33" s="206" t="s">
        <v>1767</v>
      </c>
      <c r="H33" s="68"/>
      <c r="I33" s="127"/>
      <c r="J33" s="127"/>
      <c r="K33" s="12" t="s">
        <v>1097</v>
      </c>
      <c r="L33" s="19">
        <f t="shared" si="3"/>
        <v>253000</v>
      </c>
      <c r="M33" s="120"/>
      <c r="N33" s="120"/>
      <c r="O33" s="71">
        <f t="shared" si="4"/>
        <v>253000</v>
      </c>
      <c r="P33" s="71">
        <f t="shared" si="5"/>
        <v>253000</v>
      </c>
    </row>
    <row r="34" spans="1:16" s="58" customFormat="1" ht="24.6" customHeight="1">
      <c r="A34" s="10">
        <v>4</v>
      </c>
      <c r="B34" s="11" t="s">
        <v>15</v>
      </c>
      <c r="C34" s="12" t="s">
        <v>1097</v>
      </c>
      <c r="D34" s="19">
        <v>198000</v>
      </c>
      <c r="E34" s="14"/>
      <c r="F34" s="14"/>
      <c r="G34" s="206" t="s">
        <v>1767</v>
      </c>
      <c r="H34" s="68"/>
      <c r="I34" s="127"/>
      <c r="J34" s="127"/>
      <c r="K34" s="12" t="s">
        <v>1097</v>
      </c>
      <c r="L34" s="19">
        <f t="shared" si="3"/>
        <v>198000</v>
      </c>
      <c r="M34" s="120"/>
      <c r="N34" s="120"/>
      <c r="O34" s="71">
        <f t="shared" si="4"/>
        <v>198000</v>
      </c>
      <c r="P34" s="71">
        <f t="shared" si="5"/>
        <v>198000</v>
      </c>
    </row>
    <row r="35" spans="1:16" s="58" customFormat="1" ht="24.6" customHeight="1">
      <c r="A35" s="10">
        <v>5</v>
      </c>
      <c r="B35" s="11" t="s">
        <v>26</v>
      </c>
      <c r="C35" s="12" t="s">
        <v>1097</v>
      </c>
      <c r="D35" s="19">
        <v>190300</v>
      </c>
      <c r="E35" s="14"/>
      <c r="F35" s="14"/>
      <c r="G35" s="206" t="s">
        <v>1767</v>
      </c>
      <c r="H35" s="68"/>
      <c r="I35" s="127"/>
      <c r="J35" s="127"/>
      <c r="K35" s="12" t="s">
        <v>1097</v>
      </c>
      <c r="L35" s="19">
        <f t="shared" si="3"/>
        <v>190300</v>
      </c>
      <c r="M35" s="120"/>
      <c r="N35" s="120"/>
      <c r="O35" s="71">
        <f t="shared" si="4"/>
        <v>190300</v>
      </c>
      <c r="P35" s="71">
        <f t="shared" si="5"/>
        <v>190300</v>
      </c>
    </row>
    <row r="36" spans="1:16" s="58" customFormat="1" ht="24.6" customHeight="1">
      <c r="A36" s="10">
        <v>6</v>
      </c>
      <c r="B36" s="11" t="s">
        <v>1282</v>
      </c>
      <c r="C36" s="12" t="s">
        <v>1097</v>
      </c>
      <c r="D36" s="19">
        <v>183700</v>
      </c>
      <c r="E36" s="14"/>
      <c r="F36" s="14"/>
      <c r="G36" s="206" t="s">
        <v>1767</v>
      </c>
      <c r="H36" s="68"/>
      <c r="I36" s="127"/>
      <c r="J36" s="127"/>
      <c r="K36" s="12" t="s">
        <v>1097</v>
      </c>
      <c r="L36" s="19">
        <f t="shared" si="3"/>
        <v>183700</v>
      </c>
      <c r="M36" s="120"/>
      <c r="N36" s="120"/>
      <c r="O36" s="71">
        <f t="shared" si="4"/>
        <v>183700</v>
      </c>
      <c r="P36" s="71">
        <f t="shared" si="5"/>
        <v>183700</v>
      </c>
    </row>
    <row r="37" spans="1:16" s="58" customFormat="1" ht="24.6" customHeight="1">
      <c r="A37" s="10">
        <v>7</v>
      </c>
      <c r="B37" s="11" t="s">
        <v>27</v>
      </c>
      <c r="C37" s="12" t="s">
        <v>1097</v>
      </c>
      <c r="D37" s="19">
        <v>144100</v>
      </c>
      <c r="E37" s="14"/>
      <c r="F37" s="14"/>
      <c r="G37" s="206" t="s">
        <v>1767</v>
      </c>
      <c r="H37" s="68"/>
      <c r="I37" s="127"/>
      <c r="J37" s="127"/>
      <c r="K37" s="12" t="s">
        <v>1097</v>
      </c>
      <c r="L37" s="19">
        <f t="shared" si="3"/>
        <v>144100</v>
      </c>
      <c r="M37" s="120"/>
      <c r="N37" s="120"/>
      <c r="O37" s="71">
        <f t="shared" si="4"/>
        <v>144100</v>
      </c>
      <c r="P37" s="71">
        <f t="shared" si="5"/>
        <v>144100</v>
      </c>
    </row>
    <row r="38" spans="1:16" s="58" customFormat="1" ht="24.6" customHeight="1">
      <c r="A38" s="10">
        <v>8</v>
      </c>
      <c r="B38" s="11" t="s">
        <v>28</v>
      </c>
      <c r="C38" s="12" t="s">
        <v>1097</v>
      </c>
      <c r="D38" s="19">
        <v>152900</v>
      </c>
      <c r="E38" s="14"/>
      <c r="F38" s="14"/>
      <c r="G38" s="206" t="s">
        <v>1767</v>
      </c>
      <c r="H38" s="68"/>
      <c r="I38" s="127"/>
      <c r="J38" s="127"/>
      <c r="K38" s="12" t="s">
        <v>1097</v>
      </c>
      <c r="L38" s="19">
        <f t="shared" si="3"/>
        <v>152900</v>
      </c>
      <c r="M38" s="120"/>
      <c r="N38" s="120"/>
      <c r="O38" s="71">
        <f t="shared" si="4"/>
        <v>152900</v>
      </c>
      <c r="P38" s="71">
        <f t="shared" si="5"/>
        <v>152900</v>
      </c>
    </row>
    <row r="39" spans="1:16" s="58" customFormat="1" ht="24.6" customHeight="1">
      <c r="A39" s="10">
        <v>9</v>
      </c>
      <c r="B39" s="11" t="s">
        <v>1283</v>
      </c>
      <c r="C39" s="12" t="s">
        <v>1097</v>
      </c>
      <c r="D39" s="19">
        <v>126500</v>
      </c>
      <c r="E39" s="14"/>
      <c r="F39" s="14"/>
      <c r="G39" s="206" t="s">
        <v>1767</v>
      </c>
      <c r="H39" s="68"/>
      <c r="I39" s="127"/>
      <c r="J39" s="127"/>
      <c r="K39" s="12" t="s">
        <v>1097</v>
      </c>
      <c r="L39" s="19">
        <f t="shared" si="3"/>
        <v>126500</v>
      </c>
      <c r="M39" s="120"/>
      <c r="N39" s="120"/>
      <c r="O39" s="71">
        <f t="shared" si="4"/>
        <v>126500</v>
      </c>
      <c r="P39" s="71">
        <f t="shared" si="5"/>
        <v>126500</v>
      </c>
    </row>
    <row r="40" spans="1:16" s="58" customFormat="1" ht="24.6" customHeight="1">
      <c r="A40" s="10">
        <v>10</v>
      </c>
      <c r="B40" s="11" t="s">
        <v>29</v>
      </c>
      <c r="C40" s="12" t="s">
        <v>1097</v>
      </c>
      <c r="D40" s="19">
        <v>94600</v>
      </c>
      <c r="E40" s="14"/>
      <c r="F40" s="14"/>
      <c r="G40" s="206" t="s">
        <v>1767</v>
      </c>
      <c r="H40" s="68"/>
      <c r="I40" s="127"/>
      <c r="J40" s="127"/>
      <c r="K40" s="12" t="s">
        <v>1097</v>
      </c>
      <c r="L40" s="19">
        <f t="shared" si="3"/>
        <v>94600</v>
      </c>
      <c r="M40" s="120"/>
      <c r="N40" s="120"/>
      <c r="O40" s="71">
        <f t="shared" si="4"/>
        <v>94600</v>
      </c>
      <c r="P40" s="71">
        <f t="shared" si="5"/>
        <v>94600</v>
      </c>
    </row>
    <row r="41" spans="1:16" s="58" customFormat="1" ht="24.6" customHeight="1">
      <c r="A41" s="10">
        <v>11</v>
      </c>
      <c r="B41" s="11" t="s">
        <v>1284</v>
      </c>
      <c r="C41" s="12" t="s">
        <v>1097</v>
      </c>
      <c r="D41" s="19">
        <v>165000</v>
      </c>
      <c r="E41" s="14"/>
      <c r="F41" s="14"/>
      <c r="G41" s="206" t="s">
        <v>1767</v>
      </c>
      <c r="H41" s="68"/>
      <c r="I41" s="127"/>
      <c r="J41" s="127"/>
      <c r="K41" s="12" t="s">
        <v>1097</v>
      </c>
      <c r="L41" s="19">
        <f t="shared" si="3"/>
        <v>165000</v>
      </c>
      <c r="M41" s="120"/>
      <c r="N41" s="120"/>
      <c r="O41" s="71">
        <f t="shared" si="4"/>
        <v>165000</v>
      </c>
      <c r="P41" s="71">
        <f t="shared" si="5"/>
        <v>165000</v>
      </c>
    </row>
    <row r="42" spans="1:16" s="58" customFormat="1" ht="24.6" customHeight="1">
      <c r="A42" s="10">
        <v>12</v>
      </c>
      <c r="B42" s="11" t="s">
        <v>1285</v>
      </c>
      <c r="C42" s="12" t="s">
        <v>1097</v>
      </c>
      <c r="D42" s="19">
        <v>110000</v>
      </c>
      <c r="E42" s="14"/>
      <c r="F42" s="14"/>
      <c r="G42" s="206" t="s">
        <v>1767</v>
      </c>
      <c r="H42" s="68"/>
      <c r="I42" s="127"/>
      <c r="J42" s="127"/>
      <c r="K42" s="12" t="s">
        <v>1097</v>
      </c>
      <c r="L42" s="19">
        <f t="shared" si="3"/>
        <v>110000</v>
      </c>
      <c r="M42" s="120"/>
      <c r="N42" s="120"/>
      <c r="O42" s="71">
        <f t="shared" si="4"/>
        <v>110000</v>
      </c>
      <c r="P42" s="71">
        <f t="shared" si="5"/>
        <v>110000</v>
      </c>
    </row>
    <row r="43" spans="1:16" s="58" customFormat="1" ht="24.6" customHeight="1">
      <c r="A43" s="10">
        <v>13</v>
      </c>
      <c r="B43" s="11" t="s">
        <v>1286</v>
      </c>
      <c r="C43" s="12" t="s">
        <v>1097</v>
      </c>
      <c r="D43" s="19">
        <v>121000</v>
      </c>
      <c r="E43" s="14"/>
      <c r="F43" s="14"/>
      <c r="G43" s="206" t="s">
        <v>1767</v>
      </c>
      <c r="H43" s="68"/>
      <c r="I43" s="127"/>
      <c r="J43" s="127"/>
      <c r="K43" s="12" t="s">
        <v>1097</v>
      </c>
      <c r="L43" s="19">
        <f t="shared" si="3"/>
        <v>121000</v>
      </c>
      <c r="M43" s="120"/>
      <c r="N43" s="120"/>
      <c r="O43" s="71">
        <f t="shared" si="4"/>
        <v>121000</v>
      </c>
      <c r="P43" s="71">
        <f t="shared" si="5"/>
        <v>121000</v>
      </c>
    </row>
    <row r="44" spans="1:16" s="58" customFormat="1" ht="24.6" customHeight="1">
      <c r="A44" s="10">
        <v>14</v>
      </c>
      <c r="B44" s="11" t="s">
        <v>30</v>
      </c>
      <c r="C44" s="12" t="s">
        <v>1097</v>
      </c>
      <c r="D44" s="19">
        <v>220000</v>
      </c>
      <c r="E44" s="14"/>
      <c r="F44" s="14"/>
      <c r="G44" s="206" t="s">
        <v>1767</v>
      </c>
      <c r="H44" s="68"/>
      <c r="I44" s="127"/>
      <c r="J44" s="127"/>
      <c r="K44" s="12" t="s">
        <v>1097</v>
      </c>
      <c r="L44" s="19">
        <f t="shared" si="3"/>
        <v>220000</v>
      </c>
      <c r="M44" s="120"/>
      <c r="N44" s="120"/>
      <c r="O44" s="71">
        <f t="shared" si="4"/>
        <v>220000</v>
      </c>
      <c r="P44" s="71">
        <f t="shared" si="5"/>
        <v>220000</v>
      </c>
    </row>
    <row r="45" spans="1:16" s="58" customFormat="1" ht="24.6" customHeight="1">
      <c r="A45" s="10">
        <v>14</v>
      </c>
      <c r="B45" s="11" t="s">
        <v>1421</v>
      </c>
      <c r="C45" s="12" t="s">
        <v>1097</v>
      </c>
      <c r="D45" s="19">
        <v>66000</v>
      </c>
      <c r="E45" s="14"/>
      <c r="F45" s="14"/>
      <c r="G45" s="206" t="s">
        <v>1767</v>
      </c>
      <c r="H45" s="68"/>
      <c r="I45" s="127"/>
      <c r="J45" s="127"/>
      <c r="K45" s="12" t="s">
        <v>1097</v>
      </c>
      <c r="L45" s="19">
        <f t="shared" si="3"/>
        <v>66000</v>
      </c>
      <c r="M45" s="120"/>
      <c r="N45" s="120"/>
      <c r="O45" s="71">
        <f>D45</f>
        <v>66000</v>
      </c>
      <c r="P45" s="71">
        <f>L45</f>
        <v>66000</v>
      </c>
    </row>
    <row r="46" spans="1:16" s="58" customFormat="1" ht="37.5" customHeight="1">
      <c r="A46" s="10"/>
      <c r="B46" s="237" t="s">
        <v>1273</v>
      </c>
      <c r="C46" s="238"/>
      <c r="D46" s="238"/>
      <c r="E46" s="238"/>
      <c r="F46" s="238"/>
      <c r="G46" s="238"/>
      <c r="H46" s="238"/>
      <c r="I46" s="238"/>
      <c r="J46" s="238"/>
      <c r="K46" s="238"/>
      <c r="L46" s="238"/>
      <c r="M46" s="238"/>
      <c r="N46" s="239"/>
      <c r="O46" s="69"/>
      <c r="P46" s="69"/>
    </row>
    <row r="47" spans="1:16" s="58" customFormat="1" ht="24" customHeight="1">
      <c r="A47" s="61" t="s">
        <v>1215</v>
      </c>
      <c r="B47" s="62" t="s">
        <v>1216</v>
      </c>
      <c r="C47" s="61" t="s">
        <v>1267</v>
      </c>
      <c r="D47" s="63">
        <v>286000</v>
      </c>
      <c r="E47" s="13"/>
      <c r="F47" s="13"/>
      <c r="G47" s="208" t="s">
        <v>1768</v>
      </c>
      <c r="H47" s="127"/>
      <c r="I47" s="127"/>
      <c r="J47" s="127"/>
      <c r="K47" s="61" t="s">
        <v>1267</v>
      </c>
      <c r="L47" s="19">
        <f t="shared" ref="L47:L72" si="6">D47</f>
        <v>286000</v>
      </c>
      <c r="M47" s="120"/>
      <c r="N47" s="120"/>
      <c r="O47" s="71">
        <f t="shared" ref="O47:O72" si="7">D47</f>
        <v>286000</v>
      </c>
      <c r="P47" s="71">
        <f t="shared" ref="P47:P72" si="8">L47</f>
        <v>286000</v>
      </c>
    </row>
    <row r="48" spans="1:16" s="58" customFormat="1" ht="24" customHeight="1">
      <c r="A48" s="61" t="s">
        <v>1217</v>
      </c>
      <c r="B48" s="62" t="s">
        <v>1218</v>
      </c>
      <c r="C48" s="61" t="s">
        <v>1267</v>
      </c>
      <c r="D48" s="63">
        <v>275000</v>
      </c>
      <c r="E48" s="13"/>
      <c r="F48" s="13"/>
      <c r="G48" s="208" t="s">
        <v>1768</v>
      </c>
      <c r="H48" s="127"/>
      <c r="I48" s="127"/>
      <c r="J48" s="127"/>
      <c r="K48" s="61" t="s">
        <v>1267</v>
      </c>
      <c r="L48" s="19">
        <f t="shared" si="6"/>
        <v>275000</v>
      </c>
      <c r="M48" s="120"/>
      <c r="N48" s="120"/>
      <c r="O48" s="71">
        <f t="shared" si="7"/>
        <v>275000</v>
      </c>
      <c r="P48" s="71">
        <f t="shared" si="8"/>
        <v>275000</v>
      </c>
    </row>
    <row r="49" spans="1:16" s="58" customFormat="1" ht="24" customHeight="1">
      <c r="A49" s="61" t="s">
        <v>1219</v>
      </c>
      <c r="B49" s="62" t="s">
        <v>1220</v>
      </c>
      <c r="C49" s="61" t="s">
        <v>1267</v>
      </c>
      <c r="D49" s="63">
        <v>264000</v>
      </c>
      <c r="E49" s="13"/>
      <c r="F49" s="13"/>
      <c r="G49" s="208" t="s">
        <v>1768</v>
      </c>
      <c r="H49" s="127"/>
      <c r="I49" s="127"/>
      <c r="J49" s="127"/>
      <c r="K49" s="61" t="s">
        <v>1267</v>
      </c>
      <c r="L49" s="19">
        <f t="shared" si="6"/>
        <v>264000</v>
      </c>
      <c r="M49" s="120"/>
      <c r="N49" s="120"/>
      <c r="O49" s="71">
        <f t="shared" si="7"/>
        <v>264000</v>
      </c>
      <c r="P49" s="71">
        <f t="shared" si="8"/>
        <v>264000</v>
      </c>
    </row>
    <row r="50" spans="1:16" s="58" customFormat="1" ht="24" customHeight="1">
      <c r="A50" s="61" t="s">
        <v>1221</v>
      </c>
      <c r="B50" s="62" t="s">
        <v>1222</v>
      </c>
      <c r="C50" s="61" t="s">
        <v>1267</v>
      </c>
      <c r="D50" s="63">
        <v>198000</v>
      </c>
      <c r="E50" s="13"/>
      <c r="F50" s="13"/>
      <c r="G50" s="208" t="s">
        <v>1768</v>
      </c>
      <c r="H50" s="127"/>
      <c r="I50" s="127"/>
      <c r="J50" s="127"/>
      <c r="K50" s="61" t="s">
        <v>1267</v>
      </c>
      <c r="L50" s="19">
        <f t="shared" si="6"/>
        <v>198000</v>
      </c>
      <c r="M50" s="120"/>
      <c r="N50" s="120"/>
      <c r="O50" s="71">
        <f t="shared" si="7"/>
        <v>198000</v>
      </c>
      <c r="P50" s="71">
        <f t="shared" si="8"/>
        <v>198000</v>
      </c>
    </row>
    <row r="51" spans="1:16" s="58" customFormat="1" ht="24" customHeight="1">
      <c r="A51" s="61" t="s">
        <v>1223</v>
      </c>
      <c r="B51" s="62" t="s">
        <v>1224</v>
      </c>
      <c r="C51" s="61" t="s">
        <v>1267</v>
      </c>
      <c r="D51" s="63">
        <v>231000</v>
      </c>
      <c r="E51" s="13"/>
      <c r="F51" s="13"/>
      <c r="G51" s="208" t="s">
        <v>1768</v>
      </c>
      <c r="H51" s="127"/>
      <c r="I51" s="127"/>
      <c r="J51" s="127"/>
      <c r="K51" s="61" t="s">
        <v>1267</v>
      </c>
      <c r="L51" s="19">
        <f t="shared" si="6"/>
        <v>231000</v>
      </c>
      <c r="M51" s="120"/>
      <c r="N51" s="120"/>
      <c r="O51" s="71">
        <f t="shared" si="7"/>
        <v>231000</v>
      </c>
      <c r="P51" s="71">
        <f t="shared" si="8"/>
        <v>231000</v>
      </c>
    </row>
    <row r="52" spans="1:16" s="58" customFormat="1" ht="24" customHeight="1">
      <c r="A52" s="61" t="s">
        <v>1225</v>
      </c>
      <c r="B52" s="62" t="s">
        <v>1226</v>
      </c>
      <c r="C52" s="61" t="s">
        <v>1267</v>
      </c>
      <c r="D52" s="63">
        <v>181500</v>
      </c>
      <c r="E52" s="13"/>
      <c r="F52" s="13"/>
      <c r="G52" s="208" t="s">
        <v>1768</v>
      </c>
      <c r="H52" s="127"/>
      <c r="I52" s="127"/>
      <c r="J52" s="127"/>
      <c r="K52" s="61" t="s">
        <v>1267</v>
      </c>
      <c r="L52" s="19">
        <f t="shared" si="6"/>
        <v>181500</v>
      </c>
      <c r="M52" s="120"/>
      <c r="N52" s="120"/>
      <c r="O52" s="71">
        <f t="shared" si="7"/>
        <v>181500</v>
      </c>
      <c r="P52" s="71">
        <f t="shared" si="8"/>
        <v>181500</v>
      </c>
    </row>
    <row r="53" spans="1:16" s="58" customFormat="1" ht="24" customHeight="1">
      <c r="A53" s="61" t="s">
        <v>1227</v>
      </c>
      <c r="B53" s="62" t="s">
        <v>1228</v>
      </c>
      <c r="C53" s="61" t="s">
        <v>1268</v>
      </c>
      <c r="D53" s="63">
        <v>194700</v>
      </c>
      <c r="E53" s="13"/>
      <c r="F53" s="13"/>
      <c r="G53" s="208" t="s">
        <v>1268</v>
      </c>
      <c r="H53" s="127"/>
      <c r="I53" s="127"/>
      <c r="J53" s="127"/>
      <c r="K53" s="61" t="s">
        <v>1268</v>
      </c>
      <c r="L53" s="19">
        <f t="shared" si="6"/>
        <v>194700</v>
      </c>
      <c r="M53" s="120"/>
      <c r="N53" s="120"/>
      <c r="O53" s="71">
        <f t="shared" si="7"/>
        <v>194700</v>
      </c>
      <c r="P53" s="71">
        <f t="shared" si="8"/>
        <v>194700</v>
      </c>
    </row>
    <row r="54" spans="1:16" s="58" customFormat="1" ht="24" customHeight="1">
      <c r="A54" s="61" t="s">
        <v>1229</v>
      </c>
      <c r="B54" s="62" t="s">
        <v>1230</v>
      </c>
      <c r="C54" s="61" t="s">
        <v>1267</v>
      </c>
      <c r="D54" s="63">
        <v>183700</v>
      </c>
      <c r="E54" s="13"/>
      <c r="F54" s="13"/>
      <c r="G54" s="208" t="s">
        <v>1768</v>
      </c>
      <c r="H54" s="127"/>
      <c r="I54" s="127"/>
      <c r="J54" s="127"/>
      <c r="K54" s="61" t="s">
        <v>1267</v>
      </c>
      <c r="L54" s="19">
        <f t="shared" si="6"/>
        <v>183700</v>
      </c>
      <c r="M54" s="120"/>
      <c r="N54" s="120"/>
      <c r="O54" s="71">
        <f t="shared" si="7"/>
        <v>183700</v>
      </c>
      <c r="P54" s="71">
        <f t="shared" si="8"/>
        <v>183700</v>
      </c>
    </row>
    <row r="55" spans="1:16" s="58" customFormat="1" ht="24" customHeight="1">
      <c r="A55" s="61" t="s">
        <v>1231</v>
      </c>
      <c r="B55" s="62" t="s">
        <v>1232</v>
      </c>
      <c r="C55" s="61" t="s">
        <v>1267</v>
      </c>
      <c r="D55" s="63">
        <v>195800</v>
      </c>
      <c r="E55" s="13"/>
      <c r="F55" s="13"/>
      <c r="G55" s="208" t="s">
        <v>1768</v>
      </c>
      <c r="H55" s="127"/>
      <c r="I55" s="127"/>
      <c r="J55" s="127"/>
      <c r="K55" s="61" t="s">
        <v>1267</v>
      </c>
      <c r="L55" s="19">
        <f t="shared" si="6"/>
        <v>195800</v>
      </c>
      <c r="M55" s="120"/>
      <c r="N55" s="120"/>
      <c r="O55" s="71">
        <f t="shared" si="7"/>
        <v>195800</v>
      </c>
      <c r="P55" s="71">
        <f t="shared" si="8"/>
        <v>195800</v>
      </c>
    </row>
    <row r="56" spans="1:16" s="58" customFormat="1" ht="24" customHeight="1">
      <c r="A56" s="61" t="s">
        <v>1233</v>
      </c>
      <c r="B56" s="62" t="s">
        <v>1234</v>
      </c>
      <c r="C56" s="61" t="s">
        <v>1267</v>
      </c>
      <c r="D56" s="63">
        <v>170500</v>
      </c>
      <c r="E56" s="13"/>
      <c r="F56" s="13"/>
      <c r="G56" s="208" t="s">
        <v>1768</v>
      </c>
      <c r="H56" s="127"/>
      <c r="I56" s="127"/>
      <c r="J56" s="127"/>
      <c r="K56" s="61" t="s">
        <v>1267</v>
      </c>
      <c r="L56" s="19">
        <f t="shared" si="6"/>
        <v>170500</v>
      </c>
      <c r="M56" s="120"/>
      <c r="N56" s="120"/>
      <c r="O56" s="71">
        <f t="shared" si="7"/>
        <v>170500</v>
      </c>
      <c r="P56" s="71">
        <f t="shared" si="8"/>
        <v>170500</v>
      </c>
    </row>
    <row r="57" spans="1:16" s="58" customFormat="1" ht="24" customHeight="1">
      <c r="A57" s="61" t="s">
        <v>1235</v>
      </c>
      <c r="B57" s="62" t="s">
        <v>1236</v>
      </c>
      <c r="C57" s="61" t="s">
        <v>1267</v>
      </c>
      <c r="D57" s="63">
        <v>165000</v>
      </c>
      <c r="E57" s="13"/>
      <c r="F57" s="13"/>
      <c r="G57" s="208" t="s">
        <v>1768</v>
      </c>
      <c r="H57" s="127"/>
      <c r="I57" s="127"/>
      <c r="J57" s="127"/>
      <c r="K57" s="61" t="s">
        <v>1267</v>
      </c>
      <c r="L57" s="19">
        <f t="shared" si="6"/>
        <v>165000</v>
      </c>
      <c r="M57" s="120"/>
      <c r="N57" s="120"/>
      <c r="O57" s="71">
        <f t="shared" si="7"/>
        <v>165000</v>
      </c>
      <c r="P57" s="71">
        <f t="shared" si="8"/>
        <v>165000</v>
      </c>
    </row>
    <row r="58" spans="1:16" s="58" customFormat="1" ht="24" customHeight="1">
      <c r="A58" s="61" t="s">
        <v>1237</v>
      </c>
      <c r="B58" s="62" t="s">
        <v>1238</v>
      </c>
      <c r="C58" s="61" t="s">
        <v>1267</v>
      </c>
      <c r="D58" s="63">
        <v>145200</v>
      </c>
      <c r="E58" s="13"/>
      <c r="F58" s="13"/>
      <c r="G58" s="208" t="s">
        <v>1768</v>
      </c>
      <c r="H58" s="127"/>
      <c r="I58" s="127"/>
      <c r="J58" s="127"/>
      <c r="K58" s="61" t="s">
        <v>1267</v>
      </c>
      <c r="L58" s="19">
        <f t="shared" si="6"/>
        <v>145200</v>
      </c>
      <c r="M58" s="120"/>
      <c r="N58" s="120"/>
      <c r="O58" s="71">
        <f t="shared" si="7"/>
        <v>145200</v>
      </c>
      <c r="P58" s="71">
        <f t="shared" si="8"/>
        <v>145200</v>
      </c>
    </row>
    <row r="59" spans="1:16" s="58" customFormat="1" ht="24" customHeight="1">
      <c r="A59" s="61" t="s">
        <v>1239</v>
      </c>
      <c r="B59" s="62" t="s">
        <v>1240</v>
      </c>
      <c r="C59" s="61" t="s">
        <v>1267</v>
      </c>
      <c r="D59" s="63">
        <v>173800</v>
      </c>
      <c r="E59" s="13"/>
      <c r="F59" s="13"/>
      <c r="G59" s="208" t="s">
        <v>1768</v>
      </c>
      <c r="H59" s="127"/>
      <c r="I59" s="127"/>
      <c r="J59" s="127"/>
      <c r="K59" s="61" t="s">
        <v>1267</v>
      </c>
      <c r="L59" s="19">
        <f t="shared" si="6"/>
        <v>173800</v>
      </c>
      <c r="M59" s="120"/>
      <c r="N59" s="120"/>
      <c r="O59" s="71">
        <f t="shared" si="7"/>
        <v>173800</v>
      </c>
      <c r="P59" s="71">
        <f t="shared" si="8"/>
        <v>173800</v>
      </c>
    </row>
    <row r="60" spans="1:16" s="58" customFormat="1" ht="24" customHeight="1">
      <c r="A60" s="61" t="s">
        <v>1241</v>
      </c>
      <c r="B60" s="62" t="s">
        <v>1242</v>
      </c>
      <c r="C60" s="61" t="s">
        <v>1267</v>
      </c>
      <c r="D60" s="63">
        <v>198000</v>
      </c>
      <c r="E60" s="13"/>
      <c r="F60" s="13"/>
      <c r="G60" s="208" t="s">
        <v>1768</v>
      </c>
      <c r="H60" s="127"/>
      <c r="I60" s="127"/>
      <c r="J60" s="127"/>
      <c r="K60" s="61" t="s">
        <v>1267</v>
      </c>
      <c r="L60" s="19">
        <f t="shared" si="6"/>
        <v>198000</v>
      </c>
      <c r="M60" s="120"/>
      <c r="N60" s="120"/>
      <c r="O60" s="71">
        <f t="shared" si="7"/>
        <v>198000</v>
      </c>
      <c r="P60" s="71">
        <f t="shared" si="8"/>
        <v>198000</v>
      </c>
    </row>
    <row r="61" spans="1:16" s="58" customFormat="1" ht="24" customHeight="1">
      <c r="A61" s="61" t="s">
        <v>1243</v>
      </c>
      <c r="B61" s="62" t="s">
        <v>1244</v>
      </c>
      <c r="C61" s="61" t="s">
        <v>1267</v>
      </c>
      <c r="D61" s="63">
        <v>243100</v>
      </c>
      <c r="E61" s="13"/>
      <c r="F61" s="13"/>
      <c r="G61" s="208" t="s">
        <v>1768</v>
      </c>
      <c r="H61" s="127"/>
      <c r="I61" s="127"/>
      <c r="J61" s="127"/>
      <c r="K61" s="61" t="s">
        <v>1267</v>
      </c>
      <c r="L61" s="19">
        <f t="shared" si="6"/>
        <v>243100</v>
      </c>
      <c r="M61" s="120"/>
      <c r="N61" s="120"/>
      <c r="O61" s="71">
        <f t="shared" si="7"/>
        <v>243100</v>
      </c>
      <c r="P61" s="71">
        <f t="shared" si="8"/>
        <v>243100</v>
      </c>
    </row>
    <row r="62" spans="1:16" s="58" customFormat="1" ht="24" customHeight="1">
      <c r="A62" s="61" t="s">
        <v>1245</v>
      </c>
      <c r="B62" s="62" t="s">
        <v>1246</v>
      </c>
      <c r="C62" s="61" t="s">
        <v>1267</v>
      </c>
      <c r="D62" s="63">
        <v>192500</v>
      </c>
      <c r="E62" s="13"/>
      <c r="F62" s="13"/>
      <c r="G62" s="208" t="s">
        <v>1768</v>
      </c>
      <c r="H62" s="127"/>
      <c r="I62" s="127"/>
      <c r="J62" s="127"/>
      <c r="K62" s="61" t="s">
        <v>1267</v>
      </c>
      <c r="L62" s="19">
        <f t="shared" si="6"/>
        <v>192500</v>
      </c>
      <c r="M62" s="120"/>
      <c r="N62" s="120"/>
      <c r="O62" s="71">
        <f t="shared" si="7"/>
        <v>192500</v>
      </c>
      <c r="P62" s="71">
        <f t="shared" si="8"/>
        <v>192500</v>
      </c>
    </row>
    <row r="63" spans="1:16" s="58" customFormat="1" ht="24" customHeight="1">
      <c r="A63" s="61" t="s">
        <v>1247</v>
      </c>
      <c r="B63" s="62" t="s">
        <v>1248</v>
      </c>
      <c r="C63" s="61" t="s">
        <v>1267</v>
      </c>
      <c r="D63" s="63">
        <v>192500</v>
      </c>
      <c r="E63" s="13"/>
      <c r="F63" s="13"/>
      <c r="G63" s="208" t="s">
        <v>1768</v>
      </c>
      <c r="H63" s="127"/>
      <c r="I63" s="127"/>
      <c r="J63" s="127"/>
      <c r="K63" s="61" t="s">
        <v>1267</v>
      </c>
      <c r="L63" s="19">
        <f t="shared" si="6"/>
        <v>192500</v>
      </c>
      <c r="M63" s="120"/>
      <c r="N63" s="120"/>
      <c r="O63" s="71">
        <f t="shared" si="7"/>
        <v>192500</v>
      </c>
      <c r="P63" s="71">
        <f t="shared" si="8"/>
        <v>192500</v>
      </c>
    </row>
    <row r="64" spans="1:16" s="58" customFormat="1" ht="24" customHeight="1">
      <c r="A64" s="61" t="s">
        <v>1249</v>
      </c>
      <c r="B64" s="62" t="s">
        <v>1250</v>
      </c>
      <c r="C64" s="61" t="s">
        <v>1267</v>
      </c>
      <c r="D64" s="63">
        <v>110000</v>
      </c>
      <c r="E64" s="13"/>
      <c r="F64" s="13"/>
      <c r="G64" s="208" t="s">
        <v>1768</v>
      </c>
      <c r="H64" s="127"/>
      <c r="I64" s="127"/>
      <c r="J64" s="127"/>
      <c r="K64" s="61" t="s">
        <v>1267</v>
      </c>
      <c r="L64" s="19">
        <f t="shared" si="6"/>
        <v>110000</v>
      </c>
      <c r="M64" s="120"/>
      <c r="N64" s="120"/>
      <c r="O64" s="71">
        <f t="shared" si="7"/>
        <v>110000</v>
      </c>
      <c r="P64" s="71">
        <f t="shared" si="8"/>
        <v>110000</v>
      </c>
    </row>
    <row r="65" spans="1:16" s="58" customFormat="1" ht="24" customHeight="1">
      <c r="A65" s="61" t="s">
        <v>1251</v>
      </c>
      <c r="B65" s="62" t="s">
        <v>1252</v>
      </c>
      <c r="C65" s="61" t="s">
        <v>1267</v>
      </c>
      <c r="D65" s="63">
        <v>291500</v>
      </c>
      <c r="E65" s="13"/>
      <c r="F65" s="13"/>
      <c r="G65" s="208" t="s">
        <v>1768</v>
      </c>
      <c r="H65" s="127"/>
      <c r="I65" s="127"/>
      <c r="J65" s="127"/>
      <c r="K65" s="61" t="s">
        <v>1267</v>
      </c>
      <c r="L65" s="19">
        <f t="shared" si="6"/>
        <v>291500</v>
      </c>
      <c r="M65" s="120"/>
      <c r="N65" s="120"/>
      <c r="O65" s="71">
        <f t="shared" si="7"/>
        <v>291500</v>
      </c>
      <c r="P65" s="71">
        <f t="shared" si="8"/>
        <v>291500</v>
      </c>
    </row>
    <row r="66" spans="1:16" s="58" customFormat="1" ht="24" customHeight="1">
      <c r="A66" s="61" t="s">
        <v>1253</v>
      </c>
      <c r="B66" s="62" t="s">
        <v>1254</v>
      </c>
      <c r="C66" s="61" t="s">
        <v>1267</v>
      </c>
      <c r="D66" s="63">
        <v>280500</v>
      </c>
      <c r="E66" s="13"/>
      <c r="F66" s="13"/>
      <c r="G66" s="208" t="s">
        <v>1768</v>
      </c>
      <c r="H66" s="127"/>
      <c r="I66" s="127"/>
      <c r="J66" s="127"/>
      <c r="K66" s="61" t="s">
        <v>1267</v>
      </c>
      <c r="L66" s="19">
        <f t="shared" si="6"/>
        <v>280500</v>
      </c>
      <c r="M66" s="120"/>
      <c r="N66" s="120"/>
      <c r="O66" s="71">
        <f t="shared" si="7"/>
        <v>280500</v>
      </c>
      <c r="P66" s="71">
        <f t="shared" si="8"/>
        <v>280500</v>
      </c>
    </row>
    <row r="67" spans="1:16" s="58" customFormat="1" ht="24" customHeight="1">
      <c r="A67" s="61" t="s">
        <v>1255</v>
      </c>
      <c r="B67" s="62" t="s">
        <v>1256</v>
      </c>
      <c r="C67" s="61" t="s">
        <v>1267</v>
      </c>
      <c r="D67" s="63">
        <v>297000</v>
      </c>
      <c r="E67" s="13"/>
      <c r="F67" s="13"/>
      <c r="G67" s="208" t="s">
        <v>1768</v>
      </c>
      <c r="H67" s="127"/>
      <c r="I67" s="127"/>
      <c r="J67" s="127"/>
      <c r="K67" s="61" t="s">
        <v>1267</v>
      </c>
      <c r="L67" s="19">
        <f t="shared" si="6"/>
        <v>297000</v>
      </c>
      <c r="M67" s="120"/>
      <c r="N67" s="120"/>
      <c r="O67" s="71">
        <f t="shared" si="7"/>
        <v>297000</v>
      </c>
      <c r="P67" s="71">
        <f t="shared" si="8"/>
        <v>297000</v>
      </c>
    </row>
    <row r="68" spans="1:16" s="58" customFormat="1" ht="24" customHeight="1">
      <c r="A68" s="61" t="s">
        <v>1257</v>
      </c>
      <c r="B68" s="62" t="s">
        <v>1258</v>
      </c>
      <c r="C68" s="61" t="s">
        <v>1267</v>
      </c>
      <c r="D68" s="63">
        <v>330000</v>
      </c>
      <c r="E68" s="13"/>
      <c r="F68" s="13"/>
      <c r="G68" s="208" t="s">
        <v>1768</v>
      </c>
      <c r="H68" s="127"/>
      <c r="I68" s="127"/>
      <c r="J68" s="127"/>
      <c r="K68" s="61" t="s">
        <v>1267</v>
      </c>
      <c r="L68" s="19">
        <f t="shared" si="6"/>
        <v>330000</v>
      </c>
      <c r="M68" s="120"/>
      <c r="N68" s="120"/>
      <c r="O68" s="71">
        <f t="shared" si="7"/>
        <v>330000</v>
      </c>
      <c r="P68" s="71">
        <f t="shared" si="8"/>
        <v>330000</v>
      </c>
    </row>
    <row r="69" spans="1:16" s="58" customFormat="1" ht="24" customHeight="1">
      <c r="A69" s="61" t="s">
        <v>1259</v>
      </c>
      <c r="B69" s="62" t="s">
        <v>1260</v>
      </c>
      <c r="C69" s="61" t="s">
        <v>1267</v>
      </c>
      <c r="D69" s="63">
        <v>302500</v>
      </c>
      <c r="E69" s="13"/>
      <c r="F69" s="13"/>
      <c r="G69" s="208" t="s">
        <v>1768</v>
      </c>
      <c r="H69" s="127"/>
      <c r="I69" s="127"/>
      <c r="J69" s="127"/>
      <c r="K69" s="61" t="s">
        <v>1267</v>
      </c>
      <c r="L69" s="19">
        <f t="shared" si="6"/>
        <v>302500</v>
      </c>
      <c r="M69" s="120"/>
      <c r="N69" s="120"/>
      <c r="O69" s="71">
        <f t="shared" si="7"/>
        <v>302500</v>
      </c>
      <c r="P69" s="71">
        <f t="shared" si="8"/>
        <v>302500</v>
      </c>
    </row>
    <row r="70" spans="1:16" s="58" customFormat="1" ht="24" customHeight="1">
      <c r="A70" s="61" t="s">
        <v>1261</v>
      </c>
      <c r="B70" s="62" t="s">
        <v>1262</v>
      </c>
      <c r="C70" s="61" t="s">
        <v>1267</v>
      </c>
      <c r="D70" s="63">
        <v>330000</v>
      </c>
      <c r="E70" s="13"/>
      <c r="F70" s="13"/>
      <c r="G70" s="208" t="s">
        <v>1768</v>
      </c>
      <c r="H70" s="127"/>
      <c r="I70" s="127"/>
      <c r="J70" s="127"/>
      <c r="K70" s="61" t="s">
        <v>1267</v>
      </c>
      <c r="L70" s="19">
        <f t="shared" si="6"/>
        <v>330000</v>
      </c>
      <c r="M70" s="120"/>
      <c r="N70" s="120"/>
      <c r="O70" s="71">
        <f t="shared" si="7"/>
        <v>330000</v>
      </c>
      <c r="P70" s="71">
        <f t="shared" si="8"/>
        <v>330000</v>
      </c>
    </row>
    <row r="71" spans="1:16" s="58" customFormat="1" ht="24" customHeight="1">
      <c r="A71" s="61" t="s">
        <v>1263</v>
      </c>
      <c r="B71" s="62" t="s">
        <v>1264</v>
      </c>
      <c r="C71" s="61" t="s">
        <v>1267</v>
      </c>
      <c r="D71" s="63">
        <v>242000</v>
      </c>
      <c r="E71" s="13"/>
      <c r="F71" s="13"/>
      <c r="G71" s="208" t="s">
        <v>1768</v>
      </c>
      <c r="H71" s="127"/>
      <c r="I71" s="127"/>
      <c r="J71" s="127"/>
      <c r="K71" s="61" t="s">
        <v>1267</v>
      </c>
      <c r="L71" s="19">
        <f t="shared" si="6"/>
        <v>242000</v>
      </c>
      <c r="M71" s="120"/>
      <c r="N71" s="120"/>
      <c r="O71" s="71">
        <f t="shared" si="7"/>
        <v>242000</v>
      </c>
      <c r="P71" s="71">
        <f t="shared" si="8"/>
        <v>242000</v>
      </c>
    </row>
    <row r="72" spans="1:16" s="58" customFormat="1" ht="24" customHeight="1">
      <c r="A72" s="61" t="s">
        <v>1265</v>
      </c>
      <c r="B72" s="62" t="s">
        <v>1266</v>
      </c>
      <c r="C72" s="61" t="s">
        <v>1267</v>
      </c>
      <c r="D72" s="63">
        <v>242000</v>
      </c>
      <c r="E72" s="13"/>
      <c r="F72" s="13"/>
      <c r="G72" s="208" t="s">
        <v>1768</v>
      </c>
      <c r="H72" s="127"/>
      <c r="I72" s="127"/>
      <c r="J72" s="127"/>
      <c r="K72" s="61" t="s">
        <v>1267</v>
      </c>
      <c r="L72" s="19">
        <f t="shared" si="6"/>
        <v>242000</v>
      </c>
      <c r="M72" s="120"/>
      <c r="N72" s="120"/>
      <c r="O72" s="71">
        <f t="shared" si="7"/>
        <v>242000</v>
      </c>
      <c r="P72" s="71">
        <f t="shared" si="8"/>
        <v>242000</v>
      </c>
    </row>
    <row r="73" spans="1:16" s="58" customFormat="1" ht="61.5" customHeight="1">
      <c r="A73" s="10"/>
      <c r="B73" s="237" t="s">
        <v>1696</v>
      </c>
      <c r="C73" s="238"/>
      <c r="D73" s="238"/>
      <c r="E73" s="238"/>
      <c r="F73" s="238"/>
      <c r="G73" s="238"/>
      <c r="H73" s="238"/>
      <c r="I73" s="238"/>
      <c r="J73" s="238"/>
      <c r="K73" s="238"/>
      <c r="L73" s="238"/>
      <c r="M73" s="238"/>
      <c r="N73" s="239"/>
      <c r="O73" s="69"/>
      <c r="P73" s="69"/>
    </row>
    <row r="74" spans="1:16" s="58" customFormat="1" ht="24" customHeight="1">
      <c r="A74" s="10">
        <v>1</v>
      </c>
      <c r="B74" s="11" t="s">
        <v>21</v>
      </c>
      <c r="C74" s="12" t="s">
        <v>1097</v>
      </c>
      <c r="D74" s="198">
        <v>162273</v>
      </c>
      <c r="E74" s="13"/>
      <c r="F74" s="16"/>
      <c r="G74" s="206" t="s">
        <v>1767</v>
      </c>
      <c r="H74" s="198"/>
      <c r="I74" s="127"/>
      <c r="J74" s="127"/>
      <c r="K74" s="12" t="s">
        <v>1097</v>
      </c>
      <c r="L74" s="19">
        <f>D74</f>
        <v>162273</v>
      </c>
      <c r="M74" s="120"/>
      <c r="N74" s="120"/>
      <c r="O74" s="71">
        <f t="shared" ref="O74:O82" si="9">D74</f>
        <v>162273</v>
      </c>
      <c r="P74" s="71">
        <f t="shared" ref="P74:P82" si="10">L74</f>
        <v>162273</v>
      </c>
    </row>
    <row r="75" spans="1:16" s="58" customFormat="1" ht="24" customHeight="1">
      <c r="A75" s="12">
        <v>2</v>
      </c>
      <c r="B75" s="11" t="s">
        <v>16</v>
      </c>
      <c r="C75" s="12" t="s">
        <v>1097</v>
      </c>
      <c r="D75" s="198">
        <v>168364</v>
      </c>
      <c r="E75" s="13"/>
      <c r="F75" s="13"/>
      <c r="G75" s="206" t="s">
        <v>1767</v>
      </c>
      <c r="H75" s="198"/>
      <c r="I75" s="127"/>
      <c r="J75" s="127"/>
      <c r="K75" s="12" t="s">
        <v>1097</v>
      </c>
      <c r="L75" s="19">
        <f t="shared" ref="L75:L82" si="11">D75</f>
        <v>168364</v>
      </c>
      <c r="M75" s="120"/>
      <c r="N75" s="120"/>
      <c r="O75" s="71">
        <f t="shared" si="9"/>
        <v>168364</v>
      </c>
      <c r="P75" s="71">
        <f t="shared" si="10"/>
        <v>168364</v>
      </c>
    </row>
    <row r="76" spans="1:16" s="58" customFormat="1" ht="24" customHeight="1">
      <c r="A76" s="12">
        <v>3</v>
      </c>
      <c r="B76" s="11" t="s">
        <v>15</v>
      </c>
      <c r="C76" s="12" t="s">
        <v>1097</v>
      </c>
      <c r="D76" s="198">
        <v>168364</v>
      </c>
      <c r="E76" s="13"/>
      <c r="F76" s="13"/>
      <c r="G76" s="206" t="s">
        <v>1767</v>
      </c>
      <c r="H76" s="198"/>
      <c r="I76" s="127"/>
      <c r="J76" s="127"/>
      <c r="K76" s="12" t="s">
        <v>1097</v>
      </c>
      <c r="L76" s="19">
        <f t="shared" si="11"/>
        <v>168364</v>
      </c>
      <c r="M76" s="120"/>
      <c r="N76" s="120"/>
      <c r="O76" s="71">
        <f>D76</f>
        <v>168364</v>
      </c>
      <c r="P76" s="71">
        <f>L76</f>
        <v>168364</v>
      </c>
    </row>
    <row r="77" spans="1:16" s="58" customFormat="1" ht="24" customHeight="1">
      <c r="A77" s="10">
        <v>4</v>
      </c>
      <c r="B77" s="11" t="s">
        <v>1428</v>
      </c>
      <c r="C77" s="12" t="s">
        <v>1097</v>
      </c>
      <c r="D77" s="198">
        <v>235000</v>
      </c>
      <c r="E77" s="13"/>
      <c r="F77" s="13"/>
      <c r="G77" s="206" t="s">
        <v>1767</v>
      </c>
      <c r="H77" s="198"/>
      <c r="I77" s="127"/>
      <c r="J77" s="127"/>
      <c r="K77" s="12" t="s">
        <v>1097</v>
      </c>
      <c r="L77" s="19">
        <f t="shared" si="11"/>
        <v>235000</v>
      </c>
      <c r="M77" s="120"/>
      <c r="N77" s="120"/>
      <c r="O77" s="71">
        <f t="shared" si="9"/>
        <v>235000</v>
      </c>
      <c r="P77" s="71">
        <f t="shared" si="10"/>
        <v>235000</v>
      </c>
    </row>
    <row r="78" spans="1:16" s="58" customFormat="1" ht="24" customHeight="1">
      <c r="A78" s="12">
        <v>5</v>
      </c>
      <c r="B78" s="11" t="s">
        <v>1429</v>
      </c>
      <c r="C78" s="12" t="s">
        <v>1097</v>
      </c>
      <c r="D78" s="198">
        <v>136364</v>
      </c>
      <c r="E78" s="13"/>
      <c r="F78" s="13"/>
      <c r="G78" s="206" t="s">
        <v>1767</v>
      </c>
      <c r="H78" s="198"/>
      <c r="I78" s="127"/>
      <c r="J78" s="127"/>
      <c r="K78" s="12" t="s">
        <v>1097</v>
      </c>
      <c r="L78" s="19">
        <f t="shared" si="11"/>
        <v>136364</v>
      </c>
      <c r="M78" s="120"/>
      <c r="N78" s="120"/>
      <c r="O78" s="71">
        <f t="shared" si="9"/>
        <v>136364</v>
      </c>
      <c r="P78" s="71">
        <f t="shared" si="10"/>
        <v>136364</v>
      </c>
    </row>
    <row r="79" spans="1:16" s="58" customFormat="1" ht="24" customHeight="1">
      <c r="A79" s="12">
        <v>6</v>
      </c>
      <c r="B79" s="11" t="s">
        <v>1430</v>
      </c>
      <c r="C79" s="12" t="s">
        <v>1097</v>
      </c>
      <c r="D79" s="198">
        <v>68182</v>
      </c>
      <c r="E79" s="13"/>
      <c r="F79" s="16"/>
      <c r="G79" s="206" t="s">
        <v>1767</v>
      </c>
      <c r="H79" s="198"/>
      <c r="I79" s="127"/>
      <c r="J79" s="127"/>
      <c r="K79" s="12" t="s">
        <v>1097</v>
      </c>
      <c r="L79" s="19">
        <f t="shared" si="11"/>
        <v>68182</v>
      </c>
      <c r="M79" s="120"/>
      <c r="N79" s="120"/>
      <c r="O79" s="71">
        <f t="shared" si="9"/>
        <v>68182</v>
      </c>
      <c r="P79" s="71">
        <f t="shared" si="10"/>
        <v>68182</v>
      </c>
    </row>
    <row r="80" spans="1:16" s="58" customFormat="1" ht="24" customHeight="1">
      <c r="A80" s="10">
        <v>7</v>
      </c>
      <c r="B80" s="11" t="s">
        <v>32</v>
      </c>
      <c r="C80" s="12" t="s">
        <v>1097</v>
      </c>
      <c r="D80" s="198">
        <v>136364</v>
      </c>
      <c r="E80" s="13"/>
      <c r="F80" s="13"/>
      <c r="G80" s="206" t="s">
        <v>1767</v>
      </c>
      <c r="H80" s="198"/>
      <c r="I80" s="127"/>
      <c r="J80" s="127"/>
      <c r="K80" s="12" t="s">
        <v>1097</v>
      </c>
      <c r="L80" s="19">
        <f t="shared" si="11"/>
        <v>136364</v>
      </c>
      <c r="M80" s="120"/>
      <c r="N80" s="120"/>
      <c r="O80" s="71">
        <f t="shared" si="9"/>
        <v>136364</v>
      </c>
      <c r="P80" s="71">
        <f t="shared" si="10"/>
        <v>136364</v>
      </c>
    </row>
    <row r="81" spans="1:16" s="58" customFormat="1" ht="24" customHeight="1">
      <c r="A81" s="12">
        <v>8</v>
      </c>
      <c r="B81" s="11" t="s">
        <v>31</v>
      </c>
      <c r="C81" s="12" t="s">
        <v>1097</v>
      </c>
      <c r="D81" s="198">
        <v>86364</v>
      </c>
      <c r="E81" s="13"/>
      <c r="F81" s="13"/>
      <c r="G81" s="206" t="s">
        <v>1767</v>
      </c>
      <c r="H81" s="198"/>
      <c r="I81" s="127"/>
      <c r="J81" s="127"/>
      <c r="K81" s="12" t="s">
        <v>1097</v>
      </c>
      <c r="L81" s="19">
        <f t="shared" si="11"/>
        <v>86364</v>
      </c>
      <c r="M81" s="120"/>
      <c r="N81" s="120"/>
      <c r="O81" s="71">
        <f t="shared" si="9"/>
        <v>86364</v>
      </c>
      <c r="P81" s="71">
        <f t="shared" si="10"/>
        <v>86364</v>
      </c>
    </row>
    <row r="82" spans="1:16" s="58" customFormat="1" ht="24" customHeight="1">
      <c r="A82" s="12">
        <v>9</v>
      </c>
      <c r="B82" s="11" t="s">
        <v>1431</v>
      </c>
      <c r="C82" s="12" t="s">
        <v>1097</v>
      </c>
      <c r="D82" s="198">
        <v>43545</v>
      </c>
      <c r="E82" s="13"/>
      <c r="F82" s="16"/>
      <c r="G82" s="206" t="s">
        <v>1767</v>
      </c>
      <c r="H82" s="198"/>
      <c r="I82" s="127"/>
      <c r="J82" s="127"/>
      <c r="K82" s="12" t="s">
        <v>1097</v>
      </c>
      <c r="L82" s="19">
        <f t="shared" si="11"/>
        <v>43545</v>
      </c>
      <c r="M82" s="120"/>
      <c r="N82" s="120"/>
      <c r="O82" s="71">
        <f t="shared" si="9"/>
        <v>43545</v>
      </c>
      <c r="P82" s="71">
        <f t="shared" si="10"/>
        <v>43545</v>
      </c>
    </row>
    <row r="83" spans="1:16" s="58" customFormat="1" ht="22.5" customHeight="1">
      <c r="A83" s="17" t="s">
        <v>33</v>
      </c>
      <c r="B83" s="237" t="s">
        <v>1464</v>
      </c>
      <c r="C83" s="238"/>
      <c r="D83" s="238"/>
      <c r="E83" s="238"/>
      <c r="F83" s="238"/>
      <c r="G83" s="238"/>
      <c r="H83" s="238"/>
      <c r="I83" s="238"/>
      <c r="J83" s="238"/>
      <c r="K83" s="238"/>
      <c r="L83" s="238"/>
      <c r="M83" s="238"/>
      <c r="N83" s="239"/>
      <c r="O83" s="71">
        <f t="shared" ref="O83:O94" si="12">D83</f>
        <v>0</v>
      </c>
      <c r="P83" s="71">
        <f t="shared" ref="P83:P94" si="13">L83</f>
        <v>0</v>
      </c>
    </row>
    <row r="84" spans="1:16" s="73" customFormat="1" ht="52.5" customHeight="1">
      <c r="A84" s="8"/>
      <c r="B84" s="9" t="s">
        <v>1873</v>
      </c>
      <c r="C84" s="8"/>
      <c r="D84" s="200"/>
      <c r="E84" s="22"/>
      <c r="F84" s="16"/>
      <c r="G84" s="219"/>
      <c r="H84" s="209"/>
      <c r="I84" s="201"/>
      <c r="J84" s="201"/>
      <c r="K84" s="8"/>
      <c r="L84" s="200"/>
      <c r="M84" s="202"/>
      <c r="N84" s="202"/>
      <c r="O84" s="203">
        <f t="shared" si="12"/>
        <v>0</v>
      </c>
      <c r="P84" s="203">
        <f t="shared" si="13"/>
        <v>0</v>
      </c>
    </row>
    <row r="85" spans="1:16" s="58" customFormat="1" ht="24" customHeight="1">
      <c r="A85" s="12">
        <v>1</v>
      </c>
      <c r="B85" s="11" t="s">
        <v>1462</v>
      </c>
      <c r="C85" s="12" t="s">
        <v>1268</v>
      </c>
      <c r="D85" s="19">
        <v>55000</v>
      </c>
      <c r="E85" s="13"/>
      <c r="F85" s="16"/>
      <c r="G85" s="206" t="s">
        <v>1268</v>
      </c>
      <c r="H85" s="198"/>
      <c r="I85" s="127"/>
      <c r="J85" s="127"/>
      <c r="K85" s="12" t="s">
        <v>1268</v>
      </c>
      <c r="L85" s="19">
        <v>66000</v>
      </c>
      <c r="M85" s="120"/>
      <c r="N85" s="120"/>
      <c r="O85" s="71">
        <f t="shared" si="12"/>
        <v>55000</v>
      </c>
      <c r="P85" s="71">
        <f t="shared" si="13"/>
        <v>66000</v>
      </c>
    </row>
    <row r="86" spans="1:16" s="58" customFormat="1" ht="24" customHeight="1">
      <c r="A86" s="12">
        <v>2</v>
      </c>
      <c r="B86" s="11" t="s">
        <v>1463</v>
      </c>
      <c r="C86" s="12" t="s">
        <v>1268</v>
      </c>
      <c r="D86" s="19">
        <v>88000</v>
      </c>
      <c r="E86" s="13"/>
      <c r="F86" s="16"/>
      <c r="G86" s="206" t="s">
        <v>1268</v>
      </c>
      <c r="H86" s="198"/>
      <c r="I86" s="127"/>
      <c r="J86" s="127"/>
      <c r="K86" s="12" t="s">
        <v>1268</v>
      </c>
      <c r="L86" s="19">
        <f>D86</f>
        <v>88000</v>
      </c>
      <c r="M86" s="120"/>
      <c r="N86" s="120"/>
      <c r="O86" s="71">
        <f t="shared" si="12"/>
        <v>88000</v>
      </c>
      <c r="P86" s="71">
        <f t="shared" si="13"/>
        <v>88000</v>
      </c>
    </row>
    <row r="87" spans="1:16" s="58" customFormat="1" ht="51.75" customHeight="1">
      <c r="A87" s="17"/>
      <c r="B87" s="9" t="s">
        <v>1874</v>
      </c>
      <c r="C87" s="9"/>
      <c r="D87" s="9"/>
      <c r="E87" s="9"/>
      <c r="F87" s="197"/>
      <c r="G87" s="210"/>
      <c r="H87" s="199"/>
      <c r="I87" s="127"/>
      <c r="J87" s="127"/>
      <c r="K87" s="116"/>
      <c r="L87" s="120"/>
      <c r="M87" s="120"/>
      <c r="N87" s="120"/>
      <c r="O87" s="71">
        <f t="shared" si="12"/>
        <v>0</v>
      </c>
      <c r="P87" s="71">
        <f t="shared" si="13"/>
        <v>0</v>
      </c>
    </row>
    <row r="88" spans="1:16" s="58" customFormat="1" ht="24" customHeight="1">
      <c r="A88" s="12">
        <v>1</v>
      </c>
      <c r="B88" s="11" t="s">
        <v>1462</v>
      </c>
      <c r="C88" s="12" t="s">
        <v>1268</v>
      </c>
      <c r="D88" s="19">
        <v>37750</v>
      </c>
      <c r="E88" s="13"/>
      <c r="F88" s="16"/>
      <c r="G88" s="206" t="s">
        <v>1268</v>
      </c>
      <c r="H88" s="198"/>
      <c r="I88" s="127"/>
      <c r="J88" s="127"/>
      <c r="K88" s="12" t="s">
        <v>1268</v>
      </c>
      <c r="L88" s="19">
        <v>55000</v>
      </c>
      <c r="M88" s="120"/>
      <c r="N88" s="120"/>
      <c r="O88" s="71">
        <f t="shared" si="12"/>
        <v>37750</v>
      </c>
      <c r="P88" s="71">
        <f t="shared" si="13"/>
        <v>55000</v>
      </c>
    </row>
    <row r="89" spans="1:16" s="58" customFormat="1" ht="24" customHeight="1">
      <c r="A89" s="12">
        <v>2</v>
      </c>
      <c r="B89" s="11" t="s">
        <v>1463</v>
      </c>
      <c r="C89" s="12" t="s">
        <v>1268</v>
      </c>
      <c r="D89" s="19">
        <v>47750</v>
      </c>
      <c r="E89" s="13"/>
      <c r="F89" s="16"/>
      <c r="G89" s="206" t="s">
        <v>1268</v>
      </c>
      <c r="H89" s="198"/>
      <c r="I89" s="127"/>
      <c r="J89" s="127"/>
      <c r="K89" s="12" t="s">
        <v>1268</v>
      </c>
      <c r="L89" s="19">
        <v>88000</v>
      </c>
      <c r="M89" s="120"/>
      <c r="N89" s="120"/>
      <c r="O89" s="71">
        <f t="shared" si="12"/>
        <v>47750</v>
      </c>
      <c r="P89" s="71">
        <f t="shared" si="13"/>
        <v>88000</v>
      </c>
    </row>
    <row r="90" spans="1:16" s="58" customFormat="1" ht="49.5">
      <c r="A90" s="17"/>
      <c r="B90" s="9" t="s">
        <v>1875</v>
      </c>
      <c r="C90" s="8"/>
      <c r="D90" s="120"/>
      <c r="E90" s="16"/>
      <c r="F90" s="16"/>
      <c r="G90" s="210"/>
      <c r="H90" s="199"/>
      <c r="I90" s="127"/>
      <c r="J90" s="127"/>
      <c r="K90" s="116"/>
      <c r="L90" s="120"/>
      <c r="M90" s="120"/>
      <c r="N90" s="120"/>
      <c r="O90" s="71">
        <f t="shared" si="12"/>
        <v>0</v>
      </c>
      <c r="P90" s="71">
        <f t="shared" si="13"/>
        <v>0</v>
      </c>
    </row>
    <row r="91" spans="1:16" s="58" customFormat="1" ht="24" customHeight="1">
      <c r="A91" s="12">
        <v>1</v>
      </c>
      <c r="B91" s="11" t="s">
        <v>1462</v>
      </c>
      <c r="C91" s="12" t="s">
        <v>1268</v>
      </c>
      <c r="D91" s="19">
        <v>37264</v>
      </c>
      <c r="E91" s="13"/>
      <c r="F91" s="16"/>
      <c r="G91" s="206" t="s">
        <v>1268</v>
      </c>
      <c r="H91" s="198"/>
      <c r="I91" s="127"/>
      <c r="J91" s="127"/>
      <c r="K91" s="12" t="s">
        <v>1268</v>
      </c>
      <c r="L91" s="19">
        <v>55000</v>
      </c>
      <c r="M91" s="120"/>
      <c r="N91" s="120"/>
      <c r="O91" s="71">
        <f t="shared" si="12"/>
        <v>37264</v>
      </c>
      <c r="P91" s="71">
        <f t="shared" si="13"/>
        <v>55000</v>
      </c>
    </row>
    <row r="92" spans="1:16" s="58" customFormat="1" ht="24" customHeight="1">
      <c r="A92" s="12">
        <v>2</v>
      </c>
      <c r="B92" s="11" t="s">
        <v>1463</v>
      </c>
      <c r="C92" s="12" t="s">
        <v>1268</v>
      </c>
      <c r="D92" s="19">
        <v>48894</v>
      </c>
      <c r="E92" s="13"/>
      <c r="F92" s="16"/>
      <c r="G92" s="206" t="s">
        <v>1268</v>
      </c>
      <c r="H92" s="198"/>
      <c r="I92" s="127"/>
      <c r="J92" s="127"/>
      <c r="K92" s="12" t="s">
        <v>1268</v>
      </c>
      <c r="L92" s="19">
        <v>88000</v>
      </c>
      <c r="M92" s="120"/>
      <c r="N92" s="120"/>
      <c r="O92" s="71">
        <f t="shared" si="12"/>
        <v>48894</v>
      </c>
      <c r="P92" s="71">
        <f t="shared" si="13"/>
        <v>88000</v>
      </c>
    </row>
    <row r="93" spans="1:16" s="58" customFormat="1" ht="66">
      <c r="A93" s="17"/>
      <c r="B93" s="9" t="s">
        <v>1876</v>
      </c>
      <c r="C93" s="8"/>
      <c r="D93" s="120"/>
      <c r="E93" s="16"/>
      <c r="F93" s="16"/>
      <c r="G93" s="210"/>
      <c r="H93" s="199"/>
      <c r="I93" s="127"/>
      <c r="J93" s="127"/>
      <c r="K93" s="116"/>
      <c r="L93" s="120"/>
      <c r="M93" s="120"/>
      <c r="N93" s="120"/>
      <c r="O93" s="71">
        <f t="shared" si="12"/>
        <v>0</v>
      </c>
      <c r="P93" s="71">
        <f t="shared" si="13"/>
        <v>0</v>
      </c>
    </row>
    <row r="94" spans="1:16" s="58" customFormat="1" ht="24" customHeight="1">
      <c r="A94" s="12">
        <v>1</v>
      </c>
      <c r="B94" s="11" t="s">
        <v>1462</v>
      </c>
      <c r="C94" s="12" t="s">
        <v>1268</v>
      </c>
      <c r="D94" s="19">
        <v>66000</v>
      </c>
      <c r="E94" s="13"/>
      <c r="F94" s="16"/>
      <c r="G94" s="206" t="s">
        <v>1268</v>
      </c>
      <c r="H94" s="198"/>
      <c r="I94" s="127"/>
      <c r="J94" s="127"/>
      <c r="K94" s="12" t="s">
        <v>1268</v>
      </c>
      <c r="L94" s="19">
        <f>D94</f>
        <v>66000</v>
      </c>
      <c r="M94" s="120"/>
      <c r="N94" s="120"/>
      <c r="O94" s="71">
        <f t="shared" si="12"/>
        <v>66000</v>
      </c>
      <c r="P94" s="71">
        <f t="shared" si="13"/>
        <v>66000</v>
      </c>
    </row>
    <row r="95" spans="1:16" s="58" customFormat="1" ht="49.5">
      <c r="A95" s="17"/>
      <c r="B95" s="9" t="s">
        <v>1877</v>
      </c>
      <c r="C95" s="8"/>
      <c r="D95" s="120"/>
      <c r="E95" s="16"/>
      <c r="F95" s="16"/>
      <c r="G95" s="210"/>
      <c r="H95" s="199"/>
      <c r="I95" s="127"/>
      <c r="J95" s="127"/>
      <c r="K95" s="116"/>
      <c r="L95" s="120"/>
      <c r="M95" s="120"/>
      <c r="N95" s="120"/>
      <c r="O95" s="71">
        <f>D95</f>
        <v>0</v>
      </c>
      <c r="P95" s="71">
        <f>L95</f>
        <v>0</v>
      </c>
    </row>
    <row r="96" spans="1:16" s="58" customFormat="1" ht="24" customHeight="1">
      <c r="A96" s="12">
        <v>1</v>
      </c>
      <c r="B96" s="11" t="s">
        <v>1462</v>
      </c>
      <c r="C96" s="12" t="s">
        <v>1268</v>
      </c>
      <c r="D96" s="19">
        <v>20500</v>
      </c>
      <c r="E96" s="13"/>
      <c r="F96" s="16"/>
      <c r="G96" s="206" t="s">
        <v>1268</v>
      </c>
      <c r="H96" s="198"/>
      <c r="I96" s="127"/>
      <c r="J96" s="127"/>
      <c r="K96" s="12" t="s">
        <v>1268</v>
      </c>
      <c r="L96" s="19">
        <v>70000</v>
      </c>
      <c r="M96" s="120"/>
      <c r="N96" s="120"/>
      <c r="O96" s="71">
        <f>D96</f>
        <v>20500</v>
      </c>
      <c r="P96" s="71">
        <f>L96</f>
        <v>70000</v>
      </c>
    </row>
    <row r="97" spans="1:16" s="58" customFormat="1" ht="17.25">
      <c r="A97" s="10"/>
      <c r="B97" s="9" t="s">
        <v>1878</v>
      </c>
      <c r="C97" s="12"/>
      <c r="D97" s="19"/>
      <c r="E97" s="13"/>
      <c r="F97" s="16"/>
      <c r="G97" s="206"/>
      <c r="H97" s="198"/>
      <c r="I97" s="127"/>
      <c r="J97" s="127"/>
      <c r="K97" s="12"/>
      <c r="L97" s="19"/>
      <c r="M97" s="120"/>
      <c r="N97" s="120"/>
      <c r="O97" s="71"/>
      <c r="P97" s="71"/>
    </row>
    <row r="98" spans="1:16" s="58" customFormat="1" ht="17.25">
      <c r="A98" s="10"/>
      <c r="B98" s="9" t="s">
        <v>1622</v>
      </c>
      <c r="C98" s="12"/>
      <c r="D98" s="19"/>
      <c r="E98" s="13"/>
      <c r="F98" s="16"/>
      <c r="G98" s="206"/>
      <c r="H98" s="198"/>
      <c r="I98" s="127"/>
      <c r="J98" s="127"/>
      <c r="K98" s="12"/>
      <c r="L98" s="19"/>
      <c r="M98" s="120"/>
      <c r="N98" s="120"/>
      <c r="O98" s="71"/>
      <c r="P98" s="71"/>
    </row>
    <row r="99" spans="1:16" s="58" customFormat="1" ht="24" customHeight="1">
      <c r="A99" s="12">
        <v>1</v>
      </c>
      <c r="B99" s="11" t="s">
        <v>1515</v>
      </c>
      <c r="C99" s="12" t="s">
        <v>1268</v>
      </c>
      <c r="D99" s="19">
        <v>66000</v>
      </c>
      <c r="E99" s="13"/>
      <c r="F99" s="16"/>
      <c r="G99" s="206" t="s">
        <v>1268</v>
      </c>
      <c r="H99" s="198"/>
      <c r="I99" s="127"/>
      <c r="J99" s="127"/>
      <c r="K99" s="12" t="s">
        <v>1268</v>
      </c>
      <c r="L99" s="19">
        <v>110000</v>
      </c>
      <c r="M99" s="120"/>
      <c r="N99" s="120"/>
      <c r="O99" s="71">
        <f t="shared" ref="O99:O109" si="14">D99</f>
        <v>66000</v>
      </c>
      <c r="P99" s="71">
        <f t="shared" ref="P99:P109" si="15">L99</f>
        <v>110000</v>
      </c>
    </row>
    <row r="100" spans="1:16" s="58" customFormat="1" ht="24" customHeight="1">
      <c r="A100" s="12">
        <v>2</v>
      </c>
      <c r="B100" s="11" t="s">
        <v>1463</v>
      </c>
      <c r="C100" s="12" t="s">
        <v>1268</v>
      </c>
      <c r="D100" s="19">
        <v>77000</v>
      </c>
      <c r="E100" s="13"/>
      <c r="F100" s="16"/>
      <c r="G100" s="206" t="s">
        <v>1268</v>
      </c>
      <c r="H100" s="198"/>
      <c r="I100" s="127"/>
      <c r="J100" s="127"/>
      <c r="K100" s="12" t="s">
        <v>1268</v>
      </c>
      <c r="L100" s="19">
        <v>110000</v>
      </c>
      <c r="M100" s="120"/>
      <c r="N100" s="120"/>
      <c r="O100" s="71">
        <f t="shared" si="14"/>
        <v>77000</v>
      </c>
      <c r="P100" s="71">
        <f t="shared" si="15"/>
        <v>110000</v>
      </c>
    </row>
    <row r="101" spans="1:16" s="58" customFormat="1" ht="21.75" customHeight="1">
      <c r="A101" s="10"/>
      <c r="B101" s="9" t="s">
        <v>1623</v>
      </c>
      <c r="C101" s="12"/>
      <c r="D101" s="19"/>
      <c r="E101" s="13"/>
      <c r="F101" s="16"/>
      <c r="G101" s="206"/>
      <c r="H101" s="198"/>
      <c r="I101" s="127"/>
      <c r="J101" s="127"/>
      <c r="K101" s="12"/>
      <c r="L101" s="19"/>
      <c r="M101" s="120"/>
      <c r="N101" s="120"/>
      <c r="O101" s="71">
        <f t="shared" si="14"/>
        <v>0</v>
      </c>
      <c r="P101" s="71">
        <f t="shared" si="15"/>
        <v>0</v>
      </c>
    </row>
    <row r="102" spans="1:16" s="58" customFormat="1" ht="24" customHeight="1">
      <c r="A102" s="12">
        <v>1</v>
      </c>
      <c r="B102" s="11" t="s">
        <v>1463</v>
      </c>
      <c r="C102" s="12" t="s">
        <v>1268</v>
      </c>
      <c r="D102" s="19">
        <v>170500</v>
      </c>
      <c r="E102" s="13"/>
      <c r="F102" s="16"/>
      <c r="G102" s="206" t="s">
        <v>1268</v>
      </c>
      <c r="H102" s="198"/>
      <c r="I102" s="127"/>
      <c r="J102" s="127"/>
      <c r="K102" s="12" t="s">
        <v>1268</v>
      </c>
      <c r="L102" s="19">
        <v>110000</v>
      </c>
      <c r="M102" s="120"/>
      <c r="N102" s="120"/>
      <c r="O102" s="71">
        <f t="shared" si="14"/>
        <v>170500</v>
      </c>
      <c r="P102" s="71">
        <f t="shared" si="15"/>
        <v>110000</v>
      </c>
    </row>
    <row r="103" spans="1:16" s="58" customFormat="1" ht="19.5" customHeight="1">
      <c r="A103" s="10"/>
      <c r="B103" s="9" t="s">
        <v>1624</v>
      </c>
      <c r="C103" s="12"/>
      <c r="D103" s="19"/>
      <c r="E103" s="13"/>
      <c r="F103" s="16"/>
      <c r="G103" s="206"/>
      <c r="H103" s="198"/>
      <c r="I103" s="127"/>
      <c r="J103" s="127"/>
      <c r="K103" s="12"/>
      <c r="L103" s="19"/>
      <c r="M103" s="120"/>
      <c r="N103" s="120"/>
      <c r="O103" s="71">
        <f t="shared" si="14"/>
        <v>0</v>
      </c>
      <c r="P103" s="71">
        <f t="shared" si="15"/>
        <v>0</v>
      </c>
    </row>
    <row r="104" spans="1:16" s="58" customFormat="1" ht="24" customHeight="1">
      <c r="A104" s="12">
        <v>1</v>
      </c>
      <c r="B104" s="11" t="s">
        <v>1463</v>
      </c>
      <c r="C104" s="12" t="s">
        <v>1268</v>
      </c>
      <c r="D104" s="19">
        <v>220000</v>
      </c>
      <c r="E104" s="13"/>
      <c r="F104" s="16"/>
      <c r="G104" s="206" t="s">
        <v>1268</v>
      </c>
      <c r="H104" s="198"/>
      <c r="I104" s="127"/>
      <c r="J104" s="127"/>
      <c r="K104" s="12" t="s">
        <v>1268</v>
      </c>
      <c r="L104" s="19">
        <f>D104</f>
        <v>220000</v>
      </c>
      <c r="M104" s="120"/>
      <c r="N104" s="120"/>
      <c r="O104" s="71">
        <f t="shared" si="14"/>
        <v>220000</v>
      </c>
      <c r="P104" s="71">
        <f t="shared" si="15"/>
        <v>220000</v>
      </c>
    </row>
    <row r="105" spans="1:16" s="58" customFormat="1" ht="36" customHeight="1">
      <c r="A105" s="10"/>
      <c r="B105" s="9" t="s">
        <v>1625</v>
      </c>
      <c r="C105" s="12"/>
      <c r="D105" s="19"/>
      <c r="E105" s="13"/>
      <c r="F105" s="16"/>
      <c r="G105" s="206"/>
      <c r="H105" s="198"/>
      <c r="I105" s="127"/>
      <c r="J105" s="127"/>
      <c r="K105" s="12"/>
      <c r="L105" s="19"/>
      <c r="M105" s="120"/>
      <c r="N105" s="120"/>
      <c r="O105" s="71">
        <f t="shared" si="14"/>
        <v>0</v>
      </c>
      <c r="P105" s="71">
        <f t="shared" si="15"/>
        <v>0</v>
      </c>
    </row>
    <row r="106" spans="1:16" s="58" customFormat="1" ht="24" customHeight="1">
      <c r="A106" s="12">
        <v>1</v>
      </c>
      <c r="B106" s="11" t="s">
        <v>1462</v>
      </c>
      <c r="C106" s="12" t="s">
        <v>1268</v>
      </c>
      <c r="D106" s="19">
        <v>77000</v>
      </c>
      <c r="E106" s="13"/>
      <c r="F106" s="16"/>
      <c r="G106" s="206" t="s">
        <v>1268</v>
      </c>
      <c r="H106" s="198"/>
      <c r="I106" s="127"/>
      <c r="J106" s="127"/>
      <c r="K106" s="12" t="s">
        <v>1268</v>
      </c>
      <c r="L106" s="19">
        <v>110000</v>
      </c>
      <c r="M106" s="120"/>
      <c r="N106" s="120"/>
      <c r="O106" s="71">
        <f t="shared" si="14"/>
        <v>77000</v>
      </c>
      <c r="P106" s="71">
        <f t="shared" si="15"/>
        <v>110000</v>
      </c>
    </row>
    <row r="107" spans="1:16" s="58" customFormat="1" ht="73.5" customHeight="1">
      <c r="A107" s="17"/>
      <c r="B107" s="9" t="s">
        <v>1879</v>
      </c>
      <c r="C107" s="8"/>
      <c r="D107" s="120"/>
      <c r="E107" s="16"/>
      <c r="F107" s="16"/>
      <c r="G107" s="210"/>
      <c r="H107" s="199"/>
      <c r="I107" s="127"/>
      <c r="J107" s="127"/>
      <c r="K107" s="116"/>
      <c r="L107" s="120"/>
      <c r="M107" s="120"/>
      <c r="N107" s="120"/>
      <c r="O107" s="71">
        <f t="shared" si="14"/>
        <v>0</v>
      </c>
      <c r="P107" s="71">
        <f t="shared" si="15"/>
        <v>0</v>
      </c>
    </row>
    <row r="108" spans="1:16" s="58" customFormat="1" ht="24" customHeight="1">
      <c r="A108" s="12">
        <v>1</v>
      </c>
      <c r="B108" s="11" t="s">
        <v>1516</v>
      </c>
      <c r="C108" s="12" t="s">
        <v>1268</v>
      </c>
      <c r="D108" s="19">
        <v>63750</v>
      </c>
      <c r="E108" s="13"/>
      <c r="F108" s="16"/>
      <c r="G108" s="206" t="s">
        <v>1268</v>
      </c>
      <c r="H108" s="198"/>
      <c r="I108" s="127"/>
      <c r="J108" s="127"/>
      <c r="K108" s="12" t="s">
        <v>1268</v>
      </c>
      <c r="L108" s="19">
        <v>64000</v>
      </c>
      <c r="M108" s="120"/>
      <c r="N108" s="120"/>
      <c r="O108" s="71">
        <f t="shared" si="14"/>
        <v>63750</v>
      </c>
      <c r="P108" s="71">
        <f t="shared" si="15"/>
        <v>64000</v>
      </c>
    </row>
    <row r="109" spans="1:16" s="58" customFormat="1" ht="22.5" customHeight="1">
      <c r="A109" s="17" t="s">
        <v>37</v>
      </c>
      <c r="B109" s="273" t="s">
        <v>38</v>
      </c>
      <c r="C109" s="273"/>
      <c r="D109" s="273"/>
      <c r="E109" s="273"/>
      <c r="F109" s="273"/>
      <c r="G109" s="127"/>
      <c r="H109" s="127"/>
      <c r="I109" s="127"/>
      <c r="J109" s="127"/>
      <c r="K109" s="116"/>
      <c r="L109" s="19"/>
      <c r="M109" s="120"/>
      <c r="N109" s="120"/>
      <c r="O109" s="71">
        <f t="shared" si="14"/>
        <v>0</v>
      </c>
      <c r="P109" s="71">
        <f t="shared" si="15"/>
        <v>0</v>
      </c>
    </row>
    <row r="110" spans="1:16" s="58" customFormat="1" ht="21" customHeight="1">
      <c r="A110" s="10"/>
      <c r="B110" s="237" t="s">
        <v>1447</v>
      </c>
      <c r="C110" s="238"/>
      <c r="D110" s="238"/>
      <c r="E110" s="238"/>
      <c r="F110" s="238"/>
      <c r="G110" s="238"/>
      <c r="H110" s="238"/>
      <c r="I110" s="238"/>
      <c r="J110" s="238"/>
      <c r="K110" s="238"/>
      <c r="L110" s="238"/>
      <c r="M110" s="238"/>
      <c r="N110" s="239"/>
      <c r="O110" s="69"/>
      <c r="P110" s="69"/>
    </row>
    <row r="111" spans="1:16" s="58" customFormat="1" ht="22.5" customHeight="1">
      <c r="A111" s="10">
        <v>1</v>
      </c>
      <c r="B111" s="11" t="s">
        <v>39</v>
      </c>
      <c r="C111" s="12" t="s">
        <v>40</v>
      </c>
      <c r="D111" s="13">
        <v>1550000</v>
      </c>
      <c r="E111" s="13"/>
      <c r="F111" s="13"/>
      <c r="G111" s="206" t="s">
        <v>40</v>
      </c>
      <c r="H111" s="68"/>
      <c r="I111" s="127"/>
      <c r="J111" s="127"/>
      <c r="K111" s="12" t="str">
        <f t="shared" ref="K111:L114" si="16">C111</f>
        <v>đ/tấn</v>
      </c>
      <c r="L111" s="19">
        <f t="shared" si="16"/>
        <v>1550000</v>
      </c>
      <c r="M111" s="120"/>
      <c r="N111" s="120"/>
      <c r="O111" s="71">
        <f>D111</f>
        <v>1550000</v>
      </c>
      <c r="P111" s="71">
        <f>L111</f>
        <v>1550000</v>
      </c>
    </row>
    <row r="112" spans="1:16" s="58" customFormat="1" ht="22.5" customHeight="1">
      <c r="A112" s="10">
        <f>+A111+1</f>
        <v>2</v>
      </c>
      <c r="B112" s="11" t="s">
        <v>41</v>
      </c>
      <c r="C112" s="12" t="s">
        <v>40</v>
      </c>
      <c r="D112" s="13">
        <v>1500000</v>
      </c>
      <c r="E112" s="13"/>
      <c r="F112" s="13"/>
      <c r="G112" s="206" t="s">
        <v>40</v>
      </c>
      <c r="H112" s="68"/>
      <c r="I112" s="127"/>
      <c r="J112" s="127"/>
      <c r="K112" s="12" t="str">
        <f t="shared" si="16"/>
        <v>đ/tấn</v>
      </c>
      <c r="L112" s="19">
        <f t="shared" si="16"/>
        <v>1500000</v>
      </c>
      <c r="M112" s="120"/>
      <c r="N112" s="120"/>
      <c r="O112" s="71">
        <f>D112</f>
        <v>1500000</v>
      </c>
      <c r="P112" s="71">
        <f>L112</f>
        <v>1500000</v>
      </c>
    </row>
    <row r="113" spans="1:16" s="58" customFormat="1" ht="22.5" customHeight="1">
      <c r="A113" s="12">
        <f>+A112+1</f>
        <v>3</v>
      </c>
      <c r="B113" s="11" t="s">
        <v>42</v>
      </c>
      <c r="C113" s="12" t="s">
        <v>40</v>
      </c>
      <c r="D113" s="13">
        <v>1450000</v>
      </c>
      <c r="E113" s="14"/>
      <c r="F113" s="14"/>
      <c r="G113" s="206" t="s">
        <v>40</v>
      </c>
      <c r="H113" s="68"/>
      <c r="I113" s="127"/>
      <c r="J113" s="127"/>
      <c r="K113" s="12" t="str">
        <f t="shared" si="16"/>
        <v>đ/tấn</v>
      </c>
      <c r="L113" s="19">
        <f t="shared" si="16"/>
        <v>1450000</v>
      </c>
      <c r="M113" s="120"/>
      <c r="N113" s="120"/>
      <c r="O113" s="71">
        <f>D113</f>
        <v>1450000</v>
      </c>
      <c r="P113" s="71">
        <f>L113</f>
        <v>1450000</v>
      </c>
    </row>
    <row r="114" spans="1:16" s="58" customFormat="1" ht="22.5" customHeight="1">
      <c r="A114" s="12">
        <v>4</v>
      </c>
      <c r="B114" s="11" t="s">
        <v>43</v>
      </c>
      <c r="C114" s="12" t="s">
        <v>40</v>
      </c>
      <c r="D114" s="13">
        <v>1250000</v>
      </c>
      <c r="E114" s="14"/>
      <c r="F114" s="14"/>
      <c r="G114" s="206" t="s">
        <v>40</v>
      </c>
      <c r="H114" s="68"/>
      <c r="I114" s="127"/>
      <c r="J114" s="127"/>
      <c r="K114" s="12" t="str">
        <f t="shared" si="16"/>
        <v>đ/tấn</v>
      </c>
      <c r="L114" s="19">
        <f t="shared" si="16"/>
        <v>1250000</v>
      </c>
      <c r="M114" s="120"/>
      <c r="N114" s="120"/>
      <c r="O114" s="71">
        <f>D114</f>
        <v>1250000</v>
      </c>
      <c r="P114" s="71">
        <f>L114</f>
        <v>1250000</v>
      </c>
    </row>
    <row r="115" spans="1:16" s="58" customFormat="1" ht="40.5" customHeight="1">
      <c r="A115" s="10"/>
      <c r="B115" s="237" t="s">
        <v>1898</v>
      </c>
      <c r="C115" s="238"/>
      <c r="D115" s="238"/>
      <c r="E115" s="238"/>
      <c r="F115" s="238"/>
      <c r="G115" s="238"/>
      <c r="H115" s="238"/>
      <c r="I115" s="238"/>
      <c r="J115" s="238"/>
      <c r="K115" s="238"/>
      <c r="L115" s="238"/>
      <c r="M115" s="238"/>
      <c r="N115" s="239"/>
      <c r="O115" s="69"/>
      <c r="P115" s="69"/>
    </row>
    <row r="116" spans="1:16" s="58" customFormat="1" ht="24" customHeight="1">
      <c r="A116" s="10">
        <v>1</v>
      </c>
      <c r="B116" s="11" t="s">
        <v>44</v>
      </c>
      <c r="C116" s="12" t="s">
        <v>40</v>
      </c>
      <c r="D116" s="18"/>
      <c r="E116" s="13">
        <v>10818182</v>
      </c>
      <c r="F116" s="13"/>
      <c r="G116" s="206" t="s">
        <v>40</v>
      </c>
      <c r="H116" s="215"/>
      <c r="I116" s="13">
        <v>10818182</v>
      </c>
      <c r="J116" s="127"/>
      <c r="K116" s="12" t="str">
        <f>C116</f>
        <v>đ/tấn</v>
      </c>
      <c r="L116" s="19"/>
      <c r="M116" s="19">
        <f>I116</f>
        <v>10818182</v>
      </c>
      <c r="N116" s="120"/>
      <c r="O116" s="71">
        <f>E116</f>
        <v>10818182</v>
      </c>
      <c r="P116" s="71">
        <f>M116</f>
        <v>10818182</v>
      </c>
    </row>
    <row r="117" spans="1:16" s="58" customFormat="1" ht="43.5" customHeight="1">
      <c r="A117" s="10"/>
      <c r="B117" s="237" t="s">
        <v>1698</v>
      </c>
      <c r="C117" s="238"/>
      <c r="D117" s="238"/>
      <c r="E117" s="238"/>
      <c r="F117" s="238"/>
      <c r="G117" s="238"/>
      <c r="H117" s="238"/>
      <c r="I117" s="238"/>
      <c r="J117" s="238"/>
      <c r="K117" s="238"/>
      <c r="L117" s="238"/>
      <c r="M117" s="238"/>
      <c r="N117" s="239"/>
      <c r="O117" s="69"/>
      <c r="P117" s="69"/>
    </row>
    <row r="118" spans="1:16" s="58" customFormat="1" ht="21.6" customHeight="1">
      <c r="A118" s="10">
        <v>1</v>
      </c>
      <c r="B118" s="11" t="s">
        <v>45</v>
      </c>
      <c r="C118" s="12" t="s">
        <v>40</v>
      </c>
      <c r="D118" s="13">
        <v>1600000</v>
      </c>
      <c r="E118" s="13"/>
      <c r="F118" s="19"/>
      <c r="G118" s="206" t="s">
        <v>40</v>
      </c>
      <c r="H118" s="68"/>
      <c r="I118" s="68"/>
      <c r="J118" s="127"/>
      <c r="K118" s="12" t="str">
        <f t="shared" ref="K118:L120" si="17">C118</f>
        <v>đ/tấn</v>
      </c>
      <c r="L118" s="19">
        <f t="shared" si="17"/>
        <v>1600000</v>
      </c>
      <c r="M118" s="19"/>
      <c r="N118" s="120"/>
      <c r="O118" s="71">
        <f>D118</f>
        <v>1600000</v>
      </c>
      <c r="P118" s="71">
        <f>L118</f>
        <v>1600000</v>
      </c>
    </row>
    <row r="119" spans="1:16" s="58" customFormat="1" ht="21.6" customHeight="1">
      <c r="A119" s="10">
        <f>+A118+1</f>
        <v>2</v>
      </c>
      <c r="B119" s="11" t="s">
        <v>46</v>
      </c>
      <c r="C119" s="12" t="s">
        <v>40</v>
      </c>
      <c r="D119" s="13">
        <v>1650000</v>
      </c>
      <c r="E119" s="13"/>
      <c r="F119" s="19"/>
      <c r="G119" s="206" t="s">
        <v>40</v>
      </c>
      <c r="H119" s="68"/>
      <c r="I119" s="68"/>
      <c r="J119" s="127"/>
      <c r="K119" s="12" t="str">
        <f t="shared" si="17"/>
        <v>đ/tấn</v>
      </c>
      <c r="L119" s="19">
        <f t="shared" si="17"/>
        <v>1650000</v>
      </c>
      <c r="M119" s="19"/>
      <c r="N119" s="120"/>
      <c r="O119" s="71">
        <f>D119</f>
        <v>1650000</v>
      </c>
      <c r="P119" s="71">
        <f>L119</f>
        <v>1650000</v>
      </c>
    </row>
    <row r="120" spans="1:16" s="58" customFormat="1" ht="21.6" customHeight="1">
      <c r="A120" s="12">
        <f>+A119+1</f>
        <v>3</v>
      </c>
      <c r="B120" s="11" t="s">
        <v>47</v>
      </c>
      <c r="C120" s="12" t="s">
        <v>40</v>
      </c>
      <c r="D120" s="13">
        <v>1700000</v>
      </c>
      <c r="E120" s="13"/>
      <c r="F120" s="19"/>
      <c r="G120" s="206" t="s">
        <v>40</v>
      </c>
      <c r="H120" s="68"/>
      <c r="I120" s="68"/>
      <c r="J120" s="127"/>
      <c r="K120" s="12" t="str">
        <f t="shared" si="17"/>
        <v>đ/tấn</v>
      </c>
      <c r="L120" s="19">
        <f t="shared" si="17"/>
        <v>1700000</v>
      </c>
      <c r="M120" s="19"/>
      <c r="N120" s="120"/>
      <c r="O120" s="71">
        <f>D120</f>
        <v>1700000</v>
      </c>
      <c r="P120" s="71">
        <f>L120</f>
        <v>1700000</v>
      </c>
    </row>
    <row r="121" spans="1:16" s="58" customFormat="1" ht="67.5" customHeight="1">
      <c r="A121" s="10"/>
      <c r="B121" s="237" t="s">
        <v>1692</v>
      </c>
      <c r="C121" s="238"/>
      <c r="D121" s="238"/>
      <c r="E121" s="238"/>
      <c r="F121" s="238"/>
      <c r="G121" s="238"/>
      <c r="H121" s="238"/>
      <c r="I121" s="238"/>
      <c r="J121" s="238"/>
      <c r="K121" s="238"/>
      <c r="L121" s="238"/>
      <c r="M121" s="238"/>
      <c r="N121" s="239"/>
      <c r="O121" s="69"/>
      <c r="P121" s="69"/>
    </row>
    <row r="122" spans="1:16" s="58" customFormat="1" ht="24.6" customHeight="1">
      <c r="A122" s="10">
        <v>1</v>
      </c>
      <c r="B122" s="11" t="s">
        <v>48</v>
      </c>
      <c r="C122" s="12" t="s">
        <v>1097</v>
      </c>
      <c r="D122" s="13">
        <v>1190000</v>
      </c>
      <c r="E122" s="13"/>
      <c r="F122" s="13"/>
      <c r="G122" s="206" t="s">
        <v>1767</v>
      </c>
      <c r="H122" s="68"/>
      <c r="I122" s="127"/>
      <c r="J122" s="127"/>
      <c r="K122" s="12" t="str">
        <f t="shared" ref="K122:K128" si="18">C122</f>
        <v>đ/m3</v>
      </c>
      <c r="L122" s="19">
        <f>D122</f>
        <v>1190000</v>
      </c>
      <c r="M122" s="120"/>
      <c r="N122" s="120"/>
      <c r="O122" s="71">
        <f t="shared" ref="O122:O128" si="19">D122</f>
        <v>1190000</v>
      </c>
      <c r="P122" s="71">
        <f t="shared" ref="P122:P128" si="20">L122</f>
        <v>1190000</v>
      </c>
    </row>
    <row r="123" spans="1:16" s="58" customFormat="1" ht="24.6" customHeight="1">
      <c r="A123" s="10">
        <f t="shared" ref="A123:A128" si="21">+A122+1</f>
        <v>2</v>
      </c>
      <c r="B123" s="11" t="s">
        <v>49</v>
      </c>
      <c r="C123" s="12" t="s">
        <v>1097</v>
      </c>
      <c r="D123" s="13">
        <v>1280000</v>
      </c>
      <c r="E123" s="13"/>
      <c r="F123" s="13"/>
      <c r="G123" s="206" t="s">
        <v>1767</v>
      </c>
      <c r="H123" s="68"/>
      <c r="I123" s="127"/>
      <c r="J123" s="127"/>
      <c r="K123" s="12" t="str">
        <f t="shared" si="18"/>
        <v>đ/m3</v>
      </c>
      <c r="L123" s="19">
        <f t="shared" ref="L123:L128" si="22">D123</f>
        <v>1280000</v>
      </c>
      <c r="M123" s="120"/>
      <c r="N123" s="120"/>
      <c r="O123" s="71">
        <f t="shared" si="19"/>
        <v>1280000</v>
      </c>
      <c r="P123" s="71">
        <f t="shared" si="20"/>
        <v>1280000</v>
      </c>
    </row>
    <row r="124" spans="1:16" s="58" customFormat="1" ht="24.6" customHeight="1">
      <c r="A124" s="10">
        <f t="shared" si="21"/>
        <v>3</v>
      </c>
      <c r="B124" s="11" t="s">
        <v>50</v>
      </c>
      <c r="C124" s="12" t="s">
        <v>1097</v>
      </c>
      <c r="D124" s="13">
        <v>1370000</v>
      </c>
      <c r="E124" s="13"/>
      <c r="F124" s="13"/>
      <c r="G124" s="206" t="s">
        <v>1767</v>
      </c>
      <c r="H124" s="68"/>
      <c r="I124" s="127"/>
      <c r="J124" s="127"/>
      <c r="K124" s="12" t="str">
        <f t="shared" si="18"/>
        <v>đ/m3</v>
      </c>
      <c r="L124" s="19">
        <f t="shared" si="22"/>
        <v>1370000</v>
      </c>
      <c r="M124" s="120"/>
      <c r="N124" s="120"/>
      <c r="O124" s="71">
        <f t="shared" si="19"/>
        <v>1370000</v>
      </c>
      <c r="P124" s="71">
        <f t="shared" si="20"/>
        <v>1370000</v>
      </c>
    </row>
    <row r="125" spans="1:16" s="58" customFormat="1" ht="24.6" customHeight="1">
      <c r="A125" s="10">
        <f t="shared" si="21"/>
        <v>4</v>
      </c>
      <c r="B125" s="11" t="s">
        <v>51</v>
      </c>
      <c r="C125" s="12" t="s">
        <v>1097</v>
      </c>
      <c r="D125" s="13">
        <v>1460000</v>
      </c>
      <c r="E125" s="13"/>
      <c r="F125" s="13"/>
      <c r="G125" s="206" t="s">
        <v>1767</v>
      </c>
      <c r="H125" s="68"/>
      <c r="I125" s="127"/>
      <c r="J125" s="127"/>
      <c r="K125" s="12" t="str">
        <f t="shared" si="18"/>
        <v>đ/m3</v>
      </c>
      <c r="L125" s="19">
        <f t="shared" si="22"/>
        <v>1460000</v>
      </c>
      <c r="M125" s="120"/>
      <c r="N125" s="120"/>
      <c r="O125" s="71">
        <f t="shared" si="19"/>
        <v>1460000</v>
      </c>
      <c r="P125" s="71">
        <f t="shared" si="20"/>
        <v>1460000</v>
      </c>
    </row>
    <row r="126" spans="1:16" s="58" customFormat="1" ht="24.6" customHeight="1">
      <c r="A126" s="10">
        <f t="shared" si="21"/>
        <v>5</v>
      </c>
      <c r="B126" s="11" t="s">
        <v>52</v>
      </c>
      <c r="C126" s="12" t="s">
        <v>1097</v>
      </c>
      <c r="D126" s="13">
        <v>1550000</v>
      </c>
      <c r="E126" s="14"/>
      <c r="F126" s="14"/>
      <c r="G126" s="206" t="s">
        <v>1767</v>
      </c>
      <c r="H126" s="68"/>
      <c r="I126" s="127"/>
      <c r="J126" s="127"/>
      <c r="K126" s="12" t="str">
        <f t="shared" si="18"/>
        <v>đ/m3</v>
      </c>
      <c r="L126" s="19">
        <f t="shared" si="22"/>
        <v>1550000</v>
      </c>
      <c r="M126" s="120"/>
      <c r="N126" s="120"/>
      <c r="O126" s="71">
        <f t="shared" si="19"/>
        <v>1550000</v>
      </c>
      <c r="P126" s="71">
        <f t="shared" si="20"/>
        <v>1550000</v>
      </c>
    </row>
    <row r="127" spans="1:16" s="58" customFormat="1" ht="24.6" customHeight="1">
      <c r="A127" s="10">
        <f t="shared" si="21"/>
        <v>6</v>
      </c>
      <c r="B127" s="11" t="s">
        <v>53</v>
      </c>
      <c r="C127" s="12" t="s">
        <v>1097</v>
      </c>
      <c r="D127" s="13">
        <v>1640000</v>
      </c>
      <c r="E127" s="14"/>
      <c r="F127" s="14"/>
      <c r="G127" s="206" t="s">
        <v>1767</v>
      </c>
      <c r="H127" s="68"/>
      <c r="I127" s="127"/>
      <c r="J127" s="127"/>
      <c r="K127" s="12" t="str">
        <f t="shared" si="18"/>
        <v>đ/m3</v>
      </c>
      <c r="L127" s="19">
        <f t="shared" si="22"/>
        <v>1640000</v>
      </c>
      <c r="M127" s="120"/>
      <c r="N127" s="120"/>
      <c r="O127" s="71">
        <f t="shared" si="19"/>
        <v>1640000</v>
      </c>
      <c r="P127" s="71">
        <f t="shared" si="20"/>
        <v>1640000</v>
      </c>
    </row>
    <row r="128" spans="1:16" s="58" customFormat="1" ht="24.6" customHeight="1">
      <c r="A128" s="10">
        <f t="shared" si="21"/>
        <v>7</v>
      </c>
      <c r="B128" s="11" t="s">
        <v>54</v>
      </c>
      <c r="C128" s="12" t="s">
        <v>1097</v>
      </c>
      <c r="D128" s="13">
        <v>1730000</v>
      </c>
      <c r="E128" s="14"/>
      <c r="F128" s="14"/>
      <c r="G128" s="206" t="s">
        <v>1767</v>
      </c>
      <c r="H128" s="68"/>
      <c r="I128" s="127"/>
      <c r="J128" s="127"/>
      <c r="K128" s="12" t="str">
        <f t="shared" si="18"/>
        <v>đ/m3</v>
      </c>
      <c r="L128" s="19">
        <f t="shared" si="22"/>
        <v>1730000</v>
      </c>
      <c r="M128" s="120"/>
      <c r="N128" s="120"/>
      <c r="O128" s="71">
        <f t="shared" si="19"/>
        <v>1730000</v>
      </c>
      <c r="P128" s="71">
        <f t="shared" si="20"/>
        <v>1730000</v>
      </c>
    </row>
    <row r="129" spans="1:16" s="58" customFormat="1" ht="22.5" customHeight="1">
      <c r="A129" s="10"/>
      <c r="B129" s="237" t="s">
        <v>55</v>
      </c>
      <c r="C129" s="238"/>
      <c r="D129" s="238"/>
      <c r="E129" s="238"/>
      <c r="F129" s="238"/>
      <c r="G129" s="238"/>
      <c r="H129" s="238"/>
      <c r="I129" s="238"/>
      <c r="J129" s="238"/>
      <c r="K129" s="238"/>
      <c r="L129" s="238"/>
      <c r="M129" s="238"/>
      <c r="N129" s="239"/>
      <c r="O129" s="69"/>
      <c r="P129" s="69"/>
    </row>
    <row r="130" spans="1:16" s="58" customFormat="1" ht="20.45" customHeight="1">
      <c r="A130" s="10">
        <v>1</v>
      </c>
      <c r="B130" s="11" t="s">
        <v>56</v>
      </c>
      <c r="C130" s="12" t="s">
        <v>40</v>
      </c>
      <c r="D130" s="13"/>
      <c r="E130" s="13">
        <v>4010000</v>
      </c>
      <c r="F130" s="14"/>
      <c r="G130" s="127"/>
      <c r="H130" s="127"/>
      <c r="I130" s="127"/>
      <c r="J130" s="127"/>
      <c r="K130" s="12" t="str">
        <f>C130</f>
        <v>đ/tấn</v>
      </c>
      <c r="L130" s="19"/>
      <c r="M130" s="19">
        <f>E130</f>
        <v>4010000</v>
      </c>
      <c r="N130" s="120"/>
      <c r="O130" s="71">
        <f>E130</f>
        <v>4010000</v>
      </c>
      <c r="P130" s="71">
        <f>M130</f>
        <v>4010000</v>
      </c>
    </row>
    <row r="131" spans="1:16" s="58" customFormat="1" ht="24" customHeight="1">
      <c r="A131" s="17" t="s">
        <v>57</v>
      </c>
      <c r="B131" s="252" t="s">
        <v>58</v>
      </c>
      <c r="C131" s="252"/>
      <c r="D131" s="252"/>
      <c r="E131" s="252"/>
      <c r="F131" s="252"/>
      <c r="G131" s="127"/>
      <c r="H131" s="127"/>
      <c r="I131" s="127"/>
      <c r="J131" s="127"/>
      <c r="K131" s="116"/>
      <c r="L131" s="120"/>
      <c r="M131" s="120"/>
      <c r="N131" s="120"/>
      <c r="O131" s="69"/>
      <c r="P131" s="69"/>
    </row>
    <row r="132" spans="1:16" s="58" customFormat="1" ht="46.5" customHeight="1">
      <c r="A132" s="17"/>
      <c r="B132" s="237" t="s">
        <v>1274</v>
      </c>
      <c r="C132" s="238"/>
      <c r="D132" s="238"/>
      <c r="E132" s="238"/>
      <c r="F132" s="238"/>
      <c r="G132" s="238"/>
      <c r="H132" s="238"/>
      <c r="I132" s="238"/>
      <c r="J132" s="238"/>
      <c r="K132" s="238"/>
      <c r="L132" s="238"/>
      <c r="M132" s="238"/>
      <c r="N132" s="239"/>
      <c r="O132" s="69"/>
      <c r="P132" s="69"/>
    </row>
    <row r="133" spans="1:16" s="58" customFormat="1" ht="23.45" customHeight="1">
      <c r="A133" s="10">
        <v>1</v>
      </c>
      <c r="B133" s="11" t="s">
        <v>59</v>
      </c>
      <c r="C133" s="12" t="s">
        <v>1097</v>
      </c>
      <c r="D133" s="13"/>
      <c r="E133" s="13">
        <f>6000000/1.1</f>
        <v>5454545.4545454541</v>
      </c>
      <c r="F133" s="13"/>
      <c r="G133" s="206" t="s">
        <v>1767</v>
      </c>
      <c r="H133" s="127"/>
      <c r="I133" s="127"/>
      <c r="J133" s="127"/>
      <c r="K133" s="12" t="str">
        <f>C133</f>
        <v>đ/m3</v>
      </c>
      <c r="L133" s="19"/>
      <c r="M133" s="19">
        <f>E133</f>
        <v>5454545.4545454541</v>
      </c>
      <c r="N133" s="120"/>
      <c r="O133" s="71">
        <f t="shared" ref="O133:O141" si="23">E133</f>
        <v>5454545.4545454541</v>
      </c>
      <c r="P133" s="71">
        <f t="shared" ref="P133:P141" si="24">M133</f>
        <v>5454545.4545454541</v>
      </c>
    </row>
    <row r="134" spans="1:16" s="58" customFormat="1" ht="23.45" customHeight="1">
      <c r="A134" s="10">
        <f t="shared" ref="A134:A141" si="25">+A133+1</f>
        <v>2</v>
      </c>
      <c r="B134" s="11" t="s">
        <v>60</v>
      </c>
      <c r="C134" s="12" t="s">
        <v>1097</v>
      </c>
      <c r="D134" s="13"/>
      <c r="E134" s="13">
        <f>15000000/1.1</f>
        <v>13636363.636363635</v>
      </c>
      <c r="F134" s="13"/>
      <c r="G134" s="206" t="s">
        <v>1767</v>
      </c>
      <c r="H134" s="127"/>
      <c r="I134" s="127"/>
      <c r="J134" s="127"/>
      <c r="K134" s="12" t="str">
        <f t="shared" ref="K134:K141" si="26">C134</f>
        <v>đ/m3</v>
      </c>
      <c r="L134" s="19"/>
      <c r="M134" s="19">
        <f t="shared" ref="M134:M146" si="27">E134</f>
        <v>13636363.636363635</v>
      </c>
      <c r="N134" s="120"/>
      <c r="O134" s="71">
        <f t="shared" si="23"/>
        <v>13636363.636363635</v>
      </c>
      <c r="P134" s="71">
        <f t="shared" si="24"/>
        <v>13636363.636363635</v>
      </c>
    </row>
    <row r="135" spans="1:16" s="58" customFormat="1" ht="23.45" customHeight="1">
      <c r="A135" s="10">
        <f t="shared" si="25"/>
        <v>3</v>
      </c>
      <c r="B135" s="11" t="s">
        <v>61</v>
      </c>
      <c r="C135" s="12" t="s">
        <v>1097</v>
      </c>
      <c r="D135" s="13"/>
      <c r="E135" s="13">
        <f>18000000/1.1</f>
        <v>16363636.363636361</v>
      </c>
      <c r="F135" s="13"/>
      <c r="G135" s="206" t="s">
        <v>1767</v>
      </c>
      <c r="H135" s="127"/>
      <c r="I135" s="127"/>
      <c r="J135" s="127"/>
      <c r="K135" s="12" t="str">
        <f t="shared" si="26"/>
        <v>đ/m3</v>
      </c>
      <c r="L135" s="19"/>
      <c r="M135" s="19">
        <f t="shared" si="27"/>
        <v>16363636.363636361</v>
      </c>
      <c r="N135" s="120"/>
      <c r="O135" s="71">
        <f t="shared" si="23"/>
        <v>16363636.363636361</v>
      </c>
      <c r="P135" s="71">
        <f t="shared" si="24"/>
        <v>16363636.363636361</v>
      </c>
    </row>
    <row r="136" spans="1:16" s="58" customFormat="1" ht="23.45" customHeight="1">
      <c r="A136" s="10">
        <f t="shared" si="25"/>
        <v>4</v>
      </c>
      <c r="B136" s="11" t="s">
        <v>62</v>
      </c>
      <c r="C136" s="12" t="s">
        <v>1097</v>
      </c>
      <c r="D136" s="13"/>
      <c r="E136" s="13">
        <f>21000000/1.1</f>
        <v>19090909.09090909</v>
      </c>
      <c r="F136" s="13"/>
      <c r="G136" s="206" t="s">
        <v>1767</v>
      </c>
      <c r="H136" s="127"/>
      <c r="I136" s="127"/>
      <c r="J136" s="127"/>
      <c r="K136" s="12" t="str">
        <f t="shared" si="26"/>
        <v>đ/m3</v>
      </c>
      <c r="L136" s="19"/>
      <c r="M136" s="19">
        <f t="shared" si="27"/>
        <v>19090909.09090909</v>
      </c>
      <c r="N136" s="120"/>
      <c r="O136" s="71">
        <f t="shared" si="23"/>
        <v>19090909.09090909</v>
      </c>
      <c r="P136" s="71">
        <f t="shared" si="24"/>
        <v>19090909.09090909</v>
      </c>
    </row>
    <row r="137" spans="1:16" s="58" customFormat="1" ht="23.45" customHeight="1">
      <c r="A137" s="10">
        <f t="shared" si="25"/>
        <v>5</v>
      </c>
      <c r="B137" s="11" t="s">
        <v>63</v>
      </c>
      <c r="C137" s="12" t="s">
        <v>1097</v>
      </c>
      <c r="D137" s="13"/>
      <c r="E137" s="13">
        <f>22000000/1.1</f>
        <v>20000000</v>
      </c>
      <c r="F137" s="13"/>
      <c r="G137" s="206" t="s">
        <v>1767</v>
      </c>
      <c r="H137" s="127"/>
      <c r="I137" s="127"/>
      <c r="J137" s="127"/>
      <c r="K137" s="12" t="str">
        <f t="shared" si="26"/>
        <v>đ/m3</v>
      </c>
      <c r="L137" s="19"/>
      <c r="M137" s="19">
        <f t="shared" si="27"/>
        <v>20000000</v>
      </c>
      <c r="N137" s="120"/>
      <c r="O137" s="71">
        <f t="shared" si="23"/>
        <v>20000000</v>
      </c>
      <c r="P137" s="71">
        <f t="shared" si="24"/>
        <v>20000000</v>
      </c>
    </row>
    <row r="138" spans="1:16" s="58" customFormat="1" ht="23.45" customHeight="1">
      <c r="A138" s="10">
        <f t="shared" si="25"/>
        <v>6</v>
      </c>
      <c r="B138" s="11" t="s">
        <v>64</v>
      </c>
      <c r="C138" s="12" t="s">
        <v>1097</v>
      </c>
      <c r="D138" s="13"/>
      <c r="E138" s="13">
        <f>22500000/1.1</f>
        <v>20454545.454545453</v>
      </c>
      <c r="F138" s="13"/>
      <c r="G138" s="206" t="s">
        <v>1767</v>
      </c>
      <c r="H138" s="127"/>
      <c r="I138" s="127"/>
      <c r="J138" s="127"/>
      <c r="K138" s="12" t="str">
        <f t="shared" si="26"/>
        <v>đ/m3</v>
      </c>
      <c r="L138" s="19"/>
      <c r="M138" s="19">
        <f t="shared" si="27"/>
        <v>20454545.454545453</v>
      </c>
      <c r="N138" s="120"/>
      <c r="O138" s="71">
        <f t="shared" si="23"/>
        <v>20454545.454545453</v>
      </c>
      <c r="P138" s="71">
        <f t="shared" si="24"/>
        <v>20454545.454545453</v>
      </c>
    </row>
    <row r="139" spans="1:16" s="58" customFormat="1" ht="23.45" customHeight="1">
      <c r="A139" s="12">
        <f t="shared" si="25"/>
        <v>7</v>
      </c>
      <c r="B139" s="11" t="s">
        <v>65</v>
      </c>
      <c r="C139" s="12" t="s">
        <v>1097</v>
      </c>
      <c r="D139" s="14"/>
      <c r="E139" s="13">
        <f>24000000/1.1</f>
        <v>21818181.818181816</v>
      </c>
      <c r="F139" s="14"/>
      <c r="G139" s="206" t="s">
        <v>1767</v>
      </c>
      <c r="H139" s="127"/>
      <c r="I139" s="127"/>
      <c r="J139" s="127"/>
      <c r="K139" s="12" t="str">
        <f t="shared" si="26"/>
        <v>đ/m3</v>
      </c>
      <c r="L139" s="19"/>
      <c r="M139" s="19">
        <f t="shared" si="27"/>
        <v>21818181.818181816</v>
      </c>
      <c r="N139" s="120"/>
      <c r="O139" s="71">
        <f t="shared" si="23"/>
        <v>21818181.818181816</v>
      </c>
      <c r="P139" s="71">
        <f t="shared" si="24"/>
        <v>21818181.818181816</v>
      </c>
    </row>
    <row r="140" spans="1:16" s="58" customFormat="1" ht="23.45" customHeight="1">
      <c r="A140" s="12">
        <f t="shared" si="25"/>
        <v>8</v>
      </c>
      <c r="B140" s="11" t="s">
        <v>66</v>
      </c>
      <c r="C140" s="12" t="s">
        <v>1097</v>
      </c>
      <c r="D140" s="13"/>
      <c r="E140" s="13">
        <f>30000000/1.1</f>
        <v>27272727.27272727</v>
      </c>
      <c r="F140" s="13"/>
      <c r="G140" s="206" t="s">
        <v>1767</v>
      </c>
      <c r="H140" s="127"/>
      <c r="I140" s="127"/>
      <c r="J140" s="127"/>
      <c r="K140" s="12" t="str">
        <f t="shared" si="26"/>
        <v>đ/m3</v>
      </c>
      <c r="L140" s="19"/>
      <c r="M140" s="19">
        <f t="shared" si="27"/>
        <v>27272727.27272727</v>
      </c>
      <c r="N140" s="120"/>
      <c r="O140" s="71">
        <f t="shared" si="23"/>
        <v>27272727.27272727</v>
      </c>
      <c r="P140" s="71">
        <f t="shared" si="24"/>
        <v>27272727.27272727</v>
      </c>
    </row>
    <row r="141" spans="1:16" s="58" customFormat="1" ht="19.5">
      <c r="A141" s="12">
        <f t="shared" si="25"/>
        <v>9</v>
      </c>
      <c r="B141" s="11" t="s">
        <v>67</v>
      </c>
      <c r="C141" s="12" t="s">
        <v>1097</v>
      </c>
      <c r="D141" s="13"/>
      <c r="E141" s="13">
        <f>35000000/1.1</f>
        <v>31818181.818181816</v>
      </c>
      <c r="F141" s="13"/>
      <c r="G141" s="206" t="s">
        <v>1767</v>
      </c>
      <c r="H141" s="127"/>
      <c r="I141" s="127"/>
      <c r="J141" s="127"/>
      <c r="K141" s="12" t="str">
        <f t="shared" si="26"/>
        <v>đ/m3</v>
      </c>
      <c r="L141" s="19"/>
      <c r="M141" s="19">
        <f t="shared" si="27"/>
        <v>31818181.818181816</v>
      </c>
      <c r="N141" s="120"/>
      <c r="O141" s="71">
        <f t="shared" si="23"/>
        <v>31818181.818181816</v>
      </c>
      <c r="P141" s="71">
        <f t="shared" si="24"/>
        <v>31818181.818181816</v>
      </c>
    </row>
    <row r="142" spans="1:16" s="58" customFormat="1" ht="36" customHeight="1">
      <c r="A142" s="10"/>
      <c r="B142" s="237" t="s">
        <v>1275</v>
      </c>
      <c r="C142" s="238"/>
      <c r="D142" s="238"/>
      <c r="E142" s="238"/>
      <c r="F142" s="238"/>
      <c r="G142" s="238"/>
      <c r="H142" s="238"/>
      <c r="I142" s="238"/>
      <c r="J142" s="238"/>
      <c r="K142" s="238"/>
      <c r="L142" s="238"/>
      <c r="M142" s="238"/>
      <c r="N142" s="239"/>
      <c r="O142" s="69"/>
      <c r="P142" s="69"/>
    </row>
    <row r="143" spans="1:16" s="58" customFormat="1" ht="21.6" customHeight="1">
      <c r="A143" s="10">
        <v>1</v>
      </c>
      <c r="B143" s="11" t="s">
        <v>68</v>
      </c>
      <c r="C143" s="12" t="s">
        <v>69</v>
      </c>
      <c r="D143" s="18"/>
      <c r="E143" s="13">
        <f>43000/1.1</f>
        <v>39090.909090909088</v>
      </c>
      <c r="F143" s="13"/>
      <c r="G143" s="206" t="s">
        <v>69</v>
      </c>
      <c r="H143" s="127"/>
      <c r="I143" s="127"/>
      <c r="J143" s="127"/>
      <c r="K143" s="12" t="str">
        <f>C143</f>
        <v>đ/cây</v>
      </c>
      <c r="L143" s="19"/>
      <c r="M143" s="19">
        <f t="shared" si="27"/>
        <v>39090.909090909088</v>
      </c>
      <c r="N143" s="120"/>
      <c r="O143" s="71">
        <f>E143</f>
        <v>39090.909090909088</v>
      </c>
      <c r="P143" s="71">
        <f>M143</f>
        <v>39090.909090909088</v>
      </c>
    </row>
    <row r="144" spans="1:16" s="58" customFormat="1" ht="21.6" customHeight="1">
      <c r="A144" s="10">
        <f>+A143+1</f>
        <v>2</v>
      </c>
      <c r="B144" s="11" t="s">
        <v>70</v>
      </c>
      <c r="C144" s="12" t="s">
        <v>69</v>
      </c>
      <c r="D144" s="18"/>
      <c r="E144" s="13">
        <f>48000/1.1</f>
        <v>43636.363636363632</v>
      </c>
      <c r="F144" s="13"/>
      <c r="G144" s="206" t="s">
        <v>69</v>
      </c>
      <c r="H144" s="127"/>
      <c r="I144" s="127"/>
      <c r="J144" s="127"/>
      <c r="K144" s="12" t="str">
        <f>C144</f>
        <v>đ/cây</v>
      </c>
      <c r="L144" s="19"/>
      <c r="M144" s="19">
        <f t="shared" si="27"/>
        <v>43636.363636363632</v>
      </c>
      <c r="N144" s="120"/>
      <c r="O144" s="71">
        <f>E144</f>
        <v>43636.363636363632</v>
      </c>
      <c r="P144" s="71">
        <f>M144</f>
        <v>43636.363636363632</v>
      </c>
    </row>
    <row r="145" spans="1:16" s="58" customFormat="1" ht="21.6" customHeight="1">
      <c r="A145" s="10">
        <f>+A144+1</f>
        <v>3</v>
      </c>
      <c r="B145" s="11" t="s">
        <v>71</v>
      </c>
      <c r="C145" s="12" t="s">
        <v>69</v>
      </c>
      <c r="D145" s="18"/>
      <c r="E145" s="13">
        <f>55000/1.1</f>
        <v>49999.999999999993</v>
      </c>
      <c r="F145" s="13"/>
      <c r="G145" s="206" t="s">
        <v>69</v>
      </c>
      <c r="H145" s="127"/>
      <c r="I145" s="127"/>
      <c r="J145" s="127"/>
      <c r="K145" s="12" t="str">
        <f>C145</f>
        <v>đ/cây</v>
      </c>
      <c r="L145" s="19"/>
      <c r="M145" s="19">
        <f t="shared" si="27"/>
        <v>49999.999999999993</v>
      </c>
      <c r="N145" s="120"/>
      <c r="O145" s="71">
        <f>E145</f>
        <v>49999.999999999993</v>
      </c>
      <c r="P145" s="71">
        <f>M145</f>
        <v>49999.999999999993</v>
      </c>
    </row>
    <row r="146" spans="1:16" s="58" customFormat="1" ht="21.6" customHeight="1">
      <c r="A146" s="10">
        <f>+A145+1</f>
        <v>4</v>
      </c>
      <c r="B146" s="11" t="s">
        <v>72</v>
      </c>
      <c r="C146" s="12" t="s">
        <v>69</v>
      </c>
      <c r="D146" s="13"/>
      <c r="E146" s="13">
        <f>60000/1.1</f>
        <v>54545.454545454544</v>
      </c>
      <c r="F146" s="13"/>
      <c r="G146" s="206" t="str">
        <f>C146</f>
        <v>đ/cây</v>
      </c>
      <c r="H146" s="127"/>
      <c r="I146" s="127"/>
      <c r="J146" s="127"/>
      <c r="K146" s="12" t="str">
        <f>C146</f>
        <v>đ/cây</v>
      </c>
      <c r="L146" s="19"/>
      <c r="M146" s="19">
        <f t="shared" si="27"/>
        <v>54545.454545454544</v>
      </c>
      <c r="N146" s="120"/>
      <c r="O146" s="71">
        <f>E146</f>
        <v>54545.454545454544</v>
      </c>
      <c r="P146" s="71">
        <f>M146</f>
        <v>54545.454545454544</v>
      </c>
    </row>
    <row r="147" spans="1:16" s="58" customFormat="1" ht="17.25">
      <c r="A147" s="17" t="s">
        <v>73</v>
      </c>
      <c r="B147" s="252" t="s">
        <v>74</v>
      </c>
      <c r="C147" s="252"/>
      <c r="D147" s="252"/>
      <c r="E147" s="252"/>
      <c r="F147" s="252"/>
      <c r="G147" s="127"/>
      <c r="H147" s="127"/>
      <c r="I147" s="127"/>
      <c r="J147" s="127"/>
      <c r="K147" s="116"/>
      <c r="L147" s="120"/>
      <c r="M147" s="120"/>
      <c r="N147" s="120"/>
      <c r="O147" s="69"/>
      <c r="P147" s="69"/>
    </row>
    <row r="148" spans="1:16" s="58" customFormat="1" ht="46.5" customHeight="1">
      <c r="A148" s="10"/>
      <c r="B148" s="237" t="s">
        <v>1634</v>
      </c>
      <c r="C148" s="238"/>
      <c r="D148" s="238"/>
      <c r="E148" s="238"/>
      <c r="F148" s="238"/>
      <c r="G148" s="238"/>
      <c r="H148" s="238"/>
      <c r="I148" s="238"/>
      <c r="J148" s="238"/>
      <c r="K148" s="238"/>
      <c r="L148" s="238"/>
      <c r="M148" s="238"/>
      <c r="N148" s="239"/>
      <c r="O148" s="69"/>
      <c r="P148" s="69"/>
    </row>
    <row r="149" spans="1:16" s="58" customFormat="1" ht="22.5" customHeight="1">
      <c r="A149" s="10">
        <v>1</v>
      </c>
      <c r="B149" s="11" t="s">
        <v>75</v>
      </c>
      <c r="C149" s="12" t="s">
        <v>76</v>
      </c>
      <c r="D149" s="13">
        <v>3960000</v>
      </c>
      <c r="E149" s="13"/>
      <c r="F149" s="13"/>
      <c r="G149" s="206" t="str">
        <f t="shared" ref="G149:G176" si="28">C149</f>
        <v>đ/trụ</v>
      </c>
      <c r="H149" s="127"/>
      <c r="I149" s="127"/>
      <c r="J149" s="127"/>
      <c r="K149" s="12" t="str">
        <f>C149</f>
        <v>đ/trụ</v>
      </c>
      <c r="L149" s="19">
        <f>D149</f>
        <v>3960000</v>
      </c>
      <c r="M149" s="120"/>
      <c r="N149" s="120"/>
      <c r="O149" s="71">
        <f t="shared" ref="O149:O176" si="29">D149</f>
        <v>3960000</v>
      </c>
      <c r="P149" s="71">
        <f t="shared" ref="P149:P176" si="30">L149</f>
        <v>3960000</v>
      </c>
    </row>
    <row r="150" spans="1:16" s="58" customFormat="1" ht="22.5" customHeight="1">
      <c r="A150" s="10">
        <f t="shared" ref="A150:A176" si="31">+A149+1</f>
        <v>2</v>
      </c>
      <c r="B150" s="11" t="s">
        <v>77</v>
      </c>
      <c r="C150" s="12" t="s">
        <v>76</v>
      </c>
      <c r="D150" s="13">
        <v>3630000</v>
      </c>
      <c r="E150" s="13"/>
      <c r="F150" s="13"/>
      <c r="G150" s="206" t="str">
        <f t="shared" si="28"/>
        <v>đ/trụ</v>
      </c>
      <c r="H150" s="127"/>
      <c r="I150" s="127"/>
      <c r="J150" s="127"/>
      <c r="K150" s="12" t="str">
        <f t="shared" ref="K150:K176" si="32">C150</f>
        <v>đ/trụ</v>
      </c>
      <c r="L150" s="19">
        <f t="shared" ref="L150:L176" si="33">D150</f>
        <v>3630000</v>
      </c>
      <c r="M150" s="120"/>
      <c r="N150" s="120"/>
      <c r="O150" s="71">
        <f t="shared" si="29"/>
        <v>3630000</v>
      </c>
      <c r="P150" s="71">
        <f t="shared" si="30"/>
        <v>3630000</v>
      </c>
    </row>
    <row r="151" spans="1:16" s="58" customFormat="1" ht="22.5" customHeight="1">
      <c r="A151" s="10">
        <f t="shared" si="31"/>
        <v>3</v>
      </c>
      <c r="B151" s="11" t="s">
        <v>78</v>
      </c>
      <c r="C151" s="12" t="s">
        <v>76</v>
      </c>
      <c r="D151" s="13">
        <v>2420000</v>
      </c>
      <c r="E151" s="13"/>
      <c r="F151" s="13"/>
      <c r="G151" s="206" t="str">
        <f t="shared" si="28"/>
        <v>đ/trụ</v>
      </c>
      <c r="H151" s="127"/>
      <c r="I151" s="127"/>
      <c r="J151" s="127"/>
      <c r="K151" s="12" t="str">
        <f t="shared" si="32"/>
        <v>đ/trụ</v>
      </c>
      <c r="L151" s="19">
        <f t="shared" si="33"/>
        <v>2420000</v>
      </c>
      <c r="M151" s="120"/>
      <c r="N151" s="120"/>
      <c r="O151" s="71">
        <f t="shared" si="29"/>
        <v>2420000</v>
      </c>
      <c r="P151" s="71">
        <f t="shared" si="30"/>
        <v>2420000</v>
      </c>
    </row>
    <row r="152" spans="1:16" s="58" customFormat="1" ht="22.5" customHeight="1">
      <c r="A152" s="10">
        <f t="shared" si="31"/>
        <v>4</v>
      </c>
      <c r="B152" s="11" t="s">
        <v>79</v>
      </c>
      <c r="C152" s="12" t="s">
        <v>76</v>
      </c>
      <c r="D152" s="13">
        <v>1925000</v>
      </c>
      <c r="E152" s="13"/>
      <c r="F152" s="13"/>
      <c r="G152" s="206" t="str">
        <f t="shared" si="28"/>
        <v>đ/trụ</v>
      </c>
      <c r="H152" s="127"/>
      <c r="I152" s="127"/>
      <c r="J152" s="127"/>
      <c r="K152" s="12" t="str">
        <f t="shared" si="32"/>
        <v>đ/trụ</v>
      </c>
      <c r="L152" s="19">
        <f t="shared" si="33"/>
        <v>1925000</v>
      </c>
      <c r="M152" s="120"/>
      <c r="N152" s="120"/>
      <c r="O152" s="71">
        <f t="shared" si="29"/>
        <v>1925000</v>
      </c>
      <c r="P152" s="71">
        <f t="shared" si="30"/>
        <v>1925000</v>
      </c>
    </row>
    <row r="153" spans="1:16" s="58" customFormat="1" ht="22.5" customHeight="1">
      <c r="A153" s="10">
        <f t="shared" si="31"/>
        <v>5</v>
      </c>
      <c r="B153" s="11" t="s">
        <v>80</v>
      </c>
      <c r="C153" s="12" t="s">
        <v>76</v>
      </c>
      <c r="D153" s="13">
        <v>1815000</v>
      </c>
      <c r="E153" s="13"/>
      <c r="F153" s="13"/>
      <c r="G153" s="206" t="str">
        <f t="shared" si="28"/>
        <v>đ/trụ</v>
      </c>
      <c r="H153" s="127"/>
      <c r="I153" s="127"/>
      <c r="J153" s="127"/>
      <c r="K153" s="12" t="str">
        <f t="shared" si="32"/>
        <v>đ/trụ</v>
      </c>
      <c r="L153" s="19">
        <f t="shared" si="33"/>
        <v>1815000</v>
      </c>
      <c r="M153" s="120"/>
      <c r="N153" s="120"/>
      <c r="O153" s="71">
        <f t="shared" si="29"/>
        <v>1815000</v>
      </c>
      <c r="P153" s="71">
        <f t="shared" si="30"/>
        <v>1815000</v>
      </c>
    </row>
    <row r="154" spans="1:16" s="58" customFormat="1" ht="22.5" customHeight="1">
      <c r="A154" s="10">
        <f t="shared" si="31"/>
        <v>6</v>
      </c>
      <c r="B154" s="11" t="s">
        <v>81</v>
      </c>
      <c r="C154" s="12" t="s">
        <v>76</v>
      </c>
      <c r="D154" s="13">
        <v>1210000</v>
      </c>
      <c r="E154" s="13"/>
      <c r="F154" s="13"/>
      <c r="G154" s="206" t="str">
        <f t="shared" si="28"/>
        <v>đ/trụ</v>
      </c>
      <c r="H154" s="127"/>
      <c r="I154" s="127"/>
      <c r="J154" s="127"/>
      <c r="K154" s="12" t="str">
        <f t="shared" si="32"/>
        <v>đ/trụ</v>
      </c>
      <c r="L154" s="19">
        <f t="shared" si="33"/>
        <v>1210000</v>
      </c>
      <c r="M154" s="120"/>
      <c r="N154" s="120"/>
      <c r="O154" s="71">
        <f t="shared" si="29"/>
        <v>1210000</v>
      </c>
      <c r="P154" s="71">
        <f t="shared" si="30"/>
        <v>1210000</v>
      </c>
    </row>
    <row r="155" spans="1:16" s="58" customFormat="1" ht="22.5" customHeight="1">
      <c r="A155" s="10">
        <f t="shared" si="31"/>
        <v>7</v>
      </c>
      <c r="B155" s="11" t="s">
        <v>82</v>
      </c>
      <c r="C155" s="12" t="s">
        <v>76</v>
      </c>
      <c r="D155" s="13">
        <v>1080000</v>
      </c>
      <c r="E155" s="13"/>
      <c r="F155" s="13"/>
      <c r="G155" s="206" t="str">
        <f t="shared" si="28"/>
        <v>đ/trụ</v>
      </c>
      <c r="H155" s="127"/>
      <c r="I155" s="127"/>
      <c r="J155" s="127"/>
      <c r="K155" s="12" t="str">
        <f t="shared" si="32"/>
        <v>đ/trụ</v>
      </c>
      <c r="L155" s="19">
        <f t="shared" si="33"/>
        <v>1080000</v>
      </c>
      <c r="M155" s="120"/>
      <c r="N155" s="120"/>
      <c r="O155" s="71">
        <f t="shared" si="29"/>
        <v>1080000</v>
      </c>
      <c r="P155" s="71">
        <f t="shared" si="30"/>
        <v>1080000</v>
      </c>
    </row>
    <row r="156" spans="1:16" s="58" customFormat="1" ht="22.5" customHeight="1">
      <c r="A156" s="10">
        <f t="shared" si="31"/>
        <v>8</v>
      </c>
      <c r="B156" s="11" t="s">
        <v>83</v>
      </c>
      <c r="C156" s="12" t="s">
        <v>84</v>
      </c>
      <c r="D156" s="13">
        <v>685000</v>
      </c>
      <c r="E156" s="13"/>
      <c r="F156" s="13"/>
      <c r="G156" s="206" t="str">
        <f t="shared" si="28"/>
        <v>đ/cái</v>
      </c>
      <c r="H156" s="127"/>
      <c r="I156" s="127"/>
      <c r="J156" s="127"/>
      <c r="K156" s="12" t="str">
        <f t="shared" si="32"/>
        <v>đ/cái</v>
      </c>
      <c r="L156" s="19">
        <f t="shared" si="33"/>
        <v>685000</v>
      </c>
      <c r="M156" s="120"/>
      <c r="N156" s="120"/>
      <c r="O156" s="71">
        <f t="shared" si="29"/>
        <v>685000</v>
      </c>
      <c r="P156" s="71">
        <f t="shared" si="30"/>
        <v>685000</v>
      </c>
    </row>
    <row r="157" spans="1:16" s="58" customFormat="1" ht="22.5" customHeight="1">
      <c r="A157" s="10">
        <f t="shared" si="31"/>
        <v>9</v>
      </c>
      <c r="B157" s="11" t="s">
        <v>85</v>
      </c>
      <c r="C157" s="12" t="s">
        <v>84</v>
      </c>
      <c r="D157" s="13">
        <v>380000</v>
      </c>
      <c r="E157" s="13"/>
      <c r="F157" s="13"/>
      <c r="G157" s="206" t="str">
        <f t="shared" si="28"/>
        <v>đ/cái</v>
      </c>
      <c r="H157" s="127"/>
      <c r="I157" s="127"/>
      <c r="J157" s="127"/>
      <c r="K157" s="12" t="str">
        <f t="shared" si="32"/>
        <v>đ/cái</v>
      </c>
      <c r="L157" s="19">
        <f t="shared" si="33"/>
        <v>380000</v>
      </c>
      <c r="M157" s="120"/>
      <c r="N157" s="120"/>
      <c r="O157" s="71">
        <f t="shared" si="29"/>
        <v>380000</v>
      </c>
      <c r="P157" s="71">
        <f t="shared" si="30"/>
        <v>380000</v>
      </c>
    </row>
    <row r="158" spans="1:16" s="58" customFormat="1" ht="22.5" customHeight="1">
      <c r="A158" s="10">
        <f t="shared" si="31"/>
        <v>10</v>
      </c>
      <c r="B158" s="11" t="s">
        <v>86</v>
      </c>
      <c r="C158" s="12" t="s">
        <v>84</v>
      </c>
      <c r="D158" s="13">
        <v>175000</v>
      </c>
      <c r="E158" s="13"/>
      <c r="F158" s="13"/>
      <c r="G158" s="206" t="str">
        <f t="shared" si="28"/>
        <v>đ/cái</v>
      </c>
      <c r="H158" s="127"/>
      <c r="I158" s="127"/>
      <c r="J158" s="127"/>
      <c r="K158" s="12" t="str">
        <f t="shared" si="32"/>
        <v>đ/cái</v>
      </c>
      <c r="L158" s="19">
        <f t="shared" si="33"/>
        <v>175000</v>
      </c>
      <c r="M158" s="120"/>
      <c r="N158" s="120"/>
      <c r="O158" s="71">
        <f t="shared" si="29"/>
        <v>175000</v>
      </c>
      <c r="P158" s="71">
        <f t="shared" si="30"/>
        <v>175000</v>
      </c>
    </row>
    <row r="159" spans="1:16" s="58" customFormat="1" ht="22.5" customHeight="1">
      <c r="A159" s="10">
        <f t="shared" si="31"/>
        <v>11</v>
      </c>
      <c r="B159" s="11" t="s">
        <v>87</v>
      </c>
      <c r="C159" s="12" t="s">
        <v>84</v>
      </c>
      <c r="D159" s="13">
        <v>205000</v>
      </c>
      <c r="E159" s="13"/>
      <c r="F159" s="13"/>
      <c r="G159" s="206" t="str">
        <f t="shared" si="28"/>
        <v>đ/cái</v>
      </c>
      <c r="H159" s="127"/>
      <c r="I159" s="127"/>
      <c r="J159" s="127"/>
      <c r="K159" s="12" t="str">
        <f t="shared" si="32"/>
        <v>đ/cái</v>
      </c>
      <c r="L159" s="19">
        <f t="shared" si="33"/>
        <v>205000</v>
      </c>
      <c r="M159" s="120"/>
      <c r="N159" s="120"/>
      <c r="O159" s="71">
        <f t="shared" si="29"/>
        <v>205000</v>
      </c>
      <c r="P159" s="71">
        <f t="shared" si="30"/>
        <v>205000</v>
      </c>
    </row>
    <row r="160" spans="1:16" s="58" customFormat="1" ht="22.5" customHeight="1">
      <c r="A160" s="10">
        <f t="shared" si="31"/>
        <v>12</v>
      </c>
      <c r="B160" s="11" t="s">
        <v>88</v>
      </c>
      <c r="C160" s="12" t="s">
        <v>84</v>
      </c>
      <c r="D160" s="13">
        <v>175000</v>
      </c>
      <c r="E160" s="13"/>
      <c r="F160" s="13"/>
      <c r="G160" s="206" t="str">
        <f t="shared" si="28"/>
        <v>đ/cái</v>
      </c>
      <c r="H160" s="127"/>
      <c r="I160" s="127"/>
      <c r="J160" s="127"/>
      <c r="K160" s="12" t="str">
        <f t="shared" si="32"/>
        <v>đ/cái</v>
      </c>
      <c r="L160" s="19">
        <f t="shared" si="33"/>
        <v>175000</v>
      </c>
      <c r="M160" s="120"/>
      <c r="N160" s="120"/>
      <c r="O160" s="71">
        <f t="shared" si="29"/>
        <v>175000</v>
      </c>
      <c r="P160" s="71">
        <f t="shared" si="30"/>
        <v>175000</v>
      </c>
    </row>
    <row r="161" spans="1:16" s="58" customFormat="1" ht="22.5" customHeight="1">
      <c r="A161" s="10">
        <f t="shared" si="31"/>
        <v>13</v>
      </c>
      <c r="B161" s="11" t="s">
        <v>89</v>
      </c>
      <c r="C161" s="12" t="s">
        <v>84</v>
      </c>
      <c r="D161" s="13">
        <v>315000</v>
      </c>
      <c r="E161" s="13"/>
      <c r="F161" s="13"/>
      <c r="G161" s="206" t="str">
        <f t="shared" si="28"/>
        <v>đ/cái</v>
      </c>
      <c r="H161" s="127"/>
      <c r="I161" s="127"/>
      <c r="J161" s="127"/>
      <c r="K161" s="12" t="str">
        <f t="shared" si="32"/>
        <v>đ/cái</v>
      </c>
      <c r="L161" s="19">
        <f t="shared" si="33"/>
        <v>315000</v>
      </c>
      <c r="M161" s="120"/>
      <c r="N161" s="120"/>
      <c r="O161" s="71">
        <f t="shared" si="29"/>
        <v>315000</v>
      </c>
      <c r="P161" s="71">
        <f t="shared" si="30"/>
        <v>315000</v>
      </c>
    </row>
    <row r="162" spans="1:16" s="58" customFormat="1" ht="22.5" customHeight="1">
      <c r="A162" s="10">
        <f t="shared" si="31"/>
        <v>14</v>
      </c>
      <c r="B162" s="11" t="s">
        <v>1098</v>
      </c>
      <c r="C162" s="12" t="s">
        <v>90</v>
      </c>
      <c r="D162" s="13">
        <v>705000</v>
      </c>
      <c r="E162" s="13"/>
      <c r="F162" s="13"/>
      <c r="G162" s="206" t="str">
        <f t="shared" si="28"/>
        <v>đ/m</v>
      </c>
      <c r="H162" s="127"/>
      <c r="I162" s="127"/>
      <c r="J162" s="127"/>
      <c r="K162" s="12" t="str">
        <f t="shared" si="32"/>
        <v>đ/m</v>
      </c>
      <c r="L162" s="19">
        <f t="shared" si="33"/>
        <v>705000</v>
      </c>
      <c r="M162" s="120"/>
      <c r="N162" s="120"/>
      <c r="O162" s="71">
        <f t="shared" si="29"/>
        <v>705000</v>
      </c>
      <c r="P162" s="71">
        <f t="shared" si="30"/>
        <v>705000</v>
      </c>
    </row>
    <row r="163" spans="1:16" s="58" customFormat="1" ht="22.5" customHeight="1">
      <c r="A163" s="10">
        <f t="shared" si="31"/>
        <v>15</v>
      </c>
      <c r="B163" s="11" t="s">
        <v>1099</v>
      </c>
      <c r="C163" s="12" t="s">
        <v>90</v>
      </c>
      <c r="D163" s="13">
        <v>575000</v>
      </c>
      <c r="E163" s="13"/>
      <c r="F163" s="13"/>
      <c r="G163" s="206" t="str">
        <f t="shared" si="28"/>
        <v>đ/m</v>
      </c>
      <c r="H163" s="127"/>
      <c r="I163" s="127"/>
      <c r="J163" s="127"/>
      <c r="K163" s="12" t="str">
        <f t="shared" si="32"/>
        <v>đ/m</v>
      </c>
      <c r="L163" s="19">
        <f t="shared" si="33"/>
        <v>575000</v>
      </c>
      <c r="M163" s="120"/>
      <c r="N163" s="120"/>
      <c r="O163" s="71">
        <f t="shared" si="29"/>
        <v>575000</v>
      </c>
      <c r="P163" s="71">
        <f t="shared" si="30"/>
        <v>575000</v>
      </c>
    </row>
    <row r="164" spans="1:16" s="58" customFormat="1" ht="22.5" customHeight="1">
      <c r="A164" s="10">
        <f t="shared" si="31"/>
        <v>16</v>
      </c>
      <c r="B164" s="11" t="s">
        <v>1100</v>
      </c>
      <c r="C164" s="12" t="s">
        <v>90</v>
      </c>
      <c r="D164" s="13">
        <v>355000</v>
      </c>
      <c r="E164" s="13"/>
      <c r="F164" s="13"/>
      <c r="G164" s="206" t="str">
        <f t="shared" si="28"/>
        <v>đ/m</v>
      </c>
      <c r="H164" s="127"/>
      <c r="I164" s="127"/>
      <c r="J164" s="127"/>
      <c r="K164" s="12" t="str">
        <f t="shared" si="32"/>
        <v>đ/m</v>
      </c>
      <c r="L164" s="19">
        <f t="shared" si="33"/>
        <v>355000</v>
      </c>
      <c r="M164" s="120"/>
      <c r="N164" s="120"/>
      <c r="O164" s="71">
        <f t="shared" si="29"/>
        <v>355000</v>
      </c>
      <c r="P164" s="71">
        <f t="shared" si="30"/>
        <v>355000</v>
      </c>
    </row>
    <row r="165" spans="1:16" s="58" customFormat="1" ht="22.5" customHeight="1">
      <c r="A165" s="10">
        <f t="shared" si="31"/>
        <v>17</v>
      </c>
      <c r="B165" s="11" t="s">
        <v>1101</v>
      </c>
      <c r="C165" s="12" t="s">
        <v>90</v>
      </c>
      <c r="D165" s="13">
        <v>275000</v>
      </c>
      <c r="E165" s="13"/>
      <c r="F165" s="13"/>
      <c r="G165" s="206" t="str">
        <f t="shared" si="28"/>
        <v>đ/m</v>
      </c>
      <c r="H165" s="127"/>
      <c r="I165" s="127"/>
      <c r="J165" s="127"/>
      <c r="K165" s="12" t="str">
        <f t="shared" si="32"/>
        <v>đ/m</v>
      </c>
      <c r="L165" s="19">
        <f t="shared" si="33"/>
        <v>275000</v>
      </c>
      <c r="M165" s="120"/>
      <c r="N165" s="120"/>
      <c r="O165" s="71">
        <f t="shared" si="29"/>
        <v>275000</v>
      </c>
      <c r="P165" s="71">
        <f t="shared" si="30"/>
        <v>275000</v>
      </c>
    </row>
    <row r="166" spans="1:16" s="58" customFormat="1" ht="22.5" customHeight="1">
      <c r="A166" s="10">
        <f t="shared" si="31"/>
        <v>18</v>
      </c>
      <c r="B166" s="11" t="s">
        <v>1102</v>
      </c>
      <c r="C166" s="12" t="s">
        <v>90</v>
      </c>
      <c r="D166" s="13">
        <v>220000</v>
      </c>
      <c r="E166" s="13"/>
      <c r="F166" s="13"/>
      <c r="G166" s="206" t="str">
        <f t="shared" si="28"/>
        <v>đ/m</v>
      </c>
      <c r="H166" s="127"/>
      <c r="I166" s="127"/>
      <c r="J166" s="127"/>
      <c r="K166" s="12" t="str">
        <f t="shared" si="32"/>
        <v>đ/m</v>
      </c>
      <c r="L166" s="19">
        <f t="shared" si="33"/>
        <v>220000</v>
      </c>
      <c r="M166" s="120"/>
      <c r="N166" s="120"/>
      <c r="O166" s="71">
        <f t="shared" si="29"/>
        <v>220000</v>
      </c>
      <c r="P166" s="71">
        <f t="shared" si="30"/>
        <v>220000</v>
      </c>
    </row>
    <row r="167" spans="1:16" s="58" customFormat="1" ht="22.5" customHeight="1">
      <c r="A167" s="10">
        <f t="shared" si="31"/>
        <v>19</v>
      </c>
      <c r="B167" s="11" t="s">
        <v>1103</v>
      </c>
      <c r="C167" s="12" t="s">
        <v>90</v>
      </c>
      <c r="D167" s="13">
        <v>195000</v>
      </c>
      <c r="E167" s="13"/>
      <c r="F167" s="13"/>
      <c r="G167" s="206" t="str">
        <f t="shared" si="28"/>
        <v>đ/m</v>
      </c>
      <c r="H167" s="127"/>
      <c r="I167" s="127"/>
      <c r="J167" s="127"/>
      <c r="K167" s="12" t="str">
        <f t="shared" si="32"/>
        <v>đ/m</v>
      </c>
      <c r="L167" s="19">
        <f t="shared" si="33"/>
        <v>195000</v>
      </c>
      <c r="M167" s="120"/>
      <c r="N167" s="120"/>
      <c r="O167" s="71">
        <f t="shared" si="29"/>
        <v>195000</v>
      </c>
      <c r="P167" s="71">
        <f t="shared" si="30"/>
        <v>195000</v>
      </c>
    </row>
    <row r="168" spans="1:16" s="58" customFormat="1" ht="22.5" customHeight="1">
      <c r="A168" s="10">
        <f t="shared" si="31"/>
        <v>20</v>
      </c>
      <c r="B168" s="11" t="s">
        <v>1104</v>
      </c>
      <c r="C168" s="12" t="s">
        <v>90</v>
      </c>
      <c r="D168" s="13">
        <v>465000</v>
      </c>
      <c r="E168" s="13"/>
      <c r="F168" s="13"/>
      <c r="G168" s="206" t="str">
        <f t="shared" si="28"/>
        <v>đ/m</v>
      </c>
      <c r="H168" s="127"/>
      <c r="I168" s="127"/>
      <c r="J168" s="127"/>
      <c r="K168" s="12" t="str">
        <f t="shared" si="32"/>
        <v>đ/m</v>
      </c>
      <c r="L168" s="19">
        <f t="shared" si="33"/>
        <v>465000</v>
      </c>
      <c r="M168" s="120"/>
      <c r="N168" s="120"/>
      <c r="O168" s="71">
        <f t="shared" si="29"/>
        <v>465000</v>
      </c>
      <c r="P168" s="71">
        <f t="shared" si="30"/>
        <v>465000</v>
      </c>
    </row>
    <row r="169" spans="1:16" s="58" customFormat="1" ht="22.5" customHeight="1">
      <c r="A169" s="10">
        <f t="shared" si="31"/>
        <v>21</v>
      </c>
      <c r="B169" s="11" t="s">
        <v>1105</v>
      </c>
      <c r="C169" s="12" t="s">
        <v>90</v>
      </c>
      <c r="D169" s="13">
        <v>485000</v>
      </c>
      <c r="E169" s="13"/>
      <c r="F169" s="13"/>
      <c r="G169" s="206" t="str">
        <f t="shared" si="28"/>
        <v>đ/m</v>
      </c>
      <c r="H169" s="127"/>
      <c r="I169" s="127"/>
      <c r="J169" s="127"/>
      <c r="K169" s="12" t="str">
        <f t="shared" si="32"/>
        <v>đ/m</v>
      </c>
      <c r="L169" s="19">
        <f t="shared" si="33"/>
        <v>485000</v>
      </c>
      <c r="M169" s="120"/>
      <c r="N169" s="120"/>
      <c r="O169" s="71">
        <f t="shared" si="29"/>
        <v>485000</v>
      </c>
      <c r="P169" s="71">
        <f t="shared" si="30"/>
        <v>485000</v>
      </c>
    </row>
    <row r="170" spans="1:16" s="58" customFormat="1" ht="22.5" customHeight="1">
      <c r="A170" s="10">
        <f t="shared" si="31"/>
        <v>22</v>
      </c>
      <c r="B170" s="11" t="s">
        <v>1106</v>
      </c>
      <c r="C170" s="12" t="s">
        <v>90</v>
      </c>
      <c r="D170" s="13">
        <v>520000</v>
      </c>
      <c r="E170" s="13"/>
      <c r="F170" s="13"/>
      <c r="G170" s="206" t="str">
        <f t="shared" si="28"/>
        <v>đ/m</v>
      </c>
      <c r="H170" s="127"/>
      <c r="I170" s="127"/>
      <c r="J170" s="127"/>
      <c r="K170" s="12" t="str">
        <f t="shared" si="32"/>
        <v>đ/m</v>
      </c>
      <c r="L170" s="19">
        <f t="shared" si="33"/>
        <v>520000</v>
      </c>
      <c r="M170" s="120"/>
      <c r="N170" s="120"/>
      <c r="O170" s="71">
        <f t="shared" si="29"/>
        <v>520000</v>
      </c>
      <c r="P170" s="71">
        <f t="shared" si="30"/>
        <v>520000</v>
      </c>
    </row>
    <row r="171" spans="1:16" s="58" customFormat="1" ht="22.5" customHeight="1">
      <c r="A171" s="10">
        <f t="shared" si="31"/>
        <v>23</v>
      </c>
      <c r="B171" s="11" t="s">
        <v>1107</v>
      </c>
      <c r="C171" s="12" t="s">
        <v>90</v>
      </c>
      <c r="D171" s="13">
        <v>330000</v>
      </c>
      <c r="E171" s="13"/>
      <c r="F171" s="13"/>
      <c r="G171" s="206" t="str">
        <f t="shared" si="28"/>
        <v>đ/m</v>
      </c>
      <c r="H171" s="127"/>
      <c r="I171" s="127"/>
      <c r="J171" s="127"/>
      <c r="K171" s="12" t="str">
        <f t="shared" si="32"/>
        <v>đ/m</v>
      </c>
      <c r="L171" s="19">
        <f t="shared" si="33"/>
        <v>330000</v>
      </c>
      <c r="M171" s="120"/>
      <c r="N171" s="120"/>
      <c r="O171" s="71">
        <f t="shared" si="29"/>
        <v>330000</v>
      </c>
      <c r="P171" s="71">
        <f t="shared" si="30"/>
        <v>330000</v>
      </c>
    </row>
    <row r="172" spans="1:16" s="58" customFormat="1" ht="22.5" customHeight="1">
      <c r="A172" s="10">
        <f t="shared" si="31"/>
        <v>24</v>
      </c>
      <c r="B172" s="11" t="s">
        <v>1108</v>
      </c>
      <c r="C172" s="12" t="s">
        <v>90</v>
      </c>
      <c r="D172" s="13">
        <v>355000</v>
      </c>
      <c r="E172" s="13"/>
      <c r="F172" s="13"/>
      <c r="G172" s="206" t="str">
        <f t="shared" si="28"/>
        <v>đ/m</v>
      </c>
      <c r="H172" s="127"/>
      <c r="I172" s="127"/>
      <c r="J172" s="127"/>
      <c r="K172" s="12" t="str">
        <f t="shared" si="32"/>
        <v>đ/m</v>
      </c>
      <c r="L172" s="19">
        <f t="shared" si="33"/>
        <v>355000</v>
      </c>
      <c r="M172" s="120"/>
      <c r="N172" s="120"/>
      <c r="O172" s="71">
        <f t="shared" si="29"/>
        <v>355000</v>
      </c>
      <c r="P172" s="71">
        <f t="shared" si="30"/>
        <v>355000</v>
      </c>
    </row>
    <row r="173" spans="1:16" s="58" customFormat="1" ht="22.5" customHeight="1">
      <c r="A173" s="10">
        <f t="shared" si="31"/>
        <v>25</v>
      </c>
      <c r="B173" s="11" t="s">
        <v>1109</v>
      </c>
      <c r="C173" s="12" t="s">
        <v>90</v>
      </c>
      <c r="D173" s="13">
        <v>400000</v>
      </c>
      <c r="E173" s="13"/>
      <c r="F173" s="13"/>
      <c r="G173" s="206" t="str">
        <f t="shared" si="28"/>
        <v>đ/m</v>
      </c>
      <c r="H173" s="127"/>
      <c r="I173" s="127"/>
      <c r="J173" s="127"/>
      <c r="K173" s="12" t="str">
        <f t="shared" si="32"/>
        <v>đ/m</v>
      </c>
      <c r="L173" s="19">
        <f t="shared" si="33"/>
        <v>400000</v>
      </c>
      <c r="M173" s="120"/>
      <c r="N173" s="120"/>
      <c r="O173" s="71">
        <f t="shared" si="29"/>
        <v>400000</v>
      </c>
      <c r="P173" s="71">
        <f t="shared" si="30"/>
        <v>400000</v>
      </c>
    </row>
    <row r="174" spans="1:16" s="58" customFormat="1" ht="22.5" customHeight="1">
      <c r="A174" s="10">
        <f t="shared" si="31"/>
        <v>26</v>
      </c>
      <c r="B174" s="11" t="s">
        <v>1110</v>
      </c>
      <c r="C174" s="12" t="s">
        <v>90</v>
      </c>
      <c r="D174" s="13">
        <v>215000</v>
      </c>
      <c r="E174" s="13"/>
      <c r="F174" s="13"/>
      <c r="G174" s="206" t="str">
        <f t="shared" si="28"/>
        <v>đ/m</v>
      </c>
      <c r="H174" s="127"/>
      <c r="I174" s="127"/>
      <c r="J174" s="127"/>
      <c r="K174" s="12" t="str">
        <f t="shared" si="32"/>
        <v>đ/m</v>
      </c>
      <c r="L174" s="19">
        <f t="shared" si="33"/>
        <v>215000</v>
      </c>
      <c r="M174" s="120"/>
      <c r="N174" s="120"/>
      <c r="O174" s="71">
        <f t="shared" si="29"/>
        <v>215000</v>
      </c>
      <c r="P174" s="71">
        <f t="shared" si="30"/>
        <v>215000</v>
      </c>
    </row>
    <row r="175" spans="1:16" s="58" customFormat="1" ht="22.5" customHeight="1">
      <c r="A175" s="10">
        <f t="shared" si="31"/>
        <v>27</v>
      </c>
      <c r="B175" s="11" t="s">
        <v>1111</v>
      </c>
      <c r="C175" s="12" t="s">
        <v>90</v>
      </c>
      <c r="D175" s="13">
        <v>250000</v>
      </c>
      <c r="E175" s="13"/>
      <c r="F175" s="13"/>
      <c r="G175" s="206" t="str">
        <f t="shared" si="28"/>
        <v>đ/m</v>
      </c>
      <c r="H175" s="127"/>
      <c r="I175" s="127"/>
      <c r="J175" s="127"/>
      <c r="K175" s="12" t="str">
        <f t="shared" si="32"/>
        <v>đ/m</v>
      </c>
      <c r="L175" s="19">
        <f t="shared" si="33"/>
        <v>250000</v>
      </c>
      <c r="M175" s="120"/>
      <c r="N175" s="120"/>
      <c r="O175" s="71">
        <f t="shared" si="29"/>
        <v>250000</v>
      </c>
      <c r="P175" s="71">
        <f t="shared" si="30"/>
        <v>250000</v>
      </c>
    </row>
    <row r="176" spans="1:16" s="58" customFormat="1" ht="22.5" customHeight="1">
      <c r="A176" s="10">
        <f t="shared" si="31"/>
        <v>28</v>
      </c>
      <c r="B176" s="11" t="s">
        <v>1112</v>
      </c>
      <c r="C176" s="12" t="s">
        <v>90</v>
      </c>
      <c r="D176" s="13">
        <v>290000</v>
      </c>
      <c r="E176" s="13"/>
      <c r="F176" s="13"/>
      <c r="G176" s="206" t="str">
        <f t="shared" si="28"/>
        <v>đ/m</v>
      </c>
      <c r="H176" s="127"/>
      <c r="I176" s="127"/>
      <c r="J176" s="127"/>
      <c r="K176" s="12" t="str">
        <f t="shared" si="32"/>
        <v>đ/m</v>
      </c>
      <c r="L176" s="19">
        <f t="shared" si="33"/>
        <v>290000</v>
      </c>
      <c r="M176" s="120"/>
      <c r="N176" s="120"/>
      <c r="O176" s="71">
        <f t="shared" si="29"/>
        <v>290000</v>
      </c>
      <c r="P176" s="71">
        <f t="shared" si="30"/>
        <v>290000</v>
      </c>
    </row>
    <row r="177" spans="1:16" s="58" customFormat="1" ht="51" customHeight="1">
      <c r="A177" s="10"/>
      <c r="B177" s="237" t="s">
        <v>1444</v>
      </c>
      <c r="C177" s="238"/>
      <c r="D177" s="238"/>
      <c r="E177" s="238"/>
      <c r="F177" s="238"/>
      <c r="G177" s="238"/>
      <c r="H177" s="238"/>
      <c r="I177" s="238"/>
      <c r="J177" s="238"/>
      <c r="K177" s="238"/>
      <c r="L177" s="238"/>
      <c r="M177" s="238"/>
      <c r="N177" s="239"/>
      <c r="O177" s="69"/>
      <c r="P177" s="69"/>
    </row>
    <row r="178" spans="1:16" s="58" customFormat="1" ht="17.25">
      <c r="A178" s="10"/>
      <c r="B178" s="9" t="s">
        <v>91</v>
      </c>
      <c r="C178" s="15"/>
      <c r="D178" s="20"/>
      <c r="E178" s="20"/>
      <c r="F178" s="20"/>
      <c r="G178" s="127"/>
      <c r="H178" s="127"/>
      <c r="I178" s="127"/>
      <c r="J178" s="127"/>
      <c r="K178" s="116"/>
      <c r="L178" s="120"/>
      <c r="M178" s="120"/>
      <c r="N178" s="120"/>
      <c r="O178" s="69"/>
      <c r="P178" s="69"/>
    </row>
    <row r="179" spans="1:16" s="58" customFormat="1" ht="17.25">
      <c r="A179" s="10"/>
      <c r="B179" s="9" t="s">
        <v>92</v>
      </c>
      <c r="C179" s="15"/>
      <c r="D179" s="13"/>
      <c r="E179" s="13"/>
      <c r="F179" s="13"/>
      <c r="G179" s="127"/>
      <c r="H179" s="127"/>
      <c r="I179" s="127"/>
      <c r="J179" s="127"/>
      <c r="K179" s="116"/>
      <c r="L179" s="120"/>
      <c r="M179" s="120"/>
      <c r="N179" s="120"/>
      <c r="O179" s="69"/>
      <c r="P179" s="69"/>
    </row>
    <row r="180" spans="1:16" s="58" customFormat="1" ht="20.45" customHeight="1">
      <c r="A180" s="10">
        <v>1</v>
      </c>
      <c r="B180" s="11" t="s">
        <v>1113</v>
      </c>
      <c r="C180" s="12" t="s">
        <v>90</v>
      </c>
      <c r="D180" s="13">
        <v>293200</v>
      </c>
      <c r="E180" s="13"/>
      <c r="F180" s="13"/>
      <c r="G180" s="206" t="str">
        <f>C180</f>
        <v>đ/m</v>
      </c>
      <c r="H180" s="68"/>
      <c r="I180" s="127"/>
      <c r="J180" s="127"/>
      <c r="K180" s="12" t="str">
        <f t="shared" ref="K180:L196" si="34">C180</f>
        <v>đ/m</v>
      </c>
      <c r="L180" s="19">
        <f>D180</f>
        <v>293200</v>
      </c>
      <c r="M180" s="120"/>
      <c r="N180" s="120"/>
      <c r="O180" s="71">
        <f t="shared" ref="O180:O247" si="35">D180</f>
        <v>293200</v>
      </c>
      <c r="P180" s="71">
        <f t="shared" ref="P180:P247" si="36">L180</f>
        <v>293200</v>
      </c>
    </row>
    <row r="181" spans="1:16" s="58" customFormat="1" ht="20.45" customHeight="1">
      <c r="A181" s="10">
        <f>+A180+1</f>
        <v>2</v>
      </c>
      <c r="B181" s="11" t="s">
        <v>93</v>
      </c>
      <c r="C181" s="12" t="s">
        <v>90</v>
      </c>
      <c r="D181" s="13">
        <v>305100</v>
      </c>
      <c r="E181" s="13"/>
      <c r="F181" s="13"/>
      <c r="G181" s="206" t="str">
        <f>C181</f>
        <v>đ/m</v>
      </c>
      <c r="H181" s="68"/>
      <c r="I181" s="127"/>
      <c r="J181" s="127"/>
      <c r="K181" s="12" t="str">
        <f t="shared" si="34"/>
        <v>đ/m</v>
      </c>
      <c r="L181" s="19">
        <f>D181</f>
        <v>305100</v>
      </c>
      <c r="M181" s="120"/>
      <c r="N181" s="120"/>
      <c r="O181" s="71">
        <f t="shared" si="35"/>
        <v>305100</v>
      </c>
      <c r="P181" s="71">
        <f t="shared" si="36"/>
        <v>305100</v>
      </c>
    </row>
    <row r="182" spans="1:16" s="58" customFormat="1" ht="20.45" customHeight="1">
      <c r="A182" s="10">
        <f>+A181+1</f>
        <v>3</v>
      </c>
      <c r="B182" s="11" t="s">
        <v>94</v>
      </c>
      <c r="C182" s="12" t="s">
        <v>90</v>
      </c>
      <c r="D182" s="13">
        <v>318500</v>
      </c>
      <c r="E182" s="13"/>
      <c r="F182" s="13"/>
      <c r="G182" s="206" t="str">
        <f>C182</f>
        <v>đ/m</v>
      </c>
      <c r="H182" s="68"/>
      <c r="I182" s="127"/>
      <c r="J182" s="127"/>
      <c r="K182" s="12" t="str">
        <f t="shared" si="34"/>
        <v>đ/m</v>
      </c>
      <c r="L182" s="19">
        <f>D182</f>
        <v>318500</v>
      </c>
      <c r="M182" s="120"/>
      <c r="N182" s="120"/>
      <c r="O182" s="71">
        <f t="shared" si="35"/>
        <v>318500</v>
      </c>
      <c r="P182" s="71">
        <f t="shared" si="36"/>
        <v>318500</v>
      </c>
    </row>
    <row r="183" spans="1:16" s="58" customFormat="1" ht="20.45" customHeight="1">
      <c r="A183" s="10"/>
      <c r="B183" s="9" t="s">
        <v>95</v>
      </c>
      <c r="C183" s="15"/>
      <c r="D183" s="13"/>
      <c r="E183" s="13"/>
      <c r="F183" s="13"/>
      <c r="G183" s="127"/>
      <c r="H183" s="68"/>
      <c r="I183" s="127"/>
      <c r="J183" s="127"/>
      <c r="K183" s="12"/>
      <c r="L183" s="19"/>
      <c r="M183" s="120"/>
      <c r="N183" s="120"/>
      <c r="O183" s="71">
        <f t="shared" si="35"/>
        <v>0</v>
      </c>
      <c r="P183" s="71">
        <f t="shared" si="36"/>
        <v>0</v>
      </c>
    </row>
    <row r="184" spans="1:16" s="58" customFormat="1" ht="20.45" customHeight="1">
      <c r="A184" s="10">
        <f>+A182+1</f>
        <v>4</v>
      </c>
      <c r="B184" s="11" t="s">
        <v>1113</v>
      </c>
      <c r="C184" s="12" t="s">
        <v>90</v>
      </c>
      <c r="D184" s="13">
        <v>452500</v>
      </c>
      <c r="E184" s="13"/>
      <c r="F184" s="13"/>
      <c r="G184" s="206" t="str">
        <f t="shared" ref="G184:G217" si="37">C184</f>
        <v>đ/m</v>
      </c>
      <c r="H184" s="68"/>
      <c r="I184" s="127"/>
      <c r="J184" s="127"/>
      <c r="K184" s="12" t="str">
        <f t="shared" si="34"/>
        <v>đ/m</v>
      </c>
      <c r="L184" s="19">
        <f>D184</f>
        <v>452500</v>
      </c>
      <c r="M184" s="120"/>
      <c r="N184" s="120"/>
      <c r="O184" s="71">
        <f t="shared" si="35"/>
        <v>452500</v>
      </c>
      <c r="P184" s="71">
        <f t="shared" si="36"/>
        <v>452500</v>
      </c>
    </row>
    <row r="185" spans="1:16" s="58" customFormat="1" ht="20.45" customHeight="1">
      <c r="A185" s="10">
        <f>+A184+1</f>
        <v>5</v>
      </c>
      <c r="B185" s="11" t="s">
        <v>93</v>
      </c>
      <c r="C185" s="12" t="s">
        <v>90</v>
      </c>
      <c r="D185" s="13">
        <v>496500</v>
      </c>
      <c r="E185" s="13"/>
      <c r="F185" s="13"/>
      <c r="G185" s="206" t="str">
        <f t="shared" si="37"/>
        <v>đ/m</v>
      </c>
      <c r="H185" s="68"/>
      <c r="I185" s="127"/>
      <c r="J185" s="127"/>
      <c r="K185" s="12" t="str">
        <f t="shared" si="34"/>
        <v>đ/m</v>
      </c>
      <c r="L185" s="19">
        <f t="shared" si="34"/>
        <v>496500</v>
      </c>
      <c r="M185" s="120"/>
      <c r="N185" s="120"/>
      <c r="O185" s="71">
        <f t="shared" si="35"/>
        <v>496500</v>
      </c>
      <c r="P185" s="71">
        <f t="shared" si="36"/>
        <v>496500</v>
      </c>
    </row>
    <row r="186" spans="1:16" s="58" customFormat="1" ht="20.45" customHeight="1">
      <c r="A186" s="10">
        <f>+A185+1</f>
        <v>6</v>
      </c>
      <c r="B186" s="11" t="s">
        <v>94</v>
      </c>
      <c r="C186" s="12" t="s">
        <v>90</v>
      </c>
      <c r="D186" s="13">
        <v>529200</v>
      </c>
      <c r="E186" s="13"/>
      <c r="F186" s="13"/>
      <c r="G186" s="206" t="str">
        <f t="shared" si="37"/>
        <v>đ/m</v>
      </c>
      <c r="H186" s="68"/>
      <c r="I186" s="127"/>
      <c r="J186" s="127"/>
      <c r="K186" s="12" t="str">
        <f t="shared" si="34"/>
        <v>đ/m</v>
      </c>
      <c r="L186" s="19">
        <f t="shared" si="34"/>
        <v>529200</v>
      </c>
      <c r="M186" s="120"/>
      <c r="N186" s="120"/>
      <c r="O186" s="71">
        <f t="shared" si="35"/>
        <v>529200</v>
      </c>
      <c r="P186" s="71">
        <f t="shared" si="36"/>
        <v>529200</v>
      </c>
    </row>
    <row r="187" spans="1:16" s="58" customFormat="1" ht="24.75" customHeight="1">
      <c r="A187" s="10"/>
      <c r="B187" s="9" t="s">
        <v>96</v>
      </c>
      <c r="C187" s="15"/>
      <c r="D187" s="13"/>
      <c r="E187" s="13"/>
      <c r="F187" s="13"/>
      <c r="G187" s="206">
        <f t="shared" si="37"/>
        <v>0</v>
      </c>
      <c r="H187" s="68"/>
      <c r="I187" s="127"/>
      <c r="J187" s="127"/>
      <c r="K187" s="116"/>
      <c r="L187" s="120"/>
      <c r="M187" s="120"/>
      <c r="N187" s="120"/>
      <c r="O187" s="71">
        <f t="shared" si="35"/>
        <v>0</v>
      </c>
      <c r="P187" s="71">
        <f t="shared" si="36"/>
        <v>0</v>
      </c>
    </row>
    <row r="188" spans="1:16" s="58" customFormat="1" ht="20.45" customHeight="1">
      <c r="A188" s="10">
        <f>+A186+1</f>
        <v>7</v>
      </c>
      <c r="B188" s="11" t="s">
        <v>1113</v>
      </c>
      <c r="C188" s="12" t="s">
        <v>90</v>
      </c>
      <c r="D188" s="13">
        <v>723500</v>
      </c>
      <c r="E188" s="13"/>
      <c r="F188" s="13"/>
      <c r="G188" s="206" t="str">
        <f t="shared" si="37"/>
        <v>đ/m</v>
      </c>
      <c r="H188" s="68"/>
      <c r="I188" s="127"/>
      <c r="J188" s="127"/>
      <c r="K188" s="12" t="str">
        <f t="shared" si="34"/>
        <v>đ/m</v>
      </c>
      <c r="L188" s="19">
        <f>D188</f>
        <v>723500</v>
      </c>
      <c r="M188" s="120"/>
      <c r="N188" s="120"/>
      <c r="O188" s="71">
        <f t="shared" si="35"/>
        <v>723500</v>
      </c>
      <c r="P188" s="71">
        <f t="shared" si="36"/>
        <v>723500</v>
      </c>
    </row>
    <row r="189" spans="1:16" s="58" customFormat="1" ht="20.45" customHeight="1">
      <c r="A189" s="10">
        <f>+A188+1</f>
        <v>8</v>
      </c>
      <c r="B189" s="11" t="s">
        <v>93</v>
      </c>
      <c r="C189" s="12" t="s">
        <v>90</v>
      </c>
      <c r="D189" s="13">
        <v>798500</v>
      </c>
      <c r="E189" s="13"/>
      <c r="F189" s="13"/>
      <c r="G189" s="206" t="str">
        <f t="shared" si="37"/>
        <v>đ/m</v>
      </c>
      <c r="H189" s="68"/>
      <c r="I189" s="127"/>
      <c r="J189" s="127"/>
      <c r="K189" s="12" t="str">
        <f t="shared" si="34"/>
        <v>đ/m</v>
      </c>
      <c r="L189" s="19">
        <f t="shared" si="34"/>
        <v>798500</v>
      </c>
      <c r="M189" s="120"/>
      <c r="N189" s="120"/>
      <c r="O189" s="71">
        <f t="shared" si="35"/>
        <v>798500</v>
      </c>
      <c r="P189" s="71">
        <f t="shared" si="36"/>
        <v>798500</v>
      </c>
    </row>
    <row r="190" spans="1:16" s="58" customFormat="1" ht="20.45" customHeight="1">
      <c r="A190" s="10">
        <f>+A189+1</f>
        <v>9</v>
      </c>
      <c r="B190" s="11" t="s">
        <v>94</v>
      </c>
      <c r="C190" s="12" t="s">
        <v>90</v>
      </c>
      <c r="D190" s="13">
        <v>897700</v>
      </c>
      <c r="E190" s="13"/>
      <c r="F190" s="13"/>
      <c r="G190" s="206" t="str">
        <f t="shared" si="37"/>
        <v>đ/m</v>
      </c>
      <c r="H190" s="68"/>
      <c r="I190" s="127"/>
      <c r="J190" s="127"/>
      <c r="K190" s="12" t="str">
        <f t="shared" si="34"/>
        <v>đ/m</v>
      </c>
      <c r="L190" s="19">
        <f t="shared" si="34"/>
        <v>897700</v>
      </c>
      <c r="M190" s="120"/>
      <c r="N190" s="120"/>
      <c r="O190" s="71">
        <f t="shared" si="35"/>
        <v>897700</v>
      </c>
      <c r="P190" s="71">
        <f t="shared" si="36"/>
        <v>897700</v>
      </c>
    </row>
    <row r="191" spans="1:16" s="58" customFormat="1" ht="24.75" customHeight="1">
      <c r="A191" s="10"/>
      <c r="B191" s="9" t="s">
        <v>97</v>
      </c>
      <c r="C191" s="15"/>
      <c r="D191" s="13"/>
      <c r="E191" s="13"/>
      <c r="F191" s="13"/>
      <c r="G191" s="206">
        <f t="shared" si="37"/>
        <v>0</v>
      </c>
      <c r="H191" s="68"/>
      <c r="I191" s="127"/>
      <c r="J191" s="127"/>
      <c r="K191" s="116"/>
      <c r="L191" s="120"/>
      <c r="M191" s="120"/>
      <c r="N191" s="120"/>
      <c r="O191" s="71">
        <f t="shared" si="35"/>
        <v>0</v>
      </c>
      <c r="P191" s="71">
        <f t="shared" si="36"/>
        <v>0</v>
      </c>
    </row>
    <row r="192" spans="1:16" s="58" customFormat="1" ht="20.45" customHeight="1">
      <c r="A192" s="10">
        <f>+A190+1</f>
        <v>10</v>
      </c>
      <c r="B192" s="11" t="s">
        <v>1113</v>
      </c>
      <c r="C192" s="12" t="s">
        <v>90</v>
      </c>
      <c r="D192" s="13">
        <v>1146600</v>
      </c>
      <c r="E192" s="13"/>
      <c r="F192" s="13"/>
      <c r="G192" s="206" t="str">
        <f t="shared" si="37"/>
        <v>đ/m</v>
      </c>
      <c r="H192" s="68"/>
      <c r="I192" s="127"/>
      <c r="J192" s="127"/>
      <c r="K192" s="12" t="str">
        <f t="shared" si="34"/>
        <v>đ/m</v>
      </c>
      <c r="L192" s="19">
        <f>D192</f>
        <v>1146600</v>
      </c>
      <c r="M192" s="120"/>
      <c r="N192" s="120"/>
      <c r="O192" s="71">
        <f t="shared" si="35"/>
        <v>1146600</v>
      </c>
      <c r="P192" s="71">
        <f t="shared" si="36"/>
        <v>1146600</v>
      </c>
    </row>
    <row r="193" spans="1:16" s="58" customFormat="1" ht="20.45" customHeight="1">
      <c r="A193" s="10">
        <f>+A192+1</f>
        <v>11</v>
      </c>
      <c r="B193" s="11" t="s">
        <v>93</v>
      </c>
      <c r="C193" s="12" t="s">
        <v>90</v>
      </c>
      <c r="D193" s="13">
        <v>1261500</v>
      </c>
      <c r="E193" s="13"/>
      <c r="F193" s="13"/>
      <c r="G193" s="206" t="str">
        <f t="shared" si="37"/>
        <v>đ/m</v>
      </c>
      <c r="H193" s="68"/>
      <c r="I193" s="127"/>
      <c r="J193" s="127"/>
      <c r="K193" s="12" t="str">
        <f t="shared" si="34"/>
        <v>đ/m</v>
      </c>
      <c r="L193" s="19">
        <f t="shared" si="34"/>
        <v>1261500</v>
      </c>
      <c r="M193" s="120"/>
      <c r="N193" s="120"/>
      <c r="O193" s="71">
        <f t="shared" si="35"/>
        <v>1261500</v>
      </c>
      <c r="P193" s="71">
        <f t="shared" si="36"/>
        <v>1261500</v>
      </c>
    </row>
    <row r="194" spans="1:16" s="58" customFormat="1" ht="20.45" customHeight="1">
      <c r="A194" s="10">
        <f>+A193+1</f>
        <v>12</v>
      </c>
      <c r="B194" s="11" t="s">
        <v>94</v>
      </c>
      <c r="C194" s="12" t="s">
        <v>90</v>
      </c>
      <c r="D194" s="13">
        <v>1424600</v>
      </c>
      <c r="E194" s="13"/>
      <c r="F194" s="13"/>
      <c r="G194" s="206" t="str">
        <f t="shared" si="37"/>
        <v>đ/m</v>
      </c>
      <c r="H194" s="68"/>
      <c r="I194" s="127"/>
      <c r="J194" s="127"/>
      <c r="K194" s="12" t="str">
        <f t="shared" si="34"/>
        <v>đ/m</v>
      </c>
      <c r="L194" s="19">
        <f t="shared" si="34"/>
        <v>1424600</v>
      </c>
      <c r="M194" s="120"/>
      <c r="N194" s="120"/>
      <c r="O194" s="71">
        <f t="shared" si="35"/>
        <v>1424600</v>
      </c>
      <c r="P194" s="71">
        <f t="shared" si="36"/>
        <v>1424600</v>
      </c>
    </row>
    <row r="195" spans="1:16" s="58" customFormat="1" ht="24.75" customHeight="1">
      <c r="A195" s="10"/>
      <c r="B195" s="9" t="s">
        <v>98</v>
      </c>
      <c r="C195" s="15"/>
      <c r="D195" s="13"/>
      <c r="E195" s="13"/>
      <c r="F195" s="13"/>
      <c r="G195" s="206">
        <f t="shared" si="37"/>
        <v>0</v>
      </c>
      <c r="H195" s="68"/>
      <c r="I195" s="127"/>
      <c r="J195" s="127"/>
      <c r="K195" s="116"/>
      <c r="L195" s="120"/>
      <c r="M195" s="120"/>
      <c r="N195" s="120"/>
      <c r="O195" s="71">
        <f t="shared" si="35"/>
        <v>0</v>
      </c>
      <c r="P195" s="71">
        <f t="shared" si="36"/>
        <v>0</v>
      </c>
    </row>
    <row r="196" spans="1:16" s="58" customFormat="1" ht="21.95" customHeight="1">
      <c r="A196" s="10">
        <f>+A194+1</f>
        <v>13</v>
      </c>
      <c r="B196" s="11" t="s">
        <v>1113</v>
      </c>
      <c r="C196" s="12" t="s">
        <v>90</v>
      </c>
      <c r="D196" s="13">
        <v>2208400</v>
      </c>
      <c r="E196" s="13"/>
      <c r="F196" s="13"/>
      <c r="G196" s="206" t="str">
        <f t="shared" si="37"/>
        <v>đ/m</v>
      </c>
      <c r="H196" s="68"/>
      <c r="I196" s="127"/>
      <c r="J196" s="127"/>
      <c r="K196" s="12" t="str">
        <f>C196</f>
        <v>đ/m</v>
      </c>
      <c r="L196" s="19">
        <f t="shared" si="34"/>
        <v>2208400</v>
      </c>
      <c r="M196" s="120"/>
      <c r="N196" s="120"/>
      <c r="O196" s="71">
        <f t="shared" si="35"/>
        <v>2208400</v>
      </c>
      <c r="P196" s="71">
        <f t="shared" si="36"/>
        <v>2208400</v>
      </c>
    </row>
    <row r="197" spans="1:16" s="58" customFormat="1" ht="21.95" customHeight="1">
      <c r="A197" s="10">
        <f>+A196+1</f>
        <v>14</v>
      </c>
      <c r="B197" s="11" t="s">
        <v>93</v>
      </c>
      <c r="C197" s="12" t="s">
        <v>90</v>
      </c>
      <c r="D197" s="13">
        <v>2298700</v>
      </c>
      <c r="E197" s="13"/>
      <c r="F197" s="13"/>
      <c r="G197" s="206" t="str">
        <f t="shared" si="37"/>
        <v>đ/m</v>
      </c>
      <c r="H197" s="68"/>
      <c r="I197" s="127"/>
      <c r="J197" s="127"/>
      <c r="K197" s="12" t="str">
        <f>C197</f>
        <v>đ/m</v>
      </c>
      <c r="L197" s="19">
        <f t="shared" ref="L197:L222" si="38">D197</f>
        <v>2298700</v>
      </c>
      <c r="M197" s="120"/>
      <c r="N197" s="120"/>
      <c r="O197" s="71">
        <f t="shared" si="35"/>
        <v>2298700</v>
      </c>
      <c r="P197" s="71">
        <f t="shared" si="36"/>
        <v>2298700</v>
      </c>
    </row>
    <row r="198" spans="1:16" s="58" customFormat="1" ht="21.95" customHeight="1">
      <c r="A198" s="10">
        <f>+A197+1</f>
        <v>15</v>
      </c>
      <c r="B198" s="11" t="s">
        <v>94</v>
      </c>
      <c r="C198" s="12" t="s">
        <v>90</v>
      </c>
      <c r="D198" s="13">
        <v>2437900</v>
      </c>
      <c r="E198" s="13"/>
      <c r="F198" s="13"/>
      <c r="G198" s="206" t="str">
        <f t="shared" si="37"/>
        <v>đ/m</v>
      </c>
      <c r="H198" s="68"/>
      <c r="I198" s="127"/>
      <c r="J198" s="127"/>
      <c r="K198" s="12" t="str">
        <f>C198</f>
        <v>đ/m</v>
      </c>
      <c r="L198" s="19">
        <f t="shared" si="38"/>
        <v>2437900</v>
      </c>
      <c r="M198" s="120"/>
      <c r="N198" s="120"/>
      <c r="O198" s="71">
        <f t="shared" si="35"/>
        <v>2437900</v>
      </c>
      <c r="P198" s="71">
        <f t="shared" si="36"/>
        <v>2437900</v>
      </c>
    </row>
    <row r="199" spans="1:16" s="58" customFormat="1" ht="24.75" customHeight="1">
      <c r="A199" s="10"/>
      <c r="B199" s="9" t="s">
        <v>99</v>
      </c>
      <c r="C199" s="15"/>
      <c r="D199" s="13"/>
      <c r="E199" s="13"/>
      <c r="F199" s="13"/>
      <c r="G199" s="206">
        <f t="shared" si="37"/>
        <v>0</v>
      </c>
      <c r="H199" s="68"/>
      <c r="I199" s="127"/>
      <c r="J199" s="127"/>
      <c r="K199" s="116"/>
      <c r="L199" s="120"/>
      <c r="M199" s="120"/>
      <c r="N199" s="120"/>
      <c r="O199" s="71">
        <f t="shared" si="35"/>
        <v>0</v>
      </c>
      <c r="P199" s="71">
        <f t="shared" si="36"/>
        <v>0</v>
      </c>
    </row>
    <row r="200" spans="1:16" s="58" customFormat="1" ht="21.95" customHeight="1">
      <c r="A200" s="10">
        <f>+A198+1</f>
        <v>16</v>
      </c>
      <c r="B200" s="11" t="s">
        <v>1113</v>
      </c>
      <c r="C200" s="12" t="s">
        <v>90</v>
      </c>
      <c r="D200" s="13">
        <v>2716600</v>
      </c>
      <c r="E200" s="13"/>
      <c r="F200" s="13"/>
      <c r="G200" s="206" t="str">
        <f t="shared" si="37"/>
        <v>đ/m</v>
      </c>
      <c r="H200" s="68"/>
      <c r="I200" s="127"/>
      <c r="J200" s="127"/>
      <c r="K200" s="12" t="str">
        <f>C200</f>
        <v>đ/m</v>
      </c>
      <c r="L200" s="19">
        <f t="shared" si="38"/>
        <v>2716600</v>
      </c>
      <c r="M200" s="120"/>
      <c r="N200" s="120"/>
      <c r="O200" s="71">
        <f t="shared" si="35"/>
        <v>2716600</v>
      </c>
      <c r="P200" s="71">
        <f t="shared" si="36"/>
        <v>2716600</v>
      </c>
    </row>
    <row r="201" spans="1:16" s="58" customFormat="1" ht="21.95" customHeight="1">
      <c r="A201" s="10">
        <f>+A200+1</f>
        <v>17</v>
      </c>
      <c r="B201" s="11" t="s">
        <v>93</v>
      </c>
      <c r="C201" s="12" t="s">
        <v>90</v>
      </c>
      <c r="D201" s="13">
        <v>2890800</v>
      </c>
      <c r="E201" s="13"/>
      <c r="F201" s="13"/>
      <c r="G201" s="206" t="str">
        <f t="shared" si="37"/>
        <v>đ/m</v>
      </c>
      <c r="H201" s="68"/>
      <c r="I201" s="127"/>
      <c r="J201" s="127"/>
      <c r="K201" s="12" t="str">
        <f>C201</f>
        <v>đ/m</v>
      </c>
      <c r="L201" s="19">
        <f t="shared" si="38"/>
        <v>2890800</v>
      </c>
      <c r="M201" s="120"/>
      <c r="N201" s="120"/>
      <c r="O201" s="71">
        <f t="shared" si="35"/>
        <v>2890800</v>
      </c>
      <c r="P201" s="71">
        <f t="shared" si="36"/>
        <v>2890800</v>
      </c>
    </row>
    <row r="202" spans="1:16" s="58" customFormat="1" ht="21.95" customHeight="1">
      <c r="A202" s="10">
        <f>+A201+1</f>
        <v>18</v>
      </c>
      <c r="B202" s="11" t="s">
        <v>94</v>
      </c>
      <c r="C202" s="12" t="s">
        <v>90</v>
      </c>
      <c r="D202" s="13">
        <v>3134900</v>
      </c>
      <c r="E202" s="13"/>
      <c r="F202" s="13"/>
      <c r="G202" s="206" t="str">
        <f t="shared" si="37"/>
        <v>đ/m</v>
      </c>
      <c r="H202" s="68"/>
      <c r="I202" s="127"/>
      <c r="J202" s="127"/>
      <c r="K202" s="12" t="str">
        <f>C202</f>
        <v>đ/m</v>
      </c>
      <c r="L202" s="19">
        <f t="shared" si="38"/>
        <v>3134900</v>
      </c>
      <c r="M202" s="120"/>
      <c r="N202" s="120"/>
      <c r="O202" s="71">
        <f t="shared" si="35"/>
        <v>3134900</v>
      </c>
      <c r="P202" s="71">
        <f t="shared" si="36"/>
        <v>3134900</v>
      </c>
    </row>
    <row r="203" spans="1:16" s="58" customFormat="1" ht="24.75" customHeight="1">
      <c r="A203" s="10"/>
      <c r="B203" s="9" t="s">
        <v>100</v>
      </c>
      <c r="C203" s="15"/>
      <c r="D203" s="13"/>
      <c r="E203" s="13"/>
      <c r="F203" s="13"/>
      <c r="G203" s="206">
        <f t="shared" si="37"/>
        <v>0</v>
      </c>
      <c r="H203" s="68"/>
      <c r="I203" s="127"/>
      <c r="J203" s="127"/>
      <c r="K203" s="116"/>
      <c r="L203" s="120"/>
      <c r="M203" s="120"/>
      <c r="N203" s="120"/>
      <c r="O203" s="71">
        <f t="shared" si="35"/>
        <v>0</v>
      </c>
      <c r="P203" s="71">
        <f t="shared" si="36"/>
        <v>0</v>
      </c>
    </row>
    <row r="204" spans="1:16" s="58" customFormat="1" ht="21.95" customHeight="1">
      <c r="A204" s="10">
        <f>+A202+1</f>
        <v>19</v>
      </c>
      <c r="B204" s="11" t="s">
        <v>101</v>
      </c>
      <c r="C204" s="12" t="s">
        <v>84</v>
      </c>
      <c r="D204" s="13">
        <v>140000</v>
      </c>
      <c r="E204" s="13"/>
      <c r="F204" s="13"/>
      <c r="G204" s="206" t="str">
        <f t="shared" si="37"/>
        <v>đ/cái</v>
      </c>
      <c r="H204" s="68"/>
      <c r="I204" s="127"/>
      <c r="J204" s="127"/>
      <c r="K204" s="12" t="str">
        <f>C204</f>
        <v>đ/cái</v>
      </c>
      <c r="L204" s="19">
        <f t="shared" si="38"/>
        <v>140000</v>
      </c>
      <c r="M204" s="120"/>
      <c r="N204" s="120"/>
      <c r="O204" s="71">
        <f t="shared" si="35"/>
        <v>140000</v>
      </c>
      <c r="P204" s="71">
        <f t="shared" si="36"/>
        <v>140000</v>
      </c>
    </row>
    <row r="205" spans="1:16" s="58" customFormat="1" ht="21.95" customHeight="1">
      <c r="A205" s="10">
        <f>+A204+1</f>
        <v>20</v>
      </c>
      <c r="B205" s="11" t="s">
        <v>102</v>
      </c>
      <c r="C205" s="12" t="s">
        <v>84</v>
      </c>
      <c r="D205" s="13">
        <v>203000</v>
      </c>
      <c r="E205" s="13"/>
      <c r="F205" s="13"/>
      <c r="G205" s="206" t="str">
        <f t="shared" si="37"/>
        <v>đ/cái</v>
      </c>
      <c r="H205" s="68"/>
      <c r="I205" s="127"/>
      <c r="J205" s="127"/>
      <c r="K205" s="12" t="str">
        <f>C205</f>
        <v>đ/cái</v>
      </c>
      <c r="L205" s="19">
        <f t="shared" si="38"/>
        <v>203000</v>
      </c>
      <c r="M205" s="120"/>
      <c r="N205" s="120"/>
      <c r="O205" s="71">
        <f t="shared" si="35"/>
        <v>203000</v>
      </c>
      <c r="P205" s="71">
        <f t="shared" si="36"/>
        <v>203000</v>
      </c>
    </row>
    <row r="206" spans="1:16" s="58" customFormat="1" ht="21.95" customHeight="1">
      <c r="A206" s="10">
        <f>+A205+1</f>
        <v>21</v>
      </c>
      <c r="B206" s="11" t="s">
        <v>103</v>
      </c>
      <c r="C206" s="12" t="s">
        <v>84</v>
      </c>
      <c r="D206" s="13">
        <v>250000</v>
      </c>
      <c r="E206" s="13"/>
      <c r="F206" s="13"/>
      <c r="G206" s="206" t="str">
        <f t="shared" si="37"/>
        <v>đ/cái</v>
      </c>
      <c r="H206" s="68"/>
      <c r="I206" s="127"/>
      <c r="J206" s="127"/>
      <c r="K206" s="12" t="str">
        <f>C206</f>
        <v>đ/cái</v>
      </c>
      <c r="L206" s="19">
        <f t="shared" si="38"/>
        <v>250000</v>
      </c>
      <c r="M206" s="120"/>
      <c r="N206" s="120"/>
      <c r="O206" s="71">
        <f t="shared" si="35"/>
        <v>250000</v>
      </c>
      <c r="P206" s="71">
        <f t="shared" si="36"/>
        <v>250000</v>
      </c>
    </row>
    <row r="207" spans="1:16" s="58" customFormat="1" ht="21.95" customHeight="1">
      <c r="A207" s="10">
        <f>+A206+1</f>
        <v>22</v>
      </c>
      <c r="B207" s="11" t="s">
        <v>104</v>
      </c>
      <c r="C207" s="12" t="s">
        <v>84</v>
      </c>
      <c r="D207" s="13">
        <v>310000</v>
      </c>
      <c r="E207" s="13"/>
      <c r="F207" s="13"/>
      <c r="G207" s="206" t="str">
        <f t="shared" si="37"/>
        <v>đ/cái</v>
      </c>
      <c r="H207" s="68"/>
      <c r="I207" s="127"/>
      <c r="J207" s="127"/>
      <c r="K207" s="12" t="str">
        <f>C207</f>
        <v>đ/cái</v>
      </c>
      <c r="L207" s="19">
        <f t="shared" si="38"/>
        <v>310000</v>
      </c>
      <c r="M207" s="120"/>
      <c r="N207" s="120"/>
      <c r="O207" s="71">
        <f t="shared" si="35"/>
        <v>310000</v>
      </c>
      <c r="P207" s="71">
        <f t="shared" si="36"/>
        <v>310000</v>
      </c>
    </row>
    <row r="208" spans="1:16" s="58" customFormat="1" ht="24.75" customHeight="1">
      <c r="A208" s="10"/>
      <c r="B208" s="9" t="s">
        <v>105</v>
      </c>
      <c r="C208" s="15"/>
      <c r="D208" s="13"/>
      <c r="E208" s="13"/>
      <c r="F208" s="13"/>
      <c r="G208" s="206">
        <f t="shared" si="37"/>
        <v>0</v>
      </c>
      <c r="H208" s="68"/>
      <c r="I208" s="127"/>
      <c r="J208" s="127"/>
      <c r="K208" s="116"/>
      <c r="L208" s="120"/>
      <c r="M208" s="120"/>
      <c r="N208" s="120"/>
      <c r="O208" s="71">
        <f t="shared" si="35"/>
        <v>0</v>
      </c>
      <c r="P208" s="71">
        <f t="shared" si="36"/>
        <v>0</v>
      </c>
    </row>
    <row r="209" spans="1:16" s="58" customFormat="1" ht="21.95" customHeight="1">
      <c r="A209" s="10">
        <f>+A207+1</f>
        <v>23</v>
      </c>
      <c r="B209" s="11" t="s">
        <v>106</v>
      </c>
      <c r="C209" s="12" t="s">
        <v>107</v>
      </c>
      <c r="D209" s="13">
        <v>33500</v>
      </c>
      <c r="E209" s="13"/>
      <c r="F209" s="13"/>
      <c r="G209" s="206" t="str">
        <f t="shared" si="37"/>
        <v>đ/sợi</v>
      </c>
      <c r="H209" s="68"/>
      <c r="I209" s="127"/>
      <c r="J209" s="127"/>
      <c r="K209" s="12" t="str">
        <f t="shared" ref="K209:K217" si="39">C209</f>
        <v>đ/sợi</v>
      </c>
      <c r="L209" s="19">
        <f t="shared" si="38"/>
        <v>33500</v>
      </c>
      <c r="M209" s="120"/>
      <c r="N209" s="120"/>
      <c r="O209" s="71">
        <f t="shared" si="35"/>
        <v>33500</v>
      </c>
      <c r="P209" s="71">
        <f t="shared" si="36"/>
        <v>33500</v>
      </c>
    </row>
    <row r="210" spans="1:16" s="58" customFormat="1" ht="21.95" customHeight="1">
      <c r="A210" s="10">
        <f t="shared" ref="A210:A217" si="40">+A209+1</f>
        <v>24</v>
      </c>
      <c r="B210" s="11" t="s">
        <v>108</v>
      </c>
      <c r="C210" s="12" t="s">
        <v>107</v>
      </c>
      <c r="D210" s="13">
        <v>37800</v>
      </c>
      <c r="E210" s="13"/>
      <c r="F210" s="13"/>
      <c r="G210" s="206" t="str">
        <f t="shared" si="37"/>
        <v>đ/sợi</v>
      </c>
      <c r="H210" s="68"/>
      <c r="I210" s="127"/>
      <c r="J210" s="127"/>
      <c r="K210" s="12" t="str">
        <f t="shared" si="39"/>
        <v>đ/sợi</v>
      </c>
      <c r="L210" s="19">
        <f t="shared" si="38"/>
        <v>37800</v>
      </c>
      <c r="M210" s="120"/>
      <c r="N210" s="120"/>
      <c r="O210" s="71">
        <f t="shared" si="35"/>
        <v>37800</v>
      </c>
      <c r="P210" s="71">
        <f t="shared" si="36"/>
        <v>37800</v>
      </c>
    </row>
    <row r="211" spans="1:16" s="58" customFormat="1" ht="21.95" customHeight="1">
      <c r="A211" s="10">
        <f t="shared" si="40"/>
        <v>25</v>
      </c>
      <c r="B211" s="11" t="s">
        <v>109</v>
      </c>
      <c r="C211" s="12" t="s">
        <v>107</v>
      </c>
      <c r="D211" s="13">
        <v>47500</v>
      </c>
      <c r="E211" s="13"/>
      <c r="F211" s="13"/>
      <c r="G211" s="206" t="str">
        <f t="shared" si="37"/>
        <v>đ/sợi</v>
      </c>
      <c r="H211" s="68"/>
      <c r="I211" s="127"/>
      <c r="J211" s="127"/>
      <c r="K211" s="12" t="str">
        <f t="shared" si="39"/>
        <v>đ/sợi</v>
      </c>
      <c r="L211" s="19">
        <f t="shared" si="38"/>
        <v>47500</v>
      </c>
      <c r="M211" s="120"/>
      <c r="N211" s="120"/>
      <c r="O211" s="71">
        <f t="shared" si="35"/>
        <v>47500</v>
      </c>
      <c r="P211" s="71">
        <f t="shared" si="36"/>
        <v>47500</v>
      </c>
    </row>
    <row r="212" spans="1:16" s="58" customFormat="1" ht="21.95" customHeight="1">
      <c r="A212" s="10">
        <f t="shared" si="40"/>
        <v>26</v>
      </c>
      <c r="B212" s="11" t="s">
        <v>110</v>
      </c>
      <c r="C212" s="12" t="s">
        <v>107</v>
      </c>
      <c r="D212" s="13">
        <v>58400</v>
      </c>
      <c r="E212" s="13"/>
      <c r="F212" s="13"/>
      <c r="G212" s="206" t="str">
        <f t="shared" si="37"/>
        <v>đ/sợi</v>
      </c>
      <c r="H212" s="68"/>
      <c r="I212" s="127"/>
      <c r="J212" s="127"/>
      <c r="K212" s="12" t="str">
        <f t="shared" si="39"/>
        <v>đ/sợi</v>
      </c>
      <c r="L212" s="19">
        <f t="shared" si="38"/>
        <v>58400</v>
      </c>
      <c r="M212" s="120"/>
      <c r="N212" s="120"/>
      <c r="O212" s="71">
        <f t="shared" si="35"/>
        <v>58400</v>
      </c>
      <c r="P212" s="71">
        <f t="shared" si="36"/>
        <v>58400</v>
      </c>
    </row>
    <row r="213" spans="1:16" s="58" customFormat="1" ht="21.95" customHeight="1">
      <c r="A213" s="10">
        <f t="shared" si="40"/>
        <v>27</v>
      </c>
      <c r="B213" s="11" t="s">
        <v>111</v>
      </c>
      <c r="C213" s="12" t="s">
        <v>107</v>
      </c>
      <c r="D213" s="13">
        <v>68200</v>
      </c>
      <c r="E213" s="13"/>
      <c r="F213" s="13"/>
      <c r="G213" s="206" t="str">
        <f t="shared" si="37"/>
        <v>đ/sợi</v>
      </c>
      <c r="H213" s="68"/>
      <c r="I213" s="127"/>
      <c r="J213" s="127"/>
      <c r="K213" s="12" t="str">
        <f t="shared" si="39"/>
        <v>đ/sợi</v>
      </c>
      <c r="L213" s="19">
        <f t="shared" si="38"/>
        <v>68200</v>
      </c>
      <c r="M213" s="120"/>
      <c r="N213" s="120"/>
      <c r="O213" s="71">
        <f t="shared" si="35"/>
        <v>68200</v>
      </c>
      <c r="P213" s="71">
        <f t="shared" si="36"/>
        <v>68200</v>
      </c>
    </row>
    <row r="214" spans="1:16" s="58" customFormat="1" ht="21.95" customHeight="1">
      <c r="A214" s="10">
        <f t="shared" si="40"/>
        <v>28</v>
      </c>
      <c r="B214" s="11" t="s">
        <v>112</v>
      </c>
      <c r="C214" s="12" t="s">
        <v>107</v>
      </c>
      <c r="D214" s="13">
        <v>79100</v>
      </c>
      <c r="E214" s="13"/>
      <c r="F214" s="13"/>
      <c r="G214" s="206" t="str">
        <f t="shared" si="37"/>
        <v>đ/sợi</v>
      </c>
      <c r="H214" s="68"/>
      <c r="I214" s="127"/>
      <c r="J214" s="127"/>
      <c r="K214" s="12" t="str">
        <f t="shared" si="39"/>
        <v>đ/sợi</v>
      </c>
      <c r="L214" s="19">
        <f t="shared" si="38"/>
        <v>79100</v>
      </c>
      <c r="M214" s="120"/>
      <c r="N214" s="120"/>
      <c r="O214" s="71">
        <f t="shared" si="35"/>
        <v>79100</v>
      </c>
      <c r="P214" s="71">
        <f t="shared" si="36"/>
        <v>79100</v>
      </c>
    </row>
    <row r="215" spans="1:16" s="58" customFormat="1" ht="21.95" customHeight="1">
      <c r="A215" s="10">
        <f t="shared" si="40"/>
        <v>29</v>
      </c>
      <c r="B215" s="11" t="s">
        <v>113</v>
      </c>
      <c r="C215" s="12" t="s">
        <v>107</v>
      </c>
      <c r="D215" s="13">
        <v>94400</v>
      </c>
      <c r="E215" s="13"/>
      <c r="F215" s="13"/>
      <c r="G215" s="206" t="str">
        <f t="shared" si="37"/>
        <v>đ/sợi</v>
      </c>
      <c r="H215" s="68"/>
      <c r="I215" s="127"/>
      <c r="J215" s="127"/>
      <c r="K215" s="12" t="str">
        <f t="shared" si="39"/>
        <v>đ/sợi</v>
      </c>
      <c r="L215" s="19">
        <f t="shared" si="38"/>
        <v>94400</v>
      </c>
      <c r="M215" s="120"/>
      <c r="N215" s="120"/>
      <c r="O215" s="71">
        <f t="shared" si="35"/>
        <v>94400</v>
      </c>
      <c r="P215" s="71">
        <f t="shared" si="36"/>
        <v>94400</v>
      </c>
    </row>
    <row r="216" spans="1:16" s="58" customFormat="1" ht="21.95" customHeight="1">
      <c r="A216" s="10">
        <f t="shared" si="40"/>
        <v>30</v>
      </c>
      <c r="B216" s="11" t="s">
        <v>114</v>
      </c>
      <c r="C216" s="12" t="s">
        <v>107</v>
      </c>
      <c r="D216" s="13">
        <v>107000</v>
      </c>
      <c r="E216" s="13"/>
      <c r="F216" s="13"/>
      <c r="G216" s="206" t="str">
        <f t="shared" si="37"/>
        <v>đ/sợi</v>
      </c>
      <c r="H216" s="68"/>
      <c r="I216" s="127"/>
      <c r="J216" s="127"/>
      <c r="K216" s="12" t="str">
        <f t="shared" si="39"/>
        <v>đ/sợi</v>
      </c>
      <c r="L216" s="19">
        <f t="shared" si="38"/>
        <v>107000</v>
      </c>
      <c r="M216" s="120"/>
      <c r="N216" s="120"/>
      <c r="O216" s="71">
        <f t="shared" si="35"/>
        <v>107000</v>
      </c>
      <c r="P216" s="71">
        <f t="shared" si="36"/>
        <v>107000</v>
      </c>
    </row>
    <row r="217" spans="1:16" s="58" customFormat="1" ht="21.95" customHeight="1">
      <c r="A217" s="10">
        <f t="shared" si="40"/>
        <v>31</v>
      </c>
      <c r="B217" s="11" t="s">
        <v>115</v>
      </c>
      <c r="C217" s="12" t="s">
        <v>107</v>
      </c>
      <c r="D217" s="13">
        <v>118000</v>
      </c>
      <c r="E217" s="13"/>
      <c r="F217" s="13"/>
      <c r="G217" s="206" t="str">
        <f t="shared" si="37"/>
        <v>đ/sợi</v>
      </c>
      <c r="H217" s="68"/>
      <c r="I217" s="127"/>
      <c r="J217" s="127"/>
      <c r="K217" s="12" t="str">
        <f t="shared" si="39"/>
        <v>đ/sợi</v>
      </c>
      <c r="L217" s="19">
        <f t="shared" si="38"/>
        <v>118000</v>
      </c>
      <c r="M217" s="120"/>
      <c r="N217" s="120"/>
      <c r="O217" s="71">
        <f t="shared" si="35"/>
        <v>118000</v>
      </c>
      <c r="P217" s="71">
        <f t="shared" si="36"/>
        <v>118000</v>
      </c>
    </row>
    <row r="218" spans="1:16" s="58" customFormat="1" ht="24.75" customHeight="1">
      <c r="A218" s="10"/>
      <c r="B218" s="237" t="s">
        <v>1114</v>
      </c>
      <c r="C218" s="238"/>
      <c r="D218" s="238"/>
      <c r="E218" s="238"/>
      <c r="F218" s="238"/>
      <c r="G218" s="238"/>
      <c r="H218" s="238"/>
      <c r="I218" s="238"/>
      <c r="J218" s="238"/>
      <c r="K218" s="238"/>
      <c r="L218" s="238"/>
      <c r="M218" s="238"/>
      <c r="N218" s="239"/>
      <c r="O218" s="71">
        <f t="shared" si="35"/>
        <v>0</v>
      </c>
      <c r="P218" s="71">
        <f t="shared" si="36"/>
        <v>0</v>
      </c>
    </row>
    <row r="219" spans="1:16" s="58" customFormat="1" ht="20.45" customHeight="1">
      <c r="A219" s="10">
        <f>+A217+1</f>
        <v>32</v>
      </c>
      <c r="B219" s="11" t="s">
        <v>116</v>
      </c>
      <c r="C219" s="12" t="s">
        <v>90</v>
      </c>
      <c r="D219" s="13">
        <v>47600</v>
      </c>
      <c r="E219" s="13"/>
      <c r="F219" s="13"/>
      <c r="G219" s="206" t="s">
        <v>90</v>
      </c>
      <c r="H219" s="68"/>
      <c r="I219" s="127"/>
      <c r="J219" s="127"/>
      <c r="K219" s="12" t="str">
        <f>C219</f>
        <v>đ/m</v>
      </c>
      <c r="L219" s="19">
        <f t="shared" si="38"/>
        <v>47600</v>
      </c>
      <c r="M219" s="120"/>
      <c r="N219" s="120"/>
      <c r="O219" s="71">
        <f t="shared" si="35"/>
        <v>47600</v>
      </c>
      <c r="P219" s="71">
        <f t="shared" si="36"/>
        <v>47600</v>
      </c>
    </row>
    <row r="220" spans="1:16" s="58" customFormat="1" ht="20.45" customHeight="1">
      <c r="A220" s="10">
        <f>+A219+1</f>
        <v>33</v>
      </c>
      <c r="B220" s="11" t="s">
        <v>117</v>
      </c>
      <c r="C220" s="12" t="s">
        <v>90</v>
      </c>
      <c r="D220" s="13">
        <v>64900</v>
      </c>
      <c r="E220" s="13"/>
      <c r="F220" s="13"/>
      <c r="G220" s="206" t="s">
        <v>90</v>
      </c>
      <c r="H220" s="68"/>
      <c r="I220" s="127"/>
      <c r="J220" s="127"/>
      <c r="K220" s="12" t="str">
        <f>C220</f>
        <v>đ/m</v>
      </c>
      <c r="L220" s="19">
        <f t="shared" si="38"/>
        <v>64900</v>
      </c>
      <c r="M220" s="120"/>
      <c r="N220" s="120"/>
      <c r="O220" s="71">
        <f t="shared" si="35"/>
        <v>64900</v>
      </c>
      <c r="P220" s="71">
        <f t="shared" si="36"/>
        <v>64900</v>
      </c>
    </row>
    <row r="221" spans="1:16" s="58" customFormat="1" ht="20.45" customHeight="1">
      <c r="A221" s="10">
        <f>+A220+1</f>
        <v>34</v>
      </c>
      <c r="B221" s="11" t="s">
        <v>118</v>
      </c>
      <c r="C221" s="12" t="s">
        <v>90</v>
      </c>
      <c r="D221" s="13">
        <v>88500</v>
      </c>
      <c r="E221" s="13"/>
      <c r="F221" s="13"/>
      <c r="G221" s="206" t="s">
        <v>90</v>
      </c>
      <c r="H221" s="68"/>
      <c r="I221" s="127"/>
      <c r="J221" s="127"/>
      <c r="K221" s="12" t="str">
        <f>C221</f>
        <v>đ/m</v>
      </c>
      <c r="L221" s="19">
        <f t="shared" si="38"/>
        <v>88500</v>
      </c>
      <c r="M221" s="120"/>
      <c r="N221" s="120"/>
      <c r="O221" s="71">
        <f t="shared" si="35"/>
        <v>88500</v>
      </c>
      <c r="P221" s="71">
        <f t="shared" si="36"/>
        <v>88500</v>
      </c>
    </row>
    <row r="222" spans="1:16" s="58" customFormat="1" ht="20.45" customHeight="1">
      <c r="A222" s="10">
        <f>+A221+1</f>
        <v>35</v>
      </c>
      <c r="B222" s="11" t="s">
        <v>1445</v>
      </c>
      <c r="C222" s="12" t="s">
        <v>90</v>
      </c>
      <c r="D222" s="13">
        <v>181900</v>
      </c>
      <c r="E222" s="13"/>
      <c r="F222" s="13"/>
      <c r="G222" s="206" t="s">
        <v>90</v>
      </c>
      <c r="H222" s="68"/>
      <c r="I222" s="127"/>
      <c r="J222" s="127"/>
      <c r="K222" s="12" t="str">
        <f>C222</f>
        <v>đ/m</v>
      </c>
      <c r="L222" s="19">
        <f t="shared" si="38"/>
        <v>181900</v>
      </c>
      <c r="M222" s="120"/>
      <c r="N222" s="120"/>
      <c r="O222" s="71">
        <f>D222</f>
        <v>181900</v>
      </c>
      <c r="P222" s="71">
        <f>L222</f>
        <v>181900</v>
      </c>
    </row>
    <row r="223" spans="1:16" s="58" customFormat="1" ht="51" customHeight="1">
      <c r="A223" s="10"/>
      <c r="B223" s="237" t="s">
        <v>1448</v>
      </c>
      <c r="C223" s="238"/>
      <c r="D223" s="238"/>
      <c r="E223" s="238"/>
      <c r="F223" s="238"/>
      <c r="G223" s="238"/>
      <c r="H223" s="238"/>
      <c r="I223" s="238"/>
      <c r="J223" s="238"/>
      <c r="K223" s="238"/>
      <c r="L223" s="238"/>
      <c r="M223" s="238"/>
      <c r="N223" s="239"/>
      <c r="O223" s="71">
        <f t="shared" si="35"/>
        <v>0</v>
      </c>
      <c r="P223" s="71">
        <f t="shared" si="36"/>
        <v>0</v>
      </c>
    </row>
    <row r="224" spans="1:16" s="58" customFormat="1" ht="24" customHeight="1">
      <c r="A224" s="10"/>
      <c r="B224" s="9" t="s">
        <v>119</v>
      </c>
      <c r="C224" s="8"/>
      <c r="D224" s="16"/>
      <c r="E224" s="16"/>
      <c r="F224" s="16"/>
      <c r="G224" s="127"/>
      <c r="H224" s="127"/>
      <c r="I224" s="127"/>
      <c r="J224" s="127"/>
      <c r="K224" s="116"/>
      <c r="L224" s="120"/>
      <c r="M224" s="120"/>
      <c r="N224" s="120"/>
      <c r="O224" s="71">
        <f t="shared" si="35"/>
        <v>0</v>
      </c>
      <c r="P224" s="71">
        <f t="shared" si="36"/>
        <v>0</v>
      </c>
    </row>
    <row r="225" spans="1:16" s="58" customFormat="1" ht="21.95" customHeight="1">
      <c r="A225" s="10">
        <v>1</v>
      </c>
      <c r="B225" s="11" t="s">
        <v>1449</v>
      </c>
      <c r="C225" s="12" t="s">
        <v>121</v>
      </c>
      <c r="D225" s="13">
        <v>240000</v>
      </c>
      <c r="E225" s="13"/>
      <c r="F225" s="13"/>
      <c r="G225" s="206" t="s">
        <v>121</v>
      </c>
      <c r="H225" s="68"/>
      <c r="I225" s="127"/>
      <c r="J225" s="127"/>
      <c r="K225" s="12" t="str">
        <f>C225</f>
        <v>đ/md</v>
      </c>
      <c r="L225" s="19">
        <f>D225</f>
        <v>240000</v>
      </c>
      <c r="M225" s="120"/>
      <c r="N225" s="120"/>
      <c r="O225" s="71">
        <f>D225</f>
        <v>240000</v>
      </c>
      <c r="P225" s="71">
        <f>L225</f>
        <v>240000</v>
      </c>
    </row>
    <row r="226" spans="1:16" s="58" customFormat="1" ht="21.95" customHeight="1">
      <c r="A226" s="10">
        <f t="shared" ref="A226:A235" si="41">+A225+1</f>
        <v>2</v>
      </c>
      <c r="B226" s="11" t="s">
        <v>1450</v>
      </c>
      <c r="C226" s="12" t="s">
        <v>121</v>
      </c>
      <c r="D226" s="13">
        <v>250000</v>
      </c>
      <c r="E226" s="13"/>
      <c r="F226" s="13"/>
      <c r="G226" s="206" t="s">
        <v>121</v>
      </c>
      <c r="H226" s="68"/>
      <c r="I226" s="127"/>
      <c r="J226" s="127"/>
      <c r="K226" s="12" t="str">
        <f>C226</f>
        <v>đ/md</v>
      </c>
      <c r="L226" s="19">
        <f t="shared" ref="L226:L245" si="42">D226</f>
        <v>250000</v>
      </c>
      <c r="M226" s="120"/>
      <c r="N226" s="120"/>
      <c r="O226" s="71">
        <f>D226</f>
        <v>250000</v>
      </c>
      <c r="P226" s="71">
        <f>L226</f>
        <v>250000</v>
      </c>
    </row>
    <row r="227" spans="1:16" s="58" customFormat="1" ht="21.95" customHeight="1">
      <c r="A227" s="10">
        <f t="shared" si="41"/>
        <v>3</v>
      </c>
      <c r="B227" s="11" t="s">
        <v>1451</v>
      </c>
      <c r="C227" s="12" t="s">
        <v>121</v>
      </c>
      <c r="D227" s="13">
        <v>260000</v>
      </c>
      <c r="E227" s="13"/>
      <c r="F227" s="13"/>
      <c r="G227" s="206" t="s">
        <v>121</v>
      </c>
      <c r="H227" s="68"/>
      <c r="I227" s="127"/>
      <c r="J227" s="127"/>
      <c r="K227" s="12" t="str">
        <f>C227</f>
        <v>đ/md</v>
      </c>
      <c r="L227" s="19">
        <f t="shared" si="42"/>
        <v>260000</v>
      </c>
      <c r="M227" s="120"/>
      <c r="N227" s="120"/>
      <c r="O227" s="71">
        <f>D227</f>
        <v>260000</v>
      </c>
      <c r="P227" s="71">
        <f>L227</f>
        <v>260000</v>
      </c>
    </row>
    <row r="228" spans="1:16" s="58" customFormat="1" ht="21.95" customHeight="1">
      <c r="A228" s="10">
        <f t="shared" si="41"/>
        <v>4</v>
      </c>
      <c r="B228" s="11" t="s">
        <v>120</v>
      </c>
      <c r="C228" s="12" t="s">
        <v>121</v>
      </c>
      <c r="D228" s="13">
        <v>270000</v>
      </c>
      <c r="E228" s="13"/>
      <c r="F228" s="13"/>
      <c r="G228" s="206" t="s">
        <v>121</v>
      </c>
      <c r="H228" s="68"/>
      <c r="I228" s="127"/>
      <c r="J228" s="127"/>
      <c r="K228" s="12" t="str">
        <f t="shared" ref="K228:K245" si="43">C228</f>
        <v>đ/md</v>
      </c>
      <c r="L228" s="19">
        <f t="shared" si="42"/>
        <v>270000</v>
      </c>
      <c r="M228" s="120"/>
      <c r="N228" s="120"/>
      <c r="O228" s="71">
        <f t="shared" si="35"/>
        <v>270000</v>
      </c>
      <c r="P228" s="71">
        <f t="shared" si="36"/>
        <v>270000</v>
      </c>
    </row>
    <row r="229" spans="1:16" s="58" customFormat="1" ht="21.95" customHeight="1">
      <c r="A229" s="10">
        <f t="shared" si="41"/>
        <v>5</v>
      </c>
      <c r="B229" s="11" t="s">
        <v>122</v>
      </c>
      <c r="C229" s="12" t="s">
        <v>121</v>
      </c>
      <c r="D229" s="13">
        <v>280000</v>
      </c>
      <c r="E229" s="13"/>
      <c r="F229" s="13"/>
      <c r="G229" s="206" t="s">
        <v>121</v>
      </c>
      <c r="H229" s="68"/>
      <c r="I229" s="127"/>
      <c r="J229" s="127"/>
      <c r="K229" s="12" t="str">
        <f t="shared" si="43"/>
        <v>đ/md</v>
      </c>
      <c r="L229" s="19">
        <f t="shared" si="42"/>
        <v>280000</v>
      </c>
      <c r="M229" s="120"/>
      <c r="N229" s="120"/>
      <c r="O229" s="71">
        <f t="shared" si="35"/>
        <v>280000</v>
      </c>
      <c r="P229" s="71">
        <f t="shared" si="36"/>
        <v>280000</v>
      </c>
    </row>
    <row r="230" spans="1:16" s="58" customFormat="1" ht="21.95" customHeight="1">
      <c r="A230" s="10">
        <f t="shared" si="41"/>
        <v>6</v>
      </c>
      <c r="B230" s="11" t="s">
        <v>123</v>
      </c>
      <c r="C230" s="12" t="s">
        <v>121</v>
      </c>
      <c r="D230" s="13">
        <v>290000</v>
      </c>
      <c r="E230" s="13"/>
      <c r="F230" s="13"/>
      <c r="G230" s="206" t="s">
        <v>121</v>
      </c>
      <c r="H230" s="68"/>
      <c r="I230" s="127"/>
      <c r="J230" s="127"/>
      <c r="K230" s="12" t="str">
        <f t="shared" si="43"/>
        <v>đ/md</v>
      </c>
      <c r="L230" s="19">
        <f t="shared" si="42"/>
        <v>290000</v>
      </c>
      <c r="M230" s="120"/>
      <c r="N230" s="120"/>
      <c r="O230" s="71">
        <f t="shared" si="35"/>
        <v>290000</v>
      </c>
      <c r="P230" s="71">
        <f t="shared" si="36"/>
        <v>290000</v>
      </c>
    </row>
    <row r="231" spans="1:16" s="58" customFormat="1" ht="21.95" customHeight="1">
      <c r="A231" s="10">
        <f t="shared" si="41"/>
        <v>7</v>
      </c>
      <c r="B231" s="11" t="s">
        <v>124</v>
      </c>
      <c r="C231" s="12" t="s">
        <v>121</v>
      </c>
      <c r="D231" s="13">
        <v>420000</v>
      </c>
      <c r="E231" s="13"/>
      <c r="F231" s="13"/>
      <c r="G231" s="206" t="s">
        <v>121</v>
      </c>
      <c r="H231" s="68"/>
      <c r="I231" s="127"/>
      <c r="J231" s="127"/>
      <c r="K231" s="12" t="str">
        <f t="shared" si="43"/>
        <v>đ/md</v>
      </c>
      <c r="L231" s="19">
        <f t="shared" si="42"/>
        <v>420000</v>
      </c>
      <c r="M231" s="120"/>
      <c r="N231" s="120"/>
      <c r="O231" s="71">
        <f t="shared" si="35"/>
        <v>420000</v>
      </c>
      <c r="P231" s="71">
        <f t="shared" si="36"/>
        <v>420000</v>
      </c>
    </row>
    <row r="232" spans="1:16" s="58" customFormat="1" ht="21.95" customHeight="1">
      <c r="A232" s="10">
        <f t="shared" si="41"/>
        <v>8</v>
      </c>
      <c r="B232" s="11" t="s">
        <v>125</v>
      </c>
      <c r="C232" s="12" t="s">
        <v>121</v>
      </c>
      <c r="D232" s="13">
        <v>470000</v>
      </c>
      <c r="E232" s="13"/>
      <c r="F232" s="13"/>
      <c r="G232" s="206" t="s">
        <v>121</v>
      </c>
      <c r="H232" s="68"/>
      <c r="I232" s="127"/>
      <c r="J232" s="127"/>
      <c r="K232" s="12" t="str">
        <f t="shared" si="43"/>
        <v>đ/md</v>
      </c>
      <c r="L232" s="19">
        <f t="shared" si="42"/>
        <v>470000</v>
      </c>
      <c r="M232" s="120"/>
      <c r="N232" s="120"/>
      <c r="O232" s="71">
        <f t="shared" si="35"/>
        <v>470000</v>
      </c>
      <c r="P232" s="71">
        <f t="shared" si="36"/>
        <v>470000</v>
      </c>
    </row>
    <row r="233" spans="1:16" s="58" customFormat="1" ht="21.95" customHeight="1">
      <c r="A233" s="10">
        <f t="shared" si="41"/>
        <v>9</v>
      </c>
      <c r="B233" s="11" t="s">
        <v>126</v>
      </c>
      <c r="C233" s="12" t="s">
        <v>121</v>
      </c>
      <c r="D233" s="13">
        <v>500000</v>
      </c>
      <c r="E233" s="13"/>
      <c r="F233" s="13"/>
      <c r="G233" s="206" t="s">
        <v>121</v>
      </c>
      <c r="H233" s="68"/>
      <c r="I233" s="127"/>
      <c r="J233" s="127"/>
      <c r="K233" s="12" t="str">
        <f t="shared" si="43"/>
        <v>đ/md</v>
      </c>
      <c r="L233" s="19">
        <f t="shared" si="42"/>
        <v>500000</v>
      </c>
      <c r="M233" s="120"/>
      <c r="N233" s="120"/>
      <c r="O233" s="71">
        <f t="shared" si="35"/>
        <v>500000</v>
      </c>
      <c r="P233" s="71">
        <f t="shared" si="36"/>
        <v>500000</v>
      </c>
    </row>
    <row r="234" spans="1:16" s="58" customFormat="1" ht="21.95" customHeight="1">
      <c r="A234" s="10">
        <f t="shared" si="41"/>
        <v>10</v>
      </c>
      <c r="B234" s="11" t="s">
        <v>127</v>
      </c>
      <c r="C234" s="12" t="s">
        <v>121</v>
      </c>
      <c r="D234" s="13">
        <v>670000</v>
      </c>
      <c r="E234" s="13"/>
      <c r="F234" s="13"/>
      <c r="G234" s="206" t="s">
        <v>121</v>
      </c>
      <c r="H234" s="68"/>
      <c r="I234" s="127"/>
      <c r="J234" s="127"/>
      <c r="K234" s="12" t="str">
        <f t="shared" si="43"/>
        <v>đ/md</v>
      </c>
      <c r="L234" s="19">
        <f t="shared" si="42"/>
        <v>670000</v>
      </c>
      <c r="M234" s="120"/>
      <c r="N234" s="120"/>
      <c r="O234" s="71">
        <f t="shared" si="35"/>
        <v>670000</v>
      </c>
      <c r="P234" s="71">
        <f t="shared" si="36"/>
        <v>670000</v>
      </c>
    </row>
    <row r="235" spans="1:16" s="58" customFormat="1" ht="21.95" customHeight="1">
      <c r="A235" s="10">
        <f t="shared" si="41"/>
        <v>11</v>
      </c>
      <c r="B235" s="11" t="s">
        <v>128</v>
      </c>
      <c r="C235" s="12" t="s">
        <v>121</v>
      </c>
      <c r="D235" s="13">
        <v>730000</v>
      </c>
      <c r="E235" s="13"/>
      <c r="F235" s="13"/>
      <c r="G235" s="206" t="s">
        <v>121</v>
      </c>
      <c r="H235" s="68"/>
      <c r="I235" s="127"/>
      <c r="J235" s="127"/>
      <c r="K235" s="12" t="str">
        <f t="shared" si="43"/>
        <v>đ/md</v>
      </c>
      <c r="L235" s="19">
        <f t="shared" si="42"/>
        <v>730000</v>
      </c>
      <c r="M235" s="120"/>
      <c r="N235" s="120"/>
      <c r="O235" s="71">
        <f t="shared" si="35"/>
        <v>730000</v>
      </c>
      <c r="P235" s="71">
        <f t="shared" si="36"/>
        <v>730000</v>
      </c>
    </row>
    <row r="236" spans="1:16" s="58" customFormat="1" ht="21.95" customHeight="1">
      <c r="A236" s="10">
        <f t="shared" ref="A236:A245" si="44">+A235+1</f>
        <v>12</v>
      </c>
      <c r="B236" s="11" t="s">
        <v>129</v>
      </c>
      <c r="C236" s="12" t="s">
        <v>121</v>
      </c>
      <c r="D236" s="13">
        <v>850000</v>
      </c>
      <c r="E236" s="13"/>
      <c r="F236" s="13"/>
      <c r="G236" s="206" t="s">
        <v>121</v>
      </c>
      <c r="H236" s="68"/>
      <c r="I236" s="127"/>
      <c r="J236" s="127"/>
      <c r="K236" s="12" t="str">
        <f t="shared" si="43"/>
        <v>đ/md</v>
      </c>
      <c r="L236" s="19">
        <f t="shared" si="42"/>
        <v>850000</v>
      </c>
      <c r="M236" s="120"/>
      <c r="N236" s="120"/>
      <c r="O236" s="71">
        <f t="shared" si="35"/>
        <v>850000</v>
      </c>
      <c r="P236" s="71">
        <f t="shared" si="36"/>
        <v>850000</v>
      </c>
    </row>
    <row r="237" spans="1:16" s="58" customFormat="1" ht="21.95" customHeight="1">
      <c r="A237" s="10">
        <f t="shared" si="44"/>
        <v>13</v>
      </c>
      <c r="B237" s="11" t="s">
        <v>130</v>
      </c>
      <c r="C237" s="12" t="s">
        <v>121</v>
      </c>
      <c r="D237" s="13">
        <v>1080000</v>
      </c>
      <c r="E237" s="13"/>
      <c r="F237" s="13"/>
      <c r="G237" s="206" t="s">
        <v>121</v>
      </c>
      <c r="H237" s="68"/>
      <c r="I237" s="127"/>
      <c r="J237" s="127"/>
      <c r="K237" s="12" t="str">
        <f t="shared" si="43"/>
        <v>đ/md</v>
      </c>
      <c r="L237" s="19">
        <f t="shared" si="42"/>
        <v>1080000</v>
      </c>
      <c r="M237" s="120"/>
      <c r="N237" s="120"/>
      <c r="O237" s="71">
        <f t="shared" si="35"/>
        <v>1080000</v>
      </c>
      <c r="P237" s="71">
        <f t="shared" si="36"/>
        <v>1080000</v>
      </c>
    </row>
    <row r="238" spans="1:16" s="58" customFormat="1" ht="21.95" customHeight="1">
      <c r="A238" s="10">
        <f t="shared" si="44"/>
        <v>14</v>
      </c>
      <c r="B238" s="11" t="s">
        <v>131</v>
      </c>
      <c r="C238" s="12" t="s">
        <v>121</v>
      </c>
      <c r="D238" s="13">
        <v>1160000</v>
      </c>
      <c r="E238" s="13"/>
      <c r="F238" s="13"/>
      <c r="G238" s="206" t="s">
        <v>121</v>
      </c>
      <c r="H238" s="68"/>
      <c r="I238" s="127"/>
      <c r="J238" s="127"/>
      <c r="K238" s="12" t="str">
        <f t="shared" si="43"/>
        <v>đ/md</v>
      </c>
      <c r="L238" s="19">
        <f t="shared" si="42"/>
        <v>1160000</v>
      </c>
      <c r="M238" s="120"/>
      <c r="N238" s="120"/>
      <c r="O238" s="71">
        <f t="shared" si="35"/>
        <v>1160000</v>
      </c>
      <c r="P238" s="71">
        <f t="shared" si="36"/>
        <v>1160000</v>
      </c>
    </row>
    <row r="239" spans="1:16" s="58" customFormat="1" ht="21.95" customHeight="1">
      <c r="A239" s="10">
        <f t="shared" si="44"/>
        <v>15</v>
      </c>
      <c r="B239" s="11" t="s">
        <v>132</v>
      </c>
      <c r="C239" s="12" t="s">
        <v>121</v>
      </c>
      <c r="D239" s="13">
        <v>1330000</v>
      </c>
      <c r="E239" s="13"/>
      <c r="F239" s="13"/>
      <c r="G239" s="206" t="s">
        <v>121</v>
      </c>
      <c r="H239" s="68"/>
      <c r="I239" s="127"/>
      <c r="J239" s="127"/>
      <c r="K239" s="12" t="str">
        <f t="shared" si="43"/>
        <v>đ/md</v>
      </c>
      <c r="L239" s="19">
        <f t="shared" si="42"/>
        <v>1330000</v>
      </c>
      <c r="M239" s="120"/>
      <c r="N239" s="120"/>
      <c r="O239" s="71">
        <f t="shared" si="35"/>
        <v>1330000</v>
      </c>
      <c r="P239" s="71">
        <f t="shared" si="36"/>
        <v>1330000</v>
      </c>
    </row>
    <row r="240" spans="1:16" s="58" customFormat="1" ht="21.95" customHeight="1">
      <c r="A240" s="10">
        <f t="shared" si="44"/>
        <v>16</v>
      </c>
      <c r="B240" s="11" t="s">
        <v>133</v>
      </c>
      <c r="C240" s="12" t="s">
        <v>121</v>
      </c>
      <c r="D240" s="13">
        <v>2100000</v>
      </c>
      <c r="E240" s="13"/>
      <c r="F240" s="13"/>
      <c r="G240" s="206" t="s">
        <v>121</v>
      </c>
      <c r="H240" s="68"/>
      <c r="I240" s="127"/>
      <c r="J240" s="127"/>
      <c r="K240" s="12" t="str">
        <f t="shared" si="43"/>
        <v>đ/md</v>
      </c>
      <c r="L240" s="19">
        <f t="shared" si="42"/>
        <v>2100000</v>
      </c>
      <c r="M240" s="120"/>
      <c r="N240" s="120"/>
      <c r="O240" s="71">
        <f t="shared" si="35"/>
        <v>2100000</v>
      </c>
      <c r="P240" s="71">
        <f t="shared" si="36"/>
        <v>2100000</v>
      </c>
    </row>
    <row r="241" spans="1:16" s="58" customFormat="1" ht="21.95" customHeight="1">
      <c r="A241" s="10">
        <f t="shared" si="44"/>
        <v>17</v>
      </c>
      <c r="B241" s="11" t="s">
        <v>134</v>
      </c>
      <c r="C241" s="12" t="s">
        <v>121</v>
      </c>
      <c r="D241" s="13">
        <v>2150000</v>
      </c>
      <c r="E241" s="13"/>
      <c r="F241" s="13"/>
      <c r="G241" s="206" t="s">
        <v>121</v>
      </c>
      <c r="H241" s="68"/>
      <c r="I241" s="127"/>
      <c r="J241" s="127"/>
      <c r="K241" s="12" t="str">
        <f t="shared" si="43"/>
        <v>đ/md</v>
      </c>
      <c r="L241" s="19">
        <f t="shared" si="42"/>
        <v>2150000</v>
      </c>
      <c r="M241" s="120"/>
      <c r="N241" s="120"/>
      <c r="O241" s="71">
        <f t="shared" si="35"/>
        <v>2150000</v>
      </c>
      <c r="P241" s="71">
        <f t="shared" si="36"/>
        <v>2150000</v>
      </c>
    </row>
    <row r="242" spans="1:16" s="58" customFormat="1" ht="21.95" customHeight="1">
      <c r="A242" s="10">
        <f t="shared" si="44"/>
        <v>18</v>
      </c>
      <c r="B242" s="11" t="s">
        <v>135</v>
      </c>
      <c r="C242" s="12" t="s">
        <v>121</v>
      </c>
      <c r="D242" s="13">
        <v>2250000</v>
      </c>
      <c r="E242" s="13"/>
      <c r="F242" s="13"/>
      <c r="G242" s="206" t="s">
        <v>121</v>
      </c>
      <c r="H242" s="68"/>
      <c r="I242" s="127"/>
      <c r="J242" s="127"/>
      <c r="K242" s="12" t="str">
        <f t="shared" si="43"/>
        <v>đ/md</v>
      </c>
      <c r="L242" s="19">
        <f t="shared" si="42"/>
        <v>2250000</v>
      </c>
      <c r="M242" s="120"/>
      <c r="N242" s="120"/>
      <c r="O242" s="71">
        <f t="shared" si="35"/>
        <v>2250000</v>
      </c>
      <c r="P242" s="71">
        <f t="shared" si="36"/>
        <v>2250000</v>
      </c>
    </row>
    <row r="243" spans="1:16" s="58" customFormat="1" ht="21.95" customHeight="1">
      <c r="A243" s="10">
        <f t="shared" si="44"/>
        <v>19</v>
      </c>
      <c r="B243" s="11" t="s">
        <v>136</v>
      </c>
      <c r="C243" s="12" t="s">
        <v>121</v>
      </c>
      <c r="D243" s="13">
        <v>2500000</v>
      </c>
      <c r="E243" s="13"/>
      <c r="F243" s="13"/>
      <c r="G243" s="206" t="s">
        <v>121</v>
      </c>
      <c r="H243" s="68"/>
      <c r="I243" s="127"/>
      <c r="J243" s="127"/>
      <c r="K243" s="12" t="str">
        <f t="shared" si="43"/>
        <v>đ/md</v>
      </c>
      <c r="L243" s="19">
        <f t="shared" si="42"/>
        <v>2500000</v>
      </c>
      <c r="M243" s="120"/>
      <c r="N243" s="120"/>
      <c r="O243" s="71">
        <f t="shared" si="35"/>
        <v>2500000</v>
      </c>
      <c r="P243" s="71">
        <f t="shared" si="36"/>
        <v>2500000</v>
      </c>
    </row>
    <row r="244" spans="1:16" s="58" customFormat="1" ht="21.95" customHeight="1">
      <c r="A244" s="10">
        <f t="shared" si="44"/>
        <v>20</v>
      </c>
      <c r="B244" s="11" t="s">
        <v>137</v>
      </c>
      <c r="C244" s="12" t="s">
        <v>121</v>
      </c>
      <c r="D244" s="13">
        <v>2700000</v>
      </c>
      <c r="E244" s="13"/>
      <c r="F244" s="13"/>
      <c r="G244" s="206" t="s">
        <v>121</v>
      </c>
      <c r="H244" s="68"/>
      <c r="I244" s="127"/>
      <c r="J244" s="127"/>
      <c r="K244" s="12" t="str">
        <f t="shared" si="43"/>
        <v>đ/md</v>
      </c>
      <c r="L244" s="19">
        <f t="shared" si="42"/>
        <v>2700000</v>
      </c>
      <c r="M244" s="120"/>
      <c r="N244" s="120"/>
      <c r="O244" s="71">
        <f t="shared" si="35"/>
        <v>2700000</v>
      </c>
      <c r="P244" s="71">
        <f t="shared" si="36"/>
        <v>2700000</v>
      </c>
    </row>
    <row r="245" spans="1:16" s="58" customFormat="1" ht="21.95" customHeight="1">
      <c r="A245" s="10">
        <f t="shared" si="44"/>
        <v>21</v>
      </c>
      <c r="B245" s="11" t="s">
        <v>138</v>
      </c>
      <c r="C245" s="12" t="s">
        <v>121</v>
      </c>
      <c r="D245" s="13">
        <v>2900000</v>
      </c>
      <c r="E245" s="13"/>
      <c r="F245" s="13"/>
      <c r="G245" s="206" t="s">
        <v>121</v>
      </c>
      <c r="H245" s="68"/>
      <c r="I245" s="127"/>
      <c r="J245" s="127"/>
      <c r="K245" s="12" t="str">
        <f t="shared" si="43"/>
        <v>đ/md</v>
      </c>
      <c r="L245" s="19">
        <f t="shared" si="42"/>
        <v>2900000</v>
      </c>
      <c r="M245" s="120"/>
      <c r="N245" s="120"/>
      <c r="O245" s="71">
        <f t="shared" si="35"/>
        <v>2900000</v>
      </c>
      <c r="P245" s="71">
        <f t="shared" si="36"/>
        <v>2900000</v>
      </c>
    </row>
    <row r="246" spans="1:16" s="58" customFormat="1" ht="21.95" customHeight="1">
      <c r="A246" s="10"/>
      <c r="B246" s="9" t="s">
        <v>139</v>
      </c>
      <c r="C246" s="12"/>
      <c r="D246" s="69"/>
      <c r="E246" s="14"/>
      <c r="F246" s="14"/>
      <c r="G246" s="127"/>
      <c r="H246" s="127"/>
      <c r="I246" s="127"/>
      <c r="J246" s="127"/>
      <c r="K246" s="116"/>
      <c r="L246" s="120"/>
      <c r="M246" s="120"/>
      <c r="N246" s="120"/>
      <c r="O246" s="71">
        <f t="shared" si="35"/>
        <v>0</v>
      </c>
      <c r="P246" s="71">
        <f t="shared" si="36"/>
        <v>0</v>
      </c>
    </row>
    <row r="247" spans="1:16" s="58" customFormat="1" ht="21.95" customHeight="1">
      <c r="A247" s="10">
        <f>+A245+1</f>
        <v>22</v>
      </c>
      <c r="B247" s="11" t="s">
        <v>1115</v>
      </c>
      <c r="C247" s="12" t="s">
        <v>84</v>
      </c>
      <c r="D247" s="13">
        <v>130000</v>
      </c>
      <c r="E247" s="14"/>
      <c r="F247" s="14"/>
      <c r="G247" s="206" t="s">
        <v>84</v>
      </c>
      <c r="H247" s="68"/>
      <c r="I247" s="127"/>
      <c r="J247" s="127"/>
      <c r="K247" s="12" t="str">
        <f t="shared" ref="K247:L250" si="45">C247</f>
        <v>đ/cái</v>
      </c>
      <c r="L247" s="19">
        <f t="shared" si="45"/>
        <v>130000</v>
      </c>
      <c r="M247" s="120"/>
      <c r="N247" s="120"/>
      <c r="O247" s="71">
        <f t="shared" si="35"/>
        <v>130000</v>
      </c>
      <c r="P247" s="71">
        <f t="shared" si="36"/>
        <v>130000</v>
      </c>
    </row>
    <row r="248" spans="1:16" s="58" customFormat="1" ht="21.95" customHeight="1">
      <c r="A248" s="10">
        <f>+A247+1</f>
        <v>23</v>
      </c>
      <c r="B248" s="11" t="s">
        <v>1116</v>
      </c>
      <c r="C248" s="12" t="s">
        <v>84</v>
      </c>
      <c r="D248" s="13">
        <v>190000</v>
      </c>
      <c r="E248" s="14"/>
      <c r="F248" s="14"/>
      <c r="G248" s="206" t="s">
        <v>84</v>
      </c>
      <c r="H248" s="68"/>
      <c r="I248" s="127"/>
      <c r="J248" s="127"/>
      <c r="K248" s="12" t="str">
        <f t="shared" si="45"/>
        <v>đ/cái</v>
      </c>
      <c r="L248" s="19">
        <f t="shared" si="45"/>
        <v>190000</v>
      </c>
      <c r="M248" s="120"/>
      <c r="N248" s="120"/>
      <c r="O248" s="71">
        <f t="shared" ref="O248:O269" si="46">D248</f>
        <v>190000</v>
      </c>
      <c r="P248" s="71">
        <f t="shared" ref="P248:P269" si="47">L248</f>
        <v>190000</v>
      </c>
    </row>
    <row r="249" spans="1:16" s="58" customFormat="1" ht="21.95" customHeight="1">
      <c r="A249" s="10">
        <f>+A248+1</f>
        <v>24</v>
      </c>
      <c r="B249" s="11" t="s">
        <v>1117</v>
      </c>
      <c r="C249" s="12" t="s">
        <v>84</v>
      </c>
      <c r="D249" s="13">
        <v>240000</v>
      </c>
      <c r="E249" s="14"/>
      <c r="F249" s="14"/>
      <c r="G249" s="206" t="s">
        <v>84</v>
      </c>
      <c r="H249" s="68"/>
      <c r="I249" s="127"/>
      <c r="J249" s="127"/>
      <c r="K249" s="12" t="str">
        <f t="shared" si="45"/>
        <v>đ/cái</v>
      </c>
      <c r="L249" s="19">
        <f t="shared" si="45"/>
        <v>240000</v>
      </c>
      <c r="M249" s="120"/>
      <c r="N249" s="120"/>
      <c r="O249" s="71">
        <f t="shared" si="46"/>
        <v>240000</v>
      </c>
      <c r="P249" s="71">
        <f t="shared" si="47"/>
        <v>240000</v>
      </c>
    </row>
    <row r="250" spans="1:16" s="58" customFormat="1" ht="21.95" customHeight="1">
      <c r="A250" s="10">
        <f>+A249+1</f>
        <v>25</v>
      </c>
      <c r="B250" s="11" t="s">
        <v>1118</v>
      </c>
      <c r="C250" s="12" t="s">
        <v>84</v>
      </c>
      <c r="D250" s="13">
        <v>300000</v>
      </c>
      <c r="E250" s="14"/>
      <c r="F250" s="14"/>
      <c r="G250" s="206" t="s">
        <v>84</v>
      </c>
      <c r="H250" s="68"/>
      <c r="I250" s="127"/>
      <c r="J250" s="127"/>
      <c r="K250" s="12" t="str">
        <f t="shared" si="45"/>
        <v>đ/cái</v>
      </c>
      <c r="L250" s="19">
        <f t="shared" si="45"/>
        <v>300000</v>
      </c>
      <c r="M250" s="120"/>
      <c r="N250" s="120"/>
      <c r="O250" s="71">
        <f t="shared" si="46"/>
        <v>300000</v>
      </c>
      <c r="P250" s="71">
        <f t="shared" si="47"/>
        <v>300000</v>
      </c>
    </row>
    <row r="251" spans="1:16" s="58" customFormat="1" ht="21.95" customHeight="1">
      <c r="A251" s="10"/>
      <c r="B251" s="9" t="s">
        <v>140</v>
      </c>
      <c r="C251" s="12"/>
      <c r="D251" s="13"/>
      <c r="E251" s="14"/>
      <c r="F251" s="14"/>
      <c r="G251" s="206"/>
      <c r="H251" s="68"/>
      <c r="I251" s="127"/>
      <c r="J251" s="127"/>
      <c r="K251" s="116"/>
      <c r="L251" s="120"/>
      <c r="M251" s="120"/>
      <c r="N251" s="120"/>
      <c r="O251" s="71">
        <f t="shared" si="46"/>
        <v>0</v>
      </c>
      <c r="P251" s="71">
        <f t="shared" si="47"/>
        <v>0</v>
      </c>
    </row>
    <row r="252" spans="1:16" s="58" customFormat="1" ht="21.95" customHeight="1">
      <c r="A252" s="10">
        <f>+A250+1</f>
        <v>26</v>
      </c>
      <c r="B252" s="11" t="s">
        <v>1119</v>
      </c>
      <c r="C252" s="12" t="s">
        <v>84</v>
      </c>
      <c r="D252" s="13">
        <v>36000</v>
      </c>
      <c r="E252" s="14"/>
      <c r="F252" s="14"/>
      <c r="G252" s="206" t="s">
        <v>84</v>
      </c>
      <c r="H252" s="68"/>
      <c r="I252" s="127"/>
      <c r="J252" s="127"/>
      <c r="K252" s="12" t="str">
        <f t="shared" ref="K252:K262" si="48">C252</f>
        <v>đ/cái</v>
      </c>
      <c r="L252" s="19">
        <f t="shared" ref="L252:L265" si="49">D252</f>
        <v>36000</v>
      </c>
      <c r="M252" s="120"/>
      <c r="N252" s="120"/>
      <c r="O252" s="71">
        <f t="shared" si="46"/>
        <v>36000</v>
      </c>
      <c r="P252" s="71">
        <f t="shared" si="47"/>
        <v>36000</v>
      </c>
    </row>
    <row r="253" spans="1:16" s="58" customFormat="1" ht="21.95" customHeight="1">
      <c r="A253" s="10">
        <f t="shared" ref="A253:A262" si="50">+A252+1</f>
        <v>27</v>
      </c>
      <c r="B253" s="11" t="s">
        <v>1120</v>
      </c>
      <c r="C253" s="12" t="s">
        <v>84</v>
      </c>
      <c r="D253" s="13">
        <v>45000</v>
      </c>
      <c r="E253" s="14"/>
      <c r="F253" s="14"/>
      <c r="G253" s="206" t="s">
        <v>84</v>
      </c>
      <c r="H253" s="68"/>
      <c r="I253" s="127"/>
      <c r="J253" s="127"/>
      <c r="K253" s="12" t="str">
        <f t="shared" si="48"/>
        <v>đ/cái</v>
      </c>
      <c r="L253" s="19">
        <f t="shared" si="49"/>
        <v>45000</v>
      </c>
      <c r="M253" s="120"/>
      <c r="N253" s="120"/>
      <c r="O253" s="71">
        <f t="shared" si="46"/>
        <v>45000</v>
      </c>
      <c r="P253" s="71">
        <f t="shared" si="47"/>
        <v>45000</v>
      </c>
    </row>
    <row r="254" spans="1:16" s="58" customFormat="1" ht="21.95" customHeight="1">
      <c r="A254" s="10">
        <f t="shared" si="50"/>
        <v>28</v>
      </c>
      <c r="B254" s="11" t="s">
        <v>1121</v>
      </c>
      <c r="C254" s="12" t="s">
        <v>84</v>
      </c>
      <c r="D254" s="13">
        <v>65000</v>
      </c>
      <c r="E254" s="14"/>
      <c r="F254" s="14"/>
      <c r="G254" s="206" t="s">
        <v>84</v>
      </c>
      <c r="H254" s="68"/>
      <c r="I254" s="127"/>
      <c r="J254" s="127"/>
      <c r="K254" s="12" t="str">
        <f t="shared" si="48"/>
        <v>đ/cái</v>
      </c>
      <c r="L254" s="19">
        <f t="shared" si="49"/>
        <v>65000</v>
      </c>
      <c r="M254" s="120"/>
      <c r="N254" s="120"/>
      <c r="O254" s="71">
        <f t="shared" si="46"/>
        <v>65000</v>
      </c>
      <c r="P254" s="71">
        <f t="shared" si="47"/>
        <v>65000</v>
      </c>
    </row>
    <row r="255" spans="1:16" s="58" customFormat="1" ht="21.95" customHeight="1">
      <c r="A255" s="10">
        <f t="shared" si="50"/>
        <v>29</v>
      </c>
      <c r="B255" s="11" t="s">
        <v>1122</v>
      </c>
      <c r="C255" s="12" t="s">
        <v>84</v>
      </c>
      <c r="D255" s="13">
        <v>110000</v>
      </c>
      <c r="E255" s="14"/>
      <c r="F255" s="14"/>
      <c r="G255" s="206" t="s">
        <v>84</v>
      </c>
      <c r="H255" s="68"/>
      <c r="I255" s="127"/>
      <c r="J255" s="127"/>
      <c r="K255" s="12" t="str">
        <f t="shared" si="48"/>
        <v>đ/cái</v>
      </c>
      <c r="L255" s="19">
        <f t="shared" si="49"/>
        <v>110000</v>
      </c>
      <c r="M255" s="120"/>
      <c r="N255" s="120"/>
      <c r="O255" s="71">
        <f t="shared" si="46"/>
        <v>110000</v>
      </c>
      <c r="P255" s="71">
        <f t="shared" si="47"/>
        <v>110000</v>
      </c>
    </row>
    <row r="256" spans="1:16" s="58" customFormat="1" ht="21.95" customHeight="1">
      <c r="A256" s="10">
        <f t="shared" si="50"/>
        <v>30</v>
      </c>
      <c r="B256" s="11" t="s">
        <v>1123</v>
      </c>
      <c r="C256" s="12" t="s">
        <v>84</v>
      </c>
      <c r="D256" s="13">
        <v>130000</v>
      </c>
      <c r="E256" s="14"/>
      <c r="F256" s="14"/>
      <c r="G256" s="206" t="s">
        <v>84</v>
      </c>
      <c r="H256" s="68"/>
      <c r="I256" s="127"/>
      <c r="J256" s="127"/>
      <c r="K256" s="12" t="str">
        <f t="shared" si="48"/>
        <v>đ/cái</v>
      </c>
      <c r="L256" s="19">
        <f t="shared" si="49"/>
        <v>130000</v>
      </c>
      <c r="M256" s="120"/>
      <c r="N256" s="120"/>
      <c r="O256" s="71">
        <f t="shared" si="46"/>
        <v>130000</v>
      </c>
      <c r="P256" s="71">
        <f t="shared" si="47"/>
        <v>130000</v>
      </c>
    </row>
    <row r="257" spans="1:16" s="58" customFormat="1" ht="21.95" customHeight="1">
      <c r="A257" s="10">
        <f t="shared" si="50"/>
        <v>31</v>
      </c>
      <c r="B257" s="11" t="s">
        <v>1452</v>
      </c>
      <c r="C257" s="12" t="s">
        <v>84</v>
      </c>
      <c r="D257" s="13">
        <v>150000</v>
      </c>
      <c r="E257" s="14"/>
      <c r="F257" s="14"/>
      <c r="G257" s="206" t="s">
        <v>84</v>
      </c>
      <c r="H257" s="68"/>
      <c r="I257" s="127"/>
      <c r="J257" s="127"/>
      <c r="K257" s="12" t="str">
        <f>C257</f>
        <v>đ/cái</v>
      </c>
      <c r="L257" s="19">
        <f t="shared" si="49"/>
        <v>150000</v>
      </c>
      <c r="M257" s="120"/>
      <c r="N257" s="120"/>
      <c r="O257" s="71">
        <f>D257</f>
        <v>150000</v>
      </c>
      <c r="P257" s="71">
        <f>L257</f>
        <v>150000</v>
      </c>
    </row>
    <row r="258" spans="1:16" s="58" customFormat="1" ht="21.95" customHeight="1">
      <c r="A258" s="10">
        <f t="shared" si="50"/>
        <v>32</v>
      </c>
      <c r="B258" s="11" t="s">
        <v>1453</v>
      </c>
      <c r="C258" s="12" t="s">
        <v>84</v>
      </c>
      <c r="D258" s="13">
        <v>180000</v>
      </c>
      <c r="E258" s="14"/>
      <c r="F258" s="14"/>
      <c r="G258" s="206" t="s">
        <v>84</v>
      </c>
      <c r="H258" s="68"/>
      <c r="I258" s="127"/>
      <c r="J258" s="127"/>
      <c r="K258" s="12" t="str">
        <f>C258</f>
        <v>đ/cái</v>
      </c>
      <c r="L258" s="19">
        <f t="shared" si="49"/>
        <v>180000</v>
      </c>
      <c r="M258" s="120"/>
      <c r="N258" s="120"/>
      <c r="O258" s="71">
        <f>D258</f>
        <v>180000</v>
      </c>
      <c r="P258" s="71">
        <f>L258</f>
        <v>180000</v>
      </c>
    </row>
    <row r="259" spans="1:16" s="58" customFormat="1" ht="21.95" customHeight="1">
      <c r="A259" s="10">
        <f t="shared" si="50"/>
        <v>33</v>
      </c>
      <c r="B259" s="11" t="s">
        <v>1124</v>
      </c>
      <c r="C259" s="12" t="s">
        <v>84</v>
      </c>
      <c r="D259" s="13">
        <v>33000</v>
      </c>
      <c r="E259" s="14"/>
      <c r="F259" s="14"/>
      <c r="G259" s="206" t="s">
        <v>84</v>
      </c>
      <c r="H259" s="68"/>
      <c r="I259" s="127"/>
      <c r="J259" s="127"/>
      <c r="K259" s="12" t="str">
        <f t="shared" si="48"/>
        <v>đ/cái</v>
      </c>
      <c r="L259" s="19">
        <f t="shared" si="49"/>
        <v>33000</v>
      </c>
      <c r="M259" s="120"/>
      <c r="N259" s="120"/>
      <c r="O259" s="71">
        <f t="shared" si="46"/>
        <v>33000</v>
      </c>
      <c r="P259" s="71">
        <f t="shared" si="47"/>
        <v>33000</v>
      </c>
    </row>
    <row r="260" spans="1:16" s="58" customFormat="1" ht="21.95" customHeight="1">
      <c r="A260" s="10">
        <f t="shared" si="50"/>
        <v>34</v>
      </c>
      <c r="B260" s="11" t="s">
        <v>1125</v>
      </c>
      <c r="C260" s="12" t="s">
        <v>84</v>
      </c>
      <c r="D260" s="13">
        <v>41000</v>
      </c>
      <c r="E260" s="14"/>
      <c r="F260" s="14"/>
      <c r="G260" s="206" t="s">
        <v>84</v>
      </c>
      <c r="H260" s="68"/>
      <c r="I260" s="127"/>
      <c r="J260" s="127"/>
      <c r="K260" s="12" t="str">
        <f t="shared" si="48"/>
        <v>đ/cái</v>
      </c>
      <c r="L260" s="19">
        <f t="shared" si="49"/>
        <v>41000</v>
      </c>
      <c r="M260" s="120"/>
      <c r="N260" s="120"/>
      <c r="O260" s="71">
        <f t="shared" si="46"/>
        <v>41000</v>
      </c>
      <c r="P260" s="71">
        <f t="shared" si="47"/>
        <v>41000</v>
      </c>
    </row>
    <row r="261" spans="1:16" s="58" customFormat="1" ht="21.95" customHeight="1">
      <c r="A261" s="10">
        <f t="shared" si="50"/>
        <v>35</v>
      </c>
      <c r="B261" s="11" t="s">
        <v>1126</v>
      </c>
      <c r="C261" s="12" t="s">
        <v>84</v>
      </c>
      <c r="D261" s="13">
        <v>55000</v>
      </c>
      <c r="E261" s="14"/>
      <c r="F261" s="14"/>
      <c r="G261" s="206" t="s">
        <v>84</v>
      </c>
      <c r="H261" s="68"/>
      <c r="I261" s="127"/>
      <c r="J261" s="127"/>
      <c r="K261" s="12" t="str">
        <f t="shared" si="48"/>
        <v>đ/cái</v>
      </c>
      <c r="L261" s="19">
        <f t="shared" si="49"/>
        <v>55000</v>
      </c>
      <c r="M261" s="120"/>
      <c r="N261" s="120"/>
      <c r="O261" s="71">
        <f t="shared" si="46"/>
        <v>55000</v>
      </c>
      <c r="P261" s="71">
        <f t="shared" si="47"/>
        <v>55000</v>
      </c>
    </row>
    <row r="262" spans="1:16" s="58" customFormat="1" ht="21.95" customHeight="1">
      <c r="A262" s="10">
        <f t="shared" si="50"/>
        <v>36</v>
      </c>
      <c r="B262" s="11" t="s">
        <v>1127</v>
      </c>
      <c r="C262" s="12" t="s">
        <v>84</v>
      </c>
      <c r="D262" s="13">
        <v>71000</v>
      </c>
      <c r="E262" s="14"/>
      <c r="F262" s="14"/>
      <c r="G262" s="206" t="s">
        <v>84</v>
      </c>
      <c r="H262" s="68"/>
      <c r="I262" s="127"/>
      <c r="J262" s="127"/>
      <c r="K262" s="12" t="str">
        <f t="shared" si="48"/>
        <v>đ/cái</v>
      </c>
      <c r="L262" s="19">
        <f t="shared" si="49"/>
        <v>71000</v>
      </c>
      <c r="M262" s="120"/>
      <c r="N262" s="120"/>
      <c r="O262" s="71">
        <f t="shared" si="46"/>
        <v>71000</v>
      </c>
      <c r="P262" s="71">
        <f t="shared" si="47"/>
        <v>71000</v>
      </c>
    </row>
    <row r="263" spans="1:16" s="58" customFormat="1" ht="21.95" customHeight="1">
      <c r="A263" s="10">
        <f>+A259+1</f>
        <v>34</v>
      </c>
      <c r="B263" s="11" t="s">
        <v>1128</v>
      </c>
      <c r="C263" s="12" t="s">
        <v>84</v>
      </c>
      <c r="D263" s="13">
        <v>132000</v>
      </c>
      <c r="E263" s="14"/>
      <c r="F263" s="14"/>
      <c r="G263" s="206" t="s">
        <v>84</v>
      </c>
      <c r="H263" s="68"/>
      <c r="I263" s="127"/>
      <c r="J263" s="127"/>
      <c r="K263" s="12" t="str">
        <f>C263</f>
        <v>đ/cái</v>
      </c>
      <c r="L263" s="19">
        <f t="shared" si="49"/>
        <v>132000</v>
      </c>
      <c r="M263" s="120"/>
      <c r="N263" s="120"/>
      <c r="O263" s="71">
        <f>D263</f>
        <v>132000</v>
      </c>
      <c r="P263" s="71">
        <f>L263</f>
        <v>132000</v>
      </c>
    </row>
    <row r="264" spans="1:16" s="58" customFormat="1" ht="21.95" customHeight="1">
      <c r="A264" s="10">
        <f>+A260+1</f>
        <v>35</v>
      </c>
      <c r="B264" s="11" t="s">
        <v>1454</v>
      </c>
      <c r="C264" s="12" t="s">
        <v>84</v>
      </c>
      <c r="D264" s="13">
        <v>160000</v>
      </c>
      <c r="E264" s="14"/>
      <c r="F264" s="14"/>
      <c r="G264" s="206" t="s">
        <v>84</v>
      </c>
      <c r="H264" s="68"/>
      <c r="I264" s="127"/>
      <c r="J264" s="127"/>
      <c r="K264" s="12" t="str">
        <f>C264</f>
        <v>đ/cái</v>
      </c>
      <c r="L264" s="19">
        <f t="shared" si="49"/>
        <v>160000</v>
      </c>
      <c r="M264" s="120"/>
      <c r="N264" s="120"/>
      <c r="O264" s="71">
        <f>D264</f>
        <v>160000</v>
      </c>
      <c r="P264" s="71">
        <f>L264</f>
        <v>160000</v>
      </c>
    </row>
    <row r="265" spans="1:16" s="58" customFormat="1" ht="21.95" customHeight="1">
      <c r="A265" s="10">
        <f>+A261+1</f>
        <v>36</v>
      </c>
      <c r="B265" s="11" t="s">
        <v>1455</v>
      </c>
      <c r="C265" s="12" t="s">
        <v>84</v>
      </c>
      <c r="D265" s="13">
        <v>190000</v>
      </c>
      <c r="E265" s="14"/>
      <c r="F265" s="14"/>
      <c r="G265" s="206" t="s">
        <v>84</v>
      </c>
      <c r="H265" s="68"/>
      <c r="I265" s="127"/>
      <c r="J265" s="127"/>
      <c r="K265" s="12" t="str">
        <f>C265</f>
        <v>đ/cái</v>
      </c>
      <c r="L265" s="19">
        <f t="shared" si="49"/>
        <v>190000</v>
      </c>
      <c r="M265" s="120"/>
      <c r="N265" s="120"/>
      <c r="O265" s="71">
        <f>D265</f>
        <v>190000</v>
      </c>
      <c r="P265" s="71">
        <f>L265</f>
        <v>190000</v>
      </c>
    </row>
    <row r="266" spans="1:16" s="58" customFormat="1" ht="33.75" customHeight="1">
      <c r="A266" s="10"/>
      <c r="B266" s="237" t="s">
        <v>1880</v>
      </c>
      <c r="C266" s="238"/>
      <c r="D266" s="238"/>
      <c r="E266" s="238"/>
      <c r="F266" s="238"/>
      <c r="G266" s="238"/>
      <c r="H266" s="238"/>
      <c r="I266" s="238"/>
      <c r="J266" s="238"/>
      <c r="K266" s="238"/>
      <c r="L266" s="238"/>
      <c r="M266" s="238"/>
      <c r="N266" s="239"/>
      <c r="O266" s="71">
        <f t="shared" si="46"/>
        <v>0</v>
      </c>
      <c r="P266" s="71">
        <f t="shared" si="47"/>
        <v>0</v>
      </c>
    </row>
    <row r="267" spans="1:16" s="58" customFormat="1" ht="21.95" customHeight="1">
      <c r="A267" s="12">
        <v>1</v>
      </c>
      <c r="B267" s="11" t="s">
        <v>141</v>
      </c>
      <c r="C267" s="12" t="s">
        <v>90</v>
      </c>
      <c r="D267" s="13">
        <v>48391</v>
      </c>
      <c r="E267" s="13"/>
      <c r="F267" s="13"/>
      <c r="G267" s="12" t="s">
        <v>90</v>
      </c>
      <c r="H267" s="68">
        <v>57569</v>
      </c>
      <c r="I267" s="127"/>
      <c r="J267" s="127"/>
      <c r="K267" s="12" t="str">
        <f>C267</f>
        <v>đ/m</v>
      </c>
      <c r="L267" s="19">
        <f>H267</f>
        <v>57569</v>
      </c>
      <c r="M267" s="120"/>
      <c r="N267" s="120"/>
      <c r="O267" s="71">
        <f t="shared" si="46"/>
        <v>48391</v>
      </c>
      <c r="P267" s="71">
        <f t="shared" si="47"/>
        <v>57569</v>
      </c>
    </row>
    <row r="268" spans="1:16" s="58" customFormat="1" ht="21.95" customHeight="1">
      <c r="A268" s="12">
        <f>+A267+1</f>
        <v>2</v>
      </c>
      <c r="B268" s="11" t="s">
        <v>142</v>
      </c>
      <c r="C268" s="12" t="s">
        <v>90</v>
      </c>
      <c r="D268" s="13">
        <v>62217</v>
      </c>
      <c r="E268" s="13"/>
      <c r="F268" s="13"/>
      <c r="G268" s="12" t="s">
        <v>90</v>
      </c>
      <c r="H268" s="68">
        <v>71970</v>
      </c>
      <c r="I268" s="127"/>
      <c r="J268" s="127"/>
      <c r="K268" s="12" t="str">
        <f>C268</f>
        <v>đ/m</v>
      </c>
      <c r="L268" s="19">
        <f>H268</f>
        <v>71970</v>
      </c>
      <c r="M268" s="120"/>
      <c r="N268" s="120"/>
      <c r="O268" s="71">
        <f t="shared" si="46"/>
        <v>62217</v>
      </c>
      <c r="P268" s="71">
        <f t="shared" si="47"/>
        <v>71970</v>
      </c>
    </row>
    <row r="269" spans="1:16" s="58" customFormat="1" ht="21.95" customHeight="1">
      <c r="A269" s="12">
        <f>+A268+1</f>
        <v>3</v>
      </c>
      <c r="B269" s="11" t="s">
        <v>143</v>
      </c>
      <c r="C269" s="12" t="s">
        <v>90</v>
      </c>
      <c r="D269" s="13">
        <v>87505</v>
      </c>
      <c r="E269" s="13"/>
      <c r="F269" s="13"/>
      <c r="G269" s="12" t="s">
        <v>90</v>
      </c>
      <c r="H269" s="68">
        <v>98319</v>
      </c>
      <c r="I269" s="127"/>
      <c r="J269" s="127"/>
      <c r="K269" s="12" t="str">
        <f>C269</f>
        <v>đ/m</v>
      </c>
      <c r="L269" s="19">
        <f>H269</f>
        <v>98319</v>
      </c>
      <c r="M269" s="120"/>
      <c r="N269" s="120"/>
      <c r="O269" s="71">
        <f t="shared" si="46"/>
        <v>87505</v>
      </c>
      <c r="P269" s="71">
        <f t="shared" si="47"/>
        <v>98319</v>
      </c>
    </row>
    <row r="270" spans="1:16" s="58" customFormat="1" ht="21.95" customHeight="1">
      <c r="A270" s="12">
        <f>+A269+1</f>
        <v>4</v>
      </c>
      <c r="B270" s="11" t="s">
        <v>1771</v>
      </c>
      <c r="C270" s="12" t="s">
        <v>90</v>
      </c>
      <c r="D270" s="13"/>
      <c r="E270" s="13"/>
      <c r="F270" s="13"/>
      <c r="G270" s="12" t="s">
        <v>90</v>
      </c>
      <c r="H270" s="68">
        <v>196177</v>
      </c>
      <c r="I270" s="127"/>
      <c r="J270" s="127"/>
      <c r="K270" s="12" t="str">
        <f>C270</f>
        <v>đ/m</v>
      </c>
      <c r="L270" s="19">
        <f>H270</f>
        <v>196177</v>
      </c>
      <c r="M270" s="120"/>
      <c r="N270" s="120"/>
      <c r="O270" s="71">
        <f>D270</f>
        <v>0</v>
      </c>
      <c r="P270" s="71">
        <f>L270</f>
        <v>196177</v>
      </c>
    </row>
    <row r="271" spans="1:16" s="58" customFormat="1" ht="17.25">
      <c r="A271" s="17"/>
      <c r="B271" s="237" t="s">
        <v>1693</v>
      </c>
      <c r="C271" s="238"/>
      <c r="D271" s="238"/>
      <c r="E271" s="238"/>
      <c r="F271" s="238"/>
      <c r="G271" s="238"/>
      <c r="H271" s="238"/>
      <c r="I271" s="238"/>
      <c r="J271" s="238"/>
      <c r="K271" s="238"/>
      <c r="L271" s="238"/>
      <c r="M271" s="238"/>
      <c r="N271" s="239"/>
      <c r="O271" s="69"/>
      <c r="P271" s="69"/>
    </row>
    <row r="272" spans="1:16" s="58" customFormat="1" ht="24.75" customHeight="1">
      <c r="A272" s="15"/>
      <c r="B272" s="9" t="s">
        <v>144</v>
      </c>
      <c r="C272" s="12"/>
      <c r="D272" s="14"/>
      <c r="E272" s="14"/>
      <c r="F272" s="14"/>
      <c r="G272" s="127"/>
      <c r="H272" s="127"/>
      <c r="I272" s="127"/>
      <c r="J272" s="127"/>
      <c r="K272" s="116"/>
      <c r="L272" s="120"/>
      <c r="M272" s="120"/>
      <c r="N272" s="120"/>
      <c r="O272" s="69"/>
      <c r="P272" s="69"/>
    </row>
    <row r="273" spans="1:16" s="58" customFormat="1" ht="24" customHeight="1">
      <c r="A273" s="15"/>
      <c r="B273" s="9" t="s">
        <v>92</v>
      </c>
      <c r="C273" s="12"/>
      <c r="D273" s="14"/>
      <c r="E273" s="14"/>
      <c r="F273" s="14"/>
      <c r="G273" s="127"/>
      <c r="H273" s="127"/>
      <c r="I273" s="127"/>
      <c r="J273" s="127"/>
      <c r="K273" s="116"/>
      <c r="L273" s="120"/>
      <c r="M273" s="120"/>
      <c r="N273" s="120"/>
      <c r="O273" s="69"/>
      <c r="P273" s="69"/>
    </row>
    <row r="274" spans="1:16" s="58" customFormat="1" ht="24" customHeight="1">
      <c r="A274" s="15">
        <v>1</v>
      </c>
      <c r="B274" s="11" t="s">
        <v>1113</v>
      </c>
      <c r="C274" s="12" t="s">
        <v>90</v>
      </c>
      <c r="D274" s="68">
        <v>270000</v>
      </c>
      <c r="E274" s="69"/>
      <c r="F274" s="14"/>
      <c r="G274" s="206" t="s">
        <v>90</v>
      </c>
      <c r="H274" s="68"/>
      <c r="I274" s="127"/>
      <c r="J274" s="127"/>
      <c r="K274" s="12" t="str">
        <f>C274</f>
        <v>đ/m</v>
      </c>
      <c r="L274" s="19">
        <f>D274</f>
        <v>270000</v>
      </c>
      <c r="M274" s="120"/>
      <c r="N274" s="120"/>
      <c r="O274" s="71">
        <f t="shared" ref="O274:O300" si="51">D274</f>
        <v>270000</v>
      </c>
      <c r="P274" s="71">
        <f t="shared" ref="P274:P300" si="52">L274</f>
        <v>270000</v>
      </c>
    </row>
    <row r="275" spans="1:16" s="58" customFormat="1" ht="24" customHeight="1">
      <c r="A275" s="15">
        <f>+A274+1</f>
        <v>2</v>
      </c>
      <c r="B275" s="11" t="s">
        <v>93</v>
      </c>
      <c r="C275" s="12" t="s">
        <v>90</v>
      </c>
      <c r="D275" s="68">
        <v>286364</v>
      </c>
      <c r="E275" s="69"/>
      <c r="F275" s="14"/>
      <c r="G275" s="206" t="s">
        <v>90</v>
      </c>
      <c r="H275" s="68"/>
      <c r="I275" s="127"/>
      <c r="J275" s="127"/>
      <c r="K275" s="12" t="str">
        <f t="shared" ref="K275:K296" si="53">C275</f>
        <v>đ/m</v>
      </c>
      <c r="L275" s="19">
        <f>D275</f>
        <v>286364</v>
      </c>
      <c r="M275" s="120"/>
      <c r="N275" s="120"/>
      <c r="O275" s="71">
        <f t="shared" si="51"/>
        <v>286364</v>
      </c>
      <c r="P275" s="71">
        <f t="shared" si="52"/>
        <v>286364</v>
      </c>
    </row>
    <row r="276" spans="1:16" s="58" customFormat="1" ht="24" customHeight="1">
      <c r="A276" s="15">
        <f>+A275+1</f>
        <v>3</v>
      </c>
      <c r="B276" s="11" t="s">
        <v>94</v>
      </c>
      <c r="C276" s="12" t="s">
        <v>90</v>
      </c>
      <c r="D276" s="68">
        <v>300000</v>
      </c>
      <c r="E276" s="69"/>
      <c r="F276" s="14"/>
      <c r="G276" s="206" t="s">
        <v>90</v>
      </c>
      <c r="H276" s="68"/>
      <c r="I276" s="127"/>
      <c r="J276" s="127"/>
      <c r="K276" s="12" t="str">
        <f t="shared" si="53"/>
        <v>đ/m</v>
      </c>
      <c r="L276" s="19">
        <f>D276</f>
        <v>300000</v>
      </c>
      <c r="M276" s="120"/>
      <c r="N276" s="120"/>
      <c r="O276" s="71">
        <f t="shared" si="51"/>
        <v>300000</v>
      </c>
      <c r="P276" s="71">
        <f t="shared" si="52"/>
        <v>300000</v>
      </c>
    </row>
    <row r="277" spans="1:16" s="58" customFormat="1" ht="24" customHeight="1">
      <c r="A277" s="15"/>
      <c r="B277" s="9" t="s">
        <v>145</v>
      </c>
      <c r="C277" s="12"/>
      <c r="D277" s="68"/>
      <c r="E277" s="69"/>
      <c r="F277" s="14"/>
      <c r="G277" s="206"/>
      <c r="H277" s="68"/>
      <c r="I277" s="127"/>
      <c r="J277" s="127"/>
      <c r="K277" s="12"/>
      <c r="L277" s="19"/>
      <c r="M277" s="120"/>
      <c r="N277" s="120"/>
      <c r="O277" s="71"/>
      <c r="P277" s="71"/>
    </row>
    <row r="278" spans="1:16" s="58" customFormat="1" ht="24" customHeight="1">
      <c r="A278" s="15">
        <f>+A276+1</f>
        <v>4</v>
      </c>
      <c r="B278" s="11" t="s">
        <v>1113</v>
      </c>
      <c r="C278" s="12" t="s">
        <v>90</v>
      </c>
      <c r="D278" s="68">
        <v>420000</v>
      </c>
      <c r="E278" s="69"/>
      <c r="F278" s="14"/>
      <c r="G278" s="206" t="s">
        <v>90</v>
      </c>
      <c r="H278" s="68"/>
      <c r="I278" s="127"/>
      <c r="J278" s="127"/>
      <c r="K278" s="12" t="str">
        <f t="shared" si="53"/>
        <v>đ/m</v>
      </c>
      <c r="L278" s="19">
        <f>D278</f>
        <v>420000</v>
      </c>
      <c r="M278" s="120"/>
      <c r="N278" s="120"/>
      <c r="O278" s="71">
        <f t="shared" si="51"/>
        <v>420000</v>
      </c>
      <c r="P278" s="71">
        <f t="shared" si="52"/>
        <v>420000</v>
      </c>
    </row>
    <row r="279" spans="1:16" s="58" customFormat="1" ht="24" customHeight="1">
      <c r="A279" s="15">
        <f>+A278+1</f>
        <v>5</v>
      </c>
      <c r="B279" s="11" t="s">
        <v>93</v>
      </c>
      <c r="C279" s="12" t="s">
        <v>90</v>
      </c>
      <c r="D279" s="68">
        <v>470000</v>
      </c>
      <c r="E279" s="69"/>
      <c r="F279" s="14"/>
      <c r="G279" s="206" t="s">
        <v>90</v>
      </c>
      <c r="H279" s="68"/>
      <c r="I279" s="127"/>
      <c r="J279" s="127"/>
      <c r="K279" s="12" t="str">
        <f t="shared" si="53"/>
        <v>đ/m</v>
      </c>
      <c r="L279" s="19">
        <f>D279</f>
        <v>470000</v>
      </c>
      <c r="M279" s="120"/>
      <c r="N279" s="120"/>
      <c r="O279" s="71">
        <f t="shared" si="51"/>
        <v>470000</v>
      </c>
      <c r="P279" s="71">
        <f t="shared" si="52"/>
        <v>470000</v>
      </c>
    </row>
    <row r="280" spans="1:16" s="58" customFormat="1" ht="24" customHeight="1">
      <c r="A280" s="15">
        <f>+A279+1</f>
        <v>6</v>
      </c>
      <c r="B280" s="11" t="s">
        <v>94</v>
      </c>
      <c r="C280" s="12" t="s">
        <v>90</v>
      </c>
      <c r="D280" s="68">
        <v>500000</v>
      </c>
      <c r="E280" s="69"/>
      <c r="F280" s="14"/>
      <c r="G280" s="206" t="s">
        <v>90</v>
      </c>
      <c r="H280" s="68"/>
      <c r="I280" s="127"/>
      <c r="J280" s="127"/>
      <c r="K280" s="12" t="str">
        <f t="shared" si="53"/>
        <v>đ/m</v>
      </c>
      <c r="L280" s="19">
        <f>D280</f>
        <v>500000</v>
      </c>
      <c r="M280" s="120"/>
      <c r="N280" s="120"/>
      <c r="O280" s="71">
        <f t="shared" si="51"/>
        <v>500000</v>
      </c>
      <c r="P280" s="71">
        <f t="shared" si="52"/>
        <v>500000</v>
      </c>
    </row>
    <row r="281" spans="1:16" s="58" customFormat="1" ht="24" customHeight="1">
      <c r="A281" s="15"/>
      <c r="B281" s="9" t="s">
        <v>96</v>
      </c>
      <c r="C281" s="12"/>
      <c r="D281" s="68"/>
      <c r="E281" s="69"/>
      <c r="F281" s="14"/>
      <c r="G281" s="206"/>
      <c r="H281" s="68"/>
      <c r="I281" s="127"/>
      <c r="J281" s="127"/>
      <c r="K281" s="12"/>
      <c r="L281" s="19"/>
      <c r="M281" s="120"/>
      <c r="N281" s="120"/>
      <c r="O281" s="71"/>
      <c r="P281" s="71"/>
    </row>
    <row r="282" spans="1:16" s="58" customFormat="1" ht="24" customHeight="1">
      <c r="A282" s="15">
        <f>+A280+1</f>
        <v>7</v>
      </c>
      <c r="B282" s="11" t="s">
        <v>1113</v>
      </c>
      <c r="C282" s="12" t="s">
        <v>90</v>
      </c>
      <c r="D282" s="68">
        <v>670000</v>
      </c>
      <c r="E282" s="69"/>
      <c r="F282" s="14"/>
      <c r="G282" s="206" t="s">
        <v>90</v>
      </c>
      <c r="H282" s="68"/>
      <c r="I282" s="127"/>
      <c r="J282" s="127"/>
      <c r="K282" s="12" t="str">
        <f t="shared" si="53"/>
        <v>đ/m</v>
      </c>
      <c r="L282" s="19">
        <f>D282</f>
        <v>670000</v>
      </c>
      <c r="M282" s="120"/>
      <c r="N282" s="120"/>
      <c r="O282" s="71">
        <f t="shared" si="51"/>
        <v>670000</v>
      </c>
      <c r="P282" s="71">
        <f t="shared" si="52"/>
        <v>670000</v>
      </c>
    </row>
    <row r="283" spans="1:16" s="58" customFormat="1" ht="24" customHeight="1">
      <c r="A283" s="15">
        <f>+A282+1</f>
        <v>8</v>
      </c>
      <c r="B283" s="11" t="s">
        <v>93</v>
      </c>
      <c r="C283" s="12" t="s">
        <v>90</v>
      </c>
      <c r="D283" s="68">
        <v>740000</v>
      </c>
      <c r="E283" s="69"/>
      <c r="F283" s="14"/>
      <c r="G283" s="206" t="s">
        <v>90</v>
      </c>
      <c r="H283" s="68"/>
      <c r="I283" s="127"/>
      <c r="J283" s="127"/>
      <c r="K283" s="12" t="str">
        <f t="shared" si="53"/>
        <v>đ/m</v>
      </c>
      <c r="L283" s="19">
        <f>D283</f>
        <v>740000</v>
      </c>
      <c r="M283" s="120"/>
      <c r="N283" s="120"/>
      <c r="O283" s="71">
        <f t="shared" si="51"/>
        <v>740000</v>
      </c>
      <c r="P283" s="71">
        <f t="shared" si="52"/>
        <v>740000</v>
      </c>
    </row>
    <row r="284" spans="1:16" s="58" customFormat="1" ht="24" customHeight="1">
      <c r="A284" s="15">
        <f>+A283+1</f>
        <v>9</v>
      </c>
      <c r="B284" s="11" t="s">
        <v>94</v>
      </c>
      <c r="C284" s="12" t="s">
        <v>90</v>
      </c>
      <c r="D284" s="68">
        <v>860000</v>
      </c>
      <c r="E284" s="69"/>
      <c r="F284" s="14"/>
      <c r="G284" s="206" t="s">
        <v>90</v>
      </c>
      <c r="H284" s="68"/>
      <c r="I284" s="127"/>
      <c r="J284" s="127"/>
      <c r="K284" s="12" t="str">
        <f t="shared" si="53"/>
        <v>đ/m</v>
      </c>
      <c r="L284" s="19">
        <f>D284</f>
        <v>860000</v>
      </c>
      <c r="M284" s="120"/>
      <c r="N284" s="120"/>
      <c r="O284" s="71">
        <f t="shared" si="51"/>
        <v>860000</v>
      </c>
      <c r="P284" s="71">
        <f t="shared" si="52"/>
        <v>860000</v>
      </c>
    </row>
    <row r="285" spans="1:16" s="58" customFormat="1" ht="24" customHeight="1">
      <c r="A285" s="7"/>
      <c r="B285" s="9" t="s">
        <v>146</v>
      </c>
      <c r="C285" s="12"/>
      <c r="D285" s="68"/>
      <c r="E285" s="69"/>
      <c r="F285" s="14"/>
      <c r="G285" s="206"/>
      <c r="H285" s="68"/>
      <c r="I285" s="127"/>
      <c r="J285" s="127"/>
      <c r="K285" s="12"/>
      <c r="L285" s="19"/>
      <c r="M285" s="120"/>
      <c r="N285" s="120"/>
      <c r="O285" s="71"/>
      <c r="P285" s="71"/>
    </row>
    <row r="286" spans="1:16" s="58" customFormat="1" ht="24" customHeight="1">
      <c r="A286" s="15">
        <f>+A284+1</f>
        <v>10</v>
      </c>
      <c r="B286" s="11" t="s">
        <v>1113</v>
      </c>
      <c r="C286" s="12" t="s">
        <v>90</v>
      </c>
      <c r="D286" s="68">
        <v>1080000</v>
      </c>
      <c r="E286" s="69"/>
      <c r="F286" s="14"/>
      <c r="G286" s="206" t="s">
        <v>90</v>
      </c>
      <c r="H286" s="68"/>
      <c r="I286" s="127"/>
      <c r="J286" s="127"/>
      <c r="K286" s="12" t="str">
        <f t="shared" si="53"/>
        <v>đ/m</v>
      </c>
      <c r="L286" s="19">
        <f>D286</f>
        <v>1080000</v>
      </c>
      <c r="M286" s="120"/>
      <c r="N286" s="120"/>
      <c r="O286" s="71">
        <f t="shared" si="51"/>
        <v>1080000</v>
      </c>
      <c r="P286" s="71">
        <f t="shared" si="52"/>
        <v>1080000</v>
      </c>
    </row>
    <row r="287" spans="1:16" s="58" customFormat="1" ht="24" customHeight="1">
      <c r="A287" s="15">
        <f>+A286+1</f>
        <v>11</v>
      </c>
      <c r="B287" s="11" t="s">
        <v>93</v>
      </c>
      <c r="C287" s="12" t="s">
        <v>90</v>
      </c>
      <c r="D287" s="68">
        <v>1172727</v>
      </c>
      <c r="E287" s="69"/>
      <c r="F287" s="14"/>
      <c r="G287" s="206" t="s">
        <v>90</v>
      </c>
      <c r="H287" s="68"/>
      <c r="I287" s="127"/>
      <c r="J287" s="127"/>
      <c r="K287" s="12" t="str">
        <f t="shared" si="53"/>
        <v>đ/m</v>
      </c>
      <c r="L287" s="19">
        <f>D287</f>
        <v>1172727</v>
      </c>
      <c r="M287" s="120"/>
      <c r="N287" s="120"/>
      <c r="O287" s="71">
        <f t="shared" si="51"/>
        <v>1172727</v>
      </c>
      <c r="P287" s="71">
        <f t="shared" si="52"/>
        <v>1172727</v>
      </c>
    </row>
    <row r="288" spans="1:16" s="58" customFormat="1" ht="24" customHeight="1">
      <c r="A288" s="15">
        <f>+A287+1</f>
        <v>12</v>
      </c>
      <c r="B288" s="11" t="s">
        <v>94</v>
      </c>
      <c r="C288" s="12" t="s">
        <v>90</v>
      </c>
      <c r="D288" s="68">
        <v>1350000</v>
      </c>
      <c r="E288" s="69"/>
      <c r="F288" s="14"/>
      <c r="G288" s="206" t="s">
        <v>90</v>
      </c>
      <c r="H288" s="68"/>
      <c r="I288" s="127"/>
      <c r="J288" s="127"/>
      <c r="K288" s="12" t="str">
        <f t="shared" si="53"/>
        <v>đ/m</v>
      </c>
      <c r="L288" s="19">
        <f>D288</f>
        <v>1350000</v>
      </c>
      <c r="M288" s="120"/>
      <c r="N288" s="120"/>
      <c r="O288" s="71">
        <f t="shared" si="51"/>
        <v>1350000</v>
      </c>
      <c r="P288" s="71">
        <f t="shared" si="52"/>
        <v>1350000</v>
      </c>
    </row>
    <row r="289" spans="1:16" s="58" customFormat="1" ht="24" customHeight="1">
      <c r="A289" s="15"/>
      <c r="B289" s="9" t="s">
        <v>147</v>
      </c>
      <c r="C289" s="12"/>
      <c r="D289" s="68"/>
      <c r="E289" s="69"/>
      <c r="F289" s="14"/>
      <c r="G289" s="206"/>
      <c r="H289" s="68"/>
      <c r="I289" s="127"/>
      <c r="J289" s="127"/>
      <c r="K289" s="12"/>
      <c r="L289" s="19"/>
      <c r="M289" s="120"/>
      <c r="N289" s="120"/>
      <c r="O289" s="71"/>
      <c r="P289" s="71"/>
    </row>
    <row r="290" spans="1:16" s="58" customFormat="1" ht="24" customHeight="1">
      <c r="A290" s="15">
        <f>+A288+1</f>
        <v>13</v>
      </c>
      <c r="B290" s="11" t="s">
        <v>1113</v>
      </c>
      <c r="C290" s="12" t="s">
        <v>90</v>
      </c>
      <c r="D290" s="68">
        <v>2100000</v>
      </c>
      <c r="E290" s="69"/>
      <c r="F290" s="14"/>
      <c r="G290" s="206" t="s">
        <v>90</v>
      </c>
      <c r="H290" s="68"/>
      <c r="I290" s="127"/>
      <c r="J290" s="127"/>
      <c r="K290" s="12" t="str">
        <f t="shared" si="53"/>
        <v>đ/m</v>
      </c>
      <c r="L290" s="19">
        <f>D290</f>
        <v>2100000</v>
      </c>
      <c r="M290" s="120"/>
      <c r="N290" s="120"/>
      <c r="O290" s="71">
        <f t="shared" si="51"/>
        <v>2100000</v>
      </c>
      <c r="P290" s="71">
        <f t="shared" si="52"/>
        <v>2100000</v>
      </c>
    </row>
    <row r="291" spans="1:16" s="58" customFormat="1" ht="24" customHeight="1">
      <c r="A291" s="15">
        <f>+A290+1</f>
        <v>14</v>
      </c>
      <c r="B291" s="11" t="s">
        <v>93</v>
      </c>
      <c r="C291" s="12" t="s">
        <v>90</v>
      </c>
      <c r="D291" s="68">
        <v>2150000</v>
      </c>
      <c r="E291" s="69"/>
      <c r="F291" s="14"/>
      <c r="G291" s="206" t="s">
        <v>90</v>
      </c>
      <c r="H291" s="68"/>
      <c r="I291" s="127"/>
      <c r="J291" s="127"/>
      <c r="K291" s="12" t="str">
        <f t="shared" si="53"/>
        <v>đ/m</v>
      </c>
      <c r="L291" s="19">
        <f>D291</f>
        <v>2150000</v>
      </c>
      <c r="M291" s="120"/>
      <c r="N291" s="120"/>
      <c r="O291" s="71">
        <f t="shared" si="51"/>
        <v>2150000</v>
      </c>
      <c r="P291" s="71">
        <f t="shared" si="52"/>
        <v>2150000</v>
      </c>
    </row>
    <row r="292" spans="1:16" s="58" customFormat="1" ht="24" customHeight="1">
      <c r="A292" s="15">
        <f>+A291+1</f>
        <v>15</v>
      </c>
      <c r="B292" s="11" t="s">
        <v>94</v>
      </c>
      <c r="C292" s="12" t="s">
        <v>90</v>
      </c>
      <c r="D292" s="68">
        <v>2300000</v>
      </c>
      <c r="E292" s="69"/>
      <c r="F292" s="14"/>
      <c r="G292" s="206" t="s">
        <v>90</v>
      </c>
      <c r="H292" s="68"/>
      <c r="I292" s="127"/>
      <c r="J292" s="127"/>
      <c r="K292" s="12" t="str">
        <f t="shared" si="53"/>
        <v>đ/m</v>
      </c>
      <c r="L292" s="19">
        <f>D292</f>
        <v>2300000</v>
      </c>
      <c r="M292" s="120"/>
      <c r="N292" s="120"/>
      <c r="O292" s="71">
        <f t="shared" si="51"/>
        <v>2300000</v>
      </c>
      <c r="P292" s="71">
        <f t="shared" si="52"/>
        <v>2300000</v>
      </c>
    </row>
    <row r="293" spans="1:16" s="58" customFormat="1" ht="24" customHeight="1">
      <c r="A293" s="15"/>
      <c r="B293" s="9" t="s">
        <v>148</v>
      </c>
      <c r="C293" s="12"/>
      <c r="D293" s="68"/>
      <c r="E293" s="69"/>
      <c r="F293" s="14"/>
      <c r="G293" s="206"/>
      <c r="H293" s="68"/>
      <c r="I293" s="127"/>
      <c r="J293" s="127"/>
      <c r="K293" s="12"/>
      <c r="L293" s="19"/>
      <c r="M293" s="120"/>
      <c r="N293" s="120"/>
      <c r="O293" s="71"/>
      <c r="P293" s="71"/>
    </row>
    <row r="294" spans="1:16" s="58" customFormat="1" ht="24" customHeight="1">
      <c r="A294" s="15">
        <f>+A292+1</f>
        <v>16</v>
      </c>
      <c r="B294" s="11" t="s">
        <v>1113</v>
      </c>
      <c r="C294" s="12" t="s">
        <v>90</v>
      </c>
      <c r="D294" s="68">
        <v>2500000</v>
      </c>
      <c r="E294" s="69"/>
      <c r="F294" s="14"/>
      <c r="G294" s="206" t="s">
        <v>90</v>
      </c>
      <c r="H294" s="68"/>
      <c r="I294" s="127"/>
      <c r="J294" s="127"/>
      <c r="K294" s="12" t="str">
        <f t="shared" si="53"/>
        <v>đ/m</v>
      </c>
      <c r="L294" s="19">
        <f>D294</f>
        <v>2500000</v>
      </c>
      <c r="M294" s="120"/>
      <c r="N294" s="120"/>
      <c r="O294" s="71">
        <f t="shared" si="51"/>
        <v>2500000</v>
      </c>
      <c r="P294" s="71">
        <f t="shared" si="52"/>
        <v>2500000</v>
      </c>
    </row>
    <row r="295" spans="1:16" s="58" customFormat="1" ht="24" customHeight="1">
      <c r="A295" s="10">
        <f>+A294+1</f>
        <v>17</v>
      </c>
      <c r="B295" s="11" t="s">
        <v>93</v>
      </c>
      <c r="C295" s="12" t="s">
        <v>90</v>
      </c>
      <c r="D295" s="68">
        <v>2700000</v>
      </c>
      <c r="E295" s="69"/>
      <c r="F295" s="14"/>
      <c r="G295" s="206" t="s">
        <v>90</v>
      </c>
      <c r="H295" s="68"/>
      <c r="I295" s="127"/>
      <c r="J295" s="127"/>
      <c r="K295" s="12" t="str">
        <f t="shared" si="53"/>
        <v>đ/m</v>
      </c>
      <c r="L295" s="19">
        <f>D295</f>
        <v>2700000</v>
      </c>
      <c r="M295" s="120"/>
      <c r="N295" s="120"/>
      <c r="O295" s="71">
        <f t="shared" si="51"/>
        <v>2700000</v>
      </c>
      <c r="P295" s="71">
        <f t="shared" si="52"/>
        <v>2700000</v>
      </c>
    </row>
    <row r="296" spans="1:16" s="58" customFormat="1" ht="24" customHeight="1">
      <c r="A296" s="15">
        <f>+A295+1</f>
        <v>18</v>
      </c>
      <c r="B296" s="11" t="s">
        <v>94</v>
      </c>
      <c r="C296" s="12" t="s">
        <v>90</v>
      </c>
      <c r="D296" s="68">
        <v>2950000</v>
      </c>
      <c r="E296" s="69"/>
      <c r="F296" s="14"/>
      <c r="G296" s="206" t="s">
        <v>90</v>
      </c>
      <c r="H296" s="68"/>
      <c r="I296" s="127"/>
      <c r="J296" s="127"/>
      <c r="K296" s="12" t="str">
        <f t="shared" si="53"/>
        <v>đ/m</v>
      </c>
      <c r="L296" s="19">
        <f>D296</f>
        <v>2950000</v>
      </c>
      <c r="M296" s="120"/>
      <c r="N296" s="120"/>
      <c r="O296" s="71">
        <f t="shared" si="51"/>
        <v>2950000</v>
      </c>
      <c r="P296" s="71">
        <f t="shared" si="52"/>
        <v>2950000</v>
      </c>
    </row>
    <row r="297" spans="1:16" s="58" customFormat="1" ht="21.95" customHeight="1">
      <c r="A297" s="17" t="s">
        <v>149</v>
      </c>
      <c r="B297" s="9" t="s">
        <v>150</v>
      </c>
      <c r="C297" s="8"/>
      <c r="D297" s="69"/>
      <c r="E297" s="69"/>
      <c r="F297" s="16"/>
      <c r="G297" s="127"/>
      <c r="H297" s="127"/>
      <c r="I297" s="127"/>
      <c r="J297" s="127"/>
      <c r="K297" s="116"/>
      <c r="L297" s="120"/>
      <c r="M297" s="120"/>
      <c r="N297" s="120"/>
      <c r="O297" s="71"/>
      <c r="P297" s="71"/>
    </row>
    <row r="298" spans="1:16" s="58" customFormat="1" ht="17.25">
      <c r="A298" s="10"/>
      <c r="B298" s="237" t="s">
        <v>1699</v>
      </c>
      <c r="C298" s="238"/>
      <c r="D298" s="238"/>
      <c r="E298" s="238"/>
      <c r="F298" s="238"/>
      <c r="G298" s="238"/>
      <c r="H298" s="238"/>
      <c r="I298" s="238"/>
      <c r="J298" s="238"/>
      <c r="K298" s="238"/>
      <c r="L298" s="238"/>
      <c r="M298" s="238"/>
      <c r="N298" s="239"/>
      <c r="O298" s="71"/>
      <c r="P298" s="71"/>
    </row>
    <row r="299" spans="1:16" s="58" customFormat="1" ht="24" customHeight="1">
      <c r="A299" s="10">
        <v>1</v>
      </c>
      <c r="B299" s="11" t="s">
        <v>151</v>
      </c>
      <c r="C299" s="12" t="s">
        <v>152</v>
      </c>
      <c r="D299" s="13">
        <v>66364</v>
      </c>
      <c r="E299" s="21"/>
      <c r="F299" s="22"/>
      <c r="G299" s="206" t="s">
        <v>152</v>
      </c>
      <c r="H299" s="68"/>
      <c r="I299" s="218"/>
      <c r="J299" s="127"/>
      <c r="K299" s="12" t="str">
        <f>C299</f>
        <v>đ/bao</v>
      </c>
      <c r="L299" s="19">
        <f>D299</f>
        <v>66364</v>
      </c>
      <c r="M299" s="120"/>
      <c r="N299" s="120"/>
      <c r="O299" s="71">
        <f t="shared" si="51"/>
        <v>66364</v>
      </c>
      <c r="P299" s="71">
        <f t="shared" si="52"/>
        <v>66364</v>
      </c>
    </row>
    <row r="300" spans="1:16" s="58" customFormat="1" ht="24" customHeight="1">
      <c r="A300" s="10">
        <f t="shared" ref="A300:A305" si="54">+A299+1</f>
        <v>2</v>
      </c>
      <c r="B300" s="11" t="s">
        <v>153</v>
      </c>
      <c r="C300" s="12" t="s">
        <v>152</v>
      </c>
      <c r="D300" s="13">
        <v>69091</v>
      </c>
      <c r="E300" s="21"/>
      <c r="F300" s="22"/>
      <c r="G300" s="206" t="s">
        <v>152</v>
      </c>
      <c r="H300" s="68"/>
      <c r="I300" s="218"/>
      <c r="J300" s="127"/>
      <c r="K300" s="12" t="str">
        <f>C300</f>
        <v>đ/bao</v>
      </c>
      <c r="L300" s="19">
        <f>D300</f>
        <v>69091</v>
      </c>
      <c r="M300" s="120"/>
      <c r="N300" s="120"/>
      <c r="O300" s="71">
        <f t="shared" si="51"/>
        <v>69091</v>
      </c>
      <c r="P300" s="71">
        <f t="shared" si="52"/>
        <v>69091</v>
      </c>
    </row>
    <row r="301" spans="1:16" s="58" customFormat="1" ht="24" customHeight="1">
      <c r="A301" s="10">
        <f t="shared" si="54"/>
        <v>3</v>
      </c>
      <c r="B301" s="11" t="s">
        <v>154</v>
      </c>
      <c r="C301" s="12" t="s">
        <v>152</v>
      </c>
      <c r="D301" s="13"/>
      <c r="E301" s="13">
        <v>138182</v>
      </c>
      <c r="F301" s="22"/>
      <c r="G301" s="206" t="s">
        <v>152</v>
      </c>
      <c r="H301" s="68"/>
      <c r="I301" s="68"/>
      <c r="J301" s="127"/>
      <c r="K301" s="12" t="s">
        <v>152</v>
      </c>
      <c r="L301" s="19"/>
      <c r="M301" s="19">
        <f>E301</f>
        <v>138182</v>
      </c>
      <c r="N301" s="120"/>
      <c r="O301" s="71">
        <f>E301</f>
        <v>138182</v>
      </c>
      <c r="P301" s="71">
        <f>M301</f>
        <v>138182</v>
      </c>
    </row>
    <row r="302" spans="1:16" s="58" customFormat="1" ht="24" customHeight="1">
      <c r="A302" s="10">
        <f t="shared" si="54"/>
        <v>4</v>
      </c>
      <c r="B302" s="11" t="s">
        <v>155</v>
      </c>
      <c r="C302" s="12" t="s">
        <v>152</v>
      </c>
      <c r="D302" s="13"/>
      <c r="E302" s="13">
        <v>81818</v>
      </c>
      <c r="F302" s="22"/>
      <c r="G302" s="206" t="s">
        <v>152</v>
      </c>
      <c r="H302" s="68"/>
      <c r="I302" s="68"/>
      <c r="J302" s="127"/>
      <c r="K302" s="12" t="s">
        <v>152</v>
      </c>
      <c r="L302" s="120"/>
      <c r="M302" s="19">
        <f>E302</f>
        <v>81818</v>
      </c>
      <c r="N302" s="120"/>
      <c r="O302" s="71">
        <f>E302</f>
        <v>81818</v>
      </c>
      <c r="P302" s="71">
        <f>M302</f>
        <v>81818</v>
      </c>
    </row>
    <row r="303" spans="1:16" s="58" customFormat="1" ht="24" customHeight="1">
      <c r="A303" s="10">
        <f t="shared" si="54"/>
        <v>5</v>
      </c>
      <c r="B303" s="11" t="s">
        <v>1504</v>
      </c>
      <c r="C303" s="12" t="s">
        <v>152</v>
      </c>
      <c r="D303" s="13"/>
      <c r="E303" s="13">
        <v>77273</v>
      </c>
      <c r="F303" s="22"/>
      <c r="G303" s="206" t="s">
        <v>152</v>
      </c>
      <c r="H303" s="68"/>
      <c r="I303" s="68"/>
      <c r="J303" s="127"/>
      <c r="K303" s="12" t="s">
        <v>152</v>
      </c>
      <c r="L303" s="120"/>
      <c r="M303" s="19">
        <f>E303</f>
        <v>77273</v>
      </c>
      <c r="N303" s="120"/>
      <c r="O303" s="71">
        <f>E303</f>
        <v>77273</v>
      </c>
      <c r="P303" s="71">
        <f>M303</f>
        <v>77273</v>
      </c>
    </row>
    <row r="304" spans="1:16" s="58" customFormat="1" ht="24" customHeight="1">
      <c r="A304" s="10">
        <f t="shared" si="54"/>
        <v>6</v>
      </c>
      <c r="B304" s="11" t="s">
        <v>1505</v>
      </c>
      <c r="C304" s="12" t="s">
        <v>152</v>
      </c>
      <c r="D304" s="13"/>
      <c r="E304" s="13">
        <v>79545</v>
      </c>
      <c r="F304" s="22"/>
      <c r="G304" s="206" t="s">
        <v>152</v>
      </c>
      <c r="H304" s="68"/>
      <c r="I304" s="68"/>
      <c r="J304" s="127"/>
      <c r="K304" s="12" t="s">
        <v>152</v>
      </c>
      <c r="L304" s="120"/>
      <c r="M304" s="19">
        <f>E304</f>
        <v>79545</v>
      </c>
      <c r="N304" s="120"/>
      <c r="O304" s="71">
        <f>E304</f>
        <v>79545</v>
      </c>
      <c r="P304" s="71">
        <f>M304</f>
        <v>79545</v>
      </c>
    </row>
    <row r="305" spans="1:16" s="58" customFormat="1" ht="24" customHeight="1">
      <c r="A305" s="10">
        <f t="shared" si="54"/>
        <v>7</v>
      </c>
      <c r="B305" s="11" t="s">
        <v>1506</v>
      </c>
      <c r="C305" s="12" t="s">
        <v>152</v>
      </c>
      <c r="D305" s="13"/>
      <c r="E305" s="13">
        <v>71136</v>
      </c>
      <c r="F305" s="22"/>
      <c r="G305" s="206" t="s">
        <v>152</v>
      </c>
      <c r="H305" s="68"/>
      <c r="I305" s="68"/>
      <c r="J305" s="127"/>
      <c r="K305" s="12" t="s">
        <v>152</v>
      </c>
      <c r="L305" s="120"/>
      <c r="M305" s="19">
        <f>E305</f>
        <v>71136</v>
      </c>
      <c r="N305" s="120"/>
      <c r="O305" s="71">
        <f>E305</f>
        <v>71136</v>
      </c>
      <c r="P305" s="71">
        <f>M305</f>
        <v>71136</v>
      </c>
    </row>
    <row r="306" spans="1:16" s="58" customFormat="1" ht="36" customHeight="1">
      <c r="A306" s="10"/>
      <c r="B306" s="240" t="s">
        <v>1896</v>
      </c>
      <c r="C306" s="241"/>
      <c r="D306" s="241"/>
      <c r="E306" s="241"/>
      <c r="F306" s="241"/>
      <c r="G306" s="241"/>
      <c r="H306" s="241"/>
      <c r="I306" s="241"/>
      <c r="J306" s="241"/>
      <c r="K306" s="241"/>
      <c r="L306" s="241"/>
      <c r="M306" s="241"/>
      <c r="N306" s="242"/>
      <c r="O306" s="69"/>
      <c r="P306" s="69"/>
    </row>
    <row r="307" spans="1:16" s="58" customFormat="1" ht="24" customHeight="1">
      <c r="A307" s="10">
        <v>1</v>
      </c>
      <c r="B307" s="11" t="s">
        <v>156</v>
      </c>
      <c r="C307" s="12" t="s">
        <v>152</v>
      </c>
      <c r="D307" s="13">
        <f>1500000/1000/1.1*50</f>
        <v>68181.818181818177</v>
      </c>
      <c r="E307" s="13"/>
      <c r="F307" s="13"/>
      <c r="G307" s="68" t="s">
        <v>152</v>
      </c>
      <c r="H307" s="13">
        <f>1500000/1000/1.1*50</f>
        <v>68181.818181818177</v>
      </c>
      <c r="I307" s="127"/>
      <c r="J307" s="127"/>
      <c r="K307" s="12" t="str">
        <f>C307</f>
        <v>đ/bao</v>
      </c>
      <c r="L307" s="19">
        <f>H307</f>
        <v>68181.818181818177</v>
      </c>
      <c r="M307" s="120"/>
      <c r="N307" s="120"/>
      <c r="O307" s="71">
        <f>D307</f>
        <v>68181.818181818177</v>
      </c>
      <c r="P307" s="71">
        <f>L307</f>
        <v>68181.818181818177</v>
      </c>
    </row>
    <row r="308" spans="1:16" s="58" customFormat="1" ht="24" customHeight="1">
      <c r="A308" s="10">
        <f>+A307+1</f>
        <v>2</v>
      </c>
      <c r="B308" s="11" t="s">
        <v>157</v>
      </c>
      <c r="C308" s="12" t="s">
        <v>152</v>
      </c>
      <c r="D308" s="13">
        <f>1300000/1000/1.1*50</f>
        <v>59090.909090909088</v>
      </c>
      <c r="E308" s="13"/>
      <c r="F308" s="13"/>
      <c r="G308" s="68" t="s">
        <v>152</v>
      </c>
      <c r="H308" s="13">
        <f>1300000/1000/1.1*50</f>
        <v>59090.909090909088</v>
      </c>
      <c r="I308" s="127"/>
      <c r="J308" s="127"/>
      <c r="K308" s="12" t="str">
        <f>C308</f>
        <v>đ/bao</v>
      </c>
      <c r="L308" s="19">
        <f>H308</f>
        <v>59090.909090909088</v>
      </c>
      <c r="M308" s="120"/>
      <c r="N308" s="120"/>
      <c r="O308" s="71">
        <f>D308</f>
        <v>59090.909090909088</v>
      </c>
      <c r="P308" s="71">
        <f>L308</f>
        <v>59090.909090909088</v>
      </c>
    </row>
    <row r="309" spans="1:16" s="58" customFormat="1" ht="24" customHeight="1">
      <c r="A309" s="10">
        <f>+A308+1</f>
        <v>3</v>
      </c>
      <c r="B309" s="11" t="s">
        <v>158</v>
      </c>
      <c r="C309" s="12" t="s">
        <v>152</v>
      </c>
      <c r="D309" s="13">
        <f>1340000/1000/1.1*50</f>
        <v>60909.090909090897</v>
      </c>
      <c r="E309" s="13"/>
      <c r="F309" s="13"/>
      <c r="G309" s="68" t="s">
        <v>152</v>
      </c>
      <c r="H309" s="13">
        <f>1340000/1000/1.1*50</f>
        <v>60909.090909090897</v>
      </c>
      <c r="I309" s="127"/>
      <c r="J309" s="127"/>
      <c r="K309" s="12" t="str">
        <f>C309</f>
        <v>đ/bao</v>
      </c>
      <c r="L309" s="19">
        <f>H309</f>
        <v>60909.090909090897</v>
      </c>
      <c r="M309" s="120"/>
      <c r="N309" s="120"/>
      <c r="O309" s="71">
        <f>D309</f>
        <v>60909.090909090897</v>
      </c>
      <c r="P309" s="71">
        <f>L309</f>
        <v>60909.090909090897</v>
      </c>
    </row>
    <row r="310" spans="1:16" s="58" customFormat="1" ht="17.25">
      <c r="A310" s="10"/>
      <c r="B310" s="237" t="s">
        <v>1895</v>
      </c>
      <c r="C310" s="238"/>
      <c r="D310" s="238"/>
      <c r="E310" s="238"/>
      <c r="F310" s="238"/>
      <c r="G310" s="238"/>
      <c r="H310" s="238"/>
      <c r="I310" s="238"/>
      <c r="J310" s="238"/>
      <c r="K310" s="238"/>
      <c r="L310" s="238"/>
      <c r="M310" s="238"/>
      <c r="N310" s="239"/>
      <c r="O310" s="69"/>
      <c r="P310" s="69"/>
    </row>
    <row r="311" spans="1:16" s="58" customFormat="1" ht="21.6" customHeight="1">
      <c r="A311" s="10">
        <v>1</v>
      </c>
      <c r="B311" s="11" t="s">
        <v>159</v>
      </c>
      <c r="C311" s="12" t="s">
        <v>152</v>
      </c>
      <c r="D311" s="13"/>
      <c r="E311" s="13">
        <v>78500</v>
      </c>
      <c r="F311" s="13">
        <v>88000</v>
      </c>
      <c r="G311" s="206" t="s">
        <v>152</v>
      </c>
      <c r="H311" s="13">
        <v>78500</v>
      </c>
      <c r="I311" s="13">
        <v>88000</v>
      </c>
      <c r="J311" s="68"/>
      <c r="K311" s="12" t="str">
        <f>C311</f>
        <v>đ/bao</v>
      </c>
      <c r="L311" s="19"/>
      <c r="M311" s="19">
        <f>H311</f>
        <v>78500</v>
      </c>
      <c r="N311" s="19">
        <f>I311</f>
        <v>88000</v>
      </c>
      <c r="O311" s="71">
        <f>E311</f>
        <v>78500</v>
      </c>
      <c r="P311" s="71">
        <f>M311</f>
        <v>78500</v>
      </c>
    </row>
    <row r="312" spans="1:16" s="58" customFormat="1" ht="38.25" customHeight="1">
      <c r="A312" s="10"/>
      <c r="B312" s="237" t="s">
        <v>1518</v>
      </c>
      <c r="C312" s="238"/>
      <c r="D312" s="238"/>
      <c r="E312" s="238"/>
      <c r="F312" s="238"/>
      <c r="G312" s="238"/>
      <c r="H312" s="239"/>
      <c r="I312" s="127"/>
      <c r="J312" s="127"/>
      <c r="K312" s="12"/>
      <c r="L312" s="19"/>
      <c r="M312" s="19"/>
      <c r="N312" s="19"/>
      <c r="O312" s="71"/>
      <c r="P312" s="71"/>
    </row>
    <row r="313" spans="1:16" s="58" customFormat="1" ht="21.6" customHeight="1">
      <c r="A313" s="10">
        <v>1</v>
      </c>
      <c r="B313" s="11" t="s">
        <v>1517</v>
      </c>
      <c r="C313" s="12" t="s">
        <v>152</v>
      </c>
      <c r="D313" s="13"/>
      <c r="E313" s="13">
        <v>86000</v>
      </c>
      <c r="F313" s="13">
        <v>88000</v>
      </c>
      <c r="G313" s="206" t="s">
        <v>152</v>
      </c>
      <c r="H313" s="127"/>
      <c r="I313" s="68"/>
      <c r="J313" s="68"/>
      <c r="K313" s="12" t="str">
        <f>C313</f>
        <v>đ/bao</v>
      </c>
      <c r="L313" s="19"/>
      <c r="M313" s="19">
        <f>E313</f>
        <v>86000</v>
      </c>
      <c r="N313" s="19">
        <f>F313</f>
        <v>88000</v>
      </c>
      <c r="O313" s="71">
        <f>E313</f>
        <v>86000</v>
      </c>
      <c r="P313" s="71">
        <f>M313</f>
        <v>86000</v>
      </c>
    </row>
    <row r="314" spans="1:16" s="58" customFormat="1" ht="26.25" customHeight="1">
      <c r="A314" s="17" t="s">
        <v>160</v>
      </c>
      <c r="B314" s="9" t="s">
        <v>161</v>
      </c>
      <c r="C314" s="8"/>
      <c r="D314" s="16"/>
      <c r="E314" s="16"/>
      <c r="F314" s="16"/>
      <c r="G314" s="127"/>
      <c r="H314" s="127"/>
      <c r="I314" s="127"/>
      <c r="J314" s="127"/>
      <c r="K314" s="116"/>
      <c r="L314" s="120"/>
      <c r="M314" s="120"/>
      <c r="N314" s="120"/>
      <c r="O314" s="69"/>
      <c r="P314" s="69"/>
    </row>
    <row r="315" spans="1:16" s="58" customFormat="1" ht="43.5" customHeight="1">
      <c r="A315" s="10"/>
      <c r="B315" s="237" t="s">
        <v>1894</v>
      </c>
      <c r="C315" s="238"/>
      <c r="D315" s="238"/>
      <c r="E315" s="238"/>
      <c r="F315" s="238"/>
      <c r="G315" s="238"/>
      <c r="H315" s="238"/>
      <c r="I315" s="238"/>
      <c r="J315" s="238"/>
      <c r="K315" s="238"/>
      <c r="L315" s="238"/>
      <c r="M315" s="238"/>
      <c r="N315" s="239"/>
      <c r="O315" s="69"/>
      <c r="P315" s="69"/>
    </row>
    <row r="316" spans="1:16" s="58" customFormat="1" ht="24" customHeight="1">
      <c r="A316" s="10">
        <v>1</v>
      </c>
      <c r="B316" s="11" t="s">
        <v>162</v>
      </c>
      <c r="C316" s="12" t="s">
        <v>163</v>
      </c>
      <c r="D316" s="68">
        <v>14100</v>
      </c>
      <c r="E316" s="13"/>
      <c r="F316" s="13"/>
      <c r="G316" s="206" t="s">
        <v>163</v>
      </c>
      <c r="H316" s="13">
        <v>14100</v>
      </c>
      <c r="I316" s="127"/>
      <c r="J316" s="127"/>
      <c r="K316" s="12" t="str">
        <f>C316</f>
        <v>đ/kg</v>
      </c>
      <c r="L316" s="19">
        <f>H316</f>
        <v>14100</v>
      </c>
      <c r="M316" s="120"/>
      <c r="N316" s="120"/>
      <c r="O316" s="71">
        <f t="shared" ref="O316:O330" si="55">D316</f>
        <v>14100</v>
      </c>
      <c r="P316" s="71">
        <f t="shared" ref="P316:P330" si="56">L316</f>
        <v>14100</v>
      </c>
    </row>
    <row r="317" spans="1:16" s="58" customFormat="1" ht="24" customHeight="1">
      <c r="A317" s="10">
        <f t="shared" ref="A317:A330" si="57">+A316+1</f>
        <v>2</v>
      </c>
      <c r="B317" s="11" t="s">
        <v>164</v>
      </c>
      <c r="C317" s="12" t="s">
        <v>163</v>
      </c>
      <c r="D317" s="68">
        <v>14100</v>
      </c>
      <c r="E317" s="13"/>
      <c r="F317" s="13"/>
      <c r="G317" s="206" t="s">
        <v>163</v>
      </c>
      <c r="H317" s="13">
        <v>14100</v>
      </c>
      <c r="I317" s="127"/>
      <c r="J317" s="127"/>
      <c r="K317" s="12" t="str">
        <f t="shared" ref="K317:K330" si="58">C317</f>
        <v>đ/kg</v>
      </c>
      <c r="L317" s="19">
        <f t="shared" ref="L317:L330" si="59">H317</f>
        <v>14100</v>
      </c>
      <c r="M317" s="120"/>
      <c r="N317" s="120"/>
      <c r="O317" s="71">
        <f t="shared" si="55"/>
        <v>14100</v>
      </c>
      <c r="P317" s="71">
        <f t="shared" si="56"/>
        <v>14100</v>
      </c>
    </row>
    <row r="318" spans="1:16" s="58" customFormat="1" ht="24" customHeight="1">
      <c r="A318" s="10">
        <f t="shared" si="57"/>
        <v>3</v>
      </c>
      <c r="B318" s="11" t="s">
        <v>165</v>
      </c>
      <c r="C318" s="12" t="s">
        <v>163</v>
      </c>
      <c r="D318" s="68">
        <v>14240</v>
      </c>
      <c r="E318" s="13"/>
      <c r="F318" s="13"/>
      <c r="G318" s="206" t="s">
        <v>163</v>
      </c>
      <c r="H318" s="13">
        <v>14240</v>
      </c>
      <c r="I318" s="127"/>
      <c r="J318" s="127"/>
      <c r="K318" s="12" t="str">
        <f t="shared" si="58"/>
        <v>đ/kg</v>
      </c>
      <c r="L318" s="19">
        <f t="shared" si="59"/>
        <v>14240</v>
      </c>
      <c r="M318" s="120"/>
      <c r="N318" s="120"/>
      <c r="O318" s="71">
        <f t="shared" si="55"/>
        <v>14240</v>
      </c>
      <c r="P318" s="71">
        <f t="shared" si="56"/>
        <v>14240</v>
      </c>
    </row>
    <row r="319" spans="1:16" s="58" customFormat="1" ht="24" customHeight="1">
      <c r="A319" s="10">
        <f t="shared" si="57"/>
        <v>4</v>
      </c>
      <c r="B319" s="11" t="s">
        <v>166</v>
      </c>
      <c r="C319" s="12" t="s">
        <v>163</v>
      </c>
      <c r="D319" s="68">
        <v>14250</v>
      </c>
      <c r="E319" s="13"/>
      <c r="F319" s="13"/>
      <c r="G319" s="206" t="s">
        <v>163</v>
      </c>
      <c r="H319" s="13">
        <v>14250</v>
      </c>
      <c r="I319" s="127"/>
      <c r="J319" s="127"/>
      <c r="K319" s="12" t="str">
        <f t="shared" si="58"/>
        <v>đ/kg</v>
      </c>
      <c r="L319" s="19">
        <f t="shared" si="59"/>
        <v>14250</v>
      </c>
      <c r="M319" s="120"/>
      <c r="N319" s="120"/>
      <c r="O319" s="71">
        <f t="shared" si="55"/>
        <v>14250</v>
      </c>
      <c r="P319" s="71">
        <f t="shared" si="56"/>
        <v>14250</v>
      </c>
    </row>
    <row r="320" spans="1:16" s="58" customFormat="1" ht="24" customHeight="1">
      <c r="A320" s="10">
        <f t="shared" si="57"/>
        <v>5</v>
      </c>
      <c r="B320" s="11" t="s">
        <v>167</v>
      </c>
      <c r="C320" s="12" t="s">
        <v>163</v>
      </c>
      <c r="D320" s="68">
        <v>14100</v>
      </c>
      <c r="E320" s="13"/>
      <c r="F320" s="13"/>
      <c r="G320" s="206" t="s">
        <v>163</v>
      </c>
      <c r="H320" s="13">
        <v>14100</v>
      </c>
      <c r="I320" s="127"/>
      <c r="J320" s="127"/>
      <c r="K320" s="12" t="str">
        <f t="shared" si="58"/>
        <v>đ/kg</v>
      </c>
      <c r="L320" s="19">
        <f t="shared" si="59"/>
        <v>14100</v>
      </c>
      <c r="M320" s="120"/>
      <c r="N320" s="120"/>
      <c r="O320" s="71">
        <f t="shared" si="55"/>
        <v>14100</v>
      </c>
      <c r="P320" s="71">
        <f t="shared" si="56"/>
        <v>14100</v>
      </c>
    </row>
    <row r="321" spans="1:16" s="58" customFormat="1" ht="24" customHeight="1">
      <c r="A321" s="10">
        <f t="shared" si="57"/>
        <v>6</v>
      </c>
      <c r="B321" s="11" t="s">
        <v>168</v>
      </c>
      <c r="C321" s="12" t="s">
        <v>163</v>
      </c>
      <c r="D321" s="68">
        <v>14400</v>
      </c>
      <c r="E321" s="13"/>
      <c r="F321" s="13"/>
      <c r="G321" s="206" t="s">
        <v>163</v>
      </c>
      <c r="H321" s="13">
        <v>14400</v>
      </c>
      <c r="I321" s="127"/>
      <c r="J321" s="127"/>
      <c r="K321" s="12" t="str">
        <f t="shared" si="58"/>
        <v>đ/kg</v>
      </c>
      <c r="L321" s="19">
        <f t="shared" si="59"/>
        <v>14400</v>
      </c>
      <c r="M321" s="120"/>
      <c r="N321" s="120"/>
      <c r="O321" s="71">
        <f t="shared" si="55"/>
        <v>14400</v>
      </c>
      <c r="P321" s="71">
        <f t="shared" si="56"/>
        <v>14400</v>
      </c>
    </row>
    <row r="322" spans="1:16" s="58" customFormat="1" ht="24" customHeight="1">
      <c r="A322" s="10">
        <f t="shared" si="57"/>
        <v>7</v>
      </c>
      <c r="B322" s="11" t="s">
        <v>169</v>
      </c>
      <c r="C322" s="12" t="s">
        <v>163</v>
      </c>
      <c r="D322" s="68">
        <v>14450</v>
      </c>
      <c r="E322" s="13"/>
      <c r="F322" s="13"/>
      <c r="G322" s="206" t="s">
        <v>163</v>
      </c>
      <c r="H322" s="13">
        <v>14450</v>
      </c>
      <c r="I322" s="127"/>
      <c r="J322" s="127"/>
      <c r="K322" s="12" t="str">
        <f t="shared" si="58"/>
        <v>đ/kg</v>
      </c>
      <c r="L322" s="19">
        <f t="shared" si="59"/>
        <v>14450</v>
      </c>
      <c r="M322" s="120"/>
      <c r="N322" s="120"/>
      <c r="O322" s="71">
        <f t="shared" si="55"/>
        <v>14450</v>
      </c>
      <c r="P322" s="71">
        <f t="shared" si="56"/>
        <v>14450</v>
      </c>
    </row>
    <row r="323" spans="1:16" s="58" customFormat="1" ht="24" customHeight="1">
      <c r="A323" s="10">
        <f t="shared" si="57"/>
        <v>8</v>
      </c>
      <c r="B323" s="11" t="s">
        <v>170</v>
      </c>
      <c r="C323" s="12" t="s">
        <v>163</v>
      </c>
      <c r="D323" s="68">
        <v>14300</v>
      </c>
      <c r="E323" s="13"/>
      <c r="F323" s="13"/>
      <c r="G323" s="206" t="s">
        <v>163</v>
      </c>
      <c r="H323" s="13">
        <v>14300</v>
      </c>
      <c r="I323" s="127"/>
      <c r="J323" s="127"/>
      <c r="K323" s="12" t="str">
        <f t="shared" si="58"/>
        <v>đ/kg</v>
      </c>
      <c r="L323" s="19">
        <f t="shared" si="59"/>
        <v>14300</v>
      </c>
      <c r="M323" s="120"/>
      <c r="N323" s="120"/>
      <c r="O323" s="71">
        <f t="shared" si="55"/>
        <v>14300</v>
      </c>
      <c r="P323" s="71">
        <f t="shared" si="56"/>
        <v>14300</v>
      </c>
    </row>
    <row r="324" spans="1:16" s="58" customFormat="1" ht="24" customHeight="1">
      <c r="A324" s="10">
        <f t="shared" si="57"/>
        <v>9</v>
      </c>
      <c r="B324" s="11" t="s">
        <v>171</v>
      </c>
      <c r="C324" s="12" t="s">
        <v>163</v>
      </c>
      <c r="D324" s="68">
        <v>14600</v>
      </c>
      <c r="E324" s="13"/>
      <c r="F324" s="13"/>
      <c r="G324" s="206" t="s">
        <v>163</v>
      </c>
      <c r="H324" s="13">
        <v>14600</v>
      </c>
      <c r="I324" s="127"/>
      <c r="J324" s="127"/>
      <c r="K324" s="12" t="str">
        <f t="shared" si="58"/>
        <v>đ/kg</v>
      </c>
      <c r="L324" s="19">
        <f t="shared" si="59"/>
        <v>14600</v>
      </c>
      <c r="M324" s="120"/>
      <c r="N324" s="120"/>
      <c r="O324" s="71">
        <f t="shared" si="55"/>
        <v>14600</v>
      </c>
      <c r="P324" s="71">
        <f t="shared" si="56"/>
        <v>14600</v>
      </c>
    </row>
    <row r="325" spans="1:16" s="58" customFormat="1" ht="24" customHeight="1">
      <c r="A325" s="10">
        <f t="shared" si="57"/>
        <v>10</v>
      </c>
      <c r="B325" s="11" t="s">
        <v>1686</v>
      </c>
      <c r="C325" s="12" t="s">
        <v>163</v>
      </c>
      <c r="D325" s="68">
        <v>14250</v>
      </c>
      <c r="E325" s="13"/>
      <c r="F325" s="13"/>
      <c r="G325" s="206" t="s">
        <v>163</v>
      </c>
      <c r="H325" s="13">
        <v>14250</v>
      </c>
      <c r="I325" s="127"/>
      <c r="J325" s="127"/>
      <c r="K325" s="12" t="str">
        <f t="shared" si="58"/>
        <v>đ/kg</v>
      </c>
      <c r="L325" s="19">
        <f t="shared" si="59"/>
        <v>14250</v>
      </c>
      <c r="M325" s="120"/>
      <c r="N325" s="120"/>
      <c r="O325" s="71">
        <f t="shared" si="55"/>
        <v>14250</v>
      </c>
      <c r="P325" s="71">
        <f t="shared" si="56"/>
        <v>14250</v>
      </c>
    </row>
    <row r="326" spans="1:16" s="58" customFormat="1" ht="24" customHeight="1">
      <c r="A326" s="10">
        <f t="shared" si="57"/>
        <v>11</v>
      </c>
      <c r="B326" s="11" t="s">
        <v>1687</v>
      </c>
      <c r="C326" s="12" t="s">
        <v>163</v>
      </c>
      <c r="D326" s="68">
        <v>14100</v>
      </c>
      <c r="E326" s="13"/>
      <c r="F326" s="13"/>
      <c r="G326" s="206" t="s">
        <v>163</v>
      </c>
      <c r="H326" s="13">
        <v>14100</v>
      </c>
      <c r="I326" s="127"/>
      <c r="J326" s="127"/>
      <c r="K326" s="12" t="str">
        <f t="shared" si="58"/>
        <v>đ/kg</v>
      </c>
      <c r="L326" s="19">
        <f t="shared" si="59"/>
        <v>14100</v>
      </c>
      <c r="M326" s="120"/>
      <c r="N326" s="120"/>
      <c r="O326" s="71">
        <f t="shared" si="55"/>
        <v>14100</v>
      </c>
      <c r="P326" s="71">
        <f t="shared" si="56"/>
        <v>14100</v>
      </c>
    </row>
    <row r="327" spans="1:16" s="58" customFormat="1" ht="24" customHeight="1">
      <c r="A327" s="10">
        <f t="shared" si="57"/>
        <v>12</v>
      </c>
      <c r="B327" s="11" t="s">
        <v>1688</v>
      </c>
      <c r="C327" s="12" t="s">
        <v>163</v>
      </c>
      <c r="D327" s="68">
        <v>14400</v>
      </c>
      <c r="E327" s="13"/>
      <c r="F327" s="13"/>
      <c r="G327" s="206" t="s">
        <v>163</v>
      </c>
      <c r="H327" s="13">
        <v>14400</v>
      </c>
      <c r="I327" s="127"/>
      <c r="J327" s="127"/>
      <c r="K327" s="12" t="str">
        <f t="shared" si="58"/>
        <v>đ/kg</v>
      </c>
      <c r="L327" s="19">
        <f t="shared" si="59"/>
        <v>14400</v>
      </c>
      <c r="M327" s="120"/>
      <c r="N327" s="120"/>
      <c r="O327" s="71">
        <f t="shared" si="55"/>
        <v>14400</v>
      </c>
      <c r="P327" s="71">
        <f t="shared" si="56"/>
        <v>14400</v>
      </c>
    </row>
    <row r="328" spans="1:16" s="58" customFormat="1" ht="24" customHeight="1">
      <c r="A328" s="10">
        <f t="shared" si="57"/>
        <v>13</v>
      </c>
      <c r="B328" s="11" t="s">
        <v>172</v>
      </c>
      <c r="C328" s="12" t="s">
        <v>163</v>
      </c>
      <c r="D328" s="68">
        <v>14550</v>
      </c>
      <c r="E328" s="13"/>
      <c r="F328" s="13"/>
      <c r="G328" s="206" t="s">
        <v>163</v>
      </c>
      <c r="H328" s="13">
        <v>14550</v>
      </c>
      <c r="I328" s="127"/>
      <c r="J328" s="127"/>
      <c r="K328" s="12" t="str">
        <f t="shared" si="58"/>
        <v>đ/kg</v>
      </c>
      <c r="L328" s="19">
        <f t="shared" si="59"/>
        <v>14550</v>
      </c>
      <c r="M328" s="120"/>
      <c r="N328" s="120"/>
      <c r="O328" s="71">
        <f t="shared" si="55"/>
        <v>14550</v>
      </c>
      <c r="P328" s="71">
        <f t="shared" si="56"/>
        <v>14550</v>
      </c>
    </row>
    <row r="329" spans="1:16" s="58" customFormat="1" ht="24" customHeight="1">
      <c r="A329" s="10">
        <f t="shared" si="57"/>
        <v>14</v>
      </c>
      <c r="B329" s="11" t="s">
        <v>173</v>
      </c>
      <c r="C329" s="12" t="s">
        <v>163</v>
      </c>
      <c r="D329" s="68">
        <v>14400</v>
      </c>
      <c r="E329" s="13"/>
      <c r="F329" s="13"/>
      <c r="G329" s="206" t="s">
        <v>163</v>
      </c>
      <c r="H329" s="13">
        <v>14400</v>
      </c>
      <c r="I329" s="127"/>
      <c r="J329" s="127"/>
      <c r="K329" s="12" t="str">
        <f t="shared" si="58"/>
        <v>đ/kg</v>
      </c>
      <c r="L329" s="19">
        <f t="shared" si="59"/>
        <v>14400</v>
      </c>
      <c r="M329" s="120"/>
      <c r="N329" s="120"/>
      <c r="O329" s="71">
        <f t="shared" si="55"/>
        <v>14400</v>
      </c>
      <c r="P329" s="71">
        <f t="shared" si="56"/>
        <v>14400</v>
      </c>
    </row>
    <row r="330" spans="1:16" s="58" customFormat="1" ht="24" customHeight="1">
      <c r="A330" s="10">
        <f t="shared" si="57"/>
        <v>15</v>
      </c>
      <c r="B330" s="11" t="s">
        <v>174</v>
      </c>
      <c r="C330" s="12" t="s">
        <v>163</v>
      </c>
      <c r="D330" s="68">
        <v>14700</v>
      </c>
      <c r="E330" s="13"/>
      <c r="F330" s="13"/>
      <c r="G330" s="206" t="s">
        <v>163</v>
      </c>
      <c r="H330" s="13">
        <v>14700</v>
      </c>
      <c r="I330" s="127"/>
      <c r="J330" s="127"/>
      <c r="K330" s="12" t="str">
        <f t="shared" si="58"/>
        <v>đ/kg</v>
      </c>
      <c r="L330" s="19">
        <f t="shared" si="59"/>
        <v>14700</v>
      </c>
      <c r="M330" s="120"/>
      <c r="N330" s="120"/>
      <c r="O330" s="71">
        <f t="shared" si="55"/>
        <v>14700</v>
      </c>
      <c r="P330" s="71">
        <f t="shared" si="56"/>
        <v>14700</v>
      </c>
    </row>
    <row r="331" spans="1:16" s="58" customFormat="1" ht="36.950000000000003" customHeight="1">
      <c r="A331" s="10"/>
      <c r="B331" s="237" t="s">
        <v>1897</v>
      </c>
      <c r="C331" s="238"/>
      <c r="D331" s="238"/>
      <c r="E331" s="238"/>
      <c r="F331" s="238"/>
      <c r="G331" s="238"/>
      <c r="H331" s="238"/>
      <c r="I331" s="238"/>
      <c r="J331" s="238"/>
      <c r="K331" s="238"/>
      <c r="L331" s="238"/>
      <c r="M331" s="238"/>
      <c r="N331" s="239"/>
      <c r="O331" s="69"/>
      <c r="P331" s="69"/>
    </row>
    <row r="332" spans="1:16" s="58" customFormat="1" ht="24.95" customHeight="1">
      <c r="A332" s="10">
        <v>1</v>
      </c>
      <c r="B332" s="11" t="s">
        <v>175</v>
      </c>
      <c r="C332" s="12" t="s">
        <v>163</v>
      </c>
      <c r="D332" s="13">
        <v>13950</v>
      </c>
      <c r="E332" s="13"/>
      <c r="F332" s="13"/>
      <c r="G332" s="206" t="s">
        <v>163</v>
      </c>
      <c r="H332" s="13">
        <v>13650</v>
      </c>
      <c r="I332" s="68"/>
      <c r="J332" s="68"/>
      <c r="K332" s="12" t="str">
        <f>C332</f>
        <v>đ/kg</v>
      </c>
      <c r="L332" s="19">
        <f>H332</f>
        <v>13650</v>
      </c>
      <c r="M332" s="19"/>
      <c r="N332" s="19"/>
      <c r="O332" s="71">
        <f>D332</f>
        <v>13950</v>
      </c>
      <c r="P332" s="71">
        <f>L332</f>
        <v>13650</v>
      </c>
    </row>
    <row r="333" spans="1:16" s="58" customFormat="1" ht="24.95" customHeight="1">
      <c r="A333" s="10">
        <f>+A332+1</f>
        <v>2</v>
      </c>
      <c r="B333" s="11" t="s">
        <v>176</v>
      </c>
      <c r="C333" s="12" t="s">
        <v>163</v>
      </c>
      <c r="D333" s="13">
        <v>13900</v>
      </c>
      <c r="E333" s="13"/>
      <c r="F333" s="13"/>
      <c r="G333" s="206" t="s">
        <v>163</v>
      </c>
      <c r="H333" s="13">
        <v>13600</v>
      </c>
      <c r="I333" s="68"/>
      <c r="J333" s="68"/>
      <c r="K333" s="12" t="str">
        <f>C333</f>
        <v>đ/kg</v>
      </c>
      <c r="L333" s="19">
        <f>H333</f>
        <v>13600</v>
      </c>
      <c r="M333" s="19"/>
      <c r="N333" s="19"/>
      <c r="O333" s="71">
        <f>D333</f>
        <v>13900</v>
      </c>
      <c r="P333" s="71">
        <f>L333</f>
        <v>13600</v>
      </c>
    </row>
    <row r="334" spans="1:16" s="58" customFormat="1" ht="24.95" hidden="1" customHeight="1">
      <c r="A334" s="10"/>
      <c r="B334" s="11"/>
      <c r="C334" s="12"/>
      <c r="D334" s="13"/>
      <c r="E334" s="13"/>
      <c r="F334" s="13"/>
      <c r="G334" s="206"/>
      <c r="H334" s="13"/>
      <c r="I334" s="68"/>
      <c r="J334" s="68"/>
      <c r="K334" s="12"/>
      <c r="L334" s="19">
        <f>H334</f>
        <v>0</v>
      </c>
      <c r="M334" s="19"/>
      <c r="N334" s="19"/>
      <c r="O334" s="71"/>
      <c r="P334" s="71"/>
    </row>
    <row r="335" spans="1:16" s="58" customFormat="1" ht="24.95" customHeight="1">
      <c r="A335" s="10">
        <v>3</v>
      </c>
      <c r="B335" s="11" t="s">
        <v>177</v>
      </c>
      <c r="C335" s="12" t="s">
        <v>163</v>
      </c>
      <c r="D335" s="13">
        <v>13800</v>
      </c>
      <c r="E335" s="13"/>
      <c r="F335" s="13"/>
      <c r="G335" s="206" t="s">
        <v>163</v>
      </c>
      <c r="H335" s="13">
        <v>13550</v>
      </c>
      <c r="I335" s="68"/>
      <c r="J335" s="68"/>
      <c r="K335" s="12" t="str">
        <f>C335</f>
        <v>đ/kg</v>
      </c>
      <c r="L335" s="19">
        <f>H335</f>
        <v>13550</v>
      </c>
      <c r="M335" s="19"/>
      <c r="N335" s="19"/>
      <c r="O335" s="71">
        <f>D335</f>
        <v>13800</v>
      </c>
      <c r="P335" s="71">
        <f>L335</f>
        <v>13550</v>
      </c>
    </row>
    <row r="336" spans="1:16" s="58" customFormat="1" ht="24.95" customHeight="1">
      <c r="A336" s="10">
        <f>+A335+1</f>
        <v>4</v>
      </c>
      <c r="B336" s="11" t="s">
        <v>178</v>
      </c>
      <c r="C336" s="12" t="s">
        <v>163</v>
      </c>
      <c r="D336" s="13">
        <v>13650</v>
      </c>
      <c r="E336" s="13"/>
      <c r="F336" s="13"/>
      <c r="G336" s="206" t="s">
        <v>163</v>
      </c>
      <c r="H336" s="13">
        <v>13400</v>
      </c>
      <c r="I336" s="68"/>
      <c r="J336" s="68"/>
      <c r="K336" s="12" t="str">
        <f>C336</f>
        <v>đ/kg</v>
      </c>
      <c r="L336" s="19">
        <f>H336</f>
        <v>13400</v>
      </c>
      <c r="M336" s="19"/>
      <c r="N336" s="19"/>
      <c r="O336" s="71">
        <f>D336</f>
        <v>13650</v>
      </c>
      <c r="P336" s="71">
        <f>L336</f>
        <v>13400</v>
      </c>
    </row>
    <row r="337" spans="1:16" s="58" customFormat="1" ht="17.25">
      <c r="A337" s="10"/>
      <c r="B337" s="237" t="s">
        <v>1700</v>
      </c>
      <c r="C337" s="238"/>
      <c r="D337" s="238"/>
      <c r="E337" s="238"/>
      <c r="F337" s="238"/>
      <c r="G337" s="238"/>
      <c r="H337" s="238"/>
      <c r="I337" s="238"/>
      <c r="J337" s="238"/>
      <c r="K337" s="238"/>
      <c r="L337" s="238"/>
      <c r="M337" s="238"/>
      <c r="N337" s="239"/>
      <c r="O337" s="69"/>
      <c r="P337" s="69"/>
    </row>
    <row r="338" spans="1:16" s="58" customFormat="1" ht="24.95" customHeight="1">
      <c r="A338" s="10">
        <v>1</v>
      </c>
      <c r="B338" s="11" t="s">
        <v>1507</v>
      </c>
      <c r="C338" s="12" t="s">
        <v>163</v>
      </c>
      <c r="D338" s="68">
        <v>13455</v>
      </c>
      <c r="E338" s="13"/>
      <c r="F338" s="13"/>
      <c r="G338" s="206" t="s">
        <v>163</v>
      </c>
      <c r="H338" s="68"/>
      <c r="I338" s="68"/>
      <c r="J338" s="68"/>
      <c r="K338" s="12" t="str">
        <f>C338</f>
        <v>đ/kg</v>
      </c>
      <c r="L338" s="19">
        <f>D338</f>
        <v>13455</v>
      </c>
      <c r="M338" s="19"/>
      <c r="N338" s="19"/>
      <c r="O338" s="71">
        <f>D338</f>
        <v>13455</v>
      </c>
      <c r="P338" s="71">
        <f>L338</f>
        <v>13455</v>
      </c>
    </row>
    <row r="339" spans="1:16" s="58" customFormat="1" ht="24.95" customHeight="1">
      <c r="A339" s="10">
        <v>2</v>
      </c>
      <c r="B339" s="11" t="s">
        <v>1508</v>
      </c>
      <c r="C339" s="12" t="s">
        <v>163</v>
      </c>
      <c r="D339" s="68">
        <v>13455</v>
      </c>
      <c r="E339" s="13"/>
      <c r="F339" s="13"/>
      <c r="G339" s="206" t="s">
        <v>163</v>
      </c>
      <c r="H339" s="68"/>
      <c r="I339" s="68"/>
      <c r="J339" s="127"/>
      <c r="K339" s="12" t="str">
        <f t="shared" ref="K339:K344" si="60">C339</f>
        <v>đ/kg</v>
      </c>
      <c r="L339" s="19">
        <f t="shared" ref="L339:L346" si="61">D339</f>
        <v>13455</v>
      </c>
      <c r="M339" s="19"/>
      <c r="N339" s="120"/>
      <c r="O339" s="71">
        <f t="shared" ref="O339:O344" si="62">E339</f>
        <v>0</v>
      </c>
      <c r="P339" s="71">
        <f t="shared" ref="P339:P344" si="63">M339</f>
        <v>0</v>
      </c>
    </row>
    <row r="340" spans="1:16" s="58" customFormat="1" ht="24.95" customHeight="1">
      <c r="A340" s="10">
        <v>3</v>
      </c>
      <c r="B340" s="11" t="s">
        <v>1509</v>
      </c>
      <c r="C340" s="12" t="s">
        <v>163</v>
      </c>
      <c r="D340" s="68">
        <v>13318</v>
      </c>
      <c r="E340" s="13"/>
      <c r="F340" s="13"/>
      <c r="G340" s="206" t="s">
        <v>163</v>
      </c>
      <c r="H340" s="68"/>
      <c r="I340" s="68"/>
      <c r="J340" s="127"/>
      <c r="K340" s="12" t="str">
        <f t="shared" si="60"/>
        <v>đ/kg</v>
      </c>
      <c r="L340" s="19">
        <f t="shared" si="61"/>
        <v>13318</v>
      </c>
      <c r="M340" s="19"/>
      <c r="N340" s="120"/>
      <c r="O340" s="71">
        <f t="shared" si="62"/>
        <v>0</v>
      </c>
      <c r="P340" s="71">
        <f t="shared" si="63"/>
        <v>0</v>
      </c>
    </row>
    <row r="341" spans="1:16" s="58" customFormat="1" ht="24.95" customHeight="1">
      <c r="A341" s="10">
        <v>4</v>
      </c>
      <c r="B341" s="11" t="s">
        <v>1510</v>
      </c>
      <c r="C341" s="12" t="s">
        <v>163</v>
      </c>
      <c r="D341" s="68">
        <v>13227</v>
      </c>
      <c r="E341" s="13"/>
      <c r="F341" s="13"/>
      <c r="G341" s="206" t="s">
        <v>163</v>
      </c>
      <c r="H341" s="68"/>
      <c r="I341" s="68"/>
      <c r="J341" s="127"/>
      <c r="K341" s="12" t="str">
        <f t="shared" si="60"/>
        <v>đ/kg</v>
      </c>
      <c r="L341" s="19">
        <f t="shared" si="61"/>
        <v>13227</v>
      </c>
      <c r="M341" s="19"/>
      <c r="N341" s="120"/>
      <c r="O341" s="71">
        <f t="shared" si="62"/>
        <v>0</v>
      </c>
      <c r="P341" s="71">
        <f t="shared" si="63"/>
        <v>0</v>
      </c>
    </row>
    <row r="342" spans="1:16" s="58" customFormat="1" ht="24.95" customHeight="1">
      <c r="A342" s="10">
        <v>5</v>
      </c>
      <c r="B342" s="11" t="s">
        <v>1511</v>
      </c>
      <c r="C342" s="12" t="s">
        <v>163</v>
      </c>
      <c r="D342" s="68">
        <v>13227</v>
      </c>
      <c r="E342" s="13"/>
      <c r="F342" s="13"/>
      <c r="G342" s="206" t="s">
        <v>163</v>
      </c>
      <c r="H342" s="68"/>
      <c r="I342" s="68"/>
      <c r="J342" s="127"/>
      <c r="K342" s="12" t="str">
        <f t="shared" si="60"/>
        <v>đ/kg</v>
      </c>
      <c r="L342" s="19">
        <f t="shared" si="61"/>
        <v>13227</v>
      </c>
      <c r="M342" s="19"/>
      <c r="N342" s="120"/>
      <c r="O342" s="71">
        <f t="shared" si="62"/>
        <v>0</v>
      </c>
      <c r="P342" s="71">
        <f t="shared" si="63"/>
        <v>0</v>
      </c>
    </row>
    <row r="343" spans="1:16" s="58" customFormat="1" ht="24.95" customHeight="1">
      <c r="A343" s="10">
        <v>6</v>
      </c>
      <c r="B343" s="11" t="s">
        <v>1512</v>
      </c>
      <c r="C343" s="12" t="s">
        <v>163</v>
      </c>
      <c r="D343" s="68">
        <v>13455</v>
      </c>
      <c r="E343" s="13"/>
      <c r="F343" s="13"/>
      <c r="G343" s="206" t="s">
        <v>163</v>
      </c>
      <c r="H343" s="68"/>
      <c r="I343" s="68"/>
      <c r="J343" s="127"/>
      <c r="K343" s="12" t="str">
        <f t="shared" si="60"/>
        <v>đ/kg</v>
      </c>
      <c r="L343" s="19">
        <f t="shared" si="61"/>
        <v>13455</v>
      </c>
      <c r="M343" s="19"/>
      <c r="N343" s="120"/>
      <c r="O343" s="71">
        <f t="shared" si="62"/>
        <v>0</v>
      </c>
      <c r="P343" s="71">
        <f t="shared" si="63"/>
        <v>0</v>
      </c>
    </row>
    <row r="344" spans="1:16" s="58" customFormat="1" ht="24.95" customHeight="1">
      <c r="A344" s="10">
        <v>7</v>
      </c>
      <c r="B344" s="11" t="s">
        <v>1513</v>
      </c>
      <c r="C344" s="12" t="s">
        <v>163</v>
      </c>
      <c r="D344" s="68">
        <v>13455</v>
      </c>
      <c r="E344" s="13"/>
      <c r="F344" s="13"/>
      <c r="G344" s="206" t="s">
        <v>163</v>
      </c>
      <c r="H344" s="68"/>
      <c r="I344" s="68"/>
      <c r="J344" s="127"/>
      <c r="K344" s="12" t="str">
        <f t="shared" si="60"/>
        <v>đ/kg</v>
      </c>
      <c r="L344" s="19">
        <f t="shared" si="61"/>
        <v>13455</v>
      </c>
      <c r="M344" s="19"/>
      <c r="N344" s="120"/>
      <c r="O344" s="71">
        <f t="shared" si="62"/>
        <v>0</v>
      </c>
      <c r="P344" s="71">
        <f t="shared" si="63"/>
        <v>0</v>
      </c>
    </row>
    <row r="345" spans="1:16" s="58" customFormat="1" ht="24.95" customHeight="1">
      <c r="A345" s="10">
        <v>8</v>
      </c>
      <c r="B345" s="11" t="s">
        <v>1514</v>
      </c>
      <c r="C345" s="12" t="s">
        <v>163</v>
      </c>
      <c r="D345" s="68">
        <v>13318</v>
      </c>
      <c r="E345" s="13"/>
      <c r="F345" s="13"/>
      <c r="G345" s="206" t="s">
        <v>163</v>
      </c>
      <c r="H345" s="68"/>
      <c r="I345" s="68"/>
      <c r="J345" s="127"/>
      <c r="K345" s="12" t="str">
        <f>C345</f>
        <v>đ/kg</v>
      </c>
      <c r="L345" s="19">
        <f t="shared" si="61"/>
        <v>13318</v>
      </c>
      <c r="M345" s="19"/>
      <c r="N345" s="120"/>
      <c r="O345" s="71">
        <f>E345</f>
        <v>0</v>
      </c>
      <c r="P345" s="71">
        <f>M345</f>
        <v>0</v>
      </c>
    </row>
    <row r="346" spans="1:16" s="58" customFormat="1" ht="24.95" customHeight="1">
      <c r="A346" s="10">
        <v>9</v>
      </c>
      <c r="B346" s="11" t="s">
        <v>1557</v>
      </c>
      <c r="C346" s="12" t="s">
        <v>163</v>
      </c>
      <c r="D346" s="68">
        <v>13227</v>
      </c>
      <c r="E346" s="13"/>
      <c r="F346" s="13"/>
      <c r="G346" s="206" t="s">
        <v>69</v>
      </c>
      <c r="H346" s="68"/>
      <c r="I346" s="68"/>
      <c r="J346" s="127"/>
      <c r="K346" s="12" t="str">
        <f>C346</f>
        <v>đ/kg</v>
      </c>
      <c r="L346" s="19">
        <f t="shared" si="61"/>
        <v>13227</v>
      </c>
      <c r="M346" s="19"/>
      <c r="N346" s="120"/>
      <c r="O346" s="71">
        <f>E346</f>
        <v>0</v>
      </c>
      <c r="P346" s="71">
        <f>M346</f>
        <v>0</v>
      </c>
    </row>
    <row r="347" spans="1:16" s="58" customFormat="1" ht="57" customHeight="1">
      <c r="A347" s="10"/>
      <c r="B347" s="237" t="s">
        <v>1835</v>
      </c>
      <c r="C347" s="238"/>
      <c r="D347" s="238"/>
      <c r="E347" s="238"/>
      <c r="F347" s="238"/>
      <c r="G347" s="238"/>
      <c r="H347" s="238"/>
      <c r="I347" s="238"/>
      <c r="J347" s="238"/>
      <c r="K347" s="238"/>
      <c r="L347" s="238"/>
      <c r="M347" s="238"/>
      <c r="N347" s="239"/>
      <c r="O347" s="71">
        <f t="shared" ref="O347:O387" si="64">E347</f>
        <v>0</v>
      </c>
      <c r="P347" s="71">
        <f t="shared" ref="P347:P387" si="65">M347</f>
        <v>0</v>
      </c>
    </row>
    <row r="348" spans="1:16" s="58" customFormat="1" ht="24.95" customHeight="1">
      <c r="A348" s="10"/>
      <c r="B348" s="9" t="s">
        <v>179</v>
      </c>
      <c r="C348" s="15"/>
      <c r="D348" s="13"/>
      <c r="E348" s="13"/>
      <c r="F348" s="13"/>
      <c r="G348" s="127"/>
      <c r="H348" s="127"/>
      <c r="I348" s="127"/>
      <c r="J348" s="127"/>
      <c r="K348" s="116"/>
      <c r="L348" s="120"/>
      <c r="M348" s="120"/>
      <c r="N348" s="120"/>
      <c r="O348" s="71">
        <f t="shared" si="64"/>
        <v>0</v>
      </c>
      <c r="P348" s="71">
        <f t="shared" si="65"/>
        <v>0</v>
      </c>
    </row>
    <row r="349" spans="1:16" s="58" customFormat="1" ht="24.95" customHeight="1">
      <c r="A349" s="10">
        <v>1</v>
      </c>
      <c r="B349" s="11" t="s">
        <v>180</v>
      </c>
      <c r="C349" s="12" t="s">
        <v>163</v>
      </c>
      <c r="D349" s="13"/>
      <c r="E349" s="13">
        <v>14850</v>
      </c>
      <c r="F349" s="13"/>
      <c r="G349" s="206" t="s">
        <v>163</v>
      </c>
      <c r="H349" s="68"/>
      <c r="I349" s="68"/>
      <c r="J349" s="127"/>
      <c r="K349" s="12" t="str">
        <f>C349</f>
        <v>đ/kg</v>
      </c>
      <c r="L349" s="19"/>
      <c r="M349" s="19">
        <f>E349</f>
        <v>14850</v>
      </c>
      <c r="N349" s="120"/>
      <c r="O349" s="71">
        <f t="shared" si="64"/>
        <v>14850</v>
      </c>
      <c r="P349" s="71">
        <f t="shared" si="65"/>
        <v>14850</v>
      </c>
    </row>
    <row r="350" spans="1:16" s="58" customFormat="1" ht="24.95" customHeight="1">
      <c r="A350" s="10">
        <f t="shared" ref="A350:A355" si="66">+A349+1</f>
        <v>2</v>
      </c>
      <c r="B350" s="11" t="s">
        <v>181</v>
      </c>
      <c r="C350" s="12" t="s">
        <v>163</v>
      </c>
      <c r="D350" s="13"/>
      <c r="E350" s="13">
        <v>14750</v>
      </c>
      <c r="F350" s="13"/>
      <c r="G350" s="206" t="s">
        <v>163</v>
      </c>
      <c r="H350" s="68"/>
      <c r="I350" s="68"/>
      <c r="J350" s="127"/>
      <c r="K350" s="12" t="str">
        <f t="shared" ref="K350:K355" si="67">C350</f>
        <v>đ/kg</v>
      </c>
      <c r="L350" s="19"/>
      <c r="M350" s="19">
        <f t="shared" ref="M350:M387" si="68">E350</f>
        <v>14750</v>
      </c>
      <c r="N350" s="120"/>
      <c r="O350" s="71">
        <f t="shared" si="64"/>
        <v>14750</v>
      </c>
      <c r="P350" s="71">
        <f t="shared" si="65"/>
        <v>14750</v>
      </c>
    </row>
    <row r="351" spans="1:16" s="58" customFormat="1" ht="24.95" customHeight="1">
      <c r="A351" s="10">
        <f t="shared" si="66"/>
        <v>3</v>
      </c>
      <c r="B351" s="11" t="s">
        <v>182</v>
      </c>
      <c r="C351" s="12" t="s">
        <v>163</v>
      </c>
      <c r="D351" s="13"/>
      <c r="E351" s="13">
        <v>14750</v>
      </c>
      <c r="F351" s="13"/>
      <c r="G351" s="206" t="s">
        <v>163</v>
      </c>
      <c r="H351" s="68"/>
      <c r="I351" s="68"/>
      <c r="J351" s="127"/>
      <c r="K351" s="12" t="str">
        <f t="shared" si="67"/>
        <v>đ/kg</v>
      </c>
      <c r="L351" s="19"/>
      <c r="M351" s="19">
        <f t="shared" si="68"/>
        <v>14750</v>
      </c>
      <c r="N351" s="120"/>
      <c r="O351" s="71">
        <f t="shared" si="64"/>
        <v>14750</v>
      </c>
      <c r="P351" s="71">
        <f t="shared" si="65"/>
        <v>14750</v>
      </c>
    </row>
    <row r="352" spans="1:16" s="58" customFormat="1" ht="24.95" customHeight="1">
      <c r="A352" s="10">
        <f t="shared" si="66"/>
        <v>4</v>
      </c>
      <c r="B352" s="11" t="s">
        <v>183</v>
      </c>
      <c r="C352" s="12" t="s">
        <v>163</v>
      </c>
      <c r="D352" s="13"/>
      <c r="E352" s="13">
        <v>14750</v>
      </c>
      <c r="F352" s="13"/>
      <c r="G352" s="206" t="s">
        <v>163</v>
      </c>
      <c r="H352" s="68"/>
      <c r="I352" s="68"/>
      <c r="J352" s="127"/>
      <c r="K352" s="12" t="str">
        <f t="shared" si="67"/>
        <v>đ/kg</v>
      </c>
      <c r="L352" s="19"/>
      <c r="M352" s="19">
        <f t="shared" si="68"/>
        <v>14750</v>
      </c>
      <c r="N352" s="120"/>
      <c r="O352" s="71">
        <f t="shared" si="64"/>
        <v>14750</v>
      </c>
      <c r="P352" s="71">
        <f t="shared" si="65"/>
        <v>14750</v>
      </c>
    </row>
    <row r="353" spans="1:16" s="58" customFormat="1" ht="24.95" customHeight="1">
      <c r="A353" s="10">
        <f t="shared" si="66"/>
        <v>5</v>
      </c>
      <c r="B353" s="11" t="s">
        <v>184</v>
      </c>
      <c r="C353" s="12" t="s">
        <v>163</v>
      </c>
      <c r="D353" s="13"/>
      <c r="E353" s="13">
        <v>14750</v>
      </c>
      <c r="F353" s="13"/>
      <c r="G353" s="206" t="s">
        <v>163</v>
      </c>
      <c r="H353" s="68"/>
      <c r="I353" s="68"/>
      <c r="J353" s="127"/>
      <c r="K353" s="12" t="str">
        <f t="shared" si="67"/>
        <v>đ/kg</v>
      </c>
      <c r="L353" s="19"/>
      <c r="M353" s="19">
        <f t="shared" si="68"/>
        <v>14750</v>
      </c>
      <c r="N353" s="120"/>
      <c r="O353" s="71">
        <f t="shared" si="64"/>
        <v>14750</v>
      </c>
      <c r="P353" s="71">
        <f t="shared" si="65"/>
        <v>14750</v>
      </c>
    </row>
    <row r="354" spans="1:16" s="58" customFormat="1" ht="24.95" customHeight="1">
      <c r="A354" s="10">
        <f t="shared" si="66"/>
        <v>6</v>
      </c>
      <c r="B354" s="11" t="s">
        <v>185</v>
      </c>
      <c r="C354" s="12" t="s">
        <v>163</v>
      </c>
      <c r="D354" s="13"/>
      <c r="E354" s="13">
        <v>14750</v>
      </c>
      <c r="F354" s="13"/>
      <c r="G354" s="206" t="s">
        <v>163</v>
      </c>
      <c r="H354" s="68"/>
      <c r="I354" s="68"/>
      <c r="J354" s="127"/>
      <c r="K354" s="12" t="str">
        <f t="shared" si="67"/>
        <v>đ/kg</v>
      </c>
      <c r="L354" s="19"/>
      <c r="M354" s="19">
        <f t="shared" si="68"/>
        <v>14750</v>
      </c>
      <c r="N354" s="120"/>
      <c r="O354" s="71">
        <f t="shared" si="64"/>
        <v>14750</v>
      </c>
      <c r="P354" s="71">
        <f t="shared" si="65"/>
        <v>14750</v>
      </c>
    </row>
    <row r="355" spans="1:16" s="58" customFormat="1" ht="24.95" customHeight="1">
      <c r="A355" s="10">
        <f t="shared" si="66"/>
        <v>7</v>
      </c>
      <c r="B355" s="11" t="s">
        <v>1456</v>
      </c>
      <c r="C355" s="12" t="s">
        <v>163</v>
      </c>
      <c r="D355" s="13"/>
      <c r="E355" s="13">
        <v>14850</v>
      </c>
      <c r="F355" s="13"/>
      <c r="G355" s="206" t="s">
        <v>163</v>
      </c>
      <c r="H355" s="68"/>
      <c r="I355" s="68"/>
      <c r="J355" s="127"/>
      <c r="K355" s="12" t="str">
        <f t="shared" si="67"/>
        <v>đ/kg</v>
      </c>
      <c r="L355" s="19"/>
      <c r="M355" s="19">
        <f t="shared" si="68"/>
        <v>14850</v>
      </c>
      <c r="N355" s="120"/>
      <c r="O355" s="71">
        <f t="shared" si="64"/>
        <v>14850</v>
      </c>
      <c r="P355" s="71">
        <f t="shared" si="65"/>
        <v>14850</v>
      </c>
    </row>
    <row r="356" spans="1:16" s="58" customFormat="1" ht="24.95" customHeight="1">
      <c r="A356" s="10"/>
      <c r="B356" s="9" t="s">
        <v>186</v>
      </c>
      <c r="C356" s="15"/>
      <c r="D356" s="20"/>
      <c r="E356" s="13"/>
      <c r="F356" s="13"/>
      <c r="G356" s="127"/>
      <c r="H356" s="127"/>
      <c r="I356" s="127"/>
      <c r="J356" s="127"/>
      <c r="K356" s="116"/>
      <c r="L356" s="120"/>
      <c r="M356" s="120"/>
      <c r="N356" s="120"/>
      <c r="O356" s="71">
        <f t="shared" si="64"/>
        <v>0</v>
      </c>
      <c r="P356" s="71">
        <f t="shared" si="65"/>
        <v>0</v>
      </c>
    </row>
    <row r="357" spans="1:16" s="58" customFormat="1" ht="24.95" customHeight="1">
      <c r="A357" s="10">
        <f>+A355+1</f>
        <v>8</v>
      </c>
      <c r="B357" s="11" t="s">
        <v>187</v>
      </c>
      <c r="C357" s="12" t="s">
        <v>163</v>
      </c>
      <c r="D357" s="13"/>
      <c r="E357" s="13">
        <v>15903</v>
      </c>
      <c r="F357" s="13"/>
      <c r="G357" s="206" t="s">
        <v>163</v>
      </c>
      <c r="H357" s="68"/>
      <c r="I357" s="68"/>
      <c r="J357" s="127"/>
      <c r="K357" s="12" t="str">
        <f t="shared" ref="K357:K362" si="69">C357</f>
        <v>đ/kg</v>
      </c>
      <c r="L357" s="19"/>
      <c r="M357" s="19">
        <f t="shared" si="68"/>
        <v>15903</v>
      </c>
      <c r="N357" s="120"/>
      <c r="O357" s="71">
        <f t="shared" si="64"/>
        <v>15903</v>
      </c>
      <c r="P357" s="71">
        <f t="shared" si="65"/>
        <v>15903</v>
      </c>
    </row>
    <row r="358" spans="1:16" s="58" customFormat="1" ht="24.95" customHeight="1">
      <c r="A358" s="10">
        <f>+A357+1</f>
        <v>9</v>
      </c>
      <c r="B358" s="11" t="s">
        <v>188</v>
      </c>
      <c r="C358" s="12" t="s">
        <v>163</v>
      </c>
      <c r="D358" s="13"/>
      <c r="E358" s="13">
        <v>15878</v>
      </c>
      <c r="F358" s="13"/>
      <c r="G358" s="206" t="s">
        <v>163</v>
      </c>
      <c r="H358" s="68"/>
      <c r="I358" s="68"/>
      <c r="J358" s="127"/>
      <c r="K358" s="12" t="str">
        <f t="shared" si="69"/>
        <v>đ/kg</v>
      </c>
      <c r="L358" s="19"/>
      <c r="M358" s="19">
        <f t="shared" si="68"/>
        <v>15878</v>
      </c>
      <c r="N358" s="120"/>
      <c r="O358" s="71">
        <f t="shared" si="64"/>
        <v>15878</v>
      </c>
      <c r="P358" s="71">
        <f t="shared" si="65"/>
        <v>15878</v>
      </c>
    </row>
    <row r="359" spans="1:16" s="58" customFormat="1" ht="24.95" customHeight="1">
      <c r="A359" s="10">
        <f>+A358+1</f>
        <v>10</v>
      </c>
      <c r="B359" s="11" t="s">
        <v>189</v>
      </c>
      <c r="C359" s="12" t="s">
        <v>163</v>
      </c>
      <c r="D359" s="13"/>
      <c r="E359" s="13">
        <v>15750</v>
      </c>
      <c r="F359" s="13"/>
      <c r="G359" s="206" t="s">
        <v>163</v>
      </c>
      <c r="H359" s="68"/>
      <c r="I359" s="68"/>
      <c r="J359" s="127"/>
      <c r="K359" s="12" t="str">
        <f t="shared" si="69"/>
        <v>đ/kg</v>
      </c>
      <c r="L359" s="19"/>
      <c r="M359" s="19">
        <f t="shared" si="68"/>
        <v>15750</v>
      </c>
      <c r="N359" s="120"/>
      <c r="O359" s="71">
        <f t="shared" si="64"/>
        <v>15750</v>
      </c>
      <c r="P359" s="71">
        <f t="shared" si="65"/>
        <v>15750</v>
      </c>
    </row>
    <row r="360" spans="1:16" s="58" customFormat="1" ht="24.95" customHeight="1">
      <c r="A360" s="10">
        <f>+A359+1</f>
        <v>11</v>
      </c>
      <c r="B360" s="11" t="s">
        <v>190</v>
      </c>
      <c r="C360" s="12" t="s">
        <v>163</v>
      </c>
      <c r="D360" s="13"/>
      <c r="E360" s="13">
        <v>15750</v>
      </c>
      <c r="F360" s="13"/>
      <c r="G360" s="206" t="s">
        <v>163</v>
      </c>
      <c r="H360" s="68"/>
      <c r="I360" s="68"/>
      <c r="J360" s="127"/>
      <c r="K360" s="12" t="str">
        <f t="shared" si="69"/>
        <v>đ/kg</v>
      </c>
      <c r="L360" s="19"/>
      <c r="M360" s="19">
        <f t="shared" si="68"/>
        <v>15750</v>
      </c>
      <c r="N360" s="120"/>
      <c r="O360" s="71">
        <f t="shared" si="64"/>
        <v>15750</v>
      </c>
      <c r="P360" s="71">
        <f t="shared" si="65"/>
        <v>15750</v>
      </c>
    </row>
    <row r="361" spans="1:16" s="58" customFormat="1" ht="24.95" customHeight="1">
      <c r="A361" s="10">
        <f>+A360+1</f>
        <v>12</v>
      </c>
      <c r="B361" s="11" t="s">
        <v>191</v>
      </c>
      <c r="C361" s="12" t="s">
        <v>163</v>
      </c>
      <c r="D361" s="13"/>
      <c r="E361" s="13">
        <v>15950</v>
      </c>
      <c r="F361" s="13"/>
      <c r="G361" s="206" t="s">
        <v>163</v>
      </c>
      <c r="H361" s="68"/>
      <c r="I361" s="68"/>
      <c r="J361" s="127"/>
      <c r="K361" s="12" t="str">
        <f t="shared" si="69"/>
        <v>đ/kg</v>
      </c>
      <c r="L361" s="19"/>
      <c r="M361" s="19">
        <f t="shared" si="68"/>
        <v>15950</v>
      </c>
      <c r="N361" s="120"/>
      <c r="O361" s="71">
        <f t="shared" si="64"/>
        <v>15950</v>
      </c>
      <c r="P361" s="71">
        <f t="shared" si="65"/>
        <v>15950</v>
      </c>
    </row>
    <row r="362" spans="1:16" s="58" customFormat="1" ht="24.95" customHeight="1">
      <c r="A362" s="10">
        <f>+A361+1</f>
        <v>13</v>
      </c>
      <c r="B362" s="11" t="s">
        <v>192</v>
      </c>
      <c r="C362" s="12" t="s">
        <v>163</v>
      </c>
      <c r="D362" s="13"/>
      <c r="E362" s="13">
        <v>15950</v>
      </c>
      <c r="F362" s="13"/>
      <c r="G362" s="206" t="s">
        <v>163</v>
      </c>
      <c r="H362" s="68"/>
      <c r="I362" s="68"/>
      <c r="J362" s="127"/>
      <c r="K362" s="12" t="str">
        <f t="shared" si="69"/>
        <v>đ/kg</v>
      </c>
      <c r="L362" s="19"/>
      <c r="M362" s="19">
        <f t="shared" si="68"/>
        <v>15950</v>
      </c>
      <c r="N362" s="120"/>
      <c r="O362" s="71">
        <f t="shared" si="64"/>
        <v>15950</v>
      </c>
      <c r="P362" s="71">
        <f t="shared" si="65"/>
        <v>15950</v>
      </c>
    </row>
    <row r="363" spans="1:16" s="58" customFormat="1" ht="24.95" customHeight="1">
      <c r="A363" s="10"/>
      <c r="B363" s="9" t="s">
        <v>193</v>
      </c>
      <c r="C363" s="15"/>
      <c r="D363" s="13"/>
      <c r="E363" s="13"/>
      <c r="F363" s="13"/>
      <c r="G363" s="127"/>
      <c r="H363" s="127"/>
      <c r="I363" s="127"/>
      <c r="J363" s="127"/>
      <c r="K363" s="116"/>
      <c r="L363" s="120"/>
      <c r="M363" s="120"/>
      <c r="N363" s="120"/>
      <c r="O363" s="71">
        <f t="shared" si="64"/>
        <v>0</v>
      </c>
      <c r="P363" s="71">
        <f t="shared" si="65"/>
        <v>0</v>
      </c>
    </row>
    <row r="364" spans="1:16" s="58" customFormat="1" ht="24.95" customHeight="1">
      <c r="A364" s="10">
        <f>+A362+1</f>
        <v>14</v>
      </c>
      <c r="B364" s="11" t="s">
        <v>194</v>
      </c>
      <c r="C364" s="12" t="s">
        <v>69</v>
      </c>
      <c r="D364" s="13"/>
      <c r="E364" s="13">
        <v>79560</v>
      </c>
      <c r="F364" s="13"/>
      <c r="G364" s="206" t="s">
        <v>69</v>
      </c>
      <c r="H364" s="68"/>
      <c r="I364" s="68"/>
      <c r="J364" s="127"/>
      <c r="K364" s="12" t="str">
        <f t="shared" ref="K364:K370" si="70">C364</f>
        <v>đ/cây</v>
      </c>
      <c r="L364" s="19"/>
      <c r="M364" s="19">
        <f t="shared" si="68"/>
        <v>79560</v>
      </c>
      <c r="N364" s="120"/>
      <c r="O364" s="71">
        <f t="shared" si="64"/>
        <v>79560</v>
      </c>
      <c r="P364" s="71">
        <f t="shared" si="65"/>
        <v>79560</v>
      </c>
    </row>
    <row r="365" spans="1:16" s="58" customFormat="1" ht="24.95" customHeight="1">
      <c r="A365" s="10">
        <f t="shared" ref="A365:A370" si="71">+A364+1</f>
        <v>15</v>
      </c>
      <c r="B365" s="11" t="s">
        <v>195</v>
      </c>
      <c r="C365" s="12" t="s">
        <v>69</v>
      </c>
      <c r="D365" s="13"/>
      <c r="E365" s="13">
        <v>125970</v>
      </c>
      <c r="F365" s="13"/>
      <c r="G365" s="206" t="s">
        <v>69</v>
      </c>
      <c r="H365" s="68"/>
      <c r="I365" s="68"/>
      <c r="J365" s="127"/>
      <c r="K365" s="12" t="str">
        <f t="shared" si="70"/>
        <v>đ/cây</v>
      </c>
      <c r="L365" s="19"/>
      <c r="M365" s="19">
        <f t="shared" si="68"/>
        <v>125970</v>
      </c>
      <c r="N365" s="120"/>
      <c r="O365" s="71">
        <f t="shared" si="64"/>
        <v>125970</v>
      </c>
      <c r="P365" s="71">
        <f t="shared" si="65"/>
        <v>125970</v>
      </c>
    </row>
    <row r="366" spans="1:16" s="58" customFormat="1" ht="24.95" customHeight="1">
      <c r="A366" s="10">
        <f t="shared" si="71"/>
        <v>16</v>
      </c>
      <c r="B366" s="11" t="s">
        <v>196</v>
      </c>
      <c r="C366" s="12" t="s">
        <v>69</v>
      </c>
      <c r="D366" s="13"/>
      <c r="E366" s="13">
        <v>158925</v>
      </c>
      <c r="F366" s="13"/>
      <c r="G366" s="206" t="s">
        <v>69</v>
      </c>
      <c r="H366" s="68"/>
      <c r="I366" s="68"/>
      <c r="J366" s="127"/>
      <c r="K366" s="12" t="str">
        <f t="shared" si="70"/>
        <v>đ/cây</v>
      </c>
      <c r="L366" s="19"/>
      <c r="M366" s="19">
        <f t="shared" si="68"/>
        <v>158925</v>
      </c>
      <c r="N366" s="120"/>
      <c r="O366" s="71">
        <f t="shared" si="64"/>
        <v>158925</v>
      </c>
      <c r="P366" s="71">
        <f t="shared" si="65"/>
        <v>158925</v>
      </c>
    </row>
    <row r="367" spans="1:16" s="58" customFormat="1" ht="24.95" customHeight="1">
      <c r="A367" s="10">
        <f t="shared" si="71"/>
        <v>17</v>
      </c>
      <c r="B367" s="11" t="s">
        <v>197</v>
      </c>
      <c r="C367" s="12" t="s">
        <v>69</v>
      </c>
      <c r="D367" s="13"/>
      <c r="E367" s="13">
        <v>192075</v>
      </c>
      <c r="F367" s="13"/>
      <c r="G367" s="206" t="s">
        <v>69</v>
      </c>
      <c r="H367" s="68"/>
      <c r="I367" s="68"/>
      <c r="J367" s="127"/>
      <c r="K367" s="12" t="str">
        <f t="shared" si="70"/>
        <v>đ/cây</v>
      </c>
      <c r="L367" s="19"/>
      <c r="M367" s="19">
        <f t="shared" si="68"/>
        <v>192075</v>
      </c>
      <c r="N367" s="120"/>
      <c r="O367" s="71">
        <f t="shared" si="64"/>
        <v>192075</v>
      </c>
      <c r="P367" s="71">
        <f t="shared" si="65"/>
        <v>192075</v>
      </c>
    </row>
    <row r="368" spans="1:16" s="58" customFormat="1" ht="24.95" customHeight="1">
      <c r="A368" s="10">
        <f t="shared" si="71"/>
        <v>18</v>
      </c>
      <c r="B368" s="11" t="s">
        <v>198</v>
      </c>
      <c r="C368" s="12" t="s">
        <v>69</v>
      </c>
      <c r="D368" s="13"/>
      <c r="E368" s="13">
        <v>299910</v>
      </c>
      <c r="F368" s="13"/>
      <c r="G368" s="206" t="s">
        <v>69</v>
      </c>
      <c r="H368" s="68"/>
      <c r="I368" s="68"/>
      <c r="J368" s="127"/>
      <c r="K368" s="12" t="str">
        <f t="shared" si="70"/>
        <v>đ/cây</v>
      </c>
      <c r="L368" s="19"/>
      <c r="M368" s="19">
        <f t="shared" si="68"/>
        <v>299910</v>
      </c>
      <c r="N368" s="120"/>
      <c r="O368" s="71">
        <f t="shared" si="64"/>
        <v>299910</v>
      </c>
      <c r="P368" s="71">
        <f t="shared" si="65"/>
        <v>299910</v>
      </c>
    </row>
    <row r="369" spans="1:16" s="58" customFormat="1" ht="24.95" customHeight="1">
      <c r="A369" s="10">
        <f t="shared" si="71"/>
        <v>19</v>
      </c>
      <c r="B369" s="11" t="s">
        <v>199</v>
      </c>
      <c r="C369" s="12" t="s">
        <v>69</v>
      </c>
      <c r="D369" s="13"/>
      <c r="E369" s="13">
        <v>376935</v>
      </c>
      <c r="F369" s="13"/>
      <c r="G369" s="206" t="s">
        <v>69</v>
      </c>
      <c r="H369" s="68"/>
      <c r="I369" s="68"/>
      <c r="J369" s="127"/>
      <c r="K369" s="12" t="str">
        <f t="shared" si="70"/>
        <v>đ/cây</v>
      </c>
      <c r="L369" s="19"/>
      <c r="M369" s="19">
        <f t="shared" si="68"/>
        <v>376935</v>
      </c>
      <c r="N369" s="120"/>
      <c r="O369" s="71">
        <f t="shared" si="64"/>
        <v>376935</v>
      </c>
      <c r="P369" s="71">
        <f t="shared" si="65"/>
        <v>376935</v>
      </c>
    </row>
    <row r="370" spans="1:16" s="58" customFormat="1" ht="24.95" customHeight="1">
      <c r="A370" s="10">
        <f t="shared" si="71"/>
        <v>20</v>
      </c>
      <c r="B370" s="11" t="s">
        <v>1836</v>
      </c>
      <c r="C370" s="12" t="s">
        <v>69</v>
      </c>
      <c r="D370" s="13"/>
      <c r="E370" s="13">
        <v>486135</v>
      </c>
      <c r="F370" s="13"/>
      <c r="G370" s="206" t="s">
        <v>69</v>
      </c>
      <c r="H370" s="68"/>
      <c r="I370" s="68"/>
      <c r="J370" s="127"/>
      <c r="K370" s="12" t="str">
        <f t="shared" si="70"/>
        <v>đ/cây</v>
      </c>
      <c r="L370" s="19"/>
      <c r="M370" s="19">
        <f t="shared" si="68"/>
        <v>486135</v>
      </c>
      <c r="N370" s="120"/>
      <c r="O370" s="71">
        <f t="shared" si="64"/>
        <v>486135</v>
      </c>
      <c r="P370" s="71">
        <f t="shared" si="65"/>
        <v>486135</v>
      </c>
    </row>
    <row r="371" spans="1:16" s="58" customFormat="1" ht="24.95" customHeight="1">
      <c r="A371" s="10"/>
      <c r="B371" s="9" t="s">
        <v>200</v>
      </c>
      <c r="C371" s="15"/>
      <c r="D371" s="13"/>
      <c r="E371" s="69"/>
      <c r="F371" s="13"/>
      <c r="G371" s="127"/>
      <c r="H371" s="127"/>
      <c r="I371" s="127"/>
      <c r="J371" s="127"/>
      <c r="K371" s="116"/>
      <c r="L371" s="120"/>
      <c r="M371" s="120"/>
      <c r="N371" s="120"/>
      <c r="O371" s="71">
        <f t="shared" si="64"/>
        <v>0</v>
      </c>
      <c r="P371" s="71">
        <f t="shared" si="65"/>
        <v>0</v>
      </c>
    </row>
    <row r="372" spans="1:16" s="58" customFormat="1" ht="24.95" customHeight="1">
      <c r="A372" s="10">
        <f>+A370+1</f>
        <v>21</v>
      </c>
      <c r="B372" s="11" t="s">
        <v>201</v>
      </c>
      <c r="C372" s="12" t="s">
        <v>202</v>
      </c>
      <c r="D372" s="20"/>
      <c r="E372" s="13">
        <v>79950</v>
      </c>
      <c r="F372" s="13"/>
      <c r="G372" s="206" t="s">
        <v>202</v>
      </c>
      <c r="H372" s="196"/>
      <c r="I372" s="68"/>
      <c r="J372" s="127"/>
      <c r="K372" s="12" t="str">
        <f t="shared" ref="K372:K380" si="72">C372</f>
        <v>đ/ống</v>
      </c>
      <c r="L372" s="19"/>
      <c r="M372" s="19">
        <f t="shared" si="68"/>
        <v>79950</v>
      </c>
      <c r="N372" s="120"/>
      <c r="O372" s="71">
        <f t="shared" si="64"/>
        <v>79950</v>
      </c>
      <c r="P372" s="71">
        <f t="shared" si="65"/>
        <v>79950</v>
      </c>
    </row>
    <row r="373" spans="1:16" s="58" customFormat="1" ht="24.95" customHeight="1">
      <c r="A373" s="10">
        <f t="shared" ref="A373:A380" si="73">+A372+1</f>
        <v>22</v>
      </c>
      <c r="B373" s="11" t="s">
        <v>203</v>
      </c>
      <c r="C373" s="12" t="s">
        <v>202</v>
      </c>
      <c r="D373" s="20"/>
      <c r="E373" s="13">
        <v>101400</v>
      </c>
      <c r="F373" s="13"/>
      <c r="G373" s="206" t="s">
        <v>202</v>
      </c>
      <c r="H373" s="196"/>
      <c r="I373" s="68"/>
      <c r="J373" s="127"/>
      <c r="K373" s="12" t="str">
        <f t="shared" si="72"/>
        <v>đ/ống</v>
      </c>
      <c r="L373" s="19"/>
      <c r="M373" s="19">
        <f t="shared" si="68"/>
        <v>101400</v>
      </c>
      <c r="N373" s="120"/>
      <c r="O373" s="71">
        <f t="shared" si="64"/>
        <v>101400</v>
      </c>
      <c r="P373" s="71">
        <f t="shared" si="65"/>
        <v>101400</v>
      </c>
    </row>
    <row r="374" spans="1:16" s="58" customFormat="1" ht="24.95" customHeight="1">
      <c r="A374" s="10">
        <f t="shared" si="73"/>
        <v>23</v>
      </c>
      <c r="B374" s="11" t="s">
        <v>204</v>
      </c>
      <c r="C374" s="12" t="s">
        <v>202</v>
      </c>
      <c r="D374" s="20"/>
      <c r="E374" s="13">
        <v>129675</v>
      </c>
      <c r="F374" s="13"/>
      <c r="G374" s="206" t="s">
        <v>202</v>
      </c>
      <c r="H374" s="196"/>
      <c r="I374" s="68"/>
      <c r="J374" s="127"/>
      <c r="K374" s="12" t="str">
        <f t="shared" si="72"/>
        <v>đ/ống</v>
      </c>
      <c r="L374" s="19"/>
      <c r="M374" s="19">
        <f t="shared" si="68"/>
        <v>129675</v>
      </c>
      <c r="N374" s="120"/>
      <c r="O374" s="71">
        <f t="shared" si="64"/>
        <v>129675</v>
      </c>
      <c r="P374" s="71">
        <f t="shared" si="65"/>
        <v>129675</v>
      </c>
    </row>
    <row r="375" spans="1:16" s="58" customFormat="1" ht="24.95" customHeight="1">
      <c r="A375" s="10">
        <f t="shared" si="73"/>
        <v>24</v>
      </c>
      <c r="B375" s="11" t="s">
        <v>1457</v>
      </c>
      <c r="C375" s="12" t="s">
        <v>202</v>
      </c>
      <c r="D375" s="20"/>
      <c r="E375" s="13">
        <v>164775</v>
      </c>
      <c r="F375" s="13"/>
      <c r="G375" s="206" t="s">
        <v>202</v>
      </c>
      <c r="H375" s="196"/>
      <c r="I375" s="68"/>
      <c r="J375" s="127"/>
      <c r="K375" s="12" t="str">
        <f t="shared" si="72"/>
        <v>đ/ống</v>
      </c>
      <c r="L375" s="19"/>
      <c r="M375" s="19">
        <f t="shared" si="68"/>
        <v>164775</v>
      </c>
      <c r="N375" s="120"/>
      <c r="O375" s="71">
        <f t="shared" si="64"/>
        <v>164775</v>
      </c>
      <c r="P375" s="71">
        <f t="shared" si="65"/>
        <v>164775</v>
      </c>
    </row>
    <row r="376" spans="1:16" s="58" customFormat="1" ht="24.95" customHeight="1">
      <c r="A376" s="10">
        <f t="shared" si="73"/>
        <v>25</v>
      </c>
      <c r="B376" s="11" t="s">
        <v>205</v>
      </c>
      <c r="C376" s="12" t="s">
        <v>202</v>
      </c>
      <c r="D376" s="20"/>
      <c r="E376" s="13">
        <v>187395</v>
      </c>
      <c r="F376" s="13"/>
      <c r="G376" s="206" t="s">
        <v>202</v>
      </c>
      <c r="H376" s="196"/>
      <c r="I376" s="68"/>
      <c r="J376" s="127"/>
      <c r="K376" s="12" t="str">
        <f t="shared" si="72"/>
        <v>đ/ống</v>
      </c>
      <c r="L376" s="19"/>
      <c r="M376" s="19">
        <f t="shared" si="68"/>
        <v>187395</v>
      </c>
      <c r="N376" s="120"/>
      <c r="O376" s="71">
        <f t="shared" si="64"/>
        <v>187395</v>
      </c>
      <c r="P376" s="71">
        <f t="shared" si="65"/>
        <v>187395</v>
      </c>
    </row>
    <row r="377" spans="1:16" s="58" customFormat="1" ht="24.95" customHeight="1">
      <c r="A377" s="10">
        <f t="shared" si="73"/>
        <v>26</v>
      </c>
      <c r="B377" s="11" t="s">
        <v>206</v>
      </c>
      <c r="C377" s="12" t="s">
        <v>202</v>
      </c>
      <c r="D377" s="20"/>
      <c r="E377" s="13">
        <v>236340</v>
      </c>
      <c r="F377" s="13"/>
      <c r="G377" s="206" t="s">
        <v>202</v>
      </c>
      <c r="H377" s="196"/>
      <c r="I377" s="68"/>
      <c r="J377" s="127"/>
      <c r="K377" s="12" t="str">
        <f t="shared" si="72"/>
        <v>đ/ống</v>
      </c>
      <c r="L377" s="19"/>
      <c r="M377" s="19">
        <f t="shared" si="68"/>
        <v>236340</v>
      </c>
      <c r="N377" s="120"/>
      <c r="O377" s="71">
        <f t="shared" si="64"/>
        <v>236340</v>
      </c>
      <c r="P377" s="71">
        <f t="shared" si="65"/>
        <v>236340</v>
      </c>
    </row>
    <row r="378" spans="1:16" s="58" customFormat="1" ht="24.95" customHeight="1">
      <c r="A378" s="10">
        <f t="shared" si="73"/>
        <v>27</v>
      </c>
      <c r="B378" s="11" t="s">
        <v>207</v>
      </c>
      <c r="C378" s="12" t="s">
        <v>202</v>
      </c>
      <c r="D378" s="20"/>
      <c r="E378" s="13">
        <v>320775</v>
      </c>
      <c r="F378" s="13"/>
      <c r="G378" s="206" t="s">
        <v>202</v>
      </c>
      <c r="H378" s="196"/>
      <c r="I378" s="68"/>
      <c r="J378" s="127"/>
      <c r="K378" s="12" t="str">
        <f t="shared" si="72"/>
        <v>đ/ống</v>
      </c>
      <c r="L378" s="19"/>
      <c r="M378" s="19">
        <f t="shared" si="68"/>
        <v>320775</v>
      </c>
      <c r="N378" s="120"/>
      <c r="O378" s="71">
        <f t="shared" si="64"/>
        <v>320775</v>
      </c>
      <c r="P378" s="71">
        <f t="shared" si="65"/>
        <v>320775</v>
      </c>
    </row>
    <row r="379" spans="1:16" s="58" customFormat="1" ht="24.95" customHeight="1">
      <c r="A379" s="10">
        <f t="shared" si="73"/>
        <v>28</v>
      </c>
      <c r="B379" s="11" t="s">
        <v>208</v>
      </c>
      <c r="C379" s="12" t="s">
        <v>202</v>
      </c>
      <c r="D379" s="20"/>
      <c r="E379" s="13">
        <v>375765</v>
      </c>
      <c r="F379" s="13"/>
      <c r="G379" s="206" t="s">
        <v>202</v>
      </c>
      <c r="H379" s="196"/>
      <c r="I379" s="68"/>
      <c r="J379" s="127"/>
      <c r="K379" s="12" t="str">
        <f t="shared" si="72"/>
        <v>đ/ống</v>
      </c>
      <c r="L379" s="19"/>
      <c r="M379" s="19">
        <f t="shared" si="68"/>
        <v>375765</v>
      </c>
      <c r="N379" s="120"/>
      <c r="O379" s="71">
        <f t="shared" si="64"/>
        <v>375765</v>
      </c>
      <c r="P379" s="71">
        <f t="shared" si="65"/>
        <v>375765</v>
      </c>
    </row>
    <row r="380" spans="1:16" s="58" customFormat="1" ht="24.95" customHeight="1">
      <c r="A380" s="10">
        <f t="shared" si="73"/>
        <v>29</v>
      </c>
      <c r="B380" s="11" t="s">
        <v>209</v>
      </c>
      <c r="C380" s="12" t="s">
        <v>202</v>
      </c>
      <c r="D380" s="20"/>
      <c r="E380" s="13">
        <v>580125</v>
      </c>
      <c r="F380" s="13"/>
      <c r="G380" s="206" t="s">
        <v>202</v>
      </c>
      <c r="H380" s="196"/>
      <c r="I380" s="68"/>
      <c r="J380" s="127"/>
      <c r="K380" s="12" t="str">
        <f t="shared" si="72"/>
        <v>đ/ống</v>
      </c>
      <c r="L380" s="19"/>
      <c r="M380" s="19">
        <f t="shared" si="68"/>
        <v>580125</v>
      </c>
      <c r="N380" s="120"/>
      <c r="O380" s="71">
        <f t="shared" si="64"/>
        <v>580125</v>
      </c>
      <c r="P380" s="71">
        <f t="shared" si="65"/>
        <v>580125</v>
      </c>
    </row>
    <row r="381" spans="1:16" s="58" customFormat="1" ht="24.95" customHeight="1">
      <c r="A381" s="10"/>
      <c r="B381" s="9" t="s">
        <v>210</v>
      </c>
      <c r="C381" s="15"/>
      <c r="D381" s="20"/>
      <c r="E381" s="69"/>
      <c r="F381" s="13"/>
      <c r="G381" s="127"/>
      <c r="H381" s="127"/>
      <c r="I381" s="127"/>
      <c r="J381" s="127"/>
      <c r="K381" s="116"/>
      <c r="L381" s="120"/>
      <c r="M381" s="120"/>
      <c r="N381" s="120"/>
      <c r="O381" s="71">
        <f t="shared" si="64"/>
        <v>0</v>
      </c>
      <c r="P381" s="71">
        <f t="shared" si="65"/>
        <v>0</v>
      </c>
    </row>
    <row r="382" spans="1:16" s="58" customFormat="1" ht="24.95" customHeight="1">
      <c r="A382" s="10">
        <f>+A380+1</f>
        <v>30</v>
      </c>
      <c r="B382" s="11" t="s">
        <v>201</v>
      </c>
      <c r="C382" s="12" t="s">
        <v>202</v>
      </c>
      <c r="D382" s="20"/>
      <c r="E382" s="13">
        <v>79950</v>
      </c>
      <c r="F382" s="13"/>
      <c r="G382" s="206" t="s">
        <v>202</v>
      </c>
      <c r="H382" s="196"/>
      <c r="I382" s="68"/>
      <c r="J382" s="127"/>
      <c r="K382" s="12" t="str">
        <f t="shared" ref="K382:K387" si="74">C382</f>
        <v>đ/ống</v>
      </c>
      <c r="L382" s="19"/>
      <c r="M382" s="19">
        <f t="shared" si="68"/>
        <v>79950</v>
      </c>
      <c r="N382" s="120"/>
      <c r="O382" s="71">
        <f t="shared" si="64"/>
        <v>79950</v>
      </c>
      <c r="P382" s="71">
        <f t="shared" si="65"/>
        <v>79950</v>
      </c>
    </row>
    <row r="383" spans="1:16" s="58" customFormat="1" ht="24.95" customHeight="1">
      <c r="A383" s="10">
        <f t="shared" ref="A383:A390" si="75">+A382+1</f>
        <v>31</v>
      </c>
      <c r="B383" s="11" t="s">
        <v>203</v>
      </c>
      <c r="C383" s="12" t="s">
        <v>202</v>
      </c>
      <c r="D383" s="20"/>
      <c r="E383" s="13">
        <v>101400</v>
      </c>
      <c r="F383" s="13"/>
      <c r="G383" s="206" t="s">
        <v>202</v>
      </c>
      <c r="H383" s="196"/>
      <c r="I383" s="68"/>
      <c r="J383" s="127"/>
      <c r="K383" s="12" t="str">
        <f t="shared" si="74"/>
        <v>đ/ống</v>
      </c>
      <c r="L383" s="19"/>
      <c r="M383" s="19">
        <f t="shared" si="68"/>
        <v>101400</v>
      </c>
      <c r="N383" s="120"/>
      <c r="O383" s="71">
        <f t="shared" si="64"/>
        <v>101400</v>
      </c>
      <c r="P383" s="71">
        <f t="shared" si="65"/>
        <v>101400</v>
      </c>
    </row>
    <row r="384" spans="1:16" s="58" customFormat="1" ht="24.95" customHeight="1">
      <c r="A384" s="10">
        <f t="shared" si="75"/>
        <v>32</v>
      </c>
      <c r="B384" s="11" t="s">
        <v>204</v>
      </c>
      <c r="C384" s="12" t="s">
        <v>202</v>
      </c>
      <c r="D384" s="20"/>
      <c r="E384" s="13">
        <v>129675</v>
      </c>
      <c r="F384" s="13"/>
      <c r="G384" s="206" t="s">
        <v>202</v>
      </c>
      <c r="H384" s="196"/>
      <c r="I384" s="68"/>
      <c r="J384" s="127"/>
      <c r="K384" s="12" t="str">
        <f t="shared" si="74"/>
        <v>đ/ống</v>
      </c>
      <c r="L384" s="19"/>
      <c r="M384" s="19">
        <f t="shared" si="68"/>
        <v>129675</v>
      </c>
      <c r="N384" s="120"/>
      <c r="O384" s="71">
        <f t="shared" si="64"/>
        <v>129675</v>
      </c>
      <c r="P384" s="71">
        <f t="shared" si="65"/>
        <v>129675</v>
      </c>
    </row>
    <row r="385" spans="1:16" s="58" customFormat="1" ht="24.95" customHeight="1">
      <c r="A385" s="10">
        <f t="shared" si="75"/>
        <v>33</v>
      </c>
      <c r="B385" s="11" t="s">
        <v>1457</v>
      </c>
      <c r="C385" s="12" t="s">
        <v>202</v>
      </c>
      <c r="D385" s="20"/>
      <c r="E385" s="13">
        <v>164775</v>
      </c>
      <c r="F385" s="13"/>
      <c r="G385" s="206" t="s">
        <v>202</v>
      </c>
      <c r="H385" s="196"/>
      <c r="I385" s="68"/>
      <c r="J385" s="127"/>
      <c r="K385" s="12" t="str">
        <f t="shared" si="74"/>
        <v>đ/ống</v>
      </c>
      <c r="L385" s="19"/>
      <c r="M385" s="19">
        <f t="shared" si="68"/>
        <v>164775</v>
      </c>
      <c r="N385" s="120"/>
      <c r="O385" s="71">
        <f t="shared" si="64"/>
        <v>164775</v>
      </c>
      <c r="P385" s="71">
        <f t="shared" si="65"/>
        <v>164775</v>
      </c>
    </row>
    <row r="386" spans="1:16" s="58" customFormat="1" ht="24.95" customHeight="1">
      <c r="A386" s="10">
        <f t="shared" si="75"/>
        <v>34</v>
      </c>
      <c r="B386" s="11" t="s">
        <v>205</v>
      </c>
      <c r="C386" s="12" t="s">
        <v>202</v>
      </c>
      <c r="D386" s="20"/>
      <c r="E386" s="13">
        <v>187395</v>
      </c>
      <c r="F386" s="13"/>
      <c r="G386" s="206" t="s">
        <v>202</v>
      </c>
      <c r="H386" s="196"/>
      <c r="I386" s="68"/>
      <c r="J386" s="127"/>
      <c r="K386" s="12" t="str">
        <f t="shared" si="74"/>
        <v>đ/ống</v>
      </c>
      <c r="L386" s="19"/>
      <c r="M386" s="19">
        <f t="shared" si="68"/>
        <v>187395</v>
      </c>
      <c r="N386" s="120"/>
      <c r="O386" s="71">
        <f t="shared" si="64"/>
        <v>187395</v>
      </c>
      <c r="P386" s="71">
        <f t="shared" si="65"/>
        <v>187395</v>
      </c>
    </row>
    <row r="387" spans="1:16" s="58" customFormat="1" ht="24.95" customHeight="1">
      <c r="A387" s="10">
        <f t="shared" si="75"/>
        <v>35</v>
      </c>
      <c r="B387" s="11" t="s">
        <v>206</v>
      </c>
      <c r="C387" s="12" t="s">
        <v>202</v>
      </c>
      <c r="D387" s="20"/>
      <c r="E387" s="13">
        <v>236340</v>
      </c>
      <c r="F387" s="13"/>
      <c r="G387" s="206" t="s">
        <v>202</v>
      </c>
      <c r="H387" s="196"/>
      <c r="I387" s="68"/>
      <c r="J387" s="127"/>
      <c r="K387" s="12" t="str">
        <f t="shared" si="74"/>
        <v>đ/ống</v>
      </c>
      <c r="L387" s="19"/>
      <c r="M387" s="19">
        <f t="shared" si="68"/>
        <v>236340</v>
      </c>
      <c r="N387" s="120"/>
      <c r="O387" s="71">
        <f t="shared" si="64"/>
        <v>236340</v>
      </c>
      <c r="P387" s="71">
        <f t="shared" si="65"/>
        <v>236340</v>
      </c>
    </row>
    <row r="388" spans="1:16" s="58" customFormat="1" ht="24.95" customHeight="1">
      <c r="A388" s="10">
        <f t="shared" si="75"/>
        <v>36</v>
      </c>
      <c r="B388" s="11" t="s">
        <v>1837</v>
      </c>
      <c r="C388" s="12" t="s">
        <v>202</v>
      </c>
      <c r="D388" s="20"/>
      <c r="E388" s="13">
        <v>320775</v>
      </c>
      <c r="F388" s="13"/>
      <c r="G388" s="206" t="s">
        <v>202</v>
      </c>
      <c r="H388" s="196"/>
      <c r="I388" s="68"/>
      <c r="J388" s="127"/>
      <c r="K388" s="12" t="str">
        <f>C388</f>
        <v>đ/ống</v>
      </c>
      <c r="L388" s="19"/>
      <c r="M388" s="19">
        <f>E388</f>
        <v>320775</v>
      </c>
      <c r="N388" s="120"/>
      <c r="O388" s="71">
        <f>E388</f>
        <v>320775</v>
      </c>
      <c r="P388" s="71">
        <f>M388</f>
        <v>320775</v>
      </c>
    </row>
    <row r="389" spans="1:16" s="58" customFormat="1" ht="24.95" customHeight="1">
      <c r="A389" s="10">
        <f t="shared" si="75"/>
        <v>37</v>
      </c>
      <c r="B389" s="11" t="s">
        <v>1838</v>
      </c>
      <c r="C389" s="12" t="s">
        <v>202</v>
      </c>
      <c r="D389" s="20"/>
      <c r="E389" s="13">
        <v>375765</v>
      </c>
      <c r="F389" s="13"/>
      <c r="G389" s="206" t="s">
        <v>202</v>
      </c>
      <c r="H389" s="196"/>
      <c r="I389" s="68"/>
      <c r="J389" s="127"/>
      <c r="K389" s="12" t="str">
        <f>C389</f>
        <v>đ/ống</v>
      </c>
      <c r="L389" s="19"/>
      <c r="M389" s="19">
        <f>E389</f>
        <v>375765</v>
      </c>
      <c r="N389" s="120"/>
      <c r="O389" s="71">
        <f>E389</f>
        <v>375765</v>
      </c>
      <c r="P389" s="71">
        <f>M389</f>
        <v>375765</v>
      </c>
    </row>
    <row r="390" spans="1:16" s="58" customFormat="1" ht="24.95" customHeight="1">
      <c r="A390" s="10">
        <f t="shared" si="75"/>
        <v>38</v>
      </c>
      <c r="B390" s="11" t="s">
        <v>1839</v>
      </c>
      <c r="C390" s="12" t="s">
        <v>202</v>
      </c>
      <c r="D390" s="20"/>
      <c r="E390" s="13">
        <v>580125</v>
      </c>
      <c r="F390" s="13"/>
      <c r="G390" s="206" t="s">
        <v>202</v>
      </c>
      <c r="H390" s="196"/>
      <c r="I390" s="68"/>
      <c r="J390" s="127"/>
      <c r="K390" s="12" t="str">
        <f>C390</f>
        <v>đ/ống</v>
      </c>
      <c r="L390" s="19"/>
      <c r="M390" s="19">
        <f>E390</f>
        <v>580125</v>
      </c>
      <c r="N390" s="120"/>
      <c r="O390" s="71">
        <f>E390</f>
        <v>580125</v>
      </c>
      <c r="P390" s="71">
        <f>M390</f>
        <v>580125</v>
      </c>
    </row>
    <row r="391" spans="1:16" s="58" customFormat="1" ht="32.450000000000003" customHeight="1">
      <c r="A391" s="10"/>
      <c r="B391" s="237" t="s">
        <v>1940</v>
      </c>
      <c r="C391" s="238"/>
      <c r="D391" s="238"/>
      <c r="E391" s="238"/>
      <c r="F391" s="238"/>
      <c r="G391" s="238"/>
      <c r="H391" s="238"/>
      <c r="I391" s="238"/>
      <c r="J391" s="238"/>
      <c r="K391" s="238"/>
      <c r="L391" s="238"/>
      <c r="M391" s="238"/>
      <c r="N391" s="239"/>
      <c r="O391" s="69"/>
      <c r="P391" s="69"/>
    </row>
    <row r="392" spans="1:16" s="58" customFormat="1" ht="24.95" customHeight="1">
      <c r="A392" s="10"/>
      <c r="B392" s="9" t="s">
        <v>211</v>
      </c>
      <c r="C392" s="15"/>
      <c r="D392" s="20"/>
      <c r="E392" s="13"/>
      <c r="F392" s="13"/>
      <c r="G392" s="127"/>
      <c r="H392" s="127"/>
      <c r="I392" s="127"/>
      <c r="J392" s="127"/>
      <c r="K392" s="116"/>
      <c r="L392" s="120"/>
      <c r="M392" s="120"/>
      <c r="N392" s="120"/>
      <c r="O392" s="69"/>
      <c r="P392" s="69"/>
    </row>
    <row r="393" spans="1:16" s="58" customFormat="1" ht="24.95" customHeight="1">
      <c r="A393" s="10">
        <v>1</v>
      </c>
      <c r="B393" s="23" t="s">
        <v>212</v>
      </c>
      <c r="C393" s="12" t="s">
        <v>163</v>
      </c>
      <c r="D393" s="19">
        <v>24000</v>
      </c>
      <c r="E393" s="13"/>
      <c r="F393" s="13"/>
      <c r="G393" s="211" t="s">
        <v>163</v>
      </c>
      <c r="H393" s="19">
        <v>24000</v>
      </c>
      <c r="I393" s="68"/>
      <c r="J393" s="68"/>
      <c r="K393" s="12" t="str">
        <f>C393</f>
        <v>đ/kg</v>
      </c>
      <c r="L393" s="19"/>
      <c r="M393" s="19">
        <f>H393</f>
        <v>24000</v>
      </c>
      <c r="N393" s="19"/>
      <c r="O393" s="71">
        <f>E393</f>
        <v>0</v>
      </c>
      <c r="P393" s="71">
        <f>M393</f>
        <v>24000</v>
      </c>
    </row>
    <row r="394" spans="1:16" s="58" customFormat="1" ht="24.95" customHeight="1">
      <c r="A394" s="10">
        <f>+A393+1</f>
        <v>2</v>
      </c>
      <c r="B394" s="23" t="s">
        <v>213</v>
      </c>
      <c r="C394" s="12" t="s">
        <v>163</v>
      </c>
      <c r="D394" s="19">
        <v>23200</v>
      </c>
      <c r="E394" s="13"/>
      <c r="F394" s="13"/>
      <c r="G394" s="211" t="s">
        <v>163</v>
      </c>
      <c r="H394" s="19">
        <v>23200</v>
      </c>
      <c r="I394" s="68"/>
      <c r="J394" s="68"/>
      <c r="K394" s="12" t="str">
        <f>C394</f>
        <v>đ/kg</v>
      </c>
      <c r="L394" s="19"/>
      <c r="M394" s="19">
        <f>H394</f>
        <v>23200</v>
      </c>
      <c r="N394" s="19"/>
      <c r="O394" s="71">
        <f>E394</f>
        <v>0</v>
      </c>
      <c r="P394" s="71">
        <f>M394</f>
        <v>23200</v>
      </c>
    </row>
    <row r="395" spans="1:16" s="58" customFormat="1" ht="24.95" customHeight="1">
      <c r="A395" s="10">
        <f>+A394+1</f>
        <v>3</v>
      </c>
      <c r="B395" s="23" t="s">
        <v>214</v>
      </c>
      <c r="C395" s="12" t="s">
        <v>163</v>
      </c>
      <c r="D395" s="19">
        <v>23200</v>
      </c>
      <c r="E395" s="13"/>
      <c r="F395" s="13"/>
      <c r="G395" s="211" t="s">
        <v>163</v>
      </c>
      <c r="H395" s="19">
        <v>23200</v>
      </c>
      <c r="I395" s="68"/>
      <c r="J395" s="68"/>
      <c r="K395" s="12" t="str">
        <f>C395</f>
        <v>đ/kg</v>
      </c>
      <c r="L395" s="19"/>
      <c r="M395" s="19">
        <f>H395</f>
        <v>23200</v>
      </c>
      <c r="N395" s="19"/>
      <c r="O395" s="71">
        <f>E395</f>
        <v>0</v>
      </c>
      <c r="P395" s="71">
        <f>M395</f>
        <v>23200</v>
      </c>
    </row>
    <row r="396" spans="1:16" s="58" customFormat="1" ht="24.95" customHeight="1">
      <c r="A396" s="10">
        <f>+A395+1</f>
        <v>4</v>
      </c>
      <c r="B396" s="23" t="s">
        <v>215</v>
      </c>
      <c r="C396" s="12" t="s">
        <v>163</v>
      </c>
      <c r="D396" s="19">
        <v>23600</v>
      </c>
      <c r="E396" s="13"/>
      <c r="F396" s="13"/>
      <c r="G396" s="211" t="s">
        <v>163</v>
      </c>
      <c r="H396" s="19">
        <v>23600</v>
      </c>
      <c r="I396" s="68"/>
      <c r="J396" s="68"/>
      <c r="K396" s="12" t="str">
        <f>C396</f>
        <v>đ/kg</v>
      </c>
      <c r="L396" s="19"/>
      <c r="M396" s="19">
        <f>H396</f>
        <v>23600</v>
      </c>
      <c r="N396" s="19"/>
      <c r="O396" s="71">
        <f>E396</f>
        <v>0</v>
      </c>
      <c r="P396" s="71">
        <f>M396</f>
        <v>23600</v>
      </c>
    </row>
    <row r="397" spans="1:16" s="58" customFormat="1" ht="24.95" customHeight="1">
      <c r="A397" s="10"/>
      <c r="B397" s="9" t="s">
        <v>216</v>
      </c>
      <c r="C397" s="8"/>
      <c r="D397" s="19"/>
      <c r="E397" s="16"/>
      <c r="F397" s="16"/>
      <c r="G397" s="127"/>
      <c r="H397" s="19"/>
      <c r="I397" s="127"/>
      <c r="J397" s="127"/>
      <c r="K397" s="116"/>
      <c r="L397" s="120"/>
      <c r="M397" s="19"/>
      <c r="N397" s="120"/>
      <c r="O397" s="69"/>
      <c r="P397" s="69"/>
    </row>
    <row r="398" spans="1:16" s="58" customFormat="1" ht="24.95" customHeight="1">
      <c r="A398" s="10">
        <f>+A396+1</f>
        <v>5</v>
      </c>
      <c r="B398" s="23" t="s">
        <v>1620</v>
      </c>
      <c r="C398" s="12" t="s">
        <v>163</v>
      </c>
      <c r="D398" s="19">
        <v>18600</v>
      </c>
      <c r="E398" s="13"/>
      <c r="F398" s="13"/>
      <c r="G398" s="206" t="s">
        <v>163</v>
      </c>
      <c r="H398" s="19">
        <v>18600</v>
      </c>
      <c r="I398" s="127"/>
      <c r="J398" s="127"/>
      <c r="K398" s="12" t="str">
        <f>C398</f>
        <v>đ/kg</v>
      </c>
      <c r="L398" s="19"/>
      <c r="M398" s="19">
        <f>H398</f>
        <v>18600</v>
      </c>
      <c r="N398" s="120"/>
      <c r="O398" s="71">
        <f>E398</f>
        <v>0</v>
      </c>
      <c r="P398" s="71">
        <f>M398</f>
        <v>18600</v>
      </c>
    </row>
    <row r="399" spans="1:16" s="58" customFormat="1" ht="39.75" customHeight="1">
      <c r="A399" s="10"/>
      <c r="B399" s="237" t="s">
        <v>1685</v>
      </c>
      <c r="C399" s="238"/>
      <c r="D399" s="238"/>
      <c r="E399" s="238"/>
      <c r="F399" s="238"/>
      <c r="G399" s="238"/>
      <c r="H399" s="238"/>
      <c r="I399" s="238"/>
      <c r="J399" s="238"/>
      <c r="K399" s="238"/>
      <c r="L399" s="238"/>
      <c r="M399" s="238"/>
      <c r="N399" s="239"/>
      <c r="O399" s="69"/>
      <c r="P399" s="69"/>
    </row>
    <row r="400" spans="1:16" s="58" customFormat="1" ht="24.95" customHeight="1">
      <c r="A400" s="10">
        <v>1</v>
      </c>
      <c r="B400" s="23" t="s">
        <v>217</v>
      </c>
      <c r="C400" s="10" t="s">
        <v>163</v>
      </c>
      <c r="D400" s="13"/>
      <c r="E400" s="68">
        <v>14020</v>
      </c>
      <c r="F400" s="13"/>
      <c r="G400" s="211" t="s">
        <v>163</v>
      </c>
      <c r="H400" s="68"/>
      <c r="I400" s="68"/>
      <c r="J400" s="127"/>
      <c r="K400" s="12" t="str">
        <f t="shared" ref="K400:K406" si="76">C400</f>
        <v>đ/kg</v>
      </c>
      <c r="L400" s="19"/>
      <c r="M400" s="19">
        <f>E400</f>
        <v>14020</v>
      </c>
      <c r="N400" s="120"/>
      <c r="O400" s="71">
        <f t="shared" ref="O400:O406" si="77">E400</f>
        <v>14020</v>
      </c>
      <c r="P400" s="71">
        <f t="shared" ref="P400:P406" si="78">M400</f>
        <v>14020</v>
      </c>
    </row>
    <row r="401" spans="1:16" s="58" customFormat="1" ht="24.95" customHeight="1">
      <c r="A401" s="10">
        <f t="shared" ref="A401:A406" si="79">+A400+1</f>
        <v>2</v>
      </c>
      <c r="B401" s="23" t="s">
        <v>218</v>
      </c>
      <c r="C401" s="10" t="s">
        <v>163</v>
      </c>
      <c r="D401" s="13"/>
      <c r="E401" s="68">
        <v>13950</v>
      </c>
      <c r="F401" s="13"/>
      <c r="G401" s="211" t="s">
        <v>163</v>
      </c>
      <c r="H401" s="68"/>
      <c r="I401" s="68"/>
      <c r="J401" s="127"/>
      <c r="K401" s="12" t="str">
        <f t="shared" si="76"/>
        <v>đ/kg</v>
      </c>
      <c r="L401" s="19"/>
      <c r="M401" s="19">
        <f t="shared" ref="M401:M406" si="80">E401</f>
        <v>13950</v>
      </c>
      <c r="N401" s="120"/>
      <c r="O401" s="71">
        <f t="shared" si="77"/>
        <v>13950</v>
      </c>
      <c r="P401" s="71">
        <f t="shared" si="78"/>
        <v>13950</v>
      </c>
    </row>
    <row r="402" spans="1:16" s="58" customFormat="1" ht="24.95" customHeight="1">
      <c r="A402" s="10">
        <f t="shared" si="79"/>
        <v>3</v>
      </c>
      <c r="B402" s="23" t="s">
        <v>219</v>
      </c>
      <c r="C402" s="10" t="s">
        <v>163</v>
      </c>
      <c r="D402" s="13"/>
      <c r="E402" s="68">
        <v>14100</v>
      </c>
      <c r="F402" s="13"/>
      <c r="G402" s="211" t="s">
        <v>163</v>
      </c>
      <c r="H402" s="68"/>
      <c r="I402" s="68"/>
      <c r="J402" s="127"/>
      <c r="K402" s="12" t="str">
        <f t="shared" si="76"/>
        <v>đ/kg</v>
      </c>
      <c r="L402" s="19"/>
      <c r="M402" s="19">
        <f t="shared" si="80"/>
        <v>14100</v>
      </c>
      <c r="N402" s="120"/>
      <c r="O402" s="71">
        <f t="shared" si="77"/>
        <v>14100</v>
      </c>
      <c r="P402" s="71">
        <f t="shared" si="78"/>
        <v>14100</v>
      </c>
    </row>
    <row r="403" spans="1:16" s="58" customFormat="1" ht="24.95" customHeight="1">
      <c r="A403" s="10">
        <f t="shared" si="79"/>
        <v>4</v>
      </c>
      <c r="B403" s="23" t="s">
        <v>220</v>
      </c>
      <c r="C403" s="10" t="s">
        <v>163</v>
      </c>
      <c r="D403" s="13"/>
      <c r="E403" s="68">
        <v>13700</v>
      </c>
      <c r="F403" s="13"/>
      <c r="G403" s="211" t="s">
        <v>163</v>
      </c>
      <c r="H403" s="68"/>
      <c r="I403" s="68"/>
      <c r="J403" s="127"/>
      <c r="K403" s="12" t="str">
        <f t="shared" si="76"/>
        <v>đ/kg</v>
      </c>
      <c r="L403" s="19"/>
      <c r="M403" s="19">
        <f t="shared" si="80"/>
        <v>13700</v>
      </c>
      <c r="N403" s="120"/>
      <c r="O403" s="71">
        <f t="shared" si="77"/>
        <v>13700</v>
      </c>
      <c r="P403" s="71">
        <f t="shared" si="78"/>
        <v>13700</v>
      </c>
    </row>
    <row r="404" spans="1:16" s="58" customFormat="1" ht="24.95" customHeight="1">
      <c r="A404" s="10">
        <f t="shared" si="79"/>
        <v>5</v>
      </c>
      <c r="B404" s="23" t="s">
        <v>221</v>
      </c>
      <c r="C404" s="10" t="s">
        <v>163</v>
      </c>
      <c r="D404" s="13"/>
      <c r="E404" s="68">
        <v>13880</v>
      </c>
      <c r="F404" s="13"/>
      <c r="G404" s="211" t="s">
        <v>163</v>
      </c>
      <c r="H404" s="68"/>
      <c r="I404" s="68"/>
      <c r="J404" s="127"/>
      <c r="K404" s="12" t="str">
        <f t="shared" si="76"/>
        <v>đ/kg</v>
      </c>
      <c r="L404" s="19"/>
      <c r="M404" s="19">
        <f t="shared" si="80"/>
        <v>13880</v>
      </c>
      <c r="N404" s="120"/>
      <c r="O404" s="71">
        <f t="shared" si="77"/>
        <v>13880</v>
      </c>
      <c r="P404" s="71">
        <f t="shared" si="78"/>
        <v>13880</v>
      </c>
    </row>
    <row r="405" spans="1:16" s="58" customFormat="1" ht="24.95" customHeight="1">
      <c r="A405" s="10">
        <f t="shared" si="79"/>
        <v>6</v>
      </c>
      <c r="B405" s="23" t="s">
        <v>1129</v>
      </c>
      <c r="C405" s="10" t="s">
        <v>163</v>
      </c>
      <c r="D405" s="13"/>
      <c r="E405" s="68">
        <v>13500</v>
      </c>
      <c r="F405" s="13"/>
      <c r="G405" s="211" t="s">
        <v>163</v>
      </c>
      <c r="H405" s="68"/>
      <c r="I405" s="68"/>
      <c r="J405" s="127"/>
      <c r="K405" s="12" t="str">
        <f t="shared" si="76"/>
        <v>đ/kg</v>
      </c>
      <c r="L405" s="19"/>
      <c r="M405" s="19">
        <f t="shared" si="80"/>
        <v>13500</v>
      </c>
      <c r="N405" s="120"/>
      <c r="O405" s="71">
        <f t="shared" si="77"/>
        <v>13500</v>
      </c>
      <c r="P405" s="71">
        <f t="shared" si="78"/>
        <v>13500</v>
      </c>
    </row>
    <row r="406" spans="1:16" s="58" customFormat="1" ht="24.95" customHeight="1">
      <c r="A406" s="10">
        <f t="shared" si="79"/>
        <v>7</v>
      </c>
      <c r="B406" s="23" t="s">
        <v>1130</v>
      </c>
      <c r="C406" s="10" t="s">
        <v>163</v>
      </c>
      <c r="D406" s="13"/>
      <c r="E406" s="68">
        <v>13680</v>
      </c>
      <c r="F406" s="13"/>
      <c r="G406" s="211" t="s">
        <v>163</v>
      </c>
      <c r="H406" s="68"/>
      <c r="I406" s="68"/>
      <c r="J406" s="127"/>
      <c r="K406" s="12" t="str">
        <f t="shared" si="76"/>
        <v>đ/kg</v>
      </c>
      <c r="L406" s="19"/>
      <c r="M406" s="19">
        <f t="shared" si="80"/>
        <v>13680</v>
      </c>
      <c r="N406" s="120"/>
      <c r="O406" s="71">
        <f t="shared" si="77"/>
        <v>13680</v>
      </c>
      <c r="P406" s="71">
        <f t="shared" si="78"/>
        <v>13680</v>
      </c>
    </row>
    <row r="407" spans="1:16" s="58" customFormat="1" ht="33.75" customHeight="1">
      <c r="A407" s="17" t="s">
        <v>222</v>
      </c>
      <c r="B407" s="252" t="s">
        <v>223</v>
      </c>
      <c r="C407" s="252"/>
      <c r="D407" s="252"/>
      <c r="E407" s="252"/>
      <c r="F407" s="252"/>
      <c r="G407" s="127"/>
      <c r="H407" s="127"/>
      <c r="I407" s="127"/>
      <c r="J407" s="127"/>
      <c r="K407" s="116"/>
      <c r="L407" s="120"/>
      <c r="M407" s="120"/>
      <c r="N407" s="120"/>
      <c r="O407" s="69"/>
      <c r="P407" s="69"/>
    </row>
    <row r="408" spans="1:16" s="58" customFormat="1" ht="32.25" customHeight="1">
      <c r="A408" s="10"/>
      <c r="B408" s="237" t="s">
        <v>1760</v>
      </c>
      <c r="C408" s="238"/>
      <c r="D408" s="238"/>
      <c r="E408" s="238"/>
      <c r="F408" s="238"/>
      <c r="G408" s="238"/>
      <c r="H408" s="238"/>
      <c r="I408" s="238"/>
      <c r="J408" s="238"/>
      <c r="K408" s="238"/>
      <c r="L408" s="238"/>
      <c r="M408" s="238"/>
      <c r="N408" s="239"/>
      <c r="O408" s="69"/>
      <c r="P408" s="69"/>
    </row>
    <row r="409" spans="1:16" s="58" customFormat="1" ht="17.25">
      <c r="A409" s="10"/>
      <c r="B409" s="237" t="s">
        <v>224</v>
      </c>
      <c r="C409" s="238"/>
      <c r="D409" s="238"/>
      <c r="E409" s="238"/>
      <c r="F409" s="238"/>
      <c r="G409" s="238"/>
      <c r="H409" s="238"/>
      <c r="I409" s="238"/>
      <c r="J409" s="238"/>
      <c r="K409" s="238"/>
      <c r="L409" s="238"/>
      <c r="M409" s="238"/>
      <c r="N409" s="239"/>
      <c r="O409" s="69"/>
      <c r="P409" s="69"/>
    </row>
    <row r="410" spans="1:16" s="58" customFormat="1" ht="26.1" customHeight="1">
      <c r="A410" s="10">
        <v>1</v>
      </c>
      <c r="B410" s="11" t="s">
        <v>225</v>
      </c>
      <c r="C410" s="12" t="s">
        <v>90</v>
      </c>
      <c r="D410" s="13"/>
      <c r="E410" s="68">
        <v>39270</v>
      </c>
      <c r="F410" s="13"/>
      <c r="G410" s="206" t="s">
        <v>90</v>
      </c>
      <c r="H410" s="68"/>
      <c r="I410" s="68"/>
      <c r="J410" s="127"/>
      <c r="K410" s="12" t="str">
        <f t="shared" ref="K410:K415" si="81">C410</f>
        <v>đ/m</v>
      </c>
      <c r="L410" s="19"/>
      <c r="M410" s="19">
        <f t="shared" ref="M410:M415" si="82">E410</f>
        <v>39270</v>
      </c>
      <c r="N410" s="120"/>
      <c r="O410" s="71">
        <f t="shared" ref="O410:O415" si="83">E410</f>
        <v>39270</v>
      </c>
      <c r="P410" s="71">
        <f t="shared" ref="P410:P415" si="84">M410</f>
        <v>39270</v>
      </c>
    </row>
    <row r="411" spans="1:16" s="58" customFormat="1" ht="26.1" customHeight="1">
      <c r="A411" s="10">
        <v>2</v>
      </c>
      <c r="B411" s="11" t="s">
        <v>226</v>
      </c>
      <c r="C411" s="12" t="s">
        <v>90</v>
      </c>
      <c r="D411" s="13"/>
      <c r="E411" s="68">
        <v>43230</v>
      </c>
      <c r="F411" s="13"/>
      <c r="G411" s="206" t="s">
        <v>90</v>
      </c>
      <c r="H411" s="68"/>
      <c r="I411" s="68"/>
      <c r="J411" s="127"/>
      <c r="K411" s="12" t="str">
        <f t="shared" si="81"/>
        <v>đ/m</v>
      </c>
      <c r="L411" s="19"/>
      <c r="M411" s="19">
        <f t="shared" si="82"/>
        <v>43230</v>
      </c>
      <c r="N411" s="120"/>
      <c r="O411" s="71">
        <f t="shared" si="83"/>
        <v>43230</v>
      </c>
      <c r="P411" s="71">
        <f t="shared" si="84"/>
        <v>43230</v>
      </c>
    </row>
    <row r="412" spans="1:16" s="58" customFormat="1" ht="26.1" customHeight="1">
      <c r="A412" s="10">
        <f>+A411+1</f>
        <v>3</v>
      </c>
      <c r="B412" s="11" t="s">
        <v>227</v>
      </c>
      <c r="C412" s="12" t="s">
        <v>90</v>
      </c>
      <c r="D412" s="13"/>
      <c r="E412" s="68">
        <v>53130</v>
      </c>
      <c r="F412" s="13"/>
      <c r="G412" s="206" t="s">
        <v>90</v>
      </c>
      <c r="H412" s="68"/>
      <c r="I412" s="68"/>
      <c r="J412" s="127"/>
      <c r="K412" s="12" t="str">
        <f t="shared" si="81"/>
        <v>đ/m</v>
      </c>
      <c r="L412" s="19"/>
      <c r="M412" s="19">
        <f t="shared" si="82"/>
        <v>53130</v>
      </c>
      <c r="N412" s="120"/>
      <c r="O412" s="71">
        <f t="shared" si="83"/>
        <v>53130</v>
      </c>
      <c r="P412" s="71">
        <f t="shared" si="84"/>
        <v>53130</v>
      </c>
    </row>
    <row r="413" spans="1:16" s="58" customFormat="1" ht="26.1" customHeight="1">
      <c r="A413" s="10">
        <f>+A412+1</f>
        <v>4</v>
      </c>
      <c r="B413" s="11" t="s">
        <v>228</v>
      </c>
      <c r="C413" s="12" t="s">
        <v>90</v>
      </c>
      <c r="D413" s="13"/>
      <c r="E413" s="68">
        <v>61600</v>
      </c>
      <c r="F413" s="13"/>
      <c r="G413" s="206" t="s">
        <v>90</v>
      </c>
      <c r="H413" s="68"/>
      <c r="I413" s="68"/>
      <c r="J413" s="127"/>
      <c r="K413" s="12" t="str">
        <f t="shared" si="81"/>
        <v>đ/m</v>
      </c>
      <c r="L413" s="19"/>
      <c r="M413" s="19">
        <f t="shared" si="82"/>
        <v>61600</v>
      </c>
      <c r="N413" s="120"/>
      <c r="O413" s="71">
        <f t="shared" si="83"/>
        <v>61600</v>
      </c>
      <c r="P413" s="71">
        <f t="shared" si="84"/>
        <v>61600</v>
      </c>
    </row>
    <row r="414" spans="1:16" s="58" customFormat="1" ht="26.1" customHeight="1">
      <c r="A414" s="10">
        <f>+A413+1</f>
        <v>5</v>
      </c>
      <c r="B414" s="11" t="s">
        <v>229</v>
      </c>
      <c r="C414" s="12" t="s">
        <v>90</v>
      </c>
      <c r="D414" s="13"/>
      <c r="E414" s="68">
        <v>69520</v>
      </c>
      <c r="F414" s="13"/>
      <c r="G414" s="206" t="s">
        <v>90</v>
      </c>
      <c r="H414" s="68"/>
      <c r="I414" s="68"/>
      <c r="J414" s="127"/>
      <c r="K414" s="12" t="str">
        <f t="shared" si="81"/>
        <v>đ/m</v>
      </c>
      <c r="L414" s="19"/>
      <c r="M414" s="19">
        <f t="shared" si="82"/>
        <v>69520</v>
      </c>
      <c r="N414" s="120"/>
      <c r="O414" s="71">
        <f t="shared" si="83"/>
        <v>69520</v>
      </c>
      <c r="P414" s="71">
        <f t="shared" si="84"/>
        <v>69520</v>
      </c>
    </row>
    <row r="415" spans="1:16" s="58" customFormat="1" ht="26.1" customHeight="1">
      <c r="A415" s="10">
        <f>+A414+1</f>
        <v>6</v>
      </c>
      <c r="B415" s="11" t="s">
        <v>230</v>
      </c>
      <c r="C415" s="12" t="s">
        <v>90</v>
      </c>
      <c r="D415" s="13"/>
      <c r="E415" s="68">
        <v>80740</v>
      </c>
      <c r="F415" s="13"/>
      <c r="G415" s="206" t="s">
        <v>90</v>
      </c>
      <c r="H415" s="68"/>
      <c r="I415" s="68"/>
      <c r="J415" s="127"/>
      <c r="K415" s="12" t="str">
        <f t="shared" si="81"/>
        <v>đ/m</v>
      </c>
      <c r="L415" s="19"/>
      <c r="M415" s="19">
        <f t="shared" si="82"/>
        <v>80740</v>
      </c>
      <c r="N415" s="120"/>
      <c r="O415" s="71">
        <f t="shared" si="83"/>
        <v>80740</v>
      </c>
      <c r="P415" s="71">
        <f t="shared" si="84"/>
        <v>80740</v>
      </c>
    </row>
    <row r="416" spans="1:16" s="58" customFormat="1" ht="26.25" customHeight="1">
      <c r="A416" s="10"/>
      <c r="B416" s="237" t="s">
        <v>231</v>
      </c>
      <c r="C416" s="238"/>
      <c r="D416" s="238"/>
      <c r="E416" s="238"/>
      <c r="F416" s="238"/>
      <c r="G416" s="238"/>
      <c r="H416" s="238"/>
      <c r="I416" s="238"/>
      <c r="J416" s="238"/>
      <c r="K416" s="238"/>
      <c r="L416" s="238"/>
      <c r="M416" s="238"/>
      <c r="N416" s="239"/>
      <c r="O416" s="69"/>
      <c r="P416" s="69"/>
    </row>
    <row r="417" spans="1:16" s="58" customFormat="1" ht="26.1" customHeight="1">
      <c r="A417" s="10">
        <f>+A415+1</f>
        <v>7</v>
      </c>
      <c r="B417" s="11" t="s">
        <v>232</v>
      </c>
      <c r="C417" s="12" t="s">
        <v>90</v>
      </c>
      <c r="D417" s="13"/>
      <c r="E417" s="68">
        <v>32120</v>
      </c>
      <c r="F417" s="13"/>
      <c r="G417" s="206" t="s">
        <v>90</v>
      </c>
      <c r="H417" s="68"/>
      <c r="I417" s="68"/>
      <c r="J417" s="127"/>
      <c r="K417" s="12" t="str">
        <f>C417</f>
        <v>đ/m</v>
      </c>
      <c r="L417" s="19"/>
      <c r="M417" s="19">
        <f t="shared" ref="M417:M431" si="85">E417</f>
        <v>32120</v>
      </c>
      <c r="N417" s="120"/>
      <c r="O417" s="71">
        <f>E417</f>
        <v>32120</v>
      </c>
      <c r="P417" s="71">
        <f>M417</f>
        <v>32120</v>
      </c>
    </row>
    <row r="418" spans="1:16" s="58" customFormat="1" ht="26.1" customHeight="1">
      <c r="A418" s="10">
        <f>+A417+1</f>
        <v>8</v>
      </c>
      <c r="B418" s="11" t="s">
        <v>233</v>
      </c>
      <c r="C418" s="12" t="s">
        <v>90</v>
      </c>
      <c r="D418" s="13"/>
      <c r="E418" s="68">
        <v>39600</v>
      </c>
      <c r="F418" s="13"/>
      <c r="G418" s="206" t="s">
        <v>90</v>
      </c>
      <c r="H418" s="68"/>
      <c r="I418" s="68"/>
      <c r="J418" s="127"/>
      <c r="K418" s="12" t="str">
        <f>C418</f>
        <v>đ/m</v>
      </c>
      <c r="L418" s="19"/>
      <c r="M418" s="19">
        <f t="shared" si="85"/>
        <v>39600</v>
      </c>
      <c r="N418" s="120"/>
      <c r="O418" s="71">
        <f>E418</f>
        <v>39600</v>
      </c>
      <c r="P418" s="71">
        <f>M418</f>
        <v>39600</v>
      </c>
    </row>
    <row r="419" spans="1:16" s="58" customFormat="1" ht="26.1" customHeight="1">
      <c r="A419" s="10">
        <f>+A418+1</f>
        <v>9</v>
      </c>
      <c r="B419" s="11" t="s">
        <v>234</v>
      </c>
      <c r="C419" s="12" t="s">
        <v>90</v>
      </c>
      <c r="D419" s="13"/>
      <c r="E419" s="68">
        <v>62480</v>
      </c>
      <c r="F419" s="13"/>
      <c r="G419" s="206" t="s">
        <v>90</v>
      </c>
      <c r="H419" s="68"/>
      <c r="I419" s="68"/>
      <c r="J419" s="127"/>
      <c r="K419" s="12" t="str">
        <f>C419</f>
        <v>đ/m</v>
      </c>
      <c r="L419" s="19"/>
      <c r="M419" s="19">
        <f t="shared" si="85"/>
        <v>62480</v>
      </c>
      <c r="N419" s="120"/>
      <c r="O419" s="71">
        <f>E419</f>
        <v>62480</v>
      </c>
      <c r="P419" s="71">
        <f>M419</f>
        <v>62480</v>
      </c>
    </row>
    <row r="420" spans="1:16" s="58" customFormat="1" ht="26.1" customHeight="1">
      <c r="A420" s="10">
        <f>+A419+1</f>
        <v>10</v>
      </c>
      <c r="B420" s="11" t="s">
        <v>235</v>
      </c>
      <c r="C420" s="12" t="s">
        <v>90</v>
      </c>
      <c r="D420" s="13"/>
      <c r="E420" s="68">
        <v>72600</v>
      </c>
      <c r="F420" s="13"/>
      <c r="G420" s="206" t="s">
        <v>90</v>
      </c>
      <c r="H420" s="68"/>
      <c r="I420" s="68"/>
      <c r="J420" s="127"/>
      <c r="K420" s="12" t="str">
        <f>C420</f>
        <v>đ/m</v>
      </c>
      <c r="L420" s="19"/>
      <c r="M420" s="19">
        <f t="shared" si="85"/>
        <v>72600</v>
      </c>
      <c r="N420" s="120"/>
      <c r="O420" s="71">
        <f>E420</f>
        <v>72600</v>
      </c>
      <c r="P420" s="71">
        <f>M420</f>
        <v>72600</v>
      </c>
    </row>
    <row r="421" spans="1:16" s="58" customFormat="1" ht="22.5" customHeight="1">
      <c r="A421" s="10"/>
      <c r="B421" s="9" t="s">
        <v>236</v>
      </c>
      <c r="C421" s="15"/>
      <c r="D421" s="13"/>
      <c r="E421" s="13"/>
      <c r="F421" s="13"/>
      <c r="G421" s="127"/>
      <c r="H421" s="68"/>
      <c r="I421" s="127"/>
      <c r="J421" s="127"/>
      <c r="K421" s="116"/>
      <c r="L421" s="120"/>
      <c r="M421" s="19"/>
      <c r="N421" s="120"/>
      <c r="O421" s="69"/>
      <c r="P421" s="69"/>
    </row>
    <row r="422" spans="1:16" s="58" customFormat="1" ht="26.1" customHeight="1">
      <c r="A422" s="10">
        <f>+A420+1</f>
        <v>11</v>
      </c>
      <c r="B422" s="11" t="s">
        <v>237</v>
      </c>
      <c r="C422" s="12" t="s">
        <v>238</v>
      </c>
      <c r="D422" s="13"/>
      <c r="E422" s="68">
        <v>1430</v>
      </c>
      <c r="F422" s="13"/>
      <c r="G422" s="206" t="s">
        <v>238</v>
      </c>
      <c r="H422" s="68"/>
      <c r="I422" s="68"/>
      <c r="J422" s="127"/>
      <c r="K422" s="12" t="str">
        <f t="shared" ref="K422:K431" si="86">C422</f>
        <v>đ/con</v>
      </c>
      <c r="L422" s="19"/>
      <c r="M422" s="19">
        <f t="shared" si="85"/>
        <v>1430</v>
      </c>
      <c r="N422" s="120"/>
      <c r="O422" s="71">
        <f t="shared" ref="O422:O431" si="87">E422</f>
        <v>1430</v>
      </c>
      <c r="P422" s="71">
        <f t="shared" ref="P422:P431" si="88">M422</f>
        <v>1430</v>
      </c>
    </row>
    <row r="423" spans="1:16" s="58" customFormat="1" ht="26.1" customHeight="1">
      <c r="A423" s="10">
        <f t="shared" ref="A423:A431" si="89">+A422+1</f>
        <v>12</v>
      </c>
      <c r="B423" s="11" t="s">
        <v>239</v>
      </c>
      <c r="C423" s="12" t="s">
        <v>238</v>
      </c>
      <c r="D423" s="13"/>
      <c r="E423" s="68">
        <v>2860</v>
      </c>
      <c r="F423" s="13"/>
      <c r="G423" s="206" t="s">
        <v>238</v>
      </c>
      <c r="H423" s="68"/>
      <c r="I423" s="68"/>
      <c r="J423" s="127"/>
      <c r="K423" s="12" t="str">
        <f t="shared" si="86"/>
        <v>đ/con</v>
      </c>
      <c r="L423" s="19"/>
      <c r="M423" s="19">
        <f t="shared" si="85"/>
        <v>2860</v>
      </c>
      <c r="N423" s="120"/>
      <c r="O423" s="71">
        <f t="shared" si="87"/>
        <v>2860</v>
      </c>
      <c r="P423" s="71">
        <f t="shared" si="88"/>
        <v>2860</v>
      </c>
    </row>
    <row r="424" spans="1:16" s="58" customFormat="1" ht="26.1" customHeight="1">
      <c r="A424" s="10">
        <f t="shared" si="89"/>
        <v>13</v>
      </c>
      <c r="B424" s="11" t="s">
        <v>240</v>
      </c>
      <c r="C424" s="12" t="s">
        <v>238</v>
      </c>
      <c r="D424" s="13"/>
      <c r="E424" s="68">
        <v>17325</v>
      </c>
      <c r="F424" s="13"/>
      <c r="G424" s="206" t="s">
        <v>238</v>
      </c>
      <c r="H424" s="68"/>
      <c r="I424" s="68"/>
      <c r="J424" s="127"/>
      <c r="K424" s="12" t="str">
        <f t="shared" si="86"/>
        <v>đ/con</v>
      </c>
      <c r="L424" s="19"/>
      <c r="M424" s="19">
        <f t="shared" si="85"/>
        <v>17325</v>
      </c>
      <c r="N424" s="120"/>
      <c r="O424" s="71">
        <f t="shared" si="87"/>
        <v>17325</v>
      </c>
      <c r="P424" s="71">
        <f t="shared" si="88"/>
        <v>17325</v>
      </c>
    </row>
    <row r="425" spans="1:16" s="58" customFormat="1" ht="26.1" customHeight="1">
      <c r="A425" s="10">
        <f t="shared" si="89"/>
        <v>14</v>
      </c>
      <c r="B425" s="11" t="s">
        <v>241</v>
      </c>
      <c r="C425" s="12" t="s">
        <v>84</v>
      </c>
      <c r="D425" s="13"/>
      <c r="E425" s="68">
        <v>17930</v>
      </c>
      <c r="F425" s="13"/>
      <c r="G425" s="206" t="s">
        <v>84</v>
      </c>
      <c r="H425" s="68"/>
      <c r="I425" s="68"/>
      <c r="J425" s="127"/>
      <c r="K425" s="12" t="str">
        <f t="shared" si="86"/>
        <v>đ/cái</v>
      </c>
      <c r="L425" s="19"/>
      <c r="M425" s="19">
        <f t="shared" si="85"/>
        <v>17930</v>
      </c>
      <c r="N425" s="120"/>
      <c r="O425" s="71">
        <f t="shared" si="87"/>
        <v>17930</v>
      </c>
      <c r="P425" s="71">
        <f t="shared" si="88"/>
        <v>17930</v>
      </c>
    </row>
    <row r="426" spans="1:16" s="58" customFormat="1" ht="26.1" customHeight="1">
      <c r="A426" s="10">
        <f t="shared" si="89"/>
        <v>15</v>
      </c>
      <c r="B426" s="11" t="s">
        <v>242</v>
      </c>
      <c r="C426" s="12" t="s">
        <v>84</v>
      </c>
      <c r="D426" s="13"/>
      <c r="E426" s="68">
        <v>18370</v>
      </c>
      <c r="F426" s="13"/>
      <c r="G426" s="206" t="s">
        <v>84</v>
      </c>
      <c r="H426" s="68"/>
      <c r="I426" s="68"/>
      <c r="J426" s="127"/>
      <c r="K426" s="12" t="str">
        <f t="shared" si="86"/>
        <v>đ/cái</v>
      </c>
      <c r="L426" s="19"/>
      <c r="M426" s="19">
        <f t="shared" si="85"/>
        <v>18370</v>
      </c>
      <c r="N426" s="120"/>
      <c r="O426" s="71">
        <f t="shared" si="87"/>
        <v>18370</v>
      </c>
      <c r="P426" s="71">
        <f t="shared" si="88"/>
        <v>18370</v>
      </c>
    </row>
    <row r="427" spans="1:16" s="58" customFormat="1" ht="26.1" customHeight="1">
      <c r="A427" s="10">
        <f t="shared" si="89"/>
        <v>16</v>
      </c>
      <c r="B427" s="11" t="s">
        <v>1657</v>
      </c>
      <c r="C427" s="12" t="s">
        <v>90</v>
      </c>
      <c r="D427" s="13"/>
      <c r="E427" s="68">
        <f>413160/6</f>
        <v>68860</v>
      </c>
      <c r="F427" s="24"/>
      <c r="G427" s="206" t="s">
        <v>90</v>
      </c>
      <c r="H427" s="68"/>
      <c r="I427" s="68"/>
      <c r="J427" s="127"/>
      <c r="K427" s="12" t="str">
        <f t="shared" si="86"/>
        <v>đ/m</v>
      </c>
      <c r="L427" s="19"/>
      <c r="M427" s="19">
        <f t="shared" si="85"/>
        <v>68860</v>
      </c>
      <c r="N427" s="120"/>
      <c r="O427" s="71">
        <f t="shared" si="87"/>
        <v>68860</v>
      </c>
      <c r="P427" s="71">
        <f t="shared" si="88"/>
        <v>68860</v>
      </c>
    </row>
    <row r="428" spans="1:16" s="58" customFormat="1" ht="26.1" customHeight="1">
      <c r="A428" s="10">
        <f t="shared" si="89"/>
        <v>17</v>
      </c>
      <c r="B428" s="11" t="s">
        <v>1684</v>
      </c>
      <c r="C428" s="12" t="s">
        <v>90</v>
      </c>
      <c r="D428" s="13"/>
      <c r="E428" s="68">
        <f>290400/6</f>
        <v>48400</v>
      </c>
      <c r="F428" s="13"/>
      <c r="G428" s="206" t="s">
        <v>90</v>
      </c>
      <c r="H428" s="68"/>
      <c r="I428" s="68"/>
      <c r="J428" s="127"/>
      <c r="K428" s="12" t="str">
        <f t="shared" si="86"/>
        <v>đ/m</v>
      </c>
      <c r="L428" s="19"/>
      <c r="M428" s="19">
        <f t="shared" si="85"/>
        <v>48400</v>
      </c>
      <c r="N428" s="120"/>
      <c r="O428" s="71">
        <f t="shared" si="87"/>
        <v>48400</v>
      </c>
      <c r="P428" s="71">
        <f t="shared" si="88"/>
        <v>48400</v>
      </c>
    </row>
    <row r="429" spans="1:16" s="58" customFormat="1" ht="26.1" customHeight="1">
      <c r="A429" s="10">
        <f t="shared" si="89"/>
        <v>18</v>
      </c>
      <c r="B429" s="11" t="s">
        <v>243</v>
      </c>
      <c r="C429" s="12" t="s">
        <v>90</v>
      </c>
      <c r="D429" s="13"/>
      <c r="E429" s="68">
        <f>546480/6</f>
        <v>91080</v>
      </c>
      <c r="F429" s="13"/>
      <c r="G429" s="206" t="s">
        <v>90</v>
      </c>
      <c r="H429" s="68"/>
      <c r="I429" s="68"/>
      <c r="J429" s="127"/>
      <c r="K429" s="12" t="str">
        <f t="shared" si="86"/>
        <v>đ/m</v>
      </c>
      <c r="L429" s="19"/>
      <c r="M429" s="19">
        <f t="shared" si="85"/>
        <v>91080</v>
      </c>
      <c r="N429" s="120"/>
      <c r="O429" s="71">
        <f t="shared" si="87"/>
        <v>91080</v>
      </c>
      <c r="P429" s="71">
        <f t="shared" si="88"/>
        <v>91080</v>
      </c>
    </row>
    <row r="430" spans="1:16" s="58" customFormat="1" ht="26.1" customHeight="1">
      <c r="A430" s="10">
        <f t="shared" si="89"/>
        <v>19</v>
      </c>
      <c r="B430" s="11" t="s">
        <v>244</v>
      </c>
      <c r="C430" s="12" t="s">
        <v>90</v>
      </c>
      <c r="D430" s="13"/>
      <c r="E430" s="68">
        <f>440220/6</f>
        <v>73370</v>
      </c>
      <c r="F430" s="13"/>
      <c r="G430" s="206" t="s">
        <v>90</v>
      </c>
      <c r="H430" s="68"/>
      <c r="I430" s="68"/>
      <c r="J430" s="127"/>
      <c r="K430" s="12" t="str">
        <f t="shared" si="86"/>
        <v>đ/m</v>
      </c>
      <c r="L430" s="19"/>
      <c r="M430" s="19">
        <f t="shared" si="85"/>
        <v>73370</v>
      </c>
      <c r="N430" s="120"/>
      <c r="O430" s="71">
        <f t="shared" si="87"/>
        <v>73370</v>
      </c>
      <c r="P430" s="71">
        <f t="shared" si="88"/>
        <v>73370</v>
      </c>
    </row>
    <row r="431" spans="1:16" s="58" customFormat="1" ht="26.1" customHeight="1">
      <c r="A431" s="10">
        <f t="shared" si="89"/>
        <v>20</v>
      </c>
      <c r="B431" s="11" t="s">
        <v>1621</v>
      </c>
      <c r="C431" s="12" t="s">
        <v>90</v>
      </c>
      <c r="D431" s="13"/>
      <c r="E431" s="68">
        <f>1298000/50</f>
        <v>25960</v>
      </c>
      <c r="F431" s="13"/>
      <c r="G431" s="206" t="s">
        <v>90</v>
      </c>
      <c r="H431" s="68"/>
      <c r="I431" s="68"/>
      <c r="J431" s="127"/>
      <c r="K431" s="12" t="str">
        <f t="shared" si="86"/>
        <v>đ/m</v>
      </c>
      <c r="L431" s="19"/>
      <c r="M431" s="19">
        <f t="shared" si="85"/>
        <v>25960</v>
      </c>
      <c r="N431" s="120"/>
      <c r="O431" s="71">
        <f t="shared" si="87"/>
        <v>25960</v>
      </c>
      <c r="P431" s="71">
        <f t="shared" si="88"/>
        <v>25960</v>
      </c>
    </row>
    <row r="432" spans="1:16" s="58" customFormat="1" ht="17.25">
      <c r="A432" s="10"/>
      <c r="B432" s="237" t="s">
        <v>1131</v>
      </c>
      <c r="C432" s="238"/>
      <c r="D432" s="238"/>
      <c r="E432" s="238"/>
      <c r="F432" s="238"/>
      <c r="G432" s="238"/>
      <c r="H432" s="238"/>
      <c r="I432" s="238"/>
      <c r="J432" s="238"/>
      <c r="K432" s="238"/>
      <c r="L432" s="238"/>
      <c r="M432" s="238"/>
      <c r="N432" s="239"/>
      <c r="O432" s="69"/>
      <c r="P432" s="69"/>
    </row>
    <row r="433" spans="1:16" s="58" customFormat="1" ht="24.95" customHeight="1">
      <c r="A433" s="10">
        <f>+A431+1</f>
        <v>21</v>
      </c>
      <c r="B433" s="11" t="s">
        <v>245</v>
      </c>
      <c r="C433" s="12" t="s">
        <v>90</v>
      </c>
      <c r="D433" s="13"/>
      <c r="E433" s="68">
        <v>106370</v>
      </c>
      <c r="F433" s="13"/>
      <c r="G433" s="206" t="s">
        <v>90</v>
      </c>
      <c r="H433" s="127"/>
      <c r="I433" s="68"/>
      <c r="J433" s="127"/>
      <c r="K433" s="12" t="str">
        <f t="shared" ref="K433:K447" si="90">C433</f>
        <v>đ/m</v>
      </c>
      <c r="L433" s="19"/>
      <c r="M433" s="19">
        <f t="shared" ref="M433:M447" si="91">E433</f>
        <v>106370</v>
      </c>
      <c r="N433" s="120"/>
      <c r="O433" s="71">
        <f t="shared" ref="O433:O447" si="92">E433</f>
        <v>106370</v>
      </c>
      <c r="P433" s="71">
        <f t="shared" ref="P433:P447" si="93">M433</f>
        <v>106370</v>
      </c>
    </row>
    <row r="434" spans="1:16" s="58" customFormat="1" ht="24.95" customHeight="1">
      <c r="A434" s="10">
        <f t="shared" ref="A434:A447" si="94">+A433+1</f>
        <v>22</v>
      </c>
      <c r="B434" s="11" t="s">
        <v>246</v>
      </c>
      <c r="C434" s="12" t="s">
        <v>90</v>
      </c>
      <c r="D434" s="13"/>
      <c r="E434" s="68">
        <v>131560</v>
      </c>
      <c r="F434" s="13"/>
      <c r="G434" s="206" t="s">
        <v>90</v>
      </c>
      <c r="H434" s="127"/>
      <c r="I434" s="68"/>
      <c r="J434" s="127"/>
      <c r="K434" s="12" t="str">
        <f t="shared" si="90"/>
        <v>đ/m</v>
      </c>
      <c r="L434" s="19"/>
      <c r="M434" s="19">
        <f t="shared" si="91"/>
        <v>131560</v>
      </c>
      <c r="N434" s="120"/>
      <c r="O434" s="71">
        <f t="shared" si="92"/>
        <v>131560</v>
      </c>
      <c r="P434" s="71">
        <f t="shared" si="93"/>
        <v>131560</v>
      </c>
    </row>
    <row r="435" spans="1:16" s="58" customFormat="1" ht="24.95" customHeight="1">
      <c r="A435" s="10">
        <f t="shared" si="94"/>
        <v>23</v>
      </c>
      <c r="B435" s="11" t="s">
        <v>247</v>
      </c>
      <c r="C435" s="12" t="s">
        <v>90</v>
      </c>
      <c r="D435" s="13"/>
      <c r="E435" s="68">
        <v>165110</v>
      </c>
      <c r="F435" s="13"/>
      <c r="G435" s="206" t="s">
        <v>90</v>
      </c>
      <c r="H435" s="127"/>
      <c r="I435" s="68"/>
      <c r="J435" s="127"/>
      <c r="K435" s="12" t="str">
        <f t="shared" si="90"/>
        <v>đ/m</v>
      </c>
      <c r="L435" s="19"/>
      <c r="M435" s="19">
        <f t="shared" si="91"/>
        <v>165110</v>
      </c>
      <c r="N435" s="120"/>
      <c r="O435" s="71">
        <f t="shared" si="92"/>
        <v>165110</v>
      </c>
      <c r="P435" s="71">
        <f t="shared" si="93"/>
        <v>165110</v>
      </c>
    </row>
    <row r="436" spans="1:16" s="58" customFormat="1" ht="24.95" customHeight="1">
      <c r="A436" s="10">
        <f t="shared" si="94"/>
        <v>24</v>
      </c>
      <c r="B436" s="11" t="s">
        <v>248</v>
      </c>
      <c r="C436" s="12" t="s">
        <v>90</v>
      </c>
      <c r="D436" s="13"/>
      <c r="E436" s="68">
        <v>143880</v>
      </c>
      <c r="F436" s="13"/>
      <c r="G436" s="206" t="s">
        <v>90</v>
      </c>
      <c r="H436" s="127"/>
      <c r="I436" s="68"/>
      <c r="J436" s="127"/>
      <c r="K436" s="12" t="str">
        <f t="shared" si="90"/>
        <v>đ/m</v>
      </c>
      <c r="L436" s="19"/>
      <c r="M436" s="19">
        <f t="shared" si="91"/>
        <v>143880</v>
      </c>
      <c r="N436" s="120"/>
      <c r="O436" s="71">
        <f t="shared" si="92"/>
        <v>143880</v>
      </c>
      <c r="P436" s="71">
        <f t="shared" si="93"/>
        <v>143880</v>
      </c>
    </row>
    <row r="437" spans="1:16" s="58" customFormat="1" ht="24.95" customHeight="1">
      <c r="A437" s="10">
        <f t="shared" si="94"/>
        <v>25</v>
      </c>
      <c r="B437" s="11" t="s">
        <v>249</v>
      </c>
      <c r="C437" s="12" t="s">
        <v>90</v>
      </c>
      <c r="D437" s="13"/>
      <c r="E437" s="68">
        <v>178420</v>
      </c>
      <c r="F437" s="13"/>
      <c r="G437" s="206" t="s">
        <v>90</v>
      </c>
      <c r="H437" s="127"/>
      <c r="I437" s="68"/>
      <c r="J437" s="127"/>
      <c r="K437" s="12" t="str">
        <f t="shared" si="90"/>
        <v>đ/m</v>
      </c>
      <c r="L437" s="19"/>
      <c r="M437" s="19">
        <f t="shared" si="91"/>
        <v>178420</v>
      </c>
      <c r="N437" s="120"/>
      <c r="O437" s="71">
        <f t="shared" si="92"/>
        <v>178420</v>
      </c>
      <c r="P437" s="71">
        <f t="shared" si="93"/>
        <v>178420</v>
      </c>
    </row>
    <row r="438" spans="1:16" s="58" customFormat="1" ht="24.95" customHeight="1">
      <c r="A438" s="10">
        <f t="shared" si="94"/>
        <v>26</v>
      </c>
      <c r="B438" s="11" t="s">
        <v>250</v>
      </c>
      <c r="C438" s="12" t="s">
        <v>90</v>
      </c>
      <c r="D438" s="13"/>
      <c r="E438" s="68">
        <v>224510</v>
      </c>
      <c r="F438" s="13"/>
      <c r="G438" s="206" t="s">
        <v>90</v>
      </c>
      <c r="H438" s="127"/>
      <c r="I438" s="68"/>
      <c r="J438" s="127"/>
      <c r="K438" s="12" t="str">
        <f t="shared" si="90"/>
        <v>đ/m</v>
      </c>
      <c r="L438" s="19"/>
      <c r="M438" s="19">
        <f t="shared" si="91"/>
        <v>224510</v>
      </c>
      <c r="N438" s="120"/>
      <c r="O438" s="71">
        <f t="shared" si="92"/>
        <v>224510</v>
      </c>
      <c r="P438" s="71">
        <f t="shared" si="93"/>
        <v>224510</v>
      </c>
    </row>
    <row r="439" spans="1:16" s="58" customFormat="1" ht="24.95" customHeight="1">
      <c r="A439" s="10">
        <f t="shared" si="94"/>
        <v>27</v>
      </c>
      <c r="B439" s="11" t="s">
        <v>251</v>
      </c>
      <c r="C439" s="12" t="s">
        <v>90</v>
      </c>
      <c r="D439" s="13"/>
      <c r="E439" s="68">
        <v>225280</v>
      </c>
      <c r="F439" s="13"/>
      <c r="G439" s="206" t="s">
        <v>90</v>
      </c>
      <c r="H439" s="127"/>
      <c r="I439" s="68"/>
      <c r="J439" s="127"/>
      <c r="K439" s="12" t="str">
        <f t="shared" si="90"/>
        <v>đ/m</v>
      </c>
      <c r="L439" s="19"/>
      <c r="M439" s="19">
        <f t="shared" si="91"/>
        <v>225280</v>
      </c>
      <c r="N439" s="120"/>
      <c r="O439" s="71">
        <f t="shared" si="92"/>
        <v>225280</v>
      </c>
      <c r="P439" s="71">
        <f t="shared" si="93"/>
        <v>225280</v>
      </c>
    </row>
    <row r="440" spans="1:16" s="58" customFormat="1" ht="24.95" customHeight="1">
      <c r="A440" s="10">
        <f t="shared" si="94"/>
        <v>28</v>
      </c>
      <c r="B440" s="11" t="s">
        <v>252</v>
      </c>
      <c r="C440" s="12" t="s">
        <v>90</v>
      </c>
      <c r="D440" s="13"/>
      <c r="E440" s="68">
        <v>283910</v>
      </c>
      <c r="F440" s="13"/>
      <c r="G440" s="206" t="s">
        <v>90</v>
      </c>
      <c r="H440" s="127"/>
      <c r="I440" s="68"/>
      <c r="J440" s="127"/>
      <c r="K440" s="12" t="str">
        <f t="shared" si="90"/>
        <v>đ/m</v>
      </c>
      <c r="L440" s="19"/>
      <c r="M440" s="19">
        <f t="shared" si="91"/>
        <v>283910</v>
      </c>
      <c r="N440" s="120"/>
      <c r="O440" s="71">
        <f t="shared" si="92"/>
        <v>283910</v>
      </c>
      <c r="P440" s="71">
        <f t="shared" si="93"/>
        <v>283910</v>
      </c>
    </row>
    <row r="441" spans="1:16" s="58" customFormat="1" ht="24.95" customHeight="1">
      <c r="A441" s="10">
        <f t="shared" si="94"/>
        <v>29</v>
      </c>
      <c r="B441" s="11" t="s">
        <v>253</v>
      </c>
      <c r="C441" s="12" t="s">
        <v>90</v>
      </c>
      <c r="D441" s="13"/>
      <c r="E441" s="68">
        <v>357170</v>
      </c>
      <c r="F441" s="13"/>
      <c r="G441" s="206" t="s">
        <v>90</v>
      </c>
      <c r="H441" s="127"/>
      <c r="I441" s="68"/>
      <c r="J441" s="127"/>
      <c r="K441" s="12" t="str">
        <f t="shared" si="90"/>
        <v>đ/m</v>
      </c>
      <c r="L441" s="19"/>
      <c r="M441" s="19">
        <f t="shared" si="91"/>
        <v>357170</v>
      </c>
      <c r="N441" s="120"/>
      <c r="O441" s="71">
        <f t="shared" si="92"/>
        <v>357170</v>
      </c>
      <c r="P441" s="71">
        <f t="shared" si="93"/>
        <v>357170</v>
      </c>
    </row>
    <row r="442" spans="1:16" s="58" customFormat="1" ht="24.95" customHeight="1">
      <c r="A442" s="10">
        <f t="shared" si="94"/>
        <v>30</v>
      </c>
      <c r="B442" s="11" t="s">
        <v>254</v>
      </c>
      <c r="C442" s="12" t="s">
        <v>90</v>
      </c>
      <c r="D442" s="13"/>
      <c r="E442" s="68">
        <v>321090</v>
      </c>
      <c r="F442" s="13"/>
      <c r="G442" s="206" t="s">
        <v>90</v>
      </c>
      <c r="H442" s="127"/>
      <c r="I442" s="68"/>
      <c r="J442" s="127"/>
      <c r="K442" s="12" t="str">
        <f t="shared" si="90"/>
        <v>đ/m</v>
      </c>
      <c r="L442" s="19"/>
      <c r="M442" s="19">
        <f t="shared" si="91"/>
        <v>321090</v>
      </c>
      <c r="N442" s="120"/>
      <c r="O442" s="71">
        <f t="shared" si="92"/>
        <v>321090</v>
      </c>
      <c r="P442" s="71">
        <f t="shared" si="93"/>
        <v>321090</v>
      </c>
    </row>
    <row r="443" spans="1:16" s="58" customFormat="1" ht="24.95" customHeight="1">
      <c r="A443" s="10">
        <f t="shared" si="94"/>
        <v>31</v>
      </c>
      <c r="B443" s="11" t="s">
        <v>255</v>
      </c>
      <c r="C443" s="12" t="s">
        <v>90</v>
      </c>
      <c r="D443" s="13"/>
      <c r="E443" s="68">
        <v>404140</v>
      </c>
      <c r="F443" s="13"/>
      <c r="G443" s="206" t="s">
        <v>90</v>
      </c>
      <c r="H443" s="127"/>
      <c r="I443" s="68"/>
      <c r="J443" s="127"/>
      <c r="K443" s="12" t="str">
        <f t="shared" si="90"/>
        <v>đ/m</v>
      </c>
      <c r="L443" s="19"/>
      <c r="M443" s="19">
        <f t="shared" si="91"/>
        <v>404140</v>
      </c>
      <c r="N443" s="120"/>
      <c r="O443" s="71">
        <f t="shared" si="92"/>
        <v>404140</v>
      </c>
      <c r="P443" s="71">
        <f t="shared" si="93"/>
        <v>404140</v>
      </c>
    </row>
    <row r="444" spans="1:16" s="58" customFormat="1" ht="24.95" customHeight="1">
      <c r="A444" s="10">
        <f t="shared" si="94"/>
        <v>32</v>
      </c>
      <c r="B444" s="11" t="s">
        <v>1271</v>
      </c>
      <c r="C444" s="12" t="s">
        <v>90</v>
      </c>
      <c r="D444" s="13"/>
      <c r="E444" s="68">
        <v>563750</v>
      </c>
      <c r="F444" s="13"/>
      <c r="G444" s="206" t="s">
        <v>90</v>
      </c>
      <c r="H444" s="127"/>
      <c r="I444" s="68"/>
      <c r="J444" s="127"/>
      <c r="K444" s="12" t="str">
        <f t="shared" si="90"/>
        <v>đ/m</v>
      </c>
      <c r="L444" s="19"/>
      <c r="M444" s="19">
        <f t="shared" si="91"/>
        <v>563750</v>
      </c>
      <c r="N444" s="120"/>
      <c r="O444" s="71">
        <f t="shared" si="92"/>
        <v>563750</v>
      </c>
      <c r="P444" s="71">
        <f t="shared" si="93"/>
        <v>563750</v>
      </c>
    </row>
    <row r="445" spans="1:16" s="58" customFormat="1" ht="24.95" customHeight="1">
      <c r="A445" s="10">
        <f t="shared" si="94"/>
        <v>33</v>
      </c>
      <c r="B445" s="11" t="s">
        <v>256</v>
      </c>
      <c r="C445" s="12" t="s">
        <v>90</v>
      </c>
      <c r="D445" s="13"/>
      <c r="E445" s="68">
        <v>745470</v>
      </c>
      <c r="F445" s="13"/>
      <c r="G445" s="206" t="s">
        <v>90</v>
      </c>
      <c r="H445" s="127"/>
      <c r="I445" s="68"/>
      <c r="J445" s="127"/>
      <c r="K445" s="12" t="str">
        <f t="shared" si="90"/>
        <v>đ/m</v>
      </c>
      <c r="L445" s="19"/>
      <c r="M445" s="19">
        <f t="shared" si="91"/>
        <v>745470</v>
      </c>
      <c r="N445" s="120"/>
      <c r="O445" s="71">
        <f t="shared" si="92"/>
        <v>745470</v>
      </c>
      <c r="P445" s="71">
        <f t="shared" si="93"/>
        <v>745470</v>
      </c>
    </row>
    <row r="446" spans="1:16" s="58" customFormat="1" ht="24.95" customHeight="1">
      <c r="A446" s="10">
        <f t="shared" si="94"/>
        <v>34</v>
      </c>
      <c r="B446" s="11" t="s">
        <v>257</v>
      </c>
      <c r="C446" s="12" t="s">
        <v>90</v>
      </c>
      <c r="D446" s="13"/>
      <c r="E446" s="68">
        <v>56870</v>
      </c>
      <c r="F446" s="13"/>
      <c r="G446" s="206" t="s">
        <v>90</v>
      </c>
      <c r="H446" s="127"/>
      <c r="I446" s="68"/>
      <c r="J446" s="127"/>
      <c r="K446" s="12" t="str">
        <f t="shared" si="90"/>
        <v>đ/m</v>
      </c>
      <c r="L446" s="19"/>
      <c r="M446" s="19">
        <f t="shared" si="91"/>
        <v>56870</v>
      </c>
      <c r="N446" s="120"/>
      <c r="O446" s="71">
        <f t="shared" si="92"/>
        <v>56870</v>
      </c>
      <c r="P446" s="71">
        <f t="shared" si="93"/>
        <v>56870</v>
      </c>
    </row>
    <row r="447" spans="1:16" s="58" customFormat="1" ht="24.95" customHeight="1">
      <c r="A447" s="10">
        <f t="shared" si="94"/>
        <v>35</v>
      </c>
      <c r="B447" s="11" t="s">
        <v>258</v>
      </c>
      <c r="C447" s="12" t="s">
        <v>259</v>
      </c>
      <c r="D447" s="13"/>
      <c r="E447" s="68">
        <v>5159</v>
      </c>
      <c r="F447" s="13"/>
      <c r="G447" s="206" t="s">
        <v>259</v>
      </c>
      <c r="H447" s="127"/>
      <c r="I447" s="68"/>
      <c r="J447" s="127"/>
      <c r="K447" s="12" t="str">
        <f t="shared" si="90"/>
        <v>đ/bộ</v>
      </c>
      <c r="L447" s="19"/>
      <c r="M447" s="19">
        <f t="shared" si="91"/>
        <v>5159</v>
      </c>
      <c r="N447" s="120"/>
      <c r="O447" s="71">
        <f t="shared" si="92"/>
        <v>5159</v>
      </c>
      <c r="P447" s="71">
        <f t="shared" si="93"/>
        <v>5159</v>
      </c>
    </row>
    <row r="448" spans="1:16" s="58" customFormat="1" ht="32.25" customHeight="1">
      <c r="A448" s="17" t="s">
        <v>260</v>
      </c>
      <c r="B448" s="273" t="s">
        <v>261</v>
      </c>
      <c r="C448" s="273"/>
      <c r="D448" s="273"/>
      <c r="E448" s="273"/>
      <c r="F448" s="273"/>
      <c r="G448" s="127"/>
      <c r="H448" s="127"/>
      <c r="I448" s="127"/>
      <c r="J448" s="127"/>
      <c r="K448" s="116"/>
      <c r="L448" s="120"/>
      <c r="M448" s="120"/>
      <c r="N448" s="120"/>
      <c r="O448" s="69"/>
      <c r="P448" s="69"/>
    </row>
    <row r="449" spans="1:16" s="58" customFormat="1" ht="17.25">
      <c r="A449" s="17"/>
      <c r="B449" s="237" t="s">
        <v>1761</v>
      </c>
      <c r="C449" s="238"/>
      <c r="D449" s="238"/>
      <c r="E449" s="238"/>
      <c r="F449" s="238"/>
      <c r="G449" s="238"/>
      <c r="H449" s="238"/>
      <c r="I449" s="238"/>
      <c r="J449" s="238"/>
      <c r="K449" s="238"/>
      <c r="L449" s="238"/>
      <c r="M449" s="238"/>
      <c r="N449" s="239"/>
      <c r="O449" s="69"/>
      <c r="P449" s="69"/>
    </row>
    <row r="450" spans="1:16" s="58" customFormat="1" ht="26.1" customHeight="1">
      <c r="A450" s="10"/>
      <c r="B450" s="9" t="s">
        <v>262</v>
      </c>
      <c r="C450" s="8"/>
      <c r="D450" s="16"/>
      <c r="E450" s="16"/>
      <c r="F450" s="16"/>
      <c r="G450" s="127"/>
      <c r="H450" s="127"/>
      <c r="I450" s="127"/>
      <c r="J450" s="127"/>
      <c r="K450" s="116"/>
      <c r="L450" s="120"/>
      <c r="M450" s="120"/>
      <c r="N450" s="120"/>
      <c r="O450" s="69"/>
      <c r="P450" s="69"/>
    </row>
    <row r="451" spans="1:16" s="58" customFormat="1" ht="26.1" customHeight="1">
      <c r="A451" s="10">
        <v>1</v>
      </c>
      <c r="B451" s="11" t="s">
        <v>263</v>
      </c>
      <c r="C451" s="12" t="s">
        <v>1132</v>
      </c>
      <c r="D451" s="13"/>
      <c r="E451" s="68">
        <v>260370</v>
      </c>
      <c r="F451" s="13"/>
      <c r="G451" s="206" t="s">
        <v>1769</v>
      </c>
      <c r="H451" s="127"/>
      <c r="I451" s="68"/>
      <c r="J451" s="127"/>
      <c r="K451" s="12" t="str">
        <f>C451</f>
        <v>đ/m2</v>
      </c>
      <c r="L451" s="19"/>
      <c r="M451" s="19">
        <f>E451</f>
        <v>260370</v>
      </c>
      <c r="N451" s="120"/>
      <c r="O451" s="71">
        <f>E451</f>
        <v>260370</v>
      </c>
      <c r="P451" s="71">
        <f>M451</f>
        <v>260370</v>
      </c>
    </row>
    <row r="452" spans="1:16" s="58" customFormat="1" ht="26.1" customHeight="1">
      <c r="A452" s="10">
        <f>+A451+1</f>
        <v>2</v>
      </c>
      <c r="B452" s="11" t="s">
        <v>1211</v>
      </c>
      <c r="C452" s="12" t="s">
        <v>1132</v>
      </c>
      <c r="D452" s="13"/>
      <c r="E452" s="68">
        <v>304370</v>
      </c>
      <c r="F452" s="13"/>
      <c r="G452" s="206" t="s">
        <v>1769</v>
      </c>
      <c r="H452" s="127"/>
      <c r="I452" s="68"/>
      <c r="J452" s="127"/>
      <c r="K452" s="12" t="str">
        <f>C452</f>
        <v>đ/m2</v>
      </c>
      <c r="L452" s="19"/>
      <c r="M452" s="19">
        <f>E452</f>
        <v>304370</v>
      </c>
      <c r="N452" s="120"/>
      <c r="O452" s="71">
        <f>E452</f>
        <v>304370</v>
      </c>
      <c r="P452" s="71">
        <f>M452</f>
        <v>304370</v>
      </c>
    </row>
    <row r="453" spans="1:16" s="58" customFormat="1" ht="26.1" customHeight="1">
      <c r="A453" s="10">
        <f>+A452+1</f>
        <v>3</v>
      </c>
      <c r="B453" s="11" t="s">
        <v>1212</v>
      </c>
      <c r="C453" s="12" t="s">
        <v>1132</v>
      </c>
      <c r="D453" s="13"/>
      <c r="E453" s="68">
        <v>329890</v>
      </c>
      <c r="F453" s="13"/>
      <c r="G453" s="206" t="s">
        <v>1769</v>
      </c>
      <c r="H453" s="127"/>
      <c r="I453" s="68"/>
      <c r="J453" s="127"/>
      <c r="K453" s="12" t="str">
        <f>C453</f>
        <v>đ/m2</v>
      </c>
      <c r="L453" s="19"/>
      <c r="M453" s="19">
        <f>E453</f>
        <v>329890</v>
      </c>
      <c r="N453" s="120"/>
      <c r="O453" s="71">
        <f>E453</f>
        <v>329890</v>
      </c>
      <c r="P453" s="71">
        <f>M453</f>
        <v>329890</v>
      </c>
    </row>
    <row r="454" spans="1:16" s="58" customFormat="1" ht="27" customHeight="1">
      <c r="A454" s="10"/>
      <c r="B454" s="9" t="s">
        <v>264</v>
      </c>
      <c r="C454" s="8"/>
      <c r="D454" s="16"/>
      <c r="E454" s="68"/>
      <c r="F454" s="16"/>
      <c r="G454" s="219"/>
      <c r="H454" s="127"/>
      <c r="I454" s="68"/>
      <c r="J454" s="127"/>
      <c r="K454" s="116"/>
      <c r="L454" s="120"/>
      <c r="M454" s="120"/>
      <c r="N454" s="120"/>
      <c r="O454" s="69"/>
      <c r="P454" s="69"/>
    </row>
    <row r="455" spans="1:16" s="58" customFormat="1" ht="39.75" customHeight="1">
      <c r="A455" s="10">
        <f>+A453+1</f>
        <v>4</v>
      </c>
      <c r="B455" s="11" t="s">
        <v>265</v>
      </c>
      <c r="C455" s="12" t="s">
        <v>1132</v>
      </c>
      <c r="D455" s="13"/>
      <c r="E455" s="68">
        <v>317020</v>
      </c>
      <c r="F455" s="13"/>
      <c r="G455" s="206" t="s">
        <v>1769</v>
      </c>
      <c r="H455" s="127"/>
      <c r="I455" s="68"/>
      <c r="J455" s="127"/>
      <c r="K455" s="12" t="str">
        <f>C455</f>
        <v>đ/m2</v>
      </c>
      <c r="L455" s="19"/>
      <c r="M455" s="19">
        <f>E455</f>
        <v>317020</v>
      </c>
      <c r="N455" s="120"/>
      <c r="O455" s="71">
        <f>E455</f>
        <v>317020</v>
      </c>
      <c r="P455" s="71">
        <f>M455</f>
        <v>317020</v>
      </c>
    </row>
    <row r="456" spans="1:16" s="58" customFormat="1" ht="38.25" customHeight="1">
      <c r="A456" s="10">
        <f>+A455+1</f>
        <v>5</v>
      </c>
      <c r="B456" s="11" t="s">
        <v>266</v>
      </c>
      <c r="C456" s="12" t="s">
        <v>1132</v>
      </c>
      <c r="D456" s="13"/>
      <c r="E456" s="68">
        <v>399850</v>
      </c>
      <c r="F456" s="13"/>
      <c r="G456" s="206" t="s">
        <v>1769</v>
      </c>
      <c r="H456" s="127"/>
      <c r="I456" s="68"/>
      <c r="J456" s="127"/>
      <c r="K456" s="12" t="str">
        <f>C456</f>
        <v>đ/m2</v>
      </c>
      <c r="L456" s="19"/>
      <c r="M456" s="19">
        <f>E456</f>
        <v>399850</v>
      </c>
      <c r="N456" s="120"/>
      <c r="O456" s="71">
        <f>E456</f>
        <v>399850</v>
      </c>
      <c r="P456" s="71">
        <f>M456</f>
        <v>399850</v>
      </c>
    </row>
    <row r="457" spans="1:16" s="58" customFormat="1" ht="24.95" customHeight="1">
      <c r="A457" s="10"/>
      <c r="B457" s="9" t="s">
        <v>1281</v>
      </c>
      <c r="C457" s="15"/>
      <c r="D457" s="13"/>
      <c r="E457" s="68"/>
      <c r="F457" s="13"/>
      <c r="G457" s="207"/>
      <c r="H457" s="127"/>
      <c r="I457" s="68"/>
      <c r="J457" s="127"/>
      <c r="K457" s="116"/>
      <c r="L457" s="120"/>
      <c r="M457" s="19"/>
      <c r="N457" s="120"/>
      <c r="O457" s="69"/>
      <c r="P457" s="69"/>
    </row>
    <row r="458" spans="1:16" s="58" customFormat="1" ht="24.95" customHeight="1">
      <c r="A458" s="10">
        <f>+A456+1</f>
        <v>6</v>
      </c>
      <c r="B458" s="11" t="s">
        <v>267</v>
      </c>
      <c r="C458" s="12" t="s">
        <v>84</v>
      </c>
      <c r="D458" s="13"/>
      <c r="E458" s="68">
        <v>14520</v>
      </c>
      <c r="F458" s="13"/>
      <c r="G458" s="206" t="s">
        <v>84</v>
      </c>
      <c r="H458" s="127"/>
      <c r="I458" s="68"/>
      <c r="J458" s="127"/>
      <c r="K458" s="12" t="str">
        <f>C458</f>
        <v>đ/cái</v>
      </c>
      <c r="L458" s="19"/>
      <c r="M458" s="19">
        <f>E458</f>
        <v>14520</v>
      </c>
      <c r="N458" s="120"/>
      <c r="O458" s="71">
        <f>E458</f>
        <v>14520</v>
      </c>
      <c r="P458" s="71">
        <f>M458</f>
        <v>14520</v>
      </c>
    </row>
    <row r="459" spans="1:16" s="58" customFormat="1" ht="24.95" customHeight="1">
      <c r="A459" s="10">
        <f>+A458+1</f>
        <v>7</v>
      </c>
      <c r="B459" s="11" t="s">
        <v>268</v>
      </c>
      <c r="C459" s="12" t="s">
        <v>84</v>
      </c>
      <c r="D459" s="13"/>
      <c r="E459" s="68">
        <v>781</v>
      </c>
      <c r="F459" s="13"/>
      <c r="G459" s="206" t="s">
        <v>84</v>
      </c>
      <c r="H459" s="127"/>
      <c r="I459" s="68"/>
      <c r="J459" s="127"/>
      <c r="K459" s="12" t="str">
        <f>C459</f>
        <v>đ/cái</v>
      </c>
      <c r="L459" s="19"/>
      <c r="M459" s="19">
        <f>E459</f>
        <v>781</v>
      </c>
      <c r="N459" s="120"/>
      <c r="O459" s="71">
        <f>E459</f>
        <v>781</v>
      </c>
      <c r="P459" s="71">
        <f>M459</f>
        <v>781</v>
      </c>
    </row>
    <row r="460" spans="1:16" s="58" customFormat="1" ht="24" customHeight="1">
      <c r="A460" s="17" t="s">
        <v>269</v>
      </c>
      <c r="B460" s="273" t="s">
        <v>270</v>
      </c>
      <c r="C460" s="273"/>
      <c r="D460" s="273"/>
      <c r="E460" s="273"/>
      <c r="F460" s="273"/>
      <c r="G460" s="127"/>
      <c r="H460" s="127"/>
      <c r="I460" s="127"/>
      <c r="J460" s="127"/>
      <c r="K460" s="116"/>
      <c r="L460" s="120"/>
      <c r="M460" s="120"/>
      <c r="N460" s="120"/>
      <c r="O460" s="69"/>
      <c r="P460" s="69"/>
    </row>
    <row r="461" spans="1:16" s="58" customFormat="1" ht="43.5" customHeight="1">
      <c r="A461" s="10"/>
      <c r="B461" s="237" t="s">
        <v>1762</v>
      </c>
      <c r="C461" s="238"/>
      <c r="D461" s="238"/>
      <c r="E461" s="238"/>
      <c r="F461" s="238"/>
      <c r="G461" s="238"/>
      <c r="H461" s="238"/>
      <c r="I461" s="238"/>
      <c r="J461" s="238"/>
      <c r="K461" s="238"/>
      <c r="L461" s="238"/>
      <c r="M461" s="238"/>
      <c r="N461" s="239"/>
      <c r="O461" s="69"/>
      <c r="P461" s="69"/>
    </row>
    <row r="462" spans="1:16" s="58" customFormat="1" ht="24" customHeight="1">
      <c r="A462" s="10">
        <v>1</v>
      </c>
      <c r="B462" s="11" t="s">
        <v>271</v>
      </c>
      <c r="C462" s="12"/>
      <c r="D462" s="20"/>
      <c r="E462" s="13"/>
      <c r="F462" s="13"/>
      <c r="G462" s="127"/>
      <c r="H462" s="127"/>
      <c r="I462" s="127"/>
      <c r="J462" s="127"/>
      <c r="K462" s="116"/>
      <c r="L462" s="120"/>
      <c r="M462" s="120"/>
      <c r="N462" s="120"/>
      <c r="O462" s="69"/>
      <c r="P462" s="69"/>
    </row>
    <row r="463" spans="1:16" s="58" customFormat="1" ht="24" customHeight="1">
      <c r="A463" s="10"/>
      <c r="B463" s="26" t="s">
        <v>272</v>
      </c>
      <c r="C463" s="12" t="s">
        <v>1132</v>
      </c>
      <c r="D463" s="18"/>
      <c r="E463" s="68">
        <v>540540</v>
      </c>
      <c r="F463" s="13"/>
      <c r="G463" s="206" t="s">
        <v>1769</v>
      </c>
      <c r="H463" s="127"/>
      <c r="I463" s="68"/>
      <c r="J463" s="127"/>
      <c r="K463" s="12" t="str">
        <f>C463</f>
        <v>đ/m2</v>
      </c>
      <c r="L463" s="19"/>
      <c r="M463" s="19">
        <f>E463</f>
        <v>540540</v>
      </c>
      <c r="N463" s="120"/>
      <c r="O463" s="71">
        <f>E463</f>
        <v>540540</v>
      </c>
      <c r="P463" s="71">
        <f>M463</f>
        <v>540540</v>
      </c>
    </row>
    <row r="464" spans="1:16" s="58" customFormat="1" ht="24" customHeight="1">
      <c r="A464" s="10">
        <f>+A462+1</f>
        <v>2</v>
      </c>
      <c r="B464" s="11" t="s">
        <v>273</v>
      </c>
      <c r="C464" s="12"/>
      <c r="D464" s="20"/>
      <c r="E464" s="68"/>
      <c r="F464" s="13"/>
      <c r="G464" s="206"/>
      <c r="H464" s="127"/>
      <c r="I464" s="68"/>
      <c r="J464" s="127"/>
      <c r="K464" s="116"/>
      <c r="L464" s="120"/>
      <c r="M464" s="120"/>
      <c r="N464" s="120"/>
      <c r="O464" s="69"/>
      <c r="P464" s="69"/>
    </row>
    <row r="465" spans="1:16" s="58" customFormat="1" ht="24" customHeight="1">
      <c r="A465" s="10"/>
      <c r="B465" s="26" t="s">
        <v>274</v>
      </c>
      <c r="C465" s="12" t="s">
        <v>1132</v>
      </c>
      <c r="D465" s="18"/>
      <c r="E465" s="68">
        <v>410010</v>
      </c>
      <c r="F465" s="13"/>
      <c r="G465" s="206" t="s">
        <v>1769</v>
      </c>
      <c r="H465" s="127"/>
      <c r="I465" s="68"/>
      <c r="J465" s="127"/>
      <c r="K465" s="12" t="str">
        <f t="shared" ref="K465:K470" si="95">C465</f>
        <v>đ/m2</v>
      </c>
      <c r="L465" s="19"/>
      <c r="M465" s="19">
        <f t="shared" ref="M465:M470" si="96">E465</f>
        <v>410010</v>
      </c>
      <c r="N465" s="120"/>
      <c r="O465" s="71">
        <f t="shared" ref="O465:O470" si="97">E465</f>
        <v>410010</v>
      </c>
      <c r="P465" s="71">
        <f t="shared" ref="P465:P470" si="98">M465</f>
        <v>410010</v>
      </c>
    </row>
    <row r="466" spans="1:16" s="58" customFormat="1" ht="37.5" customHeight="1">
      <c r="A466" s="10">
        <f>+A464+1</f>
        <v>3</v>
      </c>
      <c r="B466" s="11" t="s">
        <v>275</v>
      </c>
      <c r="C466" s="12" t="s">
        <v>1132</v>
      </c>
      <c r="D466" s="20"/>
      <c r="E466" s="68">
        <v>444444</v>
      </c>
      <c r="F466" s="13"/>
      <c r="G466" s="206" t="s">
        <v>1769</v>
      </c>
      <c r="H466" s="127"/>
      <c r="I466" s="68"/>
      <c r="J466" s="127"/>
      <c r="K466" s="12" t="str">
        <f t="shared" si="95"/>
        <v>đ/m2</v>
      </c>
      <c r="L466" s="19"/>
      <c r="M466" s="19">
        <f t="shared" si="96"/>
        <v>444444</v>
      </c>
      <c r="N466" s="120"/>
      <c r="O466" s="71">
        <f t="shared" si="97"/>
        <v>444444</v>
      </c>
      <c r="P466" s="71">
        <f t="shared" si="98"/>
        <v>444444</v>
      </c>
    </row>
    <row r="467" spans="1:16" s="58" customFormat="1" ht="24" customHeight="1">
      <c r="A467" s="10">
        <f>+A466+1</f>
        <v>4</v>
      </c>
      <c r="B467" s="11" t="s">
        <v>1279</v>
      </c>
      <c r="C467" s="12" t="s">
        <v>1132</v>
      </c>
      <c r="D467" s="13"/>
      <c r="E467" s="68">
        <v>325490</v>
      </c>
      <c r="F467" s="13"/>
      <c r="G467" s="206" t="s">
        <v>1769</v>
      </c>
      <c r="H467" s="127"/>
      <c r="I467" s="68"/>
      <c r="J467" s="127"/>
      <c r="K467" s="12" t="str">
        <f t="shared" si="95"/>
        <v>đ/m2</v>
      </c>
      <c r="L467" s="19"/>
      <c r="M467" s="19">
        <f t="shared" si="96"/>
        <v>325490</v>
      </c>
      <c r="N467" s="120"/>
      <c r="O467" s="71">
        <f t="shared" si="97"/>
        <v>325490</v>
      </c>
      <c r="P467" s="71">
        <f t="shared" si="98"/>
        <v>325490</v>
      </c>
    </row>
    <row r="468" spans="1:16" s="58" customFormat="1" ht="24" customHeight="1">
      <c r="A468" s="10">
        <f>+A467+1</f>
        <v>5</v>
      </c>
      <c r="B468" s="26" t="s">
        <v>276</v>
      </c>
      <c r="C468" s="15" t="s">
        <v>90</v>
      </c>
      <c r="D468" s="13"/>
      <c r="E468" s="68">
        <v>221210</v>
      </c>
      <c r="F468" s="13"/>
      <c r="G468" s="207" t="s">
        <v>90</v>
      </c>
      <c r="H468" s="127"/>
      <c r="I468" s="68"/>
      <c r="J468" s="127"/>
      <c r="K468" s="12" t="str">
        <f t="shared" si="95"/>
        <v>đ/m</v>
      </c>
      <c r="L468" s="19"/>
      <c r="M468" s="19">
        <f t="shared" si="96"/>
        <v>221210</v>
      </c>
      <c r="N468" s="120"/>
      <c r="O468" s="71">
        <f t="shared" si="97"/>
        <v>221210</v>
      </c>
      <c r="P468" s="71">
        <f t="shared" si="98"/>
        <v>221210</v>
      </c>
    </row>
    <row r="469" spans="1:16" s="58" customFormat="1" ht="24" customHeight="1">
      <c r="A469" s="10">
        <f>+A468+1</f>
        <v>6</v>
      </c>
      <c r="B469" s="26" t="s">
        <v>277</v>
      </c>
      <c r="C469" s="15" t="s">
        <v>90</v>
      </c>
      <c r="D469" s="13"/>
      <c r="E469" s="68">
        <v>18260</v>
      </c>
      <c r="F469" s="13"/>
      <c r="G469" s="207" t="s">
        <v>90</v>
      </c>
      <c r="H469" s="127"/>
      <c r="I469" s="68"/>
      <c r="J469" s="127"/>
      <c r="K469" s="12" t="str">
        <f t="shared" si="95"/>
        <v>đ/m</v>
      </c>
      <c r="L469" s="19"/>
      <c r="M469" s="19">
        <f t="shared" si="96"/>
        <v>18260</v>
      </c>
      <c r="N469" s="120"/>
      <c r="O469" s="71">
        <f t="shared" si="97"/>
        <v>18260</v>
      </c>
      <c r="P469" s="71">
        <f t="shared" si="98"/>
        <v>18260</v>
      </c>
    </row>
    <row r="470" spans="1:16" s="58" customFormat="1" ht="24" customHeight="1">
      <c r="A470" s="10">
        <f>+A469+1</f>
        <v>7</v>
      </c>
      <c r="B470" s="26" t="s">
        <v>278</v>
      </c>
      <c r="C470" s="15" t="s">
        <v>279</v>
      </c>
      <c r="D470" s="13"/>
      <c r="E470" s="68">
        <v>1892</v>
      </c>
      <c r="F470" s="13"/>
      <c r="G470" s="207" t="s">
        <v>279</v>
      </c>
      <c r="H470" s="127"/>
      <c r="I470" s="68"/>
      <c r="J470" s="127"/>
      <c r="K470" s="12" t="str">
        <f t="shared" si="95"/>
        <v>cái</v>
      </c>
      <c r="L470" s="19"/>
      <c r="M470" s="19">
        <f t="shared" si="96"/>
        <v>1892</v>
      </c>
      <c r="N470" s="120"/>
      <c r="O470" s="71">
        <f t="shared" si="97"/>
        <v>1892</v>
      </c>
      <c r="P470" s="71">
        <f t="shared" si="98"/>
        <v>1892</v>
      </c>
    </row>
    <row r="471" spans="1:16" s="58" customFormat="1" ht="58.5" customHeight="1">
      <c r="A471" s="10"/>
      <c r="B471" s="237" t="s">
        <v>2094</v>
      </c>
      <c r="C471" s="238"/>
      <c r="D471" s="238"/>
      <c r="E471" s="238"/>
      <c r="F471" s="238"/>
      <c r="G471" s="238"/>
      <c r="H471" s="238"/>
      <c r="I471" s="238"/>
      <c r="J471" s="238"/>
      <c r="K471" s="238"/>
      <c r="L471" s="238"/>
      <c r="M471" s="238"/>
      <c r="N471" s="239"/>
      <c r="O471" s="69"/>
      <c r="P471" s="69"/>
    </row>
    <row r="472" spans="1:16" s="58" customFormat="1" ht="82.5">
      <c r="A472" s="10">
        <v>1</v>
      </c>
      <c r="B472" s="11" t="s">
        <v>280</v>
      </c>
      <c r="C472" s="12" t="s">
        <v>1132</v>
      </c>
      <c r="D472" s="20"/>
      <c r="E472" s="13">
        <v>126000</v>
      </c>
      <c r="F472" s="13">
        <v>128000</v>
      </c>
      <c r="G472" s="206" t="s">
        <v>1769</v>
      </c>
      <c r="H472" s="196"/>
      <c r="I472" s="13">
        <v>126000</v>
      </c>
      <c r="J472" s="13">
        <v>128000</v>
      </c>
      <c r="K472" s="12" t="str">
        <f>C472</f>
        <v>đ/m2</v>
      </c>
      <c r="L472" s="19"/>
      <c r="M472" s="19">
        <f t="shared" ref="M472:N476" si="99">I472</f>
        <v>126000</v>
      </c>
      <c r="N472" s="19">
        <f t="shared" si="99"/>
        <v>128000</v>
      </c>
      <c r="O472" s="71">
        <f>E472</f>
        <v>126000</v>
      </c>
      <c r="P472" s="71">
        <f>M472</f>
        <v>126000</v>
      </c>
    </row>
    <row r="473" spans="1:16" s="58" customFormat="1" ht="82.5">
      <c r="A473" s="10">
        <f>+A472+1</f>
        <v>2</v>
      </c>
      <c r="B473" s="11" t="s">
        <v>281</v>
      </c>
      <c r="C473" s="12" t="s">
        <v>1132</v>
      </c>
      <c r="D473" s="20" t="s">
        <v>35</v>
      </c>
      <c r="E473" s="13">
        <v>121000</v>
      </c>
      <c r="F473" s="13">
        <v>123000</v>
      </c>
      <c r="G473" s="206" t="s">
        <v>1769</v>
      </c>
      <c r="H473" s="196" t="s">
        <v>35</v>
      </c>
      <c r="I473" s="13">
        <v>121000</v>
      </c>
      <c r="J473" s="13">
        <v>123000</v>
      </c>
      <c r="K473" s="12" t="str">
        <f>C473</f>
        <v>đ/m2</v>
      </c>
      <c r="L473" s="19"/>
      <c r="M473" s="19">
        <f t="shared" si="99"/>
        <v>121000</v>
      </c>
      <c r="N473" s="19">
        <f t="shared" si="99"/>
        <v>123000</v>
      </c>
      <c r="O473" s="71">
        <f>E473</f>
        <v>121000</v>
      </c>
      <c r="P473" s="71">
        <f>M473</f>
        <v>121000</v>
      </c>
    </row>
    <row r="474" spans="1:16" s="58" customFormat="1" ht="82.5">
      <c r="A474" s="10">
        <f>+A473+1</f>
        <v>3</v>
      </c>
      <c r="B474" s="11" t="s">
        <v>282</v>
      </c>
      <c r="C474" s="12" t="s">
        <v>1132</v>
      </c>
      <c r="D474" s="20"/>
      <c r="E474" s="13">
        <v>126000</v>
      </c>
      <c r="F474" s="13">
        <v>128000</v>
      </c>
      <c r="G474" s="206" t="s">
        <v>1769</v>
      </c>
      <c r="H474" s="196"/>
      <c r="I474" s="13">
        <v>126000</v>
      </c>
      <c r="J474" s="13">
        <v>128000</v>
      </c>
      <c r="K474" s="12" t="str">
        <f>C474</f>
        <v>đ/m2</v>
      </c>
      <c r="L474" s="19"/>
      <c r="M474" s="19">
        <f t="shared" si="99"/>
        <v>126000</v>
      </c>
      <c r="N474" s="19">
        <f t="shared" si="99"/>
        <v>128000</v>
      </c>
      <c r="O474" s="71">
        <f>E474</f>
        <v>126000</v>
      </c>
      <c r="P474" s="71">
        <f>M474</f>
        <v>126000</v>
      </c>
    </row>
    <row r="475" spans="1:16" s="58" customFormat="1" ht="82.5">
      <c r="A475" s="10">
        <f>+A474+1</f>
        <v>4</v>
      </c>
      <c r="B475" s="11" t="s">
        <v>283</v>
      </c>
      <c r="C475" s="12" t="s">
        <v>1132</v>
      </c>
      <c r="D475" s="20"/>
      <c r="E475" s="13">
        <v>136000</v>
      </c>
      <c r="F475" s="13">
        <v>138000</v>
      </c>
      <c r="G475" s="206" t="s">
        <v>1769</v>
      </c>
      <c r="H475" s="196"/>
      <c r="I475" s="13">
        <v>136000</v>
      </c>
      <c r="J475" s="13">
        <v>138000</v>
      </c>
      <c r="K475" s="12" t="str">
        <f>C475</f>
        <v>đ/m2</v>
      </c>
      <c r="L475" s="19"/>
      <c r="M475" s="19">
        <f t="shared" si="99"/>
        <v>136000</v>
      </c>
      <c r="N475" s="19">
        <f t="shared" si="99"/>
        <v>138000</v>
      </c>
      <c r="O475" s="71">
        <f>E475</f>
        <v>136000</v>
      </c>
      <c r="P475" s="71">
        <f>M475</f>
        <v>136000</v>
      </c>
    </row>
    <row r="476" spans="1:16" s="58" customFormat="1" ht="115.5">
      <c r="A476" s="10">
        <f>+A475+1</f>
        <v>5</v>
      </c>
      <c r="B476" s="11" t="s">
        <v>284</v>
      </c>
      <c r="C476" s="12" t="s">
        <v>1132</v>
      </c>
      <c r="D476" s="20"/>
      <c r="E476" s="13">
        <v>256000</v>
      </c>
      <c r="F476" s="13">
        <v>261000</v>
      </c>
      <c r="G476" s="206" t="s">
        <v>1769</v>
      </c>
      <c r="H476" s="196"/>
      <c r="I476" s="13">
        <v>256000</v>
      </c>
      <c r="J476" s="13">
        <v>261000</v>
      </c>
      <c r="K476" s="12" t="str">
        <f>C476</f>
        <v>đ/m2</v>
      </c>
      <c r="L476" s="19"/>
      <c r="M476" s="19">
        <f t="shared" si="99"/>
        <v>256000</v>
      </c>
      <c r="N476" s="19">
        <f t="shared" si="99"/>
        <v>261000</v>
      </c>
      <c r="O476" s="71">
        <f>E476</f>
        <v>256000</v>
      </c>
      <c r="P476" s="71">
        <f>M476</f>
        <v>256000</v>
      </c>
    </row>
    <row r="477" spans="1:16" s="58" customFormat="1" ht="35.25" customHeight="1">
      <c r="A477" s="17" t="s">
        <v>285</v>
      </c>
      <c r="B477" s="252" t="s">
        <v>286</v>
      </c>
      <c r="C477" s="252"/>
      <c r="D477" s="252"/>
      <c r="E477" s="252"/>
      <c r="F477" s="252"/>
      <c r="G477" s="127"/>
      <c r="H477" s="127"/>
      <c r="I477" s="127"/>
      <c r="J477" s="127"/>
      <c r="K477" s="116"/>
      <c r="L477" s="120"/>
      <c r="M477" s="120"/>
      <c r="N477" s="120"/>
      <c r="O477" s="69"/>
      <c r="P477" s="69"/>
    </row>
    <row r="478" spans="1:16" s="58" customFormat="1" ht="28.5" customHeight="1">
      <c r="A478" s="17"/>
      <c r="B478" s="27" t="s">
        <v>287</v>
      </c>
      <c r="C478" s="17"/>
      <c r="D478" s="22"/>
      <c r="E478" s="22"/>
      <c r="F478" s="22"/>
      <c r="G478" s="127"/>
      <c r="H478" s="127"/>
      <c r="I478" s="127"/>
      <c r="J478" s="127"/>
      <c r="K478" s="116"/>
      <c r="L478" s="120"/>
      <c r="M478" s="120"/>
      <c r="N478" s="120"/>
      <c r="O478" s="69"/>
      <c r="P478" s="69"/>
    </row>
    <row r="479" spans="1:16" s="58" customFormat="1" ht="51.75" customHeight="1">
      <c r="A479" s="10"/>
      <c r="B479" s="237" t="s">
        <v>1446</v>
      </c>
      <c r="C479" s="238"/>
      <c r="D479" s="238"/>
      <c r="E479" s="238"/>
      <c r="F479" s="238"/>
      <c r="G479" s="238"/>
      <c r="H479" s="238"/>
      <c r="I479" s="238"/>
      <c r="J479" s="238"/>
      <c r="K479" s="238"/>
      <c r="L479" s="238"/>
      <c r="M479" s="238"/>
      <c r="N479" s="239"/>
      <c r="O479" s="69"/>
      <c r="P479" s="69"/>
    </row>
    <row r="480" spans="1:16" s="58" customFormat="1" ht="33">
      <c r="A480" s="10">
        <v>1</v>
      </c>
      <c r="B480" s="23" t="s">
        <v>288</v>
      </c>
      <c r="C480" s="12" t="s">
        <v>1132</v>
      </c>
      <c r="D480" s="13">
        <v>90910</v>
      </c>
      <c r="E480" s="13"/>
      <c r="F480" s="13"/>
      <c r="G480" s="206" t="s">
        <v>1769</v>
      </c>
      <c r="H480" s="68"/>
      <c r="I480" s="127"/>
      <c r="J480" s="127"/>
      <c r="K480" s="10" t="str">
        <f>C480</f>
        <v>đ/m2</v>
      </c>
      <c r="L480" s="19">
        <f>D480</f>
        <v>90910</v>
      </c>
      <c r="M480" s="19"/>
      <c r="N480" s="120"/>
      <c r="O480" s="71">
        <f t="shared" ref="O480:O502" si="100">D480</f>
        <v>90910</v>
      </c>
      <c r="P480" s="71">
        <f t="shared" ref="P480:P502" si="101">L480</f>
        <v>90910</v>
      </c>
    </row>
    <row r="481" spans="1:16" s="58" customFormat="1" ht="24" customHeight="1">
      <c r="A481" s="10">
        <f>+A480+1</f>
        <v>2</v>
      </c>
      <c r="B481" s="23" t="s">
        <v>289</v>
      </c>
      <c r="C481" s="12" t="s">
        <v>1132</v>
      </c>
      <c r="D481" s="13">
        <v>85050</v>
      </c>
      <c r="E481" s="13"/>
      <c r="F481" s="13"/>
      <c r="G481" s="206" t="s">
        <v>1769</v>
      </c>
      <c r="H481" s="68"/>
      <c r="I481" s="127"/>
      <c r="J481" s="127"/>
      <c r="K481" s="10" t="str">
        <f>C481</f>
        <v>đ/m2</v>
      </c>
      <c r="L481" s="19">
        <f>D481</f>
        <v>85050</v>
      </c>
      <c r="M481" s="120"/>
      <c r="N481" s="120"/>
      <c r="O481" s="71">
        <f t="shared" si="100"/>
        <v>85050</v>
      </c>
      <c r="P481" s="71">
        <f t="shared" si="101"/>
        <v>85050</v>
      </c>
    </row>
    <row r="482" spans="1:16" s="58" customFormat="1" ht="24.6" customHeight="1">
      <c r="A482" s="10"/>
      <c r="B482" s="27" t="s">
        <v>290</v>
      </c>
      <c r="C482" s="17"/>
      <c r="D482" s="22"/>
      <c r="E482" s="22"/>
      <c r="F482" s="22"/>
      <c r="G482" s="127"/>
      <c r="H482" s="127"/>
      <c r="I482" s="127"/>
      <c r="J482" s="127"/>
      <c r="K482" s="116"/>
      <c r="L482" s="120"/>
      <c r="M482" s="120"/>
      <c r="N482" s="120"/>
      <c r="O482" s="71">
        <f t="shared" si="100"/>
        <v>0</v>
      </c>
      <c r="P482" s="71">
        <f t="shared" si="101"/>
        <v>0</v>
      </c>
    </row>
    <row r="483" spans="1:16" s="58" customFormat="1" ht="24.6" customHeight="1">
      <c r="A483" s="10"/>
      <c r="B483" s="252" t="s">
        <v>291</v>
      </c>
      <c r="C483" s="252"/>
      <c r="D483" s="252"/>
      <c r="E483" s="252"/>
      <c r="F483" s="252"/>
      <c r="G483" s="127"/>
      <c r="H483" s="127"/>
      <c r="I483" s="127"/>
      <c r="J483" s="127"/>
      <c r="K483" s="116"/>
      <c r="L483" s="120"/>
      <c r="M483" s="120"/>
      <c r="N483" s="120"/>
      <c r="O483" s="71">
        <f t="shared" si="100"/>
        <v>0</v>
      </c>
      <c r="P483" s="71">
        <f t="shared" si="101"/>
        <v>0</v>
      </c>
    </row>
    <row r="484" spans="1:16" s="58" customFormat="1" ht="24.6" customHeight="1">
      <c r="A484" s="10">
        <v>1</v>
      </c>
      <c r="B484" s="23" t="s">
        <v>292</v>
      </c>
      <c r="C484" s="10" t="s">
        <v>293</v>
      </c>
      <c r="D484" s="13">
        <f>750/1.1</f>
        <v>681.81818181818176</v>
      </c>
      <c r="E484" s="13"/>
      <c r="F484" s="13"/>
      <c r="G484" s="127"/>
      <c r="H484" s="127"/>
      <c r="I484" s="127"/>
      <c r="J484" s="127"/>
      <c r="K484" s="10" t="str">
        <f t="shared" ref="K484:L487" si="102">C484</f>
        <v>đ/viên</v>
      </c>
      <c r="L484" s="19">
        <f t="shared" si="102"/>
        <v>681.81818181818176</v>
      </c>
      <c r="M484" s="120"/>
      <c r="N484" s="120"/>
      <c r="O484" s="71">
        <f t="shared" si="100"/>
        <v>681.81818181818176</v>
      </c>
      <c r="P484" s="71">
        <f t="shared" si="101"/>
        <v>681.81818181818176</v>
      </c>
    </row>
    <row r="485" spans="1:16" s="58" customFormat="1" ht="24.6" customHeight="1">
      <c r="A485" s="10">
        <f>+A484+1</f>
        <v>2</v>
      </c>
      <c r="B485" s="23" t="s">
        <v>294</v>
      </c>
      <c r="C485" s="10" t="s">
        <v>293</v>
      </c>
      <c r="D485" s="13">
        <f>700/1.1</f>
        <v>636.36363636363626</v>
      </c>
      <c r="E485" s="13"/>
      <c r="F485" s="13"/>
      <c r="G485" s="127"/>
      <c r="H485" s="127"/>
      <c r="I485" s="127"/>
      <c r="J485" s="127"/>
      <c r="K485" s="10" t="str">
        <f t="shared" si="102"/>
        <v>đ/viên</v>
      </c>
      <c r="L485" s="19">
        <f t="shared" si="102"/>
        <v>636.36363636363626</v>
      </c>
      <c r="M485" s="120"/>
      <c r="N485" s="120"/>
      <c r="O485" s="71">
        <f t="shared" si="100"/>
        <v>636.36363636363626</v>
      </c>
      <c r="P485" s="71">
        <f t="shared" si="101"/>
        <v>636.36363636363626</v>
      </c>
    </row>
    <row r="486" spans="1:16" s="58" customFormat="1" ht="24.6" customHeight="1">
      <c r="A486" s="10">
        <f>+A485+1</f>
        <v>3</v>
      </c>
      <c r="B486" s="23" t="s">
        <v>295</v>
      </c>
      <c r="C486" s="10" t="s">
        <v>293</v>
      </c>
      <c r="D486" s="13">
        <f>650/1.1</f>
        <v>590.90909090909088</v>
      </c>
      <c r="E486" s="13"/>
      <c r="F486" s="13"/>
      <c r="G486" s="127"/>
      <c r="H486" s="127"/>
      <c r="I486" s="127"/>
      <c r="J486" s="127"/>
      <c r="K486" s="10" t="str">
        <f t="shared" si="102"/>
        <v>đ/viên</v>
      </c>
      <c r="L486" s="19">
        <f t="shared" si="102"/>
        <v>590.90909090909088</v>
      </c>
      <c r="M486" s="120"/>
      <c r="N486" s="120"/>
      <c r="O486" s="71">
        <f t="shared" si="100"/>
        <v>590.90909090909088</v>
      </c>
      <c r="P486" s="71">
        <f t="shared" si="101"/>
        <v>590.90909090909088</v>
      </c>
    </row>
    <row r="487" spans="1:16" s="58" customFormat="1" ht="24.6" customHeight="1">
      <c r="A487" s="10">
        <f>+A486+1</f>
        <v>4</v>
      </c>
      <c r="B487" s="23" t="s">
        <v>296</v>
      </c>
      <c r="C487" s="10" t="s">
        <v>293</v>
      </c>
      <c r="D487" s="13">
        <f>600/1.1</f>
        <v>545.45454545454538</v>
      </c>
      <c r="E487" s="13"/>
      <c r="F487" s="13"/>
      <c r="G487" s="127"/>
      <c r="H487" s="127"/>
      <c r="I487" s="127"/>
      <c r="J487" s="127"/>
      <c r="K487" s="10" t="str">
        <f t="shared" si="102"/>
        <v>đ/viên</v>
      </c>
      <c r="L487" s="19">
        <f t="shared" si="102"/>
        <v>545.45454545454538</v>
      </c>
      <c r="M487" s="120"/>
      <c r="N487" s="120"/>
      <c r="O487" s="71">
        <f t="shared" si="100"/>
        <v>545.45454545454538</v>
      </c>
      <c r="P487" s="71">
        <f t="shared" si="101"/>
        <v>545.45454545454538</v>
      </c>
    </row>
    <row r="488" spans="1:16" s="58" customFormat="1" ht="24.6" customHeight="1">
      <c r="A488" s="10"/>
      <c r="B488" s="252" t="s">
        <v>297</v>
      </c>
      <c r="C488" s="252"/>
      <c r="D488" s="252"/>
      <c r="E488" s="252"/>
      <c r="F488" s="252"/>
      <c r="G488" s="127"/>
      <c r="H488" s="127"/>
      <c r="I488" s="127"/>
      <c r="J488" s="127"/>
      <c r="K488" s="116"/>
      <c r="L488" s="120"/>
      <c r="M488" s="120"/>
      <c r="N488" s="120"/>
      <c r="O488" s="71">
        <f t="shared" si="100"/>
        <v>0</v>
      </c>
      <c r="P488" s="71">
        <f t="shared" si="101"/>
        <v>0</v>
      </c>
    </row>
    <row r="489" spans="1:16" s="58" customFormat="1" ht="24.6" customHeight="1">
      <c r="A489" s="10">
        <v>1</v>
      </c>
      <c r="B489" s="23" t="s">
        <v>292</v>
      </c>
      <c r="C489" s="10" t="s">
        <v>293</v>
      </c>
      <c r="D489" s="13">
        <v>850</v>
      </c>
      <c r="E489" s="13"/>
      <c r="F489" s="13"/>
      <c r="G489" s="127"/>
      <c r="H489" s="127"/>
      <c r="I489" s="127"/>
      <c r="J489" s="127"/>
      <c r="K489" s="10" t="str">
        <f t="shared" ref="K489:L492" si="103">C489</f>
        <v>đ/viên</v>
      </c>
      <c r="L489" s="19">
        <f t="shared" si="103"/>
        <v>850</v>
      </c>
      <c r="M489" s="120"/>
      <c r="N489" s="120"/>
      <c r="O489" s="71">
        <f t="shared" si="100"/>
        <v>850</v>
      </c>
      <c r="P489" s="71">
        <f t="shared" si="101"/>
        <v>850</v>
      </c>
    </row>
    <row r="490" spans="1:16" s="58" customFormat="1" ht="24.6" customHeight="1">
      <c r="A490" s="10">
        <f>+A489+1</f>
        <v>2</v>
      </c>
      <c r="B490" s="23" t="s">
        <v>294</v>
      </c>
      <c r="C490" s="10" t="s">
        <v>293</v>
      </c>
      <c r="D490" s="13">
        <v>800</v>
      </c>
      <c r="E490" s="13"/>
      <c r="F490" s="24"/>
      <c r="G490" s="127"/>
      <c r="H490" s="127"/>
      <c r="I490" s="127"/>
      <c r="J490" s="127"/>
      <c r="K490" s="10" t="str">
        <f t="shared" si="103"/>
        <v>đ/viên</v>
      </c>
      <c r="L490" s="19">
        <f t="shared" si="103"/>
        <v>800</v>
      </c>
      <c r="M490" s="120"/>
      <c r="N490" s="120"/>
      <c r="O490" s="71">
        <f t="shared" si="100"/>
        <v>800</v>
      </c>
      <c r="P490" s="71">
        <f t="shared" si="101"/>
        <v>800</v>
      </c>
    </row>
    <row r="491" spans="1:16" s="58" customFormat="1" ht="24.6" customHeight="1">
      <c r="A491" s="10">
        <f>+A490+1</f>
        <v>3</v>
      </c>
      <c r="B491" s="23" t="s">
        <v>295</v>
      </c>
      <c r="C491" s="10" t="s">
        <v>293</v>
      </c>
      <c r="D491" s="13">
        <v>850</v>
      </c>
      <c r="E491" s="13"/>
      <c r="F491" s="24"/>
      <c r="G491" s="127"/>
      <c r="H491" s="127"/>
      <c r="I491" s="127"/>
      <c r="J491" s="127"/>
      <c r="K491" s="10" t="str">
        <f t="shared" si="103"/>
        <v>đ/viên</v>
      </c>
      <c r="L491" s="19">
        <f t="shared" si="103"/>
        <v>850</v>
      </c>
      <c r="M491" s="120"/>
      <c r="N491" s="120"/>
      <c r="O491" s="71">
        <f t="shared" si="100"/>
        <v>850</v>
      </c>
      <c r="P491" s="71">
        <f t="shared" si="101"/>
        <v>850</v>
      </c>
    </row>
    <row r="492" spans="1:16" s="58" customFormat="1" ht="24.6" customHeight="1">
      <c r="A492" s="10">
        <f>+A491+1</f>
        <v>4</v>
      </c>
      <c r="B492" s="23" t="s">
        <v>296</v>
      </c>
      <c r="C492" s="10" t="s">
        <v>293</v>
      </c>
      <c r="D492" s="13">
        <v>800</v>
      </c>
      <c r="E492" s="13"/>
      <c r="F492" s="24"/>
      <c r="G492" s="127"/>
      <c r="H492" s="127"/>
      <c r="I492" s="127"/>
      <c r="J492" s="127"/>
      <c r="K492" s="10" t="str">
        <f t="shared" si="103"/>
        <v>đ/viên</v>
      </c>
      <c r="L492" s="19">
        <f t="shared" si="103"/>
        <v>800</v>
      </c>
      <c r="M492" s="120"/>
      <c r="N492" s="120"/>
      <c r="O492" s="71">
        <f t="shared" si="100"/>
        <v>800</v>
      </c>
      <c r="P492" s="71">
        <f t="shared" si="101"/>
        <v>800</v>
      </c>
    </row>
    <row r="493" spans="1:16" s="58" customFormat="1" ht="24.6" customHeight="1">
      <c r="A493" s="10"/>
      <c r="B493" s="252" t="s">
        <v>298</v>
      </c>
      <c r="C493" s="252"/>
      <c r="D493" s="252"/>
      <c r="E493" s="252"/>
      <c r="F493" s="252"/>
      <c r="G493" s="127"/>
      <c r="H493" s="127"/>
      <c r="I493" s="127"/>
      <c r="J493" s="127"/>
      <c r="K493" s="116"/>
      <c r="L493" s="120"/>
      <c r="M493" s="120"/>
      <c r="N493" s="120"/>
      <c r="O493" s="71">
        <f t="shared" si="100"/>
        <v>0</v>
      </c>
      <c r="P493" s="71">
        <f t="shared" si="101"/>
        <v>0</v>
      </c>
    </row>
    <row r="494" spans="1:16" s="58" customFormat="1" ht="24.6" customHeight="1">
      <c r="A494" s="10">
        <v>1</v>
      </c>
      <c r="B494" s="23" t="s">
        <v>292</v>
      </c>
      <c r="C494" s="10" t="s">
        <v>293</v>
      </c>
      <c r="D494" s="13">
        <v>750</v>
      </c>
      <c r="E494" s="18"/>
      <c r="F494" s="13"/>
      <c r="G494" s="127"/>
      <c r="H494" s="127"/>
      <c r="I494" s="127"/>
      <c r="J494" s="127"/>
      <c r="K494" s="10" t="str">
        <f t="shared" ref="K494:L497" si="104">C494</f>
        <v>đ/viên</v>
      </c>
      <c r="L494" s="19">
        <f t="shared" si="104"/>
        <v>750</v>
      </c>
      <c r="M494" s="120"/>
      <c r="N494" s="120"/>
      <c r="O494" s="71">
        <f t="shared" si="100"/>
        <v>750</v>
      </c>
      <c r="P494" s="71">
        <f t="shared" si="101"/>
        <v>750</v>
      </c>
    </row>
    <row r="495" spans="1:16" s="58" customFormat="1" ht="24.6" customHeight="1">
      <c r="A495" s="10">
        <f>+A494+1</f>
        <v>2</v>
      </c>
      <c r="B495" s="23" t="s">
        <v>294</v>
      </c>
      <c r="C495" s="10" t="s">
        <v>293</v>
      </c>
      <c r="D495" s="13">
        <v>680</v>
      </c>
      <c r="E495" s="18"/>
      <c r="F495" s="24"/>
      <c r="G495" s="127"/>
      <c r="H495" s="127"/>
      <c r="I495" s="127"/>
      <c r="J495" s="127"/>
      <c r="K495" s="10" t="str">
        <f t="shared" si="104"/>
        <v>đ/viên</v>
      </c>
      <c r="L495" s="19">
        <f t="shared" si="104"/>
        <v>680</v>
      </c>
      <c r="M495" s="120"/>
      <c r="N495" s="120"/>
      <c r="O495" s="71">
        <f t="shared" si="100"/>
        <v>680</v>
      </c>
      <c r="P495" s="71">
        <f t="shared" si="101"/>
        <v>680</v>
      </c>
    </row>
    <row r="496" spans="1:16" s="58" customFormat="1" ht="24.6" customHeight="1">
      <c r="A496" s="10">
        <f>+A495+1</f>
        <v>3</v>
      </c>
      <c r="B496" s="23" t="s">
        <v>295</v>
      </c>
      <c r="C496" s="10" t="s">
        <v>293</v>
      </c>
      <c r="D496" s="13">
        <v>730</v>
      </c>
      <c r="E496" s="18"/>
      <c r="F496" s="24"/>
      <c r="G496" s="127"/>
      <c r="H496" s="127"/>
      <c r="I496" s="127"/>
      <c r="J496" s="127"/>
      <c r="K496" s="10" t="str">
        <f t="shared" si="104"/>
        <v>đ/viên</v>
      </c>
      <c r="L496" s="19">
        <f t="shared" si="104"/>
        <v>730</v>
      </c>
      <c r="M496" s="120"/>
      <c r="N496" s="120"/>
      <c r="O496" s="71">
        <f t="shared" si="100"/>
        <v>730</v>
      </c>
      <c r="P496" s="71">
        <f t="shared" si="101"/>
        <v>730</v>
      </c>
    </row>
    <row r="497" spans="1:16" s="58" customFormat="1" ht="24.6" customHeight="1">
      <c r="A497" s="10">
        <f>+A496+1</f>
        <v>4</v>
      </c>
      <c r="B497" s="23" t="s">
        <v>296</v>
      </c>
      <c r="C497" s="10" t="s">
        <v>293</v>
      </c>
      <c r="D497" s="13">
        <v>650</v>
      </c>
      <c r="E497" s="18"/>
      <c r="F497" s="24"/>
      <c r="G497" s="127"/>
      <c r="H497" s="127"/>
      <c r="I497" s="127"/>
      <c r="J497" s="127"/>
      <c r="K497" s="10" t="str">
        <f t="shared" si="104"/>
        <v>đ/viên</v>
      </c>
      <c r="L497" s="19">
        <f t="shared" si="104"/>
        <v>650</v>
      </c>
      <c r="M497" s="120"/>
      <c r="N497" s="120"/>
      <c r="O497" s="71">
        <f t="shared" si="100"/>
        <v>650</v>
      </c>
      <c r="P497" s="71">
        <f t="shared" si="101"/>
        <v>650</v>
      </c>
    </row>
    <row r="498" spans="1:16" s="58" customFormat="1" ht="24.6" customHeight="1">
      <c r="A498" s="10"/>
      <c r="B498" s="252" t="s">
        <v>299</v>
      </c>
      <c r="C498" s="252"/>
      <c r="D498" s="252"/>
      <c r="E498" s="252"/>
      <c r="F498" s="252"/>
      <c r="G498" s="127"/>
      <c r="H498" s="127"/>
      <c r="I498" s="127"/>
      <c r="J498" s="127"/>
      <c r="K498" s="116"/>
      <c r="L498" s="120"/>
      <c r="M498" s="120"/>
      <c r="N498" s="120"/>
      <c r="O498" s="71">
        <f t="shared" si="100"/>
        <v>0</v>
      </c>
      <c r="P498" s="71">
        <f t="shared" si="101"/>
        <v>0</v>
      </c>
    </row>
    <row r="499" spans="1:16" s="58" customFormat="1" ht="24.6" customHeight="1">
      <c r="A499" s="10">
        <v>1</v>
      </c>
      <c r="B499" s="23" t="s">
        <v>292</v>
      </c>
      <c r="C499" s="10" t="s">
        <v>293</v>
      </c>
      <c r="D499" s="13">
        <f>750/1.1</f>
        <v>681.81818181818176</v>
      </c>
      <c r="E499" s="13"/>
      <c r="F499" s="13"/>
      <c r="G499" s="127"/>
      <c r="H499" s="127"/>
      <c r="I499" s="127"/>
      <c r="J499" s="127"/>
      <c r="K499" s="10" t="str">
        <f t="shared" ref="K499:L502" si="105">C499</f>
        <v>đ/viên</v>
      </c>
      <c r="L499" s="19">
        <f t="shared" si="105"/>
        <v>681.81818181818176</v>
      </c>
      <c r="M499" s="120"/>
      <c r="N499" s="120"/>
      <c r="O499" s="71">
        <f t="shared" si="100"/>
        <v>681.81818181818176</v>
      </c>
      <c r="P499" s="71">
        <f t="shared" si="101"/>
        <v>681.81818181818176</v>
      </c>
    </row>
    <row r="500" spans="1:16" s="58" customFormat="1" ht="24.6" customHeight="1">
      <c r="A500" s="10">
        <f>+A499+1</f>
        <v>2</v>
      </c>
      <c r="B500" s="23" t="s">
        <v>294</v>
      </c>
      <c r="C500" s="10" t="s">
        <v>293</v>
      </c>
      <c r="D500" s="13">
        <f>700/1.1</f>
        <v>636.36363636363626</v>
      </c>
      <c r="E500" s="13"/>
      <c r="F500" s="13"/>
      <c r="G500" s="127"/>
      <c r="H500" s="127"/>
      <c r="I500" s="127"/>
      <c r="J500" s="127"/>
      <c r="K500" s="10" t="str">
        <f t="shared" si="105"/>
        <v>đ/viên</v>
      </c>
      <c r="L500" s="19">
        <f t="shared" si="105"/>
        <v>636.36363636363626</v>
      </c>
      <c r="M500" s="120"/>
      <c r="N500" s="120"/>
      <c r="O500" s="71">
        <f t="shared" si="100"/>
        <v>636.36363636363626</v>
      </c>
      <c r="P500" s="71">
        <f t="shared" si="101"/>
        <v>636.36363636363626</v>
      </c>
    </row>
    <row r="501" spans="1:16" s="58" customFormat="1" ht="24.6" customHeight="1">
      <c r="A501" s="10">
        <f>+A500+1</f>
        <v>3</v>
      </c>
      <c r="B501" s="23" t="s">
        <v>295</v>
      </c>
      <c r="C501" s="10" t="s">
        <v>293</v>
      </c>
      <c r="D501" s="13">
        <f>680/1.1</f>
        <v>618.18181818181813</v>
      </c>
      <c r="E501" s="13"/>
      <c r="F501" s="13"/>
      <c r="G501" s="127"/>
      <c r="H501" s="127"/>
      <c r="I501" s="127"/>
      <c r="J501" s="127"/>
      <c r="K501" s="10" t="str">
        <f t="shared" si="105"/>
        <v>đ/viên</v>
      </c>
      <c r="L501" s="19">
        <f t="shared" si="105"/>
        <v>618.18181818181813</v>
      </c>
      <c r="M501" s="120"/>
      <c r="N501" s="120"/>
      <c r="O501" s="71">
        <f t="shared" si="100"/>
        <v>618.18181818181813</v>
      </c>
      <c r="P501" s="71">
        <f t="shared" si="101"/>
        <v>618.18181818181813</v>
      </c>
    </row>
    <row r="502" spans="1:16" s="58" customFormat="1" ht="24.6" customHeight="1">
      <c r="A502" s="10">
        <f>+A501+1</f>
        <v>4</v>
      </c>
      <c r="B502" s="23" t="s">
        <v>296</v>
      </c>
      <c r="C502" s="10" t="s">
        <v>293</v>
      </c>
      <c r="D502" s="13">
        <f>650/1.1</f>
        <v>590.90909090909088</v>
      </c>
      <c r="E502" s="13"/>
      <c r="F502" s="13"/>
      <c r="G502" s="127"/>
      <c r="H502" s="127"/>
      <c r="I502" s="127"/>
      <c r="J502" s="127"/>
      <c r="K502" s="10" t="str">
        <f t="shared" si="105"/>
        <v>đ/viên</v>
      </c>
      <c r="L502" s="19">
        <f t="shared" si="105"/>
        <v>590.90909090909088</v>
      </c>
      <c r="M502" s="120"/>
      <c r="N502" s="120"/>
      <c r="O502" s="71">
        <f t="shared" si="100"/>
        <v>590.90909090909088</v>
      </c>
      <c r="P502" s="71">
        <f t="shared" si="101"/>
        <v>590.90909090909088</v>
      </c>
    </row>
    <row r="503" spans="1:16" s="58" customFormat="1" ht="44.25" customHeight="1">
      <c r="A503" s="10"/>
      <c r="B503" s="237" t="s">
        <v>1694</v>
      </c>
      <c r="C503" s="238"/>
      <c r="D503" s="238"/>
      <c r="E503" s="238"/>
      <c r="F503" s="238"/>
      <c r="G503" s="238"/>
      <c r="H503" s="238"/>
      <c r="I503" s="238"/>
      <c r="J503" s="238"/>
      <c r="K503" s="238"/>
      <c r="L503" s="238"/>
      <c r="M503" s="238"/>
      <c r="N503" s="239"/>
      <c r="O503" s="69"/>
      <c r="P503" s="69"/>
    </row>
    <row r="504" spans="1:16" s="58" customFormat="1" ht="24.6" customHeight="1">
      <c r="A504" s="10">
        <v>1</v>
      </c>
      <c r="B504" s="23" t="s">
        <v>300</v>
      </c>
      <c r="C504" s="10" t="s">
        <v>293</v>
      </c>
      <c r="D504" s="198">
        <v>1000</v>
      </c>
      <c r="E504" s="13"/>
      <c r="F504" s="13"/>
      <c r="G504" s="211" t="s">
        <v>293</v>
      </c>
      <c r="H504" s="198"/>
      <c r="I504" s="127"/>
      <c r="J504" s="127"/>
      <c r="K504" s="10" t="str">
        <f t="shared" ref="K504:K519" si="106">C504</f>
        <v>đ/viên</v>
      </c>
      <c r="L504" s="19">
        <f>D504</f>
        <v>1000</v>
      </c>
      <c r="M504" s="120"/>
      <c r="N504" s="120"/>
      <c r="O504" s="71">
        <f t="shared" ref="O504:O519" si="107">D504</f>
        <v>1000</v>
      </c>
      <c r="P504" s="71">
        <f t="shared" ref="P504:P519" si="108">L504</f>
        <v>1000</v>
      </c>
    </row>
    <row r="505" spans="1:16" s="58" customFormat="1" ht="24.6" customHeight="1">
      <c r="A505" s="10">
        <v>2</v>
      </c>
      <c r="B505" s="23" t="s">
        <v>301</v>
      </c>
      <c r="C505" s="10" t="s">
        <v>293</v>
      </c>
      <c r="D505" s="198">
        <v>1000</v>
      </c>
      <c r="E505" s="13"/>
      <c r="F505" s="13"/>
      <c r="G505" s="211" t="s">
        <v>293</v>
      </c>
      <c r="H505" s="198"/>
      <c r="I505" s="127"/>
      <c r="J505" s="127"/>
      <c r="K505" s="10" t="str">
        <f t="shared" si="106"/>
        <v>đ/viên</v>
      </c>
      <c r="L505" s="19">
        <f t="shared" ref="L505:L519" si="109">D505</f>
        <v>1000</v>
      </c>
      <c r="M505" s="120"/>
      <c r="N505" s="120"/>
      <c r="O505" s="71">
        <f t="shared" si="107"/>
        <v>1000</v>
      </c>
      <c r="P505" s="71">
        <f t="shared" si="108"/>
        <v>1000</v>
      </c>
    </row>
    <row r="506" spans="1:16" s="58" customFormat="1" ht="24.6" customHeight="1">
      <c r="A506" s="10">
        <v>3</v>
      </c>
      <c r="B506" s="23" t="s">
        <v>312</v>
      </c>
      <c r="C506" s="10" t="s">
        <v>293</v>
      </c>
      <c r="D506" s="198">
        <v>882</v>
      </c>
      <c r="E506" s="13"/>
      <c r="F506" s="13"/>
      <c r="G506" s="211" t="s">
        <v>293</v>
      </c>
      <c r="H506" s="198"/>
      <c r="I506" s="127"/>
      <c r="J506" s="127"/>
      <c r="K506" s="10" t="str">
        <f t="shared" si="106"/>
        <v>đ/viên</v>
      </c>
      <c r="L506" s="19">
        <f t="shared" si="109"/>
        <v>882</v>
      </c>
      <c r="M506" s="120"/>
      <c r="N506" s="120"/>
      <c r="O506" s="71">
        <f t="shared" si="107"/>
        <v>882</v>
      </c>
      <c r="P506" s="71">
        <f t="shared" si="108"/>
        <v>882</v>
      </c>
    </row>
    <row r="507" spans="1:16" s="58" customFormat="1" ht="24.6" customHeight="1">
      <c r="A507" s="10">
        <v>4</v>
      </c>
      <c r="B507" s="23" t="s">
        <v>313</v>
      </c>
      <c r="C507" s="10" t="s">
        <v>293</v>
      </c>
      <c r="D507" s="198">
        <v>882</v>
      </c>
      <c r="E507" s="13"/>
      <c r="F507" s="13"/>
      <c r="G507" s="211" t="s">
        <v>293</v>
      </c>
      <c r="H507" s="198"/>
      <c r="I507" s="127"/>
      <c r="J507" s="127"/>
      <c r="K507" s="10" t="str">
        <f t="shared" si="106"/>
        <v>đ/viên</v>
      </c>
      <c r="L507" s="19">
        <f t="shared" si="109"/>
        <v>882</v>
      </c>
      <c r="M507" s="120"/>
      <c r="N507" s="120"/>
      <c r="O507" s="71">
        <f t="shared" si="107"/>
        <v>882</v>
      </c>
      <c r="P507" s="71">
        <f t="shared" si="108"/>
        <v>882</v>
      </c>
    </row>
    <row r="508" spans="1:16" s="58" customFormat="1" ht="24.6" customHeight="1">
      <c r="A508" s="10">
        <v>5</v>
      </c>
      <c r="B508" s="23" t="s">
        <v>1133</v>
      </c>
      <c r="C508" s="10" t="s">
        <v>293</v>
      </c>
      <c r="D508" s="198">
        <v>6545</v>
      </c>
      <c r="E508" s="13"/>
      <c r="F508" s="13"/>
      <c r="G508" s="211" t="s">
        <v>293</v>
      </c>
      <c r="H508" s="198"/>
      <c r="I508" s="127"/>
      <c r="J508" s="127"/>
      <c r="K508" s="10" t="str">
        <f t="shared" si="106"/>
        <v>đ/viên</v>
      </c>
      <c r="L508" s="19">
        <f t="shared" si="109"/>
        <v>6545</v>
      </c>
      <c r="M508" s="120"/>
      <c r="N508" s="120"/>
      <c r="O508" s="71">
        <f t="shared" si="107"/>
        <v>6545</v>
      </c>
      <c r="P508" s="71">
        <f t="shared" si="108"/>
        <v>6545</v>
      </c>
    </row>
    <row r="509" spans="1:16" s="58" customFormat="1" ht="24.6" customHeight="1">
      <c r="A509" s="10">
        <v>6</v>
      </c>
      <c r="B509" s="23" t="s">
        <v>1134</v>
      </c>
      <c r="C509" s="10" t="s">
        <v>293</v>
      </c>
      <c r="D509" s="198">
        <v>4091</v>
      </c>
      <c r="E509" s="13"/>
      <c r="F509" s="13"/>
      <c r="G509" s="211" t="s">
        <v>293</v>
      </c>
      <c r="H509" s="198"/>
      <c r="I509" s="127"/>
      <c r="J509" s="127"/>
      <c r="K509" s="10" t="str">
        <f t="shared" si="106"/>
        <v>đ/viên</v>
      </c>
      <c r="L509" s="19">
        <f t="shared" si="109"/>
        <v>4091</v>
      </c>
      <c r="M509" s="120"/>
      <c r="N509" s="120"/>
      <c r="O509" s="71">
        <f t="shared" si="107"/>
        <v>4091</v>
      </c>
      <c r="P509" s="71">
        <f t="shared" si="108"/>
        <v>4091</v>
      </c>
    </row>
    <row r="510" spans="1:16" s="58" customFormat="1" ht="24.6" customHeight="1">
      <c r="A510" s="10">
        <v>7</v>
      </c>
      <c r="B510" s="23" t="s">
        <v>304</v>
      </c>
      <c r="C510" s="10" t="s">
        <v>293</v>
      </c>
      <c r="D510" s="198">
        <v>3182</v>
      </c>
      <c r="E510" s="13"/>
      <c r="F510" s="13"/>
      <c r="G510" s="211" t="s">
        <v>293</v>
      </c>
      <c r="H510" s="198"/>
      <c r="I510" s="127"/>
      <c r="J510" s="127"/>
      <c r="K510" s="10" t="str">
        <f t="shared" si="106"/>
        <v>đ/viên</v>
      </c>
      <c r="L510" s="19">
        <f t="shared" si="109"/>
        <v>3182</v>
      </c>
      <c r="M510" s="120"/>
      <c r="N510" s="120"/>
      <c r="O510" s="71">
        <f t="shared" si="107"/>
        <v>3182</v>
      </c>
      <c r="P510" s="71">
        <f t="shared" si="108"/>
        <v>3182</v>
      </c>
    </row>
    <row r="511" spans="1:16" s="58" customFormat="1" ht="24.6" customHeight="1">
      <c r="A511" s="10">
        <v>8</v>
      </c>
      <c r="B511" s="23" t="s">
        <v>305</v>
      </c>
      <c r="C511" s="10" t="s">
        <v>293</v>
      </c>
      <c r="D511" s="198">
        <v>2818</v>
      </c>
      <c r="E511" s="13"/>
      <c r="F511" s="13"/>
      <c r="G511" s="211" t="s">
        <v>293</v>
      </c>
      <c r="H511" s="198"/>
      <c r="I511" s="127"/>
      <c r="J511" s="127"/>
      <c r="K511" s="10" t="str">
        <f t="shared" si="106"/>
        <v>đ/viên</v>
      </c>
      <c r="L511" s="19">
        <f t="shared" si="109"/>
        <v>2818</v>
      </c>
      <c r="M511" s="120"/>
      <c r="N511" s="120"/>
      <c r="O511" s="71">
        <f t="shared" si="107"/>
        <v>2818</v>
      </c>
      <c r="P511" s="71">
        <f t="shared" si="108"/>
        <v>2818</v>
      </c>
    </row>
    <row r="512" spans="1:16" s="58" customFormat="1" ht="24.6" customHeight="1">
      <c r="A512" s="10">
        <v>9</v>
      </c>
      <c r="B512" s="23" t="s">
        <v>306</v>
      </c>
      <c r="C512" s="10" t="s">
        <v>293</v>
      </c>
      <c r="D512" s="198">
        <v>6091</v>
      </c>
      <c r="E512" s="13"/>
      <c r="F512" s="13"/>
      <c r="G512" s="211" t="s">
        <v>293</v>
      </c>
      <c r="H512" s="198"/>
      <c r="I512" s="127"/>
      <c r="J512" s="127"/>
      <c r="K512" s="10" t="str">
        <f t="shared" si="106"/>
        <v>đ/viên</v>
      </c>
      <c r="L512" s="19">
        <f t="shared" si="109"/>
        <v>6091</v>
      </c>
      <c r="M512" s="120"/>
      <c r="N512" s="120"/>
      <c r="O512" s="71">
        <f t="shared" si="107"/>
        <v>6091</v>
      </c>
      <c r="P512" s="71">
        <f t="shared" si="108"/>
        <v>6091</v>
      </c>
    </row>
    <row r="513" spans="1:16" s="58" customFormat="1" ht="24.6" customHeight="1">
      <c r="A513" s="10">
        <v>10</v>
      </c>
      <c r="B513" s="23" t="s">
        <v>307</v>
      </c>
      <c r="C513" s="10" t="s">
        <v>293</v>
      </c>
      <c r="D513" s="198">
        <v>4455</v>
      </c>
      <c r="E513" s="13"/>
      <c r="F513" s="13"/>
      <c r="G513" s="211" t="s">
        <v>293</v>
      </c>
      <c r="H513" s="198"/>
      <c r="I513" s="127"/>
      <c r="J513" s="127"/>
      <c r="K513" s="10" t="str">
        <f t="shared" si="106"/>
        <v>đ/viên</v>
      </c>
      <c r="L513" s="19">
        <f t="shared" si="109"/>
        <v>4455</v>
      </c>
      <c r="M513" s="120"/>
      <c r="N513" s="120"/>
      <c r="O513" s="71">
        <f t="shared" si="107"/>
        <v>4455</v>
      </c>
      <c r="P513" s="71">
        <f t="shared" si="108"/>
        <v>4455</v>
      </c>
    </row>
    <row r="514" spans="1:16" s="58" customFormat="1" ht="24.6" customHeight="1">
      <c r="A514" s="10">
        <v>11</v>
      </c>
      <c r="B514" s="23" t="s">
        <v>308</v>
      </c>
      <c r="C514" s="10" t="s">
        <v>293</v>
      </c>
      <c r="D514" s="198">
        <v>1682</v>
      </c>
      <c r="E514" s="13"/>
      <c r="F514" s="13"/>
      <c r="G514" s="211" t="s">
        <v>293</v>
      </c>
      <c r="H514" s="198"/>
      <c r="I514" s="127"/>
      <c r="J514" s="127"/>
      <c r="K514" s="10" t="str">
        <f t="shared" si="106"/>
        <v>đ/viên</v>
      </c>
      <c r="L514" s="19">
        <f t="shared" si="109"/>
        <v>1682</v>
      </c>
      <c r="M514" s="120"/>
      <c r="N514" s="120"/>
      <c r="O514" s="71">
        <f t="shared" si="107"/>
        <v>1682</v>
      </c>
      <c r="P514" s="71">
        <f t="shared" si="108"/>
        <v>1682</v>
      </c>
    </row>
    <row r="515" spans="1:16" s="58" customFormat="1" ht="24.6" customHeight="1">
      <c r="A515" s="10">
        <v>12</v>
      </c>
      <c r="B515" s="23" t="s">
        <v>309</v>
      </c>
      <c r="C515" s="10" t="s">
        <v>293</v>
      </c>
      <c r="D515" s="198">
        <v>1682</v>
      </c>
      <c r="E515" s="13"/>
      <c r="F515" s="13"/>
      <c r="G515" s="211" t="s">
        <v>293</v>
      </c>
      <c r="H515" s="198"/>
      <c r="I515" s="127"/>
      <c r="J515" s="127"/>
      <c r="K515" s="10" t="str">
        <f t="shared" si="106"/>
        <v>đ/viên</v>
      </c>
      <c r="L515" s="19">
        <f t="shared" si="109"/>
        <v>1682</v>
      </c>
      <c r="M515" s="120"/>
      <c r="N515" s="120"/>
      <c r="O515" s="71">
        <f t="shared" si="107"/>
        <v>1682</v>
      </c>
      <c r="P515" s="71">
        <f t="shared" si="108"/>
        <v>1682</v>
      </c>
    </row>
    <row r="516" spans="1:16" s="58" customFormat="1" ht="24.6" customHeight="1">
      <c r="A516" s="10">
        <v>13</v>
      </c>
      <c r="B516" s="23" t="s">
        <v>302</v>
      </c>
      <c r="C516" s="10" t="s">
        <v>293</v>
      </c>
      <c r="D516" s="198">
        <v>909</v>
      </c>
      <c r="E516" s="13"/>
      <c r="F516" s="13"/>
      <c r="G516" s="211" t="s">
        <v>293</v>
      </c>
      <c r="H516" s="198"/>
      <c r="I516" s="127"/>
      <c r="J516" s="127"/>
      <c r="K516" s="10" t="str">
        <f t="shared" si="106"/>
        <v>đ/viên</v>
      </c>
      <c r="L516" s="19">
        <f t="shared" si="109"/>
        <v>909</v>
      </c>
      <c r="M516" s="120"/>
      <c r="N516" s="120"/>
      <c r="O516" s="71">
        <f t="shared" si="107"/>
        <v>909</v>
      </c>
      <c r="P516" s="71">
        <f t="shared" si="108"/>
        <v>909</v>
      </c>
    </row>
    <row r="517" spans="1:16" s="58" customFormat="1" ht="24.6" customHeight="1">
      <c r="A517" s="10">
        <v>14</v>
      </c>
      <c r="B517" s="23" t="s">
        <v>303</v>
      </c>
      <c r="C517" s="10" t="s">
        <v>293</v>
      </c>
      <c r="D517" s="198">
        <v>2909</v>
      </c>
      <c r="E517" s="13"/>
      <c r="F517" s="13"/>
      <c r="G517" s="211" t="s">
        <v>293</v>
      </c>
      <c r="H517" s="198"/>
      <c r="I517" s="127"/>
      <c r="J517" s="127"/>
      <c r="K517" s="10" t="str">
        <f t="shared" si="106"/>
        <v>đ/viên</v>
      </c>
      <c r="L517" s="19">
        <f t="shared" si="109"/>
        <v>2909</v>
      </c>
      <c r="M517" s="120"/>
      <c r="N517" s="120"/>
      <c r="O517" s="71">
        <f t="shared" si="107"/>
        <v>2909</v>
      </c>
      <c r="P517" s="71">
        <f t="shared" si="108"/>
        <v>2909</v>
      </c>
    </row>
    <row r="518" spans="1:16" s="58" customFormat="1" ht="24.6" customHeight="1">
      <c r="A518" s="10">
        <v>15</v>
      </c>
      <c r="B518" s="23" t="s">
        <v>310</v>
      </c>
      <c r="C518" s="10" t="s">
        <v>293</v>
      </c>
      <c r="D518" s="198">
        <v>7909</v>
      </c>
      <c r="E518" s="13"/>
      <c r="F518" s="13"/>
      <c r="G518" s="211" t="s">
        <v>293</v>
      </c>
      <c r="H518" s="198"/>
      <c r="I518" s="127"/>
      <c r="J518" s="127"/>
      <c r="K518" s="10" t="str">
        <f t="shared" si="106"/>
        <v>đ/viên</v>
      </c>
      <c r="L518" s="19">
        <f t="shared" si="109"/>
        <v>7909</v>
      </c>
      <c r="M518" s="120"/>
      <c r="N518" s="120"/>
      <c r="O518" s="71">
        <f t="shared" si="107"/>
        <v>7909</v>
      </c>
      <c r="P518" s="71">
        <f t="shared" si="108"/>
        <v>7909</v>
      </c>
    </row>
    <row r="519" spans="1:16" s="58" customFormat="1" ht="24.6" customHeight="1">
      <c r="A519" s="10">
        <v>16</v>
      </c>
      <c r="B519" s="23" t="s">
        <v>311</v>
      </c>
      <c r="C519" s="10" t="s">
        <v>293</v>
      </c>
      <c r="D519" s="198">
        <v>3182</v>
      </c>
      <c r="E519" s="13"/>
      <c r="F519" s="13"/>
      <c r="G519" s="211" t="s">
        <v>293</v>
      </c>
      <c r="H519" s="198"/>
      <c r="I519" s="127"/>
      <c r="J519" s="127"/>
      <c r="K519" s="10" t="str">
        <f t="shared" si="106"/>
        <v>đ/viên</v>
      </c>
      <c r="L519" s="19">
        <f t="shared" si="109"/>
        <v>3182</v>
      </c>
      <c r="M519" s="120"/>
      <c r="N519" s="120"/>
      <c r="O519" s="71">
        <f t="shared" si="107"/>
        <v>3182</v>
      </c>
      <c r="P519" s="71">
        <f t="shared" si="108"/>
        <v>3182</v>
      </c>
    </row>
    <row r="520" spans="1:16" s="58" customFormat="1" ht="41.25" customHeight="1">
      <c r="A520" s="10"/>
      <c r="B520" s="237" t="s">
        <v>1695</v>
      </c>
      <c r="C520" s="238"/>
      <c r="D520" s="238"/>
      <c r="E520" s="238"/>
      <c r="F520" s="238"/>
      <c r="G520" s="238"/>
      <c r="H520" s="238"/>
      <c r="I520" s="238"/>
      <c r="J520" s="238"/>
      <c r="K520" s="238"/>
      <c r="L520" s="238"/>
      <c r="M520" s="238"/>
      <c r="N520" s="239"/>
      <c r="O520" s="69"/>
      <c r="P520" s="69"/>
    </row>
    <row r="521" spans="1:16" s="58" customFormat="1" ht="20.100000000000001" customHeight="1">
      <c r="A521" s="10">
        <v>1</v>
      </c>
      <c r="B521" s="23" t="s">
        <v>312</v>
      </c>
      <c r="C521" s="10" t="s">
        <v>293</v>
      </c>
      <c r="D521" s="13">
        <v>864</v>
      </c>
      <c r="E521" s="13"/>
      <c r="F521" s="13"/>
      <c r="G521" s="211" t="s">
        <v>293</v>
      </c>
      <c r="H521" s="198"/>
      <c r="I521" s="127"/>
      <c r="J521" s="127"/>
      <c r="K521" s="10" t="str">
        <f>C521</f>
        <v>đ/viên</v>
      </c>
      <c r="L521" s="19">
        <f>D521</f>
        <v>864</v>
      </c>
      <c r="M521" s="120"/>
      <c r="N521" s="120"/>
      <c r="O521" s="71">
        <f>D521</f>
        <v>864</v>
      </c>
      <c r="P521" s="71">
        <f>L521</f>
        <v>864</v>
      </c>
    </row>
    <row r="522" spans="1:16" s="58" customFormat="1" ht="20.100000000000001" customHeight="1">
      <c r="A522" s="10">
        <f>+A521+1</f>
        <v>2</v>
      </c>
      <c r="B522" s="23" t="s">
        <v>313</v>
      </c>
      <c r="C522" s="10" t="s">
        <v>293</v>
      </c>
      <c r="D522" s="13">
        <v>845</v>
      </c>
      <c r="E522" s="13"/>
      <c r="F522" s="13"/>
      <c r="G522" s="211" t="s">
        <v>293</v>
      </c>
      <c r="H522" s="198"/>
      <c r="I522" s="127"/>
      <c r="J522" s="127"/>
      <c r="K522" s="10" t="str">
        <f>C522</f>
        <v>đ/viên</v>
      </c>
      <c r="L522" s="19">
        <f>D522</f>
        <v>845</v>
      </c>
      <c r="M522" s="120"/>
      <c r="N522" s="120"/>
      <c r="O522" s="71">
        <f>D522</f>
        <v>845</v>
      </c>
      <c r="P522" s="71">
        <f>L522</f>
        <v>845</v>
      </c>
    </row>
    <row r="523" spans="1:16" s="58" customFormat="1" ht="59.45" customHeight="1">
      <c r="A523" s="10"/>
      <c r="B523" s="237" t="s">
        <v>1277</v>
      </c>
      <c r="C523" s="238"/>
      <c r="D523" s="238"/>
      <c r="E523" s="238"/>
      <c r="F523" s="238"/>
      <c r="G523" s="238"/>
      <c r="H523" s="238"/>
      <c r="I523" s="238"/>
      <c r="J523" s="238"/>
      <c r="K523" s="238"/>
      <c r="L523" s="238"/>
      <c r="M523" s="238"/>
      <c r="N523" s="239"/>
      <c r="O523" s="69"/>
      <c r="P523" s="69"/>
    </row>
    <row r="524" spans="1:16" s="58" customFormat="1" ht="24" customHeight="1">
      <c r="A524" s="10"/>
      <c r="B524" s="9" t="s">
        <v>316</v>
      </c>
      <c r="C524" s="8"/>
      <c r="D524" s="16"/>
      <c r="E524" s="16"/>
      <c r="F524" s="16"/>
      <c r="G524" s="127"/>
      <c r="H524" s="127"/>
      <c r="I524" s="127"/>
      <c r="J524" s="127"/>
      <c r="K524" s="116"/>
      <c r="L524" s="120"/>
      <c r="M524" s="120"/>
      <c r="N524" s="120"/>
      <c r="O524" s="69"/>
      <c r="P524" s="69"/>
    </row>
    <row r="525" spans="1:16" s="58" customFormat="1" ht="24" customHeight="1">
      <c r="A525" s="10"/>
      <c r="B525" s="11" t="s">
        <v>317</v>
      </c>
      <c r="C525" s="10"/>
      <c r="D525" s="16"/>
      <c r="E525" s="13"/>
      <c r="F525" s="13"/>
      <c r="G525" s="127"/>
      <c r="H525" s="127"/>
      <c r="I525" s="127"/>
      <c r="J525" s="127"/>
      <c r="K525" s="116"/>
      <c r="L525" s="120"/>
      <c r="M525" s="120"/>
      <c r="N525" s="120"/>
      <c r="O525" s="69"/>
      <c r="P525" s="69"/>
    </row>
    <row r="526" spans="1:16" s="58" customFormat="1" ht="24" customHeight="1">
      <c r="A526" s="10">
        <v>1</v>
      </c>
      <c r="B526" s="26" t="s">
        <v>318</v>
      </c>
      <c r="C526" s="10" t="s">
        <v>293</v>
      </c>
      <c r="D526" s="16"/>
      <c r="E526" s="13">
        <f>14470/1.1</f>
        <v>13154.545454545454</v>
      </c>
      <c r="F526" s="13"/>
      <c r="G526" s="127"/>
      <c r="H526" s="127"/>
      <c r="I526" s="127"/>
      <c r="J526" s="127"/>
      <c r="K526" s="10" t="str">
        <f t="shared" ref="K526:K532" si="110">C526</f>
        <v>đ/viên</v>
      </c>
      <c r="L526" s="120"/>
      <c r="M526" s="121">
        <f t="shared" ref="M526:M532" si="111">E526</f>
        <v>13154.545454545454</v>
      </c>
      <c r="N526" s="120"/>
      <c r="O526" s="71">
        <f t="shared" ref="O526:O532" si="112">E526</f>
        <v>13154.545454545454</v>
      </c>
      <c r="P526" s="71">
        <f t="shared" ref="P526:P532" si="113">M526</f>
        <v>13154.545454545454</v>
      </c>
    </row>
    <row r="527" spans="1:16" s="58" customFormat="1" ht="24" customHeight="1">
      <c r="A527" s="10">
        <f t="shared" ref="A527:A532" si="114">+A526+1</f>
        <v>2</v>
      </c>
      <c r="B527" s="26" t="s">
        <v>319</v>
      </c>
      <c r="C527" s="10" t="s">
        <v>293</v>
      </c>
      <c r="D527" s="16"/>
      <c r="E527" s="13">
        <f>14800/1.1</f>
        <v>13454.545454545454</v>
      </c>
      <c r="F527" s="13"/>
      <c r="G527" s="127"/>
      <c r="H527" s="127"/>
      <c r="I527" s="127"/>
      <c r="J527" s="127"/>
      <c r="K527" s="10" t="str">
        <f t="shared" si="110"/>
        <v>đ/viên</v>
      </c>
      <c r="L527" s="120"/>
      <c r="M527" s="121">
        <f t="shared" si="111"/>
        <v>13454.545454545454</v>
      </c>
      <c r="N527" s="120"/>
      <c r="O527" s="71">
        <f t="shared" si="112"/>
        <v>13454.545454545454</v>
      </c>
      <c r="P527" s="71">
        <f t="shared" si="113"/>
        <v>13454.545454545454</v>
      </c>
    </row>
    <row r="528" spans="1:16" s="58" customFormat="1" ht="24" customHeight="1">
      <c r="A528" s="10">
        <f t="shared" si="114"/>
        <v>3</v>
      </c>
      <c r="B528" s="11" t="s">
        <v>314</v>
      </c>
      <c r="C528" s="10" t="s">
        <v>293</v>
      </c>
      <c r="D528" s="16"/>
      <c r="E528" s="13">
        <f>27500/1.1</f>
        <v>24999.999999999996</v>
      </c>
      <c r="F528" s="13"/>
      <c r="G528" s="127"/>
      <c r="H528" s="127"/>
      <c r="I528" s="127"/>
      <c r="J528" s="127"/>
      <c r="K528" s="10" t="str">
        <f t="shared" si="110"/>
        <v>đ/viên</v>
      </c>
      <c r="L528" s="120"/>
      <c r="M528" s="121">
        <f t="shared" si="111"/>
        <v>24999.999999999996</v>
      </c>
      <c r="N528" s="120"/>
      <c r="O528" s="71">
        <f t="shared" si="112"/>
        <v>24999.999999999996</v>
      </c>
      <c r="P528" s="71">
        <f t="shared" si="113"/>
        <v>24999.999999999996</v>
      </c>
    </row>
    <row r="529" spans="1:16" s="58" customFormat="1" ht="24" customHeight="1">
      <c r="A529" s="10">
        <f t="shared" si="114"/>
        <v>4</v>
      </c>
      <c r="B529" s="23" t="s">
        <v>315</v>
      </c>
      <c r="C529" s="10" t="s">
        <v>293</v>
      </c>
      <c r="D529" s="28"/>
      <c r="E529" s="13">
        <f>27500/1.1</f>
        <v>24999.999999999996</v>
      </c>
      <c r="F529" s="13"/>
      <c r="G529" s="127"/>
      <c r="H529" s="127"/>
      <c r="I529" s="127"/>
      <c r="J529" s="127"/>
      <c r="K529" s="10" t="str">
        <f t="shared" si="110"/>
        <v>đ/viên</v>
      </c>
      <c r="L529" s="120"/>
      <c r="M529" s="121">
        <f t="shared" si="111"/>
        <v>24999.999999999996</v>
      </c>
      <c r="N529" s="120"/>
      <c r="O529" s="71">
        <f t="shared" si="112"/>
        <v>24999.999999999996</v>
      </c>
      <c r="P529" s="71">
        <f t="shared" si="113"/>
        <v>24999.999999999996</v>
      </c>
    </row>
    <row r="530" spans="1:16" s="58" customFormat="1" ht="24" customHeight="1">
      <c r="A530" s="10">
        <f t="shared" si="114"/>
        <v>5</v>
      </c>
      <c r="B530" s="23" t="s">
        <v>320</v>
      </c>
      <c r="C530" s="10" t="s">
        <v>293</v>
      </c>
      <c r="D530" s="28"/>
      <c r="E530" s="13">
        <f>33500/1.1</f>
        <v>30454.545454545452</v>
      </c>
      <c r="F530" s="13"/>
      <c r="G530" s="127"/>
      <c r="H530" s="127"/>
      <c r="I530" s="127"/>
      <c r="J530" s="127"/>
      <c r="K530" s="10" t="str">
        <f t="shared" si="110"/>
        <v>đ/viên</v>
      </c>
      <c r="L530" s="120"/>
      <c r="M530" s="121">
        <f t="shared" si="111"/>
        <v>30454.545454545452</v>
      </c>
      <c r="N530" s="120"/>
      <c r="O530" s="71">
        <f t="shared" si="112"/>
        <v>30454.545454545452</v>
      </c>
      <c r="P530" s="71">
        <f t="shared" si="113"/>
        <v>30454.545454545452</v>
      </c>
    </row>
    <row r="531" spans="1:16" s="58" customFormat="1" ht="24" customHeight="1">
      <c r="A531" s="10">
        <f t="shared" si="114"/>
        <v>6</v>
      </c>
      <c r="B531" s="23" t="s">
        <v>321</v>
      </c>
      <c r="C531" s="10" t="s">
        <v>293</v>
      </c>
      <c r="D531" s="28"/>
      <c r="E531" s="13">
        <f>35500/1.1</f>
        <v>32272.727272727268</v>
      </c>
      <c r="F531" s="13"/>
      <c r="G531" s="127"/>
      <c r="H531" s="127"/>
      <c r="I531" s="127"/>
      <c r="J531" s="127"/>
      <c r="K531" s="10" t="str">
        <f t="shared" si="110"/>
        <v>đ/viên</v>
      </c>
      <c r="L531" s="120"/>
      <c r="M531" s="121">
        <f t="shared" si="111"/>
        <v>32272.727272727268</v>
      </c>
      <c r="N531" s="120"/>
      <c r="O531" s="71">
        <f t="shared" si="112"/>
        <v>32272.727272727268</v>
      </c>
      <c r="P531" s="71">
        <f t="shared" si="113"/>
        <v>32272.727272727268</v>
      </c>
    </row>
    <row r="532" spans="1:16" s="58" customFormat="1" ht="24" customHeight="1">
      <c r="A532" s="10">
        <f t="shared" si="114"/>
        <v>7</v>
      </c>
      <c r="B532" s="23" t="s">
        <v>322</v>
      </c>
      <c r="C532" s="10" t="s">
        <v>293</v>
      </c>
      <c r="D532" s="28"/>
      <c r="E532" s="13">
        <f>35500/1.1</f>
        <v>32272.727272727268</v>
      </c>
      <c r="F532" s="13"/>
      <c r="G532" s="127"/>
      <c r="H532" s="127"/>
      <c r="I532" s="127"/>
      <c r="J532" s="127"/>
      <c r="K532" s="10" t="str">
        <f t="shared" si="110"/>
        <v>đ/viên</v>
      </c>
      <c r="L532" s="120"/>
      <c r="M532" s="121">
        <f t="shared" si="111"/>
        <v>32272.727272727268</v>
      </c>
      <c r="N532" s="120"/>
      <c r="O532" s="71">
        <f t="shared" si="112"/>
        <v>32272.727272727268</v>
      </c>
      <c r="P532" s="71">
        <f t="shared" si="113"/>
        <v>32272.727272727268</v>
      </c>
    </row>
    <row r="533" spans="1:16" s="58" customFormat="1" ht="17.25">
      <c r="A533" s="10"/>
      <c r="B533" s="237" t="s">
        <v>323</v>
      </c>
      <c r="C533" s="238"/>
      <c r="D533" s="238"/>
      <c r="E533" s="238"/>
      <c r="F533" s="238"/>
      <c r="G533" s="238"/>
      <c r="H533" s="238"/>
      <c r="I533" s="238"/>
      <c r="J533" s="238"/>
      <c r="K533" s="238"/>
      <c r="L533" s="238"/>
      <c r="M533" s="238"/>
      <c r="N533" s="239"/>
      <c r="O533" s="69"/>
      <c r="P533" s="69"/>
    </row>
    <row r="534" spans="1:16" s="58" customFormat="1" ht="24" customHeight="1">
      <c r="A534" s="10">
        <f>+A532+1</f>
        <v>8</v>
      </c>
      <c r="B534" s="23" t="s">
        <v>324</v>
      </c>
      <c r="C534" s="10" t="s">
        <v>84</v>
      </c>
      <c r="D534" s="28"/>
      <c r="E534" s="13">
        <f>15490000/1.1</f>
        <v>14081818.18181818</v>
      </c>
      <c r="F534" s="13"/>
      <c r="G534" s="127"/>
      <c r="H534" s="127"/>
      <c r="I534" s="127"/>
      <c r="J534" s="127"/>
      <c r="K534" s="10" t="str">
        <f>C534</f>
        <v>đ/cái</v>
      </c>
      <c r="L534" s="120"/>
      <c r="M534" s="121">
        <f>E534</f>
        <v>14081818.18181818</v>
      </c>
      <c r="N534" s="120"/>
      <c r="O534" s="71">
        <f>E534</f>
        <v>14081818.18181818</v>
      </c>
      <c r="P534" s="71">
        <f>M534</f>
        <v>14081818.18181818</v>
      </c>
    </row>
    <row r="535" spans="1:16" s="58" customFormat="1" ht="24" customHeight="1">
      <c r="A535" s="10">
        <f>+A534+1</f>
        <v>9</v>
      </c>
      <c r="B535" s="23" t="s">
        <v>325</v>
      </c>
      <c r="C535" s="10" t="s">
        <v>84</v>
      </c>
      <c r="D535" s="28"/>
      <c r="E535" s="13">
        <f>19490000/1.1</f>
        <v>17718181.818181816</v>
      </c>
      <c r="F535" s="13"/>
      <c r="G535" s="127"/>
      <c r="H535" s="127"/>
      <c r="I535" s="127"/>
      <c r="J535" s="127"/>
      <c r="K535" s="10" t="str">
        <f>C535</f>
        <v>đ/cái</v>
      </c>
      <c r="L535" s="120"/>
      <c r="M535" s="121">
        <f>E535</f>
        <v>17718181.818181816</v>
      </c>
      <c r="N535" s="120"/>
      <c r="O535" s="71">
        <f>E535</f>
        <v>17718181.818181816</v>
      </c>
      <c r="P535" s="71">
        <f>M535</f>
        <v>17718181.818181816</v>
      </c>
    </row>
    <row r="536" spans="1:16" s="58" customFormat="1" ht="24" customHeight="1">
      <c r="A536" s="10">
        <f>+A535+1</f>
        <v>10</v>
      </c>
      <c r="B536" s="23" t="s">
        <v>326</v>
      </c>
      <c r="C536" s="10" t="s">
        <v>259</v>
      </c>
      <c r="D536" s="28"/>
      <c r="E536" s="13">
        <f>18888000/1.1</f>
        <v>17170909.09090909</v>
      </c>
      <c r="F536" s="13"/>
      <c r="G536" s="127"/>
      <c r="H536" s="127"/>
      <c r="I536" s="127"/>
      <c r="J536" s="127"/>
      <c r="K536" s="10" t="str">
        <f>C536</f>
        <v>đ/bộ</v>
      </c>
      <c r="L536" s="120"/>
      <c r="M536" s="121">
        <f>E536</f>
        <v>17170909.09090909</v>
      </c>
      <c r="N536" s="120"/>
      <c r="O536" s="71">
        <f>E536</f>
        <v>17170909.09090909</v>
      </c>
      <c r="P536" s="71">
        <f>M536</f>
        <v>17170909.09090909</v>
      </c>
    </row>
    <row r="537" spans="1:16" s="58" customFormat="1" ht="24" customHeight="1">
      <c r="A537" s="10">
        <f>+A536+1</f>
        <v>11</v>
      </c>
      <c r="B537" s="23" t="s">
        <v>327</v>
      </c>
      <c r="C537" s="10" t="s">
        <v>259</v>
      </c>
      <c r="D537" s="28"/>
      <c r="E537" s="13">
        <f>22888000/1.1</f>
        <v>20807272.727272727</v>
      </c>
      <c r="F537" s="13"/>
      <c r="G537" s="127"/>
      <c r="H537" s="127"/>
      <c r="I537" s="127"/>
      <c r="J537" s="127"/>
      <c r="K537" s="10" t="str">
        <f>C537</f>
        <v>đ/bộ</v>
      </c>
      <c r="L537" s="120"/>
      <c r="M537" s="121">
        <f>E537</f>
        <v>20807272.727272727</v>
      </c>
      <c r="N537" s="120"/>
      <c r="O537" s="71">
        <f>E537</f>
        <v>20807272.727272727</v>
      </c>
      <c r="P537" s="71">
        <f>M537</f>
        <v>20807272.727272727</v>
      </c>
    </row>
    <row r="538" spans="1:16" s="58" customFormat="1" ht="45.75" customHeight="1">
      <c r="A538" s="10"/>
      <c r="B538" s="237" t="s">
        <v>1276</v>
      </c>
      <c r="C538" s="238"/>
      <c r="D538" s="238"/>
      <c r="E538" s="238"/>
      <c r="F538" s="238"/>
      <c r="G538" s="238"/>
      <c r="H538" s="238"/>
      <c r="I538" s="238"/>
      <c r="J538" s="238"/>
      <c r="K538" s="238"/>
      <c r="L538" s="238"/>
      <c r="M538" s="238"/>
      <c r="N538" s="239"/>
      <c r="O538" s="69"/>
      <c r="P538" s="69"/>
    </row>
    <row r="539" spans="1:16" s="58" customFormat="1" ht="24" customHeight="1">
      <c r="A539" s="10">
        <v>1</v>
      </c>
      <c r="B539" s="23" t="s">
        <v>317</v>
      </c>
      <c r="C539" s="10" t="s">
        <v>293</v>
      </c>
      <c r="D539" s="28"/>
      <c r="E539" s="13">
        <v>12745</v>
      </c>
      <c r="F539" s="13"/>
      <c r="G539" s="127"/>
      <c r="H539" s="127"/>
      <c r="I539" s="127"/>
      <c r="J539" s="127"/>
      <c r="K539" s="10" t="str">
        <f>C539</f>
        <v>đ/viên</v>
      </c>
      <c r="L539" s="120"/>
      <c r="M539" s="121">
        <f>E539</f>
        <v>12745</v>
      </c>
      <c r="N539" s="120"/>
      <c r="O539" s="71">
        <f t="shared" ref="O539:O547" si="115">E539</f>
        <v>12745</v>
      </c>
      <c r="P539" s="71">
        <f t="shared" ref="P539:P547" si="116">M539</f>
        <v>12745</v>
      </c>
    </row>
    <row r="540" spans="1:16" s="58" customFormat="1" ht="24" customHeight="1">
      <c r="A540" s="10">
        <v>2</v>
      </c>
      <c r="B540" s="23" t="s">
        <v>317</v>
      </c>
      <c r="C540" s="10" t="s">
        <v>293</v>
      </c>
      <c r="D540" s="28"/>
      <c r="E540" s="13">
        <v>19793</v>
      </c>
      <c r="F540" s="13"/>
      <c r="G540" s="127"/>
      <c r="H540" s="127"/>
      <c r="I540" s="127"/>
      <c r="J540" s="127"/>
      <c r="K540" s="10" t="str">
        <f t="shared" ref="K540:K547" si="117">C540</f>
        <v>đ/viên</v>
      </c>
      <c r="L540" s="120"/>
      <c r="M540" s="121">
        <f t="shared" ref="M540:M547" si="118">E540</f>
        <v>19793</v>
      </c>
      <c r="N540" s="120"/>
      <c r="O540" s="71">
        <f t="shared" si="115"/>
        <v>19793</v>
      </c>
      <c r="P540" s="71">
        <f t="shared" si="116"/>
        <v>19793</v>
      </c>
    </row>
    <row r="541" spans="1:16" s="58" customFormat="1" ht="24" customHeight="1">
      <c r="A541" s="10">
        <v>3</v>
      </c>
      <c r="B541" s="23" t="s">
        <v>321</v>
      </c>
      <c r="C541" s="10" t="s">
        <v>293</v>
      </c>
      <c r="D541" s="28"/>
      <c r="E541" s="13">
        <v>26909</v>
      </c>
      <c r="F541" s="13"/>
      <c r="G541" s="127"/>
      <c r="H541" s="127"/>
      <c r="I541" s="127"/>
      <c r="J541" s="127"/>
      <c r="K541" s="10" t="str">
        <f t="shared" si="117"/>
        <v>đ/viên</v>
      </c>
      <c r="L541" s="120"/>
      <c r="M541" s="121">
        <f t="shared" si="118"/>
        <v>26909</v>
      </c>
      <c r="N541" s="120"/>
      <c r="O541" s="71">
        <f t="shared" si="115"/>
        <v>26909</v>
      </c>
      <c r="P541" s="71">
        <f t="shared" si="116"/>
        <v>26909</v>
      </c>
    </row>
    <row r="542" spans="1:16" s="58" customFormat="1" ht="24" customHeight="1">
      <c r="A542" s="10">
        <v>4</v>
      </c>
      <c r="B542" s="23" t="s">
        <v>322</v>
      </c>
      <c r="C542" s="10" t="s">
        <v>293</v>
      </c>
      <c r="D542" s="28"/>
      <c r="E542" s="13">
        <v>26909</v>
      </c>
      <c r="F542" s="13"/>
      <c r="G542" s="127"/>
      <c r="H542" s="127"/>
      <c r="I542" s="127"/>
      <c r="J542" s="127"/>
      <c r="K542" s="10" t="str">
        <f t="shared" si="117"/>
        <v>đ/viên</v>
      </c>
      <c r="L542" s="120"/>
      <c r="M542" s="121">
        <f t="shared" si="118"/>
        <v>26909</v>
      </c>
      <c r="N542" s="120"/>
      <c r="O542" s="71">
        <f t="shared" si="115"/>
        <v>26909</v>
      </c>
      <c r="P542" s="71">
        <f t="shared" si="116"/>
        <v>26909</v>
      </c>
    </row>
    <row r="543" spans="1:16" s="58" customFormat="1" ht="24" customHeight="1">
      <c r="A543" s="10">
        <v>5</v>
      </c>
      <c r="B543" s="23" t="s">
        <v>315</v>
      </c>
      <c r="C543" s="10" t="s">
        <v>293</v>
      </c>
      <c r="D543" s="28"/>
      <c r="E543" s="13">
        <v>19793</v>
      </c>
      <c r="F543" s="13"/>
      <c r="G543" s="127"/>
      <c r="H543" s="127"/>
      <c r="I543" s="127"/>
      <c r="J543" s="127"/>
      <c r="K543" s="10" t="str">
        <f t="shared" si="117"/>
        <v>đ/viên</v>
      </c>
      <c r="L543" s="120"/>
      <c r="M543" s="121">
        <f t="shared" si="118"/>
        <v>19793</v>
      </c>
      <c r="N543" s="120"/>
      <c r="O543" s="71">
        <f t="shared" si="115"/>
        <v>19793</v>
      </c>
      <c r="P543" s="71">
        <f t="shared" si="116"/>
        <v>19793</v>
      </c>
    </row>
    <row r="544" spans="1:16" s="58" customFormat="1" ht="24" customHeight="1">
      <c r="A544" s="10">
        <v>6</v>
      </c>
      <c r="B544" s="23" t="s">
        <v>328</v>
      </c>
      <c r="C544" s="10" t="s">
        <v>293</v>
      </c>
      <c r="D544" s="28"/>
      <c r="E544" s="13">
        <v>26909</v>
      </c>
      <c r="F544" s="13"/>
      <c r="G544" s="127"/>
      <c r="H544" s="127"/>
      <c r="I544" s="127"/>
      <c r="J544" s="127"/>
      <c r="K544" s="10" t="str">
        <f t="shared" si="117"/>
        <v>đ/viên</v>
      </c>
      <c r="L544" s="120"/>
      <c r="M544" s="121">
        <f t="shared" si="118"/>
        <v>26909</v>
      </c>
      <c r="N544" s="120"/>
      <c r="O544" s="71">
        <f t="shared" si="115"/>
        <v>26909</v>
      </c>
      <c r="P544" s="71">
        <f t="shared" si="116"/>
        <v>26909</v>
      </c>
    </row>
    <row r="545" spans="1:16" s="58" customFormat="1" ht="24" customHeight="1">
      <c r="A545" s="10">
        <v>7</v>
      </c>
      <c r="B545" s="23" t="s">
        <v>329</v>
      </c>
      <c r="C545" s="10" t="s">
        <v>293</v>
      </c>
      <c r="D545" s="28"/>
      <c r="E545" s="13">
        <v>29949</v>
      </c>
      <c r="F545" s="13"/>
      <c r="G545" s="127"/>
      <c r="H545" s="127"/>
      <c r="I545" s="127"/>
      <c r="J545" s="127"/>
      <c r="K545" s="10" t="str">
        <f t="shared" si="117"/>
        <v>đ/viên</v>
      </c>
      <c r="L545" s="120"/>
      <c r="M545" s="121">
        <f t="shared" si="118"/>
        <v>29949</v>
      </c>
      <c r="N545" s="120"/>
      <c r="O545" s="71">
        <f t="shared" si="115"/>
        <v>29949</v>
      </c>
      <c r="P545" s="71">
        <f t="shared" si="116"/>
        <v>29949</v>
      </c>
    </row>
    <row r="546" spans="1:16" s="58" customFormat="1" ht="24" customHeight="1">
      <c r="A546" s="10">
        <v>8</v>
      </c>
      <c r="B546" s="23" t="s">
        <v>330</v>
      </c>
      <c r="C546" s="10" t="s">
        <v>293</v>
      </c>
      <c r="D546" s="28"/>
      <c r="E546" s="13">
        <v>29949</v>
      </c>
      <c r="F546" s="13"/>
      <c r="G546" s="127"/>
      <c r="H546" s="127"/>
      <c r="I546" s="127"/>
      <c r="J546" s="127"/>
      <c r="K546" s="10" t="str">
        <f t="shared" si="117"/>
        <v>đ/viên</v>
      </c>
      <c r="L546" s="120"/>
      <c r="M546" s="121">
        <f t="shared" si="118"/>
        <v>29949</v>
      </c>
      <c r="N546" s="120"/>
      <c r="O546" s="71">
        <f t="shared" si="115"/>
        <v>29949</v>
      </c>
      <c r="P546" s="71">
        <f t="shared" si="116"/>
        <v>29949</v>
      </c>
    </row>
    <row r="547" spans="1:16" s="58" customFormat="1" ht="24" customHeight="1">
      <c r="A547" s="10">
        <v>9</v>
      </c>
      <c r="B547" s="23" t="s">
        <v>331</v>
      </c>
      <c r="C547" s="10" t="s">
        <v>293</v>
      </c>
      <c r="D547" s="28"/>
      <c r="E547" s="13">
        <v>33956</v>
      </c>
      <c r="F547" s="13"/>
      <c r="G547" s="127"/>
      <c r="H547" s="127"/>
      <c r="I547" s="127"/>
      <c r="J547" s="127"/>
      <c r="K547" s="10" t="str">
        <f t="shared" si="117"/>
        <v>đ/viên</v>
      </c>
      <c r="L547" s="120"/>
      <c r="M547" s="121">
        <f t="shared" si="118"/>
        <v>33956</v>
      </c>
      <c r="N547" s="120"/>
      <c r="O547" s="71">
        <f t="shared" si="115"/>
        <v>33956</v>
      </c>
      <c r="P547" s="71">
        <f t="shared" si="116"/>
        <v>33956</v>
      </c>
    </row>
    <row r="548" spans="1:16" s="58" customFormat="1" ht="21" customHeight="1">
      <c r="A548" s="10"/>
      <c r="B548" s="273" t="s">
        <v>332</v>
      </c>
      <c r="C548" s="273"/>
      <c r="D548" s="273"/>
      <c r="E548" s="273"/>
      <c r="F548" s="273"/>
      <c r="G548" s="127"/>
      <c r="H548" s="127"/>
      <c r="I548" s="127"/>
      <c r="J548" s="127"/>
      <c r="K548" s="116"/>
      <c r="L548" s="120"/>
      <c r="M548" s="120"/>
      <c r="N548" s="120"/>
      <c r="O548" s="69"/>
      <c r="P548" s="69"/>
    </row>
    <row r="549" spans="1:16" s="58" customFormat="1" ht="17.25">
      <c r="A549" s="12"/>
      <c r="B549" s="237" t="s">
        <v>1697</v>
      </c>
      <c r="C549" s="238"/>
      <c r="D549" s="238"/>
      <c r="E549" s="238"/>
      <c r="F549" s="238"/>
      <c r="G549" s="238"/>
      <c r="H549" s="238"/>
      <c r="I549" s="238"/>
      <c r="J549" s="238"/>
      <c r="K549" s="238"/>
      <c r="L549" s="238"/>
      <c r="M549" s="238"/>
      <c r="N549" s="239"/>
      <c r="O549" s="69"/>
      <c r="P549" s="69"/>
    </row>
    <row r="550" spans="1:16" s="58" customFormat="1" ht="52.5">
      <c r="A550" s="12"/>
      <c r="B550" s="23" t="s">
        <v>1135</v>
      </c>
      <c r="C550" s="15"/>
      <c r="D550" s="13"/>
      <c r="E550" s="13"/>
      <c r="F550" s="13"/>
      <c r="G550" s="127"/>
      <c r="H550" s="127"/>
      <c r="I550" s="127"/>
      <c r="J550" s="127"/>
      <c r="K550" s="116"/>
      <c r="L550" s="120"/>
      <c r="M550" s="120"/>
      <c r="N550" s="120"/>
      <c r="O550" s="69"/>
      <c r="P550" s="69"/>
    </row>
    <row r="551" spans="1:16" s="58" customFormat="1" ht="27.6" customHeight="1">
      <c r="A551" s="10">
        <v>1</v>
      </c>
      <c r="B551" s="11" t="s">
        <v>333</v>
      </c>
      <c r="C551" s="10" t="s">
        <v>334</v>
      </c>
      <c r="D551" s="13">
        <v>89091</v>
      </c>
      <c r="E551" s="13"/>
      <c r="F551" s="13"/>
      <c r="G551" s="68" t="s">
        <v>334</v>
      </c>
      <c r="H551" s="68"/>
      <c r="I551" s="127"/>
      <c r="J551" s="127"/>
      <c r="K551" s="10" t="str">
        <f>C551</f>
        <v>đ/thùng</v>
      </c>
      <c r="L551" s="121">
        <f>D551</f>
        <v>89091</v>
      </c>
      <c r="M551" s="121"/>
      <c r="N551" s="120"/>
      <c r="O551" s="71">
        <f>D551</f>
        <v>89091</v>
      </c>
      <c r="P551" s="71">
        <f>L551</f>
        <v>89091</v>
      </c>
    </row>
    <row r="552" spans="1:16" s="58" customFormat="1" ht="27.6" customHeight="1">
      <c r="A552" s="10">
        <f>+A551+1</f>
        <v>2</v>
      </c>
      <c r="B552" s="11" t="s">
        <v>335</v>
      </c>
      <c r="C552" s="10" t="s">
        <v>334</v>
      </c>
      <c r="D552" s="13">
        <v>86364</v>
      </c>
      <c r="E552" s="13"/>
      <c r="F552" s="13"/>
      <c r="G552" s="68" t="s">
        <v>334</v>
      </c>
      <c r="H552" s="68"/>
      <c r="I552" s="127"/>
      <c r="J552" s="127"/>
      <c r="K552" s="10" t="str">
        <f>C552</f>
        <v>đ/thùng</v>
      </c>
      <c r="L552" s="121">
        <f>D552</f>
        <v>86364</v>
      </c>
      <c r="M552" s="120"/>
      <c r="N552" s="120"/>
      <c r="O552" s="71">
        <f>D552</f>
        <v>86364</v>
      </c>
      <c r="P552" s="71">
        <f>L552</f>
        <v>86364</v>
      </c>
    </row>
    <row r="553" spans="1:16" s="58" customFormat="1" ht="17.25">
      <c r="A553" s="12"/>
      <c r="B553" s="23" t="s">
        <v>1440</v>
      </c>
      <c r="C553" s="15"/>
      <c r="D553" s="69"/>
      <c r="E553" s="13"/>
      <c r="F553" s="13"/>
      <c r="G553" s="68"/>
      <c r="H553" s="68"/>
      <c r="I553" s="127"/>
      <c r="J553" s="127"/>
      <c r="K553" s="116"/>
      <c r="L553" s="120"/>
      <c r="M553" s="120"/>
      <c r="N553" s="120"/>
      <c r="O553" s="69"/>
      <c r="P553" s="69"/>
    </row>
    <row r="554" spans="1:16" s="58" customFormat="1" ht="27.6" customHeight="1">
      <c r="A554" s="10">
        <v>1</v>
      </c>
      <c r="B554" s="11" t="s">
        <v>333</v>
      </c>
      <c r="C554" s="10" t="s">
        <v>334</v>
      </c>
      <c r="D554" s="13">
        <v>91818</v>
      </c>
      <c r="E554" s="13"/>
      <c r="F554" s="13"/>
      <c r="G554" s="68" t="s">
        <v>334</v>
      </c>
      <c r="H554" s="68"/>
      <c r="I554" s="127"/>
      <c r="J554" s="127"/>
      <c r="K554" s="10" t="str">
        <f>C554</f>
        <v>đ/thùng</v>
      </c>
      <c r="L554" s="121">
        <f>D554</f>
        <v>91818</v>
      </c>
      <c r="M554" s="121"/>
      <c r="N554" s="120"/>
      <c r="O554" s="71">
        <f>D554</f>
        <v>91818</v>
      </c>
      <c r="P554" s="71">
        <f>L554</f>
        <v>91818</v>
      </c>
    </row>
    <row r="555" spans="1:16" s="58" customFormat="1" ht="27.6" customHeight="1">
      <c r="A555" s="10">
        <f>+A554+1</f>
        <v>2</v>
      </c>
      <c r="B555" s="11" t="s">
        <v>335</v>
      </c>
      <c r="C555" s="10" t="s">
        <v>334</v>
      </c>
      <c r="D555" s="13">
        <v>89091</v>
      </c>
      <c r="E555" s="13"/>
      <c r="F555" s="13"/>
      <c r="G555" s="68" t="s">
        <v>334</v>
      </c>
      <c r="H555" s="68"/>
      <c r="I555" s="127"/>
      <c r="J555" s="127"/>
      <c r="K555" s="10" t="str">
        <f>C555</f>
        <v>đ/thùng</v>
      </c>
      <c r="L555" s="121">
        <f>D555</f>
        <v>89091</v>
      </c>
      <c r="M555" s="120"/>
      <c r="N555" s="120"/>
      <c r="O555" s="71">
        <f>D555</f>
        <v>89091</v>
      </c>
      <c r="P555" s="71">
        <f>L555</f>
        <v>89091</v>
      </c>
    </row>
    <row r="556" spans="1:16" s="58" customFormat="1" ht="19.5">
      <c r="A556" s="10"/>
      <c r="B556" s="11" t="s">
        <v>1136</v>
      </c>
      <c r="C556" s="15"/>
      <c r="D556" s="13"/>
      <c r="E556" s="13"/>
      <c r="F556" s="13"/>
      <c r="G556" s="68"/>
      <c r="H556" s="68"/>
      <c r="I556" s="127"/>
      <c r="J556" s="127"/>
      <c r="K556" s="116"/>
      <c r="L556" s="120"/>
      <c r="M556" s="120"/>
      <c r="N556" s="120"/>
      <c r="O556" s="69"/>
      <c r="P556" s="69"/>
    </row>
    <row r="557" spans="1:16" s="58" customFormat="1" ht="27.95" customHeight="1">
      <c r="A557" s="10">
        <v>1</v>
      </c>
      <c r="B557" s="11" t="s">
        <v>333</v>
      </c>
      <c r="C557" s="10" t="s">
        <v>334</v>
      </c>
      <c r="D557" s="13">
        <v>87273</v>
      </c>
      <c r="E557" s="13"/>
      <c r="F557" s="13"/>
      <c r="G557" s="68" t="s">
        <v>334</v>
      </c>
      <c r="H557" s="68"/>
      <c r="I557" s="127"/>
      <c r="J557" s="127"/>
      <c r="K557" s="10" t="str">
        <f>C557</f>
        <v>đ/thùng</v>
      </c>
      <c r="L557" s="121">
        <f>D557</f>
        <v>87273</v>
      </c>
      <c r="M557" s="120"/>
      <c r="N557" s="120"/>
      <c r="O557" s="71">
        <f>D557</f>
        <v>87273</v>
      </c>
      <c r="P557" s="71">
        <f>L557</f>
        <v>87273</v>
      </c>
    </row>
    <row r="558" spans="1:16" s="58" customFormat="1" ht="27.95" customHeight="1">
      <c r="A558" s="10">
        <v>2</v>
      </c>
      <c r="B558" s="11" t="s">
        <v>335</v>
      </c>
      <c r="C558" s="10" t="s">
        <v>334</v>
      </c>
      <c r="D558" s="13">
        <v>84545</v>
      </c>
      <c r="E558" s="13"/>
      <c r="F558" s="13"/>
      <c r="G558" s="68" t="s">
        <v>334</v>
      </c>
      <c r="H558" s="68"/>
      <c r="I558" s="127"/>
      <c r="J558" s="127"/>
      <c r="K558" s="10" t="str">
        <f>C558</f>
        <v>đ/thùng</v>
      </c>
      <c r="L558" s="121">
        <f>D558</f>
        <v>84545</v>
      </c>
      <c r="M558" s="120"/>
      <c r="N558" s="120"/>
      <c r="O558" s="71">
        <f>D558</f>
        <v>84545</v>
      </c>
      <c r="P558" s="71">
        <f>L558</f>
        <v>84545</v>
      </c>
    </row>
    <row r="559" spans="1:16" s="58" customFormat="1" ht="17.25">
      <c r="A559" s="10"/>
      <c r="B559" s="11" t="s">
        <v>1441</v>
      </c>
      <c r="C559" s="15"/>
      <c r="D559" s="13"/>
      <c r="E559" s="13"/>
      <c r="F559" s="13"/>
      <c r="G559" s="68"/>
      <c r="H559" s="68"/>
      <c r="I559" s="127"/>
      <c r="J559" s="127"/>
      <c r="K559" s="116"/>
      <c r="L559" s="120"/>
      <c r="M559" s="120"/>
      <c r="N559" s="120"/>
      <c r="O559" s="69"/>
      <c r="P559" s="69"/>
    </row>
    <row r="560" spans="1:16" s="58" customFormat="1" ht="27.95" customHeight="1">
      <c r="A560" s="10">
        <v>1</v>
      </c>
      <c r="B560" s="11" t="s">
        <v>333</v>
      </c>
      <c r="C560" s="10" t="s">
        <v>334</v>
      </c>
      <c r="D560" s="13">
        <v>89091</v>
      </c>
      <c r="E560" s="13"/>
      <c r="F560" s="13"/>
      <c r="G560" s="68" t="s">
        <v>334</v>
      </c>
      <c r="H560" s="68"/>
      <c r="I560" s="127"/>
      <c r="J560" s="127"/>
      <c r="K560" s="10" t="str">
        <f>C560</f>
        <v>đ/thùng</v>
      </c>
      <c r="L560" s="121">
        <f>D560</f>
        <v>89091</v>
      </c>
      <c r="M560" s="120"/>
      <c r="N560" s="120"/>
      <c r="O560" s="71">
        <f>D560</f>
        <v>89091</v>
      </c>
      <c r="P560" s="71">
        <f>L560</f>
        <v>89091</v>
      </c>
    </row>
    <row r="561" spans="1:16" s="58" customFormat="1" ht="27.95" customHeight="1">
      <c r="A561" s="10">
        <f>+A560+1</f>
        <v>2</v>
      </c>
      <c r="B561" s="11" t="s">
        <v>335</v>
      </c>
      <c r="C561" s="10" t="s">
        <v>334</v>
      </c>
      <c r="D561" s="13">
        <v>86364</v>
      </c>
      <c r="E561" s="13"/>
      <c r="F561" s="13"/>
      <c r="G561" s="68" t="s">
        <v>334</v>
      </c>
      <c r="H561" s="68"/>
      <c r="I561" s="127"/>
      <c r="J561" s="127"/>
      <c r="K561" s="10" t="str">
        <f>C561</f>
        <v>đ/thùng</v>
      </c>
      <c r="L561" s="121">
        <f>D561</f>
        <v>86364</v>
      </c>
      <c r="M561" s="120"/>
      <c r="N561" s="120"/>
      <c r="O561" s="71">
        <f>D561</f>
        <v>86364</v>
      </c>
      <c r="P561" s="71">
        <f>L561</f>
        <v>86364</v>
      </c>
    </row>
    <row r="562" spans="1:16" s="58" customFormat="1" ht="17.25">
      <c r="A562" s="15"/>
      <c r="B562" s="11" t="s">
        <v>1442</v>
      </c>
      <c r="C562" s="12"/>
      <c r="D562" s="14"/>
      <c r="E562" s="13"/>
      <c r="F562" s="13"/>
      <c r="G562" s="68"/>
      <c r="H562" s="68"/>
      <c r="I562" s="127"/>
      <c r="J562" s="127"/>
      <c r="K562" s="116"/>
      <c r="L562" s="120"/>
      <c r="M562" s="120"/>
      <c r="N562" s="120"/>
      <c r="O562" s="69"/>
      <c r="P562" s="69"/>
    </row>
    <row r="563" spans="1:16" s="58" customFormat="1" ht="27.6" customHeight="1">
      <c r="A563" s="10">
        <v>1</v>
      </c>
      <c r="B563" s="11" t="s">
        <v>333</v>
      </c>
      <c r="C563" s="12" t="s">
        <v>334</v>
      </c>
      <c r="D563" s="13">
        <v>91818</v>
      </c>
      <c r="E563" s="13"/>
      <c r="F563" s="13"/>
      <c r="G563" s="68" t="s">
        <v>334</v>
      </c>
      <c r="H563" s="68"/>
      <c r="I563" s="127"/>
      <c r="J563" s="127"/>
      <c r="K563" s="10" t="str">
        <f>C563</f>
        <v>đ/thùng</v>
      </c>
      <c r="L563" s="121">
        <f>D563</f>
        <v>91818</v>
      </c>
      <c r="M563" s="120"/>
      <c r="N563" s="120"/>
      <c r="O563" s="71">
        <f>D563</f>
        <v>91818</v>
      </c>
      <c r="P563" s="71">
        <f>L563</f>
        <v>91818</v>
      </c>
    </row>
    <row r="564" spans="1:16" s="58" customFormat="1" ht="27.6" customHeight="1">
      <c r="A564" s="10">
        <f>+A563+1</f>
        <v>2</v>
      </c>
      <c r="B564" s="11" t="s">
        <v>335</v>
      </c>
      <c r="C564" s="12" t="s">
        <v>334</v>
      </c>
      <c r="D564" s="13">
        <v>89091</v>
      </c>
      <c r="E564" s="13"/>
      <c r="F564" s="13"/>
      <c r="G564" s="68" t="s">
        <v>334</v>
      </c>
      <c r="H564" s="68"/>
      <c r="I564" s="127"/>
      <c r="J564" s="127"/>
      <c r="K564" s="10" t="str">
        <f>C564</f>
        <v>đ/thùng</v>
      </c>
      <c r="L564" s="121">
        <f>D564</f>
        <v>89091</v>
      </c>
      <c r="M564" s="120"/>
      <c r="N564" s="120"/>
      <c r="O564" s="71">
        <f>D564</f>
        <v>89091</v>
      </c>
      <c r="P564" s="71">
        <f>L564</f>
        <v>89091</v>
      </c>
    </row>
    <row r="565" spans="1:16" s="58" customFormat="1" ht="17.25">
      <c r="A565" s="15"/>
      <c r="B565" s="11" t="s">
        <v>336</v>
      </c>
      <c r="C565" s="12"/>
      <c r="D565" s="14"/>
      <c r="E565" s="13"/>
      <c r="F565" s="13"/>
      <c r="G565" s="68"/>
      <c r="H565" s="68"/>
      <c r="I565" s="127"/>
      <c r="J565" s="127"/>
      <c r="K565" s="116"/>
      <c r="L565" s="120"/>
      <c r="M565" s="120"/>
      <c r="N565" s="120"/>
      <c r="O565" s="69"/>
      <c r="P565" s="69"/>
    </row>
    <row r="566" spans="1:16" s="58" customFormat="1" ht="27.6" customHeight="1">
      <c r="A566" s="10">
        <v>1</v>
      </c>
      <c r="B566" s="11" t="s">
        <v>333</v>
      </c>
      <c r="C566" s="12" t="s">
        <v>334</v>
      </c>
      <c r="D566" s="13">
        <v>95455</v>
      </c>
      <c r="E566" s="13"/>
      <c r="F566" s="13"/>
      <c r="G566" s="68" t="s">
        <v>334</v>
      </c>
      <c r="H566" s="68"/>
      <c r="I566" s="127"/>
      <c r="J566" s="127"/>
      <c r="K566" s="10" t="str">
        <f>C566</f>
        <v>đ/thùng</v>
      </c>
      <c r="L566" s="121">
        <f>D566</f>
        <v>95455</v>
      </c>
      <c r="M566" s="120"/>
      <c r="N566" s="120"/>
      <c r="O566" s="71">
        <f>D566</f>
        <v>95455</v>
      </c>
      <c r="P566" s="71">
        <f>L566</f>
        <v>95455</v>
      </c>
    </row>
    <row r="567" spans="1:16" s="58" customFormat="1" ht="27.6" customHeight="1">
      <c r="A567" s="10">
        <f>+A566+1</f>
        <v>2</v>
      </c>
      <c r="B567" s="11" t="s">
        <v>335</v>
      </c>
      <c r="C567" s="12" t="s">
        <v>334</v>
      </c>
      <c r="D567" s="13">
        <v>90909</v>
      </c>
      <c r="E567" s="13"/>
      <c r="F567" s="13"/>
      <c r="G567" s="68" t="s">
        <v>334</v>
      </c>
      <c r="H567" s="68"/>
      <c r="I567" s="127"/>
      <c r="J567" s="127"/>
      <c r="K567" s="10" t="str">
        <f>C567</f>
        <v>đ/thùng</v>
      </c>
      <c r="L567" s="121">
        <f>D567</f>
        <v>90909</v>
      </c>
      <c r="M567" s="120"/>
      <c r="N567" s="120"/>
      <c r="O567" s="71">
        <f>D567</f>
        <v>90909</v>
      </c>
      <c r="P567" s="71">
        <f>L567</f>
        <v>90909</v>
      </c>
    </row>
    <row r="568" spans="1:16" s="58" customFormat="1" ht="17.25">
      <c r="A568" s="15"/>
      <c r="B568" s="11" t="s">
        <v>337</v>
      </c>
      <c r="C568" s="12"/>
      <c r="D568" s="13"/>
      <c r="E568" s="13"/>
      <c r="F568" s="13"/>
      <c r="G568" s="68"/>
      <c r="H568" s="68"/>
      <c r="I568" s="127"/>
      <c r="J568" s="127"/>
      <c r="K568" s="116"/>
      <c r="L568" s="120"/>
      <c r="M568" s="120"/>
      <c r="N568" s="120"/>
      <c r="O568" s="69"/>
      <c r="P568" s="69"/>
    </row>
    <row r="569" spans="1:16" s="58" customFormat="1" ht="27.95" customHeight="1">
      <c r="A569" s="15">
        <v>1</v>
      </c>
      <c r="B569" s="11" t="s">
        <v>333</v>
      </c>
      <c r="C569" s="12" t="s">
        <v>334</v>
      </c>
      <c r="D569" s="13">
        <v>97273</v>
      </c>
      <c r="E569" s="13"/>
      <c r="F569" s="13"/>
      <c r="G569" s="68" t="s">
        <v>334</v>
      </c>
      <c r="H569" s="68"/>
      <c r="I569" s="127"/>
      <c r="J569" s="127"/>
      <c r="K569" s="10" t="str">
        <f>C569</f>
        <v>đ/thùng</v>
      </c>
      <c r="L569" s="121">
        <f>D569</f>
        <v>97273</v>
      </c>
      <c r="M569" s="120"/>
      <c r="N569" s="120"/>
      <c r="O569" s="71">
        <f>D569</f>
        <v>97273</v>
      </c>
      <c r="P569" s="71">
        <f>L569</f>
        <v>97273</v>
      </c>
    </row>
    <row r="570" spans="1:16" s="58" customFormat="1" ht="27.95" customHeight="1">
      <c r="A570" s="15">
        <f>+A569+1</f>
        <v>2</v>
      </c>
      <c r="B570" s="11" t="s">
        <v>335</v>
      </c>
      <c r="C570" s="12" t="s">
        <v>334</v>
      </c>
      <c r="D570" s="13">
        <v>92727</v>
      </c>
      <c r="E570" s="13"/>
      <c r="F570" s="13"/>
      <c r="G570" s="68" t="s">
        <v>334</v>
      </c>
      <c r="H570" s="68"/>
      <c r="I570" s="127"/>
      <c r="J570" s="127"/>
      <c r="K570" s="10" t="str">
        <f>C570</f>
        <v>đ/thùng</v>
      </c>
      <c r="L570" s="121">
        <f>D570</f>
        <v>92727</v>
      </c>
      <c r="M570" s="120"/>
      <c r="N570" s="120"/>
      <c r="O570" s="71">
        <f>D570</f>
        <v>92727</v>
      </c>
      <c r="P570" s="71">
        <f>L570</f>
        <v>92727</v>
      </c>
    </row>
    <row r="571" spans="1:16" s="58" customFormat="1" ht="35.25" customHeight="1">
      <c r="A571" s="10"/>
      <c r="B571" s="237" t="s">
        <v>1213</v>
      </c>
      <c r="C571" s="238"/>
      <c r="D571" s="238"/>
      <c r="E571" s="238"/>
      <c r="F571" s="238"/>
      <c r="G571" s="238"/>
      <c r="H571" s="238"/>
      <c r="I571" s="238"/>
      <c r="J571" s="238"/>
      <c r="K571" s="238"/>
      <c r="L571" s="238"/>
      <c r="M571" s="238"/>
      <c r="N571" s="239"/>
      <c r="O571" s="69"/>
      <c r="P571" s="69"/>
    </row>
    <row r="572" spans="1:16" s="58" customFormat="1" ht="24" customHeight="1">
      <c r="A572" s="10">
        <v>1</v>
      </c>
      <c r="B572" s="11" t="s">
        <v>338</v>
      </c>
      <c r="C572" s="10" t="s">
        <v>1132</v>
      </c>
      <c r="D572" s="13"/>
      <c r="E572" s="13">
        <v>120227</v>
      </c>
      <c r="F572" s="13"/>
      <c r="G572" s="127"/>
      <c r="H572" s="127"/>
      <c r="I572" s="127"/>
      <c r="J572" s="127"/>
      <c r="K572" s="10" t="str">
        <f>C572</f>
        <v>đ/m2</v>
      </c>
      <c r="L572" s="120"/>
      <c r="M572" s="121">
        <f>E572</f>
        <v>120227</v>
      </c>
      <c r="N572" s="120"/>
      <c r="O572" s="71">
        <f>E572</f>
        <v>120227</v>
      </c>
      <c r="P572" s="71">
        <f>M572</f>
        <v>120227</v>
      </c>
    </row>
    <row r="573" spans="1:16" s="58" customFormat="1" ht="24" customHeight="1">
      <c r="A573" s="10">
        <f>+A572+1</f>
        <v>2</v>
      </c>
      <c r="B573" s="11" t="s">
        <v>339</v>
      </c>
      <c r="C573" s="10" t="s">
        <v>1132</v>
      </c>
      <c r="D573" s="13"/>
      <c r="E573" s="13">
        <v>120227</v>
      </c>
      <c r="F573" s="13"/>
      <c r="G573" s="127"/>
      <c r="H573" s="127"/>
      <c r="I573" s="127"/>
      <c r="J573" s="127"/>
      <c r="K573" s="10" t="str">
        <f>C573</f>
        <v>đ/m2</v>
      </c>
      <c r="L573" s="120"/>
      <c r="M573" s="121">
        <f>E573</f>
        <v>120227</v>
      </c>
      <c r="N573" s="120"/>
      <c r="O573" s="71">
        <f>E573</f>
        <v>120227</v>
      </c>
      <c r="P573" s="71">
        <f>M573</f>
        <v>120227</v>
      </c>
    </row>
    <row r="574" spans="1:16" s="58" customFormat="1" ht="24" customHeight="1">
      <c r="A574" s="10">
        <f>+A573+1</f>
        <v>3</v>
      </c>
      <c r="B574" s="11" t="s">
        <v>340</v>
      </c>
      <c r="C574" s="10" t="s">
        <v>1132</v>
      </c>
      <c r="D574" s="13"/>
      <c r="E574" s="13">
        <v>147594</v>
      </c>
      <c r="F574" s="13"/>
      <c r="G574" s="127"/>
      <c r="H574" s="127"/>
      <c r="I574" s="127"/>
      <c r="J574" s="127"/>
      <c r="K574" s="10" t="str">
        <f>C574</f>
        <v>đ/m2</v>
      </c>
      <c r="L574" s="120"/>
      <c r="M574" s="121">
        <f>E574</f>
        <v>147594</v>
      </c>
      <c r="N574" s="120"/>
      <c r="O574" s="71">
        <f>E574</f>
        <v>147594</v>
      </c>
      <c r="P574" s="71">
        <f>M574</f>
        <v>147594</v>
      </c>
    </row>
    <row r="575" spans="1:16" s="58" customFormat="1" ht="24" customHeight="1">
      <c r="A575" s="10"/>
      <c r="B575" s="11" t="s">
        <v>341</v>
      </c>
      <c r="C575" s="15"/>
      <c r="D575" s="13"/>
      <c r="E575" s="13"/>
      <c r="F575" s="13"/>
      <c r="G575" s="127"/>
      <c r="H575" s="127"/>
      <c r="I575" s="127"/>
      <c r="J575" s="127"/>
      <c r="K575" s="116"/>
      <c r="L575" s="120"/>
      <c r="M575" s="120"/>
      <c r="N575" s="120"/>
      <c r="O575" s="69"/>
      <c r="P575" s="69"/>
    </row>
    <row r="576" spans="1:16" s="58" customFormat="1" ht="24" customHeight="1">
      <c r="A576" s="10">
        <f>+A574+1</f>
        <v>4</v>
      </c>
      <c r="B576" s="11" t="s">
        <v>342</v>
      </c>
      <c r="C576" s="10" t="s">
        <v>334</v>
      </c>
      <c r="D576" s="13"/>
      <c r="E576" s="13">
        <v>141273</v>
      </c>
      <c r="F576" s="13"/>
      <c r="G576" s="127"/>
      <c r="H576" s="127"/>
      <c r="I576" s="127"/>
      <c r="J576" s="127"/>
      <c r="K576" s="10" t="str">
        <f>C576</f>
        <v>đ/thùng</v>
      </c>
      <c r="L576" s="120"/>
      <c r="M576" s="121">
        <f>E576</f>
        <v>141273</v>
      </c>
      <c r="N576" s="120"/>
      <c r="O576" s="71">
        <f>E576</f>
        <v>141273</v>
      </c>
      <c r="P576" s="71">
        <f>M576</f>
        <v>141273</v>
      </c>
    </row>
    <row r="577" spans="1:16" s="58" customFormat="1" ht="24" customHeight="1">
      <c r="A577" s="10">
        <f>+A576+1</f>
        <v>5</v>
      </c>
      <c r="B577" s="11" t="s">
        <v>343</v>
      </c>
      <c r="C577" s="10" t="s">
        <v>334</v>
      </c>
      <c r="D577" s="13"/>
      <c r="E577" s="13">
        <v>155591</v>
      </c>
      <c r="F577" s="13"/>
      <c r="G577" s="127"/>
      <c r="H577" s="127"/>
      <c r="I577" s="127"/>
      <c r="J577" s="127"/>
      <c r="K577" s="10" t="str">
        <f>C577</f>
        <v>đ/thùng</v>
      </c>
      <c r="L577" s="120"/>
      <c r="M577" s="121">
        <f>E577</f>
        <v>155591</v>
      </c>
      <c r="N577" s="120"/>
      <c r="O577" s="71">
        <f>E577</f>
        <v>155591</v>
      </c>
      <c r="P577" s="71">
        <f>M577</f>
        <v>155591</v>
      </c>
    </row>
    <row r="578" spans="1:16" s="58" customFormat="1" ht="24" customHeight="1">
      <c r="A578" s="10"/>
      <c r="B578" s="11" t="s">
        <v>344</v>
      </c>
      <c r="C578" s="15"/>
      <c r="D578" s="13"/>
      <c r="E578" s="13"/>
      <c r="F578" s="13"/>
      <c r="G578" s="127"/>
      <c r="H578" s="127"/>
      <c r="I578" s="127"/>
      <c r="J578" s="127"/>
      <c r="K578" s="116"/>
      <c r="L578" s="120"/>
      <c r="M578" s="120"/>
      <c r="N578" s="120"/>
      <c r="O578" s="69"/>
      <c r="P578" s="69"/>
    </row>
    <row r="579" spans="1:16" s="58" customFormat="1" ht="24" customHeight="1">
      <c r="A579" s="10">
        <f>+A577+1</f>
        <v>6</v>
      </c>
      <c r="B579" s="11" t="s">
        <v>342</v>
      </c>
      <c r="C579" s="10" t="s">
        <v>1132</v>
      </c>
      <c r="D579" s="13"/>
      <c r="E579" s="13">
        <v>131727</v>
      </c>
      <c r="F579" s="13"/>
      <c r="G579" s="127"/>
      <c r="H579" s="127"/>
      <c r="I579" s="127"/>
      <c r="J579" s="127"/>
      <c r="K579" s="10" t="str">
        <f>C579</f>
        <v>đ/m2</v>
      </c>
      <c r="L579" s="120"/>
      <c r="M579" s="121">
        <f>E579</f>
        <v>131727</v>
      </c>
      <c r="N579" s="120"/>
      <c r="O579" s="71">
        <f>E579</f>
        <v>131727</v>
      </c>
      <c r="P579" s="71">
        <f>M579</f>
        <v>131727</v>
      </c>
    </row>
    <row r="580" spans="1:16" s="58" customFormat="1" ht="24" customHeight="1">
      <c r="A580" s="10">
        <f>+A579+1</f>
        <v>7</v>
      </c>
      <c r="B580" s="11" t="s">
        <v>343</v>
      </c>
      <c r="C580" s="10" t="s">
        <v>1132</v>
      </c>
      <c r="D580" s="13"/>
      <c r="E580" s="13">
        <v>141273</v>
      </c>
      <c r="F580" s="13"/>
      <c r="G580" s="127"/>
      <c r="H580" s="127"/>
      <c r="I580" s="127"/>
      <c r="J580" s="127"/>
      <c r="K580" s="10" t="str">
        <f>C580</f>
        <v>đ/m2</v>
      </c>
      <c r="L580" s="120"/>
      <c r="M580" s="121">
        <f>E580</f>
        <v>141273</v>
      </c>
      <c r="N580" s="120"/>
      <c r="O580" s="71">
        <f>E580</f>
        <v>141273</v>
      </c>
      <c r="P580" s="71">
        <f>M580</f>
        <v>141273</v>
      </c>
    </row>
    <row r="581" spans="1:16" s="58" customFormat="1" ht="39.75" customHeight="1">
      <c r="A581" s="10">
        <f>+A580+1</f>
        <v>8</v>
      </c>
      <c r="B581" s="11" t="s">
        <v>345</v>
      </c>
      <c r="C581" s="10" t="s">
        <v>1132</v>
      </c>
      <c r="D581" s="13"/>
      <c r="E581" s="13">
        <v>214773</v>
      </c>
      <c r="F581" s="13"/>
      <c r="G581" s="127"/>
      <c r="H581" s="127"/>
      <c r="I581" s="127"/>
      <c r="J581" s="127"/>
      <c r="K581" s="10" t="str">
        <f>C581</f>
        <v>đ/m2</v>
      </c>
      <c r="L581" s="120"/>
      <c r="M581" s="121">
        <f>E581</f>
        <v>214773</v>
      </c>
      <c r="N581" s="120"/>
      <c r="O581" s="71">
        <f>E581</f>
        <v>214773</v>
      </c>
      <c r="P581" s="71">
        <f>M581</f>
        <v>214773</v>
      </c>
    </row>
    <row r="582" spans="1:16" s="58" customFormat="1" ht="24" customHeight="1">
      <c r="A582" s="10"/>
      <c r="B582" s="11" t="s">
        <v>346</v>
      </c>
      <c r="C582" s="15"/>
      <c r="D582" s="13"/>
      <c r="E582" s="13"/>
      <c r="F582" s="13"/>
      <c r="G582" s="127"/>
      <c r="H582" s="127"/>
      <c r="I582" s="127"/>
      <c r="J582" s="127"/>
      <c r="K582" s="116"/>
      <c r="L582" s="120"/>
      <c r="M582" s="120"/>
      <c r="N582" s="120"/>
      <c r="O582" s="69"/>
      <c r="P582" s="69"/>
    </row>
    <row r="583" spans="1:16" s="58" customFormat="1" ht="24" customHeight="1">
      <c r="A583" s="10">
        <f>+A581+1</f>
        <v>9</v>
      </c>
      <c r="B583" s="11" t="s">
        <v>342</v>
      </c>
      <c r="C583" s="10" t="s">
        <v>1132</v>
      </c>
      <c r="D583" s="13"/>
      <c r="E583" s="13">
        <v>181364</v>
      </c>
      <c r="F583" s="13"/>
      <c r="G583" s="127"/>
      <c r="H583" s="127"/>
      <c r="I583" s="127"/>
      <c r="J583" s="127"/>
      <c r="K583" s="10" t="str">
        <f>C583</f>
        <v>đ/m2</v>
      </c>
      <c r="L583" s="120"/>
      <c r="M583" s="121">
        <f>E583</f>
        <v>181364</v>
      </c>
      <c r="N583" s="120"/>
      <c r="O583" s="71">
        <f>E583</f>
        <v>181364</v>
      </c>
      <c r="P583" s="71">
        <f>M583</f>
        <v>181364</v>
      </c>
    </row>
    <row r="584" spans="1:16" s="58" customFormat="1" ht="24" customHeight="1">
      <c r="A584" s="10">
        <f>+A583+1</f>
        <v>10</v>
      </c>
      <c r="B584" s="11" t="s">
        <v>343</v>
      </c>
      <c r="C584" s="10" t="s">
        <v>1132</v>
      </c>
      <c r="D584" s="13"/>
      <c r="E584" s="13">
        <v>252955</v>
      </c>
      <c r="F584" s="13"/>
      <c r="G584" s="127"/>
      <c r="H584" s="127"/>
      <c r="I584" s="127"/>
      <c r="J584" s="127"/>
      <c r="K584" s="10" t="str">
        <f>C584</f>
        <v>đ/m2</v>
      </c>
      <c r="L584" s="120"/>
      <c r="M584" s="121">
        <f>E584</f>
        <v>252955</v>
      </c>
      <c r="N584" s="120"/>
      <c r="O584" s="71">
        <f>E584</f>
        <v>252955</v>
      </c>
      <c r="P584" s="71">
        <f>M584</f>
        <v>252955</v>
      </c>
    </row>
    <row r="585" spans="1:16" s="58" customFormat="1" ht="24" customHeight="1">
      <c r="A585" s="10"/>
      <c r="B585" s="11" t="s">
        <v>347</v>
      </c>
      <c r="C585" s="15"/>
      <c r="D585" s="13"/>
      <c r="E585" s="13"/>
      <c r="F585" s="13"/>
      <c r="G585" s="127"/>
      <c r="H585" s="127"/>
      <c r="I585" s="127"/>
      <c r="J585" s="127"/>
      <c r="K585" s="116"/>
      <c r="L585" s="120"/>
      <c r="M585" s="120"/>
      <c r="N585" s="120"/>
      <c r="O585" s="69"/>
      <c r="P585" s="69"/>
    </row>
    <row r="586" spans="1:16" s="58" customFormat="1" ht="24" customHeight="1">
      <c r="A586" s="10">
        <f>+A584+1</f>
        <v>11</v>
      </c>
      <c r="B586" s="11" t="s">
        <v>342</v>
      </c>
      <c r="C586" s="10" t="s">
        <v>1132</v>
      </c>
      <c r="D586" s="13"/>
      <c r="E586" s="13">
        <v>252955</v>
      </c>
      <c r="F586" s="13"/>
      <c r="G586" s="127"/>
      <c r="H586" s="127"/>
      <c r="I586" s="127"/>
      <c r="J586" s="127"/>
      <c r="K586" s="10" t="str">
        <f>C586</f>
        <v>đ/m2</v>
      </c>
      <c r="L586" s="120"/>
      <c r="M586" s="121">
        <f>E586</f>
        <v>252955</v>
      </c>
      <c r="N586" s="120"/>
      <c r="O586" s="71">
        <f>E586</f>
        <v>252955</v>
      </c>
      <c r="P586" s="71">
        <f>M586</f>
        <v>252955</v>
      </c>
    </row>
    <row r="587" spans="1:16" s="58" customFormat="1" ht="24" customHeight="1">
      <c r="A587" s="10">
        <f>+A586+1</f>
        <v>12</v>
      </c>
      <c r="B587" s="11" t="s">
        <v>343</v>
      </c>
      <c r="C587" s="10" t="s">
        <v>1132</v>
      </c>
      <c r="D587" s="13"/>
      <c r="E587" s="13">
        <v>310227</v>
      </c>
      <c r="F587" s="13"/>
      <c r="G587" s="127"/>
      <c r="H587" s="127"/>
      <c r="I587" s="127"/>
      <c r="J587" s="127"/>
      <c r="K587" s="10" t="str">
        <f>C587</f>
        <v>đ/m2</v>
      </c>
      <c r="L587" s="120"/>
      <c r="M587" s="121">
        <f>E587</f>
        <v>310227</v>
      </c>
      <c r="N587" s="120"/>
      <c r="O587" s="71">
        <f>E587</f>
        <v>310227</v>
      </c>
      <c r="P587" s="71">
        <f>M587</f>
        <v>310227</v>
      </c>
    </row>
    <row r="588" spans="1:16" s="58" customFormat="1" ht="24" customHeight="1">
      <c r="A588" s="10">
        <f>+A587+1</f>
        <v>13</v>
      </c>
      <c r="B588" s="11" t="s">
        <v>348</v>
      </c>
      <c r="C588" s="10" t="s">
        <v>1132</v>
      </c>
      <c r="D588" s="13"/>
      <c r="E588" s="13">
        <v>386591</v>
      </c>
      <c r="F588" s="13"/>
      <c r="G588" s="127"/>
      <c r="H588" s="127"/>
      <c r="I588" s="127"/>
      <c r="J588" s="127"/>
      <c r="K588" s="10" t="str">
        <f>C588</f>
        <v>đ/m2</v>
      </c>
      <c r="L588" s="120"/>
      <c r="M588" s="121">
        <f>E588</f>
        <v>386591</v>
      </c>
      <c r="N588" s="120"/>
      <c r="O588" s="71">
        <f>E588</f>
        <v>386591</v>
      </c>
      <c r="P588" s="71">
        <f>M588</f>
        <v>386591</v>
      </c>
    </row>
    <row r="589" spans="1:16" s="58" customFormat="1" ht="39.6" customHeight="1">
      <c r="A589" s="10"/>
      <c r="B589" s="237" t="s">
        <v>1278</v>
      </c>
      <c r="C589" s="238"/>
      <c r="D589" s="238"/>
      <c r="E589" s="238"/>
      <c r="F589" s="238"/>
      <c r="G589" s="238"/>
      <c r="H589" s="238"/>
      <c r="I589" s="238"/>
      <c r="J589" s="238"/>
      <c r="K589" s="238"/>
      <c r="L589" s="238"/>
      <c r="M589" s="238"/>
      <c r="N589" s="239"/>
      <c r="O589" s="69"/>
      <c r="P589" s="69"/>
    </row>
    <row r="590" spans="1:16" s="58" customFormat="1" ht="24" customHeight="1">
      <c r="A590" s="10">
        <v>1</v>
      </c>
      <c r="B590" s="11" t="s">
        <v>349</v>
      </c>
      <c r="C590" s="10" t="s">
        <v>293</v>
      </c>
      <c r="D590" s="13"/>
      <c r="E590" s="13">
        <f>17000/1.1</f>
        <v>15454.545454545454</v>
      </c>
      <c r="F590" s="24"/>
      <c r="G590" s="127"/>
      <c r="H590" s="127"/>
      <c r="I590" s="127"/>
      <c r="J590" s="127"/>
      <c r="K590" s="10" t="str">
        <f>C590</f>
        <v>đ/viên</v>
      </c>
      <c r="L590" s="120"/>
      <c r="M590" s="121">
        <f>E590</f>
        <v>15454.545454545454</v>
      </c>
      <c r="N590" s="120"/>
      <c r="O590" s="71">
        <f t="shared" ref="O590:O596" si="119">E590</f>
        <v>15454.545454545454</v>
      </c>
      <c r="P590" s="71">
        <f t="shared" ref="P590:P596" si="120">M590</f>
        <v>15454.545454545454</v>
      </c>
    </row>
    <row r="591" spans="1:16" s="58" customFormat="1" ht="24" customHeight="1">
      <c r="A591" s="10">
        <f t="shared" ref="A591:A596" si="121">+A590+1</f>
        <v>2</v>
      </c>
      <c r="B591" s="11" t="s">
        <v>350</v>
      </c>
      <c r="C591" s="10" t="s">
        <v>293</v>
      </c>
      <c r="D591" s="13"/>
      <c r="E591" s="13">
        <f>25000/1.1</f>
        <v>22727.272727272724</v>
      </c>
      <c r="F591" s="13"/>
      <c r="G591" s="127"/>
      <c r="H591" s="127"/>
      <c r="I591" s="127"/>
      <c r="J591" s="127"/>
      <c r="K591" s="10" t="str">
        <f t="shared" ref="K591:K596" si="122">C591</f>
        <v>đ/viên</v>
      </c>
      <c r="L591" s="120"/>
      <c r="M591" s="121">
        <f t="shared" ref="M591:M596" si="123">E591</f>
        <v>22727.272727272724</v>
      </c>
      <c r="N591" s="120"/>
      <c r="O591" s="71">
        <f t="shared" si="119"/>
        <v>22727.272727272724</v>
      </c>
      <c r="P591" s="71">
        <f t="shared" si="120"/>
        <v>22727.272727272724</v>
      </c>
    </row>
    <row r="592" spans="1:16" s="58" customFormat="1" ht="24" customHeight="1">
      <c r="A592" s="10">
        <f t="shared" si="121"/>
        <v>3</v>
      </c>
      <c r="B592" s="11" t="s">
        <v>1137</v>
      </c>
      <c r="C592" s="10" t="s">
        <v>351</v>
      </c>
      <c r="D592" s="13"/>
      <c r="E592" s="13">
        <f>86000/1.1</f>
        <v>78181.818181818177</v>
      </c>
      <c r="F592" s="13"/>
      <c r="G592" s="127"/>
      <c r="H592" s="127"/>
      <c r="I592" s="127"/>
      <c r="J592" s="127"/>
      <c r="K592" s="10" t="str">
        <f t="shared" si="122"/>
        <v>đ/hộp</v>
      </c>
      <c r="L592" s="120"/>
      <c r="M592" s="121">
        <f t="shared" si="123"/>
        <v>78181.818181818177</v>
      </c>
      <c r="N592" s="120"/>
      <c r="O592" s="71">
        <f t="shared" si="119"/>
        <v>78181.818181818177</v>
      </c>
      <c r="P592" s="71">
        <f t="shared" si="120"/>
        <v>78181.818181818177</v>
      </c>
    </row>
    <row r="593" spans="1:16" s="58" customFormat="1" ht="36">
      <c r="A593" s="10">
        <f t="shared" si="121"/>
        <v>4</v>
      </c>
      <c r="B593" s="11" t="s">
        <v>1138</v>
      </c>
      <c r="C593" s="10" t="s">
        <v>1132</v>
      </c>
      <c r="D593" s="13"/>
      <c r="E593" s="13">
        <f>170000/1.1</f>
        <v>154545.45454545453</v>
      </c>
      <c r="F593" s="13"/>
      <c r="G593" s="127"/>
      <c r="H593" s="127"/>
      <c r="I593" s="127"/>
      <c r="J593" s="127"/>
      <c r="K593" s="10" t="str">
        <f t="shared" si="122"/>
        <v>đ/m2</v>
      </c>
      <c r="L593" s="120"/>
      <c r="M593" s="121">
        <f t="shared" si="123"/>
        <v>154545.45454545453</v>
      </c>
      <c r="N593" s="120"/>
      <c r="O593" s="71">
        <f t="shared" si="119"/>
        <v>154545.45454545453</v>
      </c>
      <c r="P593" s="71">
        <f t="shared" si="120"/>
        <v>154545.45454545453</v>
      </c>
    </row>
    <row r="594" spans="1:16" s="58" customFormat="1" ht="19.5">
      <c r="A594" s="10">
        <f t="shared" si="121"/>
        <v>5</v>
      </c>
      <c r="B594" s="11" t="s">
        <v>1139</v>
      </c>
      <c r="C594" s="10" t="s">
        <v>351</v>
      </c>
      <c r="D594" s="13"/>
      <c r="E594" s="13">
        <f>86000/1.1</f>
        <v>78181.818181818177</v>
      </c>
      <c r="F594" s="13"/>
      <c r="G594" s="127"/>
      <c r="H594" s="127"/>
      <c r="I594" s="127"/>
      <c r="J594" s="127"/>
      <c r="K594" s="10" t="str">
        <f t="shared" si="122"/>
        <v>đ/hộp</v>
      </c>
      <c r="L594" s="120"/>
      <c r="M594" s="121">
        <f t="shared" si="123"/>
        <v>78181.818181818177</v>
      </c>
      <c r="N594" s="120"/>
      <c r="O594" s="71">
        <f t="shared" si="119"/>
        <v>78181.818181818177</v>
      </c>
      <c r="P594" s="71">
        <f t="shared" si="120"/>
        <v>78181.818181818177</v>
      </c>
    </row>
    <row r="595" spans="1:16" s="58" customFormat="1" ht="33">
      <c r="A595" s="10">
        <f t="shared" si="121"/>
        <v>6</v>
      </c>
      <c r="B595" s="11" t="s">
        <v>352</v>
      </c>
      <c r="C595" s="10" t="s">
        <v>351</v>
      </c>
      <c r="D595" s="13"/>
      <c r="E595" s="13">
        <f>104000/1.1</f>
        <v>94545.454545454544</v>
      </c>
      <c r="F595" s="13"/>
      <c r="G595" s="127"/>
      <c r="H595" s="127"/>
      <c r="I595" s="127"/>
      <c r="J595" s="127"/>
      <c r="K595" s="10" t="str">
        <f t="shared" si="122"/>
        <v>đ/hộp</v>
      </c>
      <c r="L595" s="120"/>
      <c r="M595" s="121">
        <f t="shared" si="123"/>
        <v>94545.454545454544</v>
      </c>
      <c r="N595" s="120"/>
      <c r="O595" s="71">
        <f t="shared" si="119"/>
        <v>94545.454545454544</v>
      </c>
      <c r="P595" s="71">
        <f t="shared" si="120"/>
        <v>94545.454545454544</v>
      </c>
    </row>
    <row r="596" spans="1:16" s="58" customFormat="1" ht="36">
      <c r="A596" s="10">
        <f t="shared" si="121"/>
        <v>7</v>
      </c>
      <c r="B596" s="11" t="s">
        <v>1287</v>
      </c>
      <c r="C596" s="10" t="s">
        <v>1132</v>
      </c>
      <c r="D596" s="13"/>
      <c r="E596" s="13">
        <f>146000/1.1</f>
        <v>132727.27272727271</v>
      </c>
      <c r="F596" s="13"/>
      <c r="G596" s="127"/>
      <c r="H596" s="127"/>
      <c r="I596" s="127"/>
      <c r="J596" s="127"/>
      <c r="K596" s="10" t="str">
        <f t="shared" si="122"/>
        <v>đ/m2</v>
      </c>
      <c r="L596" s="120"/>
      <c r="M596" s="121">
        <f t="shared" si="123"/>
        <v>132727.27272727271</v>
      </c>
      <c r="N596" s="120"/>
      <c r="O596" s="71">
        <f t="shared" si="119"/>
        <v>132727.27272727271</v>
      </c>
      <c r="P596" s="71">
        <f t="shared" si="120"/>
        <v>132727.27272727271</v>
      </c>
    </row>
    <row r="597" spans="1:16" s="58" customFormat="1" ht="24.75" customHeight="1">
      <c r="A597" s="29"/>
      <c r="B597" s="27" t="s">
        <v>353</v>
      </c>
      <c r="C597" s="10"/>
      <c r="D597" s="13"/>
      <c r="E597" s="13"/>
      <c r="F597" s="13"/>
      <c r="G597" s="127"/>
      <c r="H597" s="127"/>
      <c r="I597" s="127"/>
      <c r="J597" s="127"/>
      <c r="K597" s="116"/>
      <c r="L597" s="120"/>
      <c r="M597" s="120"/>
      <c r="N597" s="120"/>
      <c r="O597" s="69"/>
      <c r="P597" s="69"/>
    </row>
    <row r="598" spans="1:16" s="58" customFormat="1" ht="44.25" customHeight="1">
      <c r="A598" s="29"/>
      <c r="B598" s="237" t="s">
        <v>1443</v>
      </c>
      <c r="C598" s="238"/>
      <c r="D598" s="238"/>
      <c r="E598" s="238"/>
      <c r="F598" s="238"/>
      <c r="G598" s="238"/>
      <c r="H598" s="238"/>
      <c r="I598" s="238"/>
      <c r="J598" s="238"/>
      <c r="K598" s="238"/>
      <c r="L598" s="238"/>
      <c r="M598" s="238"/>
      <c r="N598" s="239"/>
      <c r="O598" s="69"/>
      <c r="P598" s="69"/>
    </row>
    <row r="599" spans="1:16" s="58" customFormat="1" ht="20.45" customHeight="1">
      <c r="A599" s="10">
        <v>1</v>
      </c>
      <c r="B599" s="23" t="s">
        <v>354</v>
      </c>
      <c r="C599" s="10" t="s">
        <v>293</v>
      </c>
      <c r="D599" s="13">
        <v>4390</v>
      </c>
      <c r="E599" s="13"/>
      <c r="F599" s="13"/>
      <c r="G599" s="211" t="s">
        <v>293</v>
      </c>
      <c r="H599" s="68"/>
      <c r="I599" s="127"/>
      <c r="J599" s="127"/>
      <c r="K599" s="25" t="str">
        <f>C599</f>
        <v>đ/viên</v>
      </c>
      <c r="L599" s="120">
        <f>D599</f>
        <v>4390</v>
      </c>
      <c r="M599" s="120"/>
      <c r="N599" s="120"/>
      <c r="O599" s="71">
        <f t="shared" ref="O599:O605" si="124">D599</f>
        <v>4390</v>
      </c>
      <c r="P599" s="71">
        <f t="shared" ref="P599:P605" si="125">L599</f>
        <v>4390</v>
      </c>
    </row>
    <row r="600" spans="1:16" s="58" customFormat="1" ht="20.45" customHeight="1">
      <c r="A600" s="10">
        <f t="shared" ref="A600:A605" si="126">+A599+1</f>
        <v>2</v>
      </c>
      <c r="B600" s="23" t="s">
        <v>355</v>
      </c>
      <c r="C600" s="10" t="s">
        <v>293</v>
      </c>
      <c r="D600" s="13">
        <v>2195</v>
      </c>
      <c r="E600" s="13"/>
      <c r="F600" s="13"/>
      <c r="G600" s="211" t="s">
        <v>293</v>
      </c>
      <c r="H600" s="68"/>
      <c r="I600" s="127"/>
      <c r="J600" s="127"/>
      <c r="K600" s="25" t="str">
        <f t="shared" ref="K600:K605" si="127">C600</f>
        <v>đ/viên</v>
      </c>
      <c r="L600" s="120">
        <f t="shared" ref="L600:L605" si="128">D600</f>
        <v>2195</v>
      </c>
      <c r="M600" s="120"/>
      <c r="N600" s="120"/>
      <c r="O600" s="71">
        <f t="shared" si="124"/>
        <v>2195</v>
      </c>
      <c r="P600" s="71">
        <f t="shared" si="125"/>
        <v>2195</v>
      </c>
    </row>
    <row r="601" spans="1:16" s="58" customFormat="1" ht="20.45" customHeight="1">
      <c r="A601" s="10">
        <f t="shared" si="126"/>
        <v>3</v>
      </c>
      <c r="B601" s="23" t="s">
        <v>356</v>
      </c>
      <c r="C601" s="10" t="s">
        <v>293</v>
      </c>
      <c r="D601" s="13">
        <v>934</v>
      </c>
      <c r="E601" s="13"/>
      <c r="F601" s="13"/>
      <c r="G601" s="211" t="s">
        <v>293</v>
      </c>
      <c r="H601" s="68"/>
      <c r="I601" s="127"/>
      <c r="J601" s="127"/>
      <c r="K601" s="25" t="str">
        <f t="shared" si="127"/>
        <v>đ/viên</v>
      </c>
      <c r="L601" s="120">
        <f t="shared" si="128"/>
        <v>934</v>
      </c>
      <c r="M601" s="120"/>
      <c r="N601" s="120"/>
      <c r="O601" s="71">
        <f t="shared" si="124"/>
        <v>934</v>
      </c>
      <c r="P601" s="71">
        <f t="shared" si="125"/>
        <v>934</v>
      </c>
    </row>
    <row r="602" spans="1:16" s="58" customFormat="1" ht="20.45" customHeight="1">
      <c r="A602" s="10">
        <f t="shared" si="126"/>
        <v>4</v>
      </c>
      <c r="B602" s="23" t="s">
        <v>357</v>
      </c>
      <c r="C602" s="10" t="s">
        <v>293</v>
      </c>
      <c r="D602" s="13">
        <v>8450</v>
      </c>
      <c r="E602" s="13"/>
      <c r="F602" s="13"/>
      <c r="G602" s="211" t="s">
        <v>293</v>
      </c>
      <c r="H602" s="68"/>
      <c r="I602" s="127"/>
      <c r="J602" s="127"/>
      <c r="K602" s="25" t="str">
        <f t="shared" si="127"/>
        <v>đ/viên</v>
      </c>
      <c r="L602" s="120">
        <f t="shared" si="128"/>
        <v>8450</v>
      </c>
      <c r="M602" s="120"/>
      <c r="N602" s="120"/>
      <c r="O602" s="71">
        <f t="shared" si="124"/>
        <v>8450</v>
      </c>
      <c r="P602" s="71">
        <f t="shared" si="125"/>
        <v>8450</v>
      </c>
    </row>
    <row r="603" spans="1:16" s="58" customFormat="1" ht="20.45" customHeight="1">
      <c r="A603" s="10">
        <f t="shared" si="126"/>
        <v>5</v>
      </c>
      <c r="B603" s="23" t="s">
        <v>358</v>
      </c>
      <c r="C603" s="10" t="s">
        <v>293</v>
      </c>
      <c r="D603" s="13">
        <v>4480</v>
      </c>
      <c r="E603" s="13"/>
      <c r="F603" s="13"/>
      <c r="G603" s="211" t="s">
        <v>293</v>
      </c>
      <c r="H603" s="68"/>
      <c r="I603" s="127"/>
      <c r="J603" s="127"/>
      <c r="K603" s="25" t="str">
        <f t="shared" si="127"/>
        <v>đ/viên</v>
      </c>
      <c r="L603" s="120">
        <f t="shared" si="128"/>
        <v>4480</v>
      </c>
      <c r="M603" s="120"/>
      <c r="N603" s="120"/>
      <c r="O603" s="71">
        <f t="shared" si="124"/>
        <v>4480</v>
      </c>
      <c r="P603" s="71">
        <f t="shared" si="125"/>
        <v>4480</v>
      </c>
    </row>
    <row r="604" spans="1:16" s="58" customFormat="1" ht="20.45" customHeight="1">
      <c r="A604" s="10">
        <f t="shared" si="126"/>
        <v>6</v>
      </c>
      <c r="B604" s="23" t="s">
        <v>359</v>
      </c>
      <c r="C604" s="10" t="s">
        <v>293</v>
      </c>
      <c r="D604" s="13">
        <v>2240</v>
      </c>
      <c r="E604" s="13"/>
      <c r="F604" s="13"/>
      <c r="G604" s="211" t="s">
        <v>293</v>
      </c>
      <c r="H604" s="68"/>
      <c r="I604" s="127"/>
      <c r="J604" s="127"/>
      <c r="K604" s="25" t="str">
        <f t="shared" si="127"/>
        <v>đ/viên</v>
      </c>
      <c r="L604" s="120">
        <f t="shared" si="128"/>
        <v>2240</v>
      </c>
      <c r="M604" s="120"/>
      <c r="N604" s="120"/>
      <c r="O604" s="71">
        <f t="shared" si="124"/>
        <v>2240</v>
      </c>
      <c r="P604" s="71">
        <f t="shared" si="125"/>
        <v>2240</v>
      </c>
    </row>
    <row r="605" spans="1:16" s="58" customFormat="1" ht="20.45" customHeight="1">
      <c r="A605" s="10">
        <f t="shared" si="126"/>
        <v>7</v>
      </c>
      <c r="B605" s="23" t="s">
        <v>360</v>
      </c>
      <c r="C605" s="10" t="s">
        <v>293</v>
      </c>
      <c r="D605" s="13">
        <v>1048</v>
      </c>
      <c r="E605" s="13"/>
      <c r="F605" s="13"/>
      <c r="G605" s="211" t="s">
        <v>293</v>
      </c>
      <c r="H605" s="68"/>
      <c r="I605" s="127"/>
      <c r="J605" s="127"/>
      <c r="K605" s="25" t="str">
        <f t="shared" si="127"/>
        <v>đ/viên</v>
      </c>
      <c r="L605" s="120">
        <f t="shared" si="128"/>
        <v>1048</v>
      </c>
      <c r="M605" s="120"/>
      <c r="N605" s="120"/>
      <c r="O605" s="71">
        <f t="shared" si="124"/>
        <v>1048</v>
      </c>
      <c r="P605" s="71">
        <f t="shared" si="125"/>
        <v>1048</v>
      </c>
    </row>
    <row r="606" spans="1:16" s="58" customFormat="1" ht="35.25" customHeight="1">
      <c r="A606" s="10"/>
      <c r="B606" s="237" t="s">
        <v>1691</v>
      </c>
      <c r="C606" s="238"/>
      <c r="D606" s="238"/>
      <c r="E606" s="238"/>
      <c r="F606" s="238"/>
      <c r="G606" s="238"/>
      <c r="H606" s="238"/>
      <c r="I606" s="238"/>
      <c r="J606" s="238"/>
      <c r="K606" s="238"/>
      <c r="L606" s="238"/>
      <c r="M606" s="238"/>
      <c r="N606" s="239"/>
      <c r="O606" s="69"/>
      <c r="P606" s="69"/>
    </row>
    <row r="607" spans="1:16" s="58" customFormat="1" ht="20.45" customHeight="1">
      <c r="A607" s="10">
        <v>1</v>
      </c>
      <c r="B607" s="23" t="s">
        <v>1432</v>
      </c>
      <c r="C607" s="15" t="s">
        <v>293</v>
      </c>
      <c r="D607" s="13">
        <v>950</v>
      </c>
      <c r="E607" s="13"/>
      <c r="F607" s="13"/>
      <c r="G607" s="207" t="s">
        <v>293</v>
      </c>
      <c r="H607" s="198"/>
      <c r="I607" s="127"/>
      <c r="J607" s="127"/>
      <c r="K607" s="25" t="str">
        <f>G607</f>
        <v>đ/viên</v>
      </c>
      <c r="L607" s="19">
        <f>D607</f>
        <v>950</v>
      </c>
      <c r="M607" s="120"/>
      <c r="N607" s="120"/>
      <c r="O607" s="71">
        <f t="shared" ref="O607:O614" si="129">D607</f>
        <v>950</v>
      </c>
      <c r="P607" s="71">
        <f t="shared" ref="P607:P614" si="130">L607</f>
        <v>950</v>
      </c>
    </row>
    <row r="608" spans="1:16" s="58" customFormat="1" ht="20.45" customHeight="1">
      <c r="A608" s="10">
        <f t="shared" ref="A608:A614" si="131">+A607+1</f>
        <v>2</v>
      </c>
      <c r="B608" s="23" t="s">
        <v>1433</v>
      </c>
      <c r="C608" s="15" t="s">
        <v>293</v>
      </c>
      <c r="D608" s="13">
        <v>1000</v>
      </c>
      <c r="E608" s="13"/>
      <c r="F608" s="13"/>
      <c r="G608" s="207" t="s">
        <v>293</v>
      </c>
      <c r="H608" s="198"/>
      <c r="I608" s="127"/>
      <c r="J608" s="127"/>
      <c r="K608" s="25" t="str">
        <f t="shared" ref="K608:K614" si="132">G608</f>
        <v>đ/viên</v>
      </c>
      <c r="L608" s="19">
        <f t="shared" ref="L608:L614" si="133">D608</f>
        <v>1000</v>
      </c>
      <c r="M608" s="120"/>
      <c r="N608" s="120"/>
      <c r="O608" s="71">
        <f t="shared" si="129"/>
        <v>1000</v>
      </c>
      <c r="P608" s="71">
        <f t="shared" si="130"/>
        <v>1000</v>
      </c>
    </row>
    <row r="609" spans="1:16" s="58" customFormat="1" ht="20.45" customHeight="1">
      <c r="A609" s="10">
        <f t="shared" si="131"/>
        <v>3</v>
      </c>
      <c r="B609" s="23" t="s">
        <v>1435</v>
      </c>
      <c r="C609" s="15" t="s">
        <v>293</v>
      </c>
      <c r="D609" s="13">
        <v>1100</v>
      </c>
      <c r="E609" s="13"/>
      <c r="F609" s="13"/>
      <c r="G609" s="207" t="s">
        <v>293</v>
      </c>
      <c r="H609" s="198"/>
      <c r="I609" s="127"/>
      <c r="J609" s="127"/>
      <c r="K609" s="25" t="str">
        <f>G609</f>
        <v>đ/viên</v>
      </c>
      <c r="L609" s="19">
        <f t="shared" si="133"/>
        <v>1100</v>
      </c>
      <c r="M609" s="120"/>
      <c r="N609" s="120"/>
      <c r="O609" s="71">
        <f>D609</f>
        <v>1100</v>
      </c>
      <c r="P609" s="71">
        <f>L609</f>
        <v>1100</v>
      </c>
    </row>
    <row r="610" spans="1:16" s="58" customFormat="1" ht="20.45" customHeight="1">
      <c r="A610" s="10">
        <f>+A608+1</f>
        <v>3</v>
      </c>
      <c r="B610" s="23" t="s">
        <v>1434</v>
      </c>
      <c r="C610" s="15" t="s">
        <v>293</v>
      </c>
      <c r="D610" s="13">
        <v>1100</v>
      </c>
      <c r="E610" s="13"/>
      <c r="F610" s="13"/>
      <c r="G610" s="207" t="s">
        <v>293</v>
      </c>
      <c r="H610" s="198"/>
      <c r="I610" s="127"/>
      <c r="J610" s="127"/>
      <c r="K610" s="25" t="str">
        <f t="shared" si="132"/>
        <v>đ/viên</v>
      </c>
      <c r="L610" s="19">
        <f t="shared" si="133"/>
        <v>1100</v>
      </c>
      <c r="M610" s="120"/>
      <c r="N610" s="120"/>
      <c r="O610" s="71">
        <f t="shared" si="129"/>
        <v>1100</v>
      </c>
      <c r="P610" s="71">
        <f t="shared" si="130"/>
        <v>1100</v>
      </c>
    </row>
    <row r="611" spans="1:16" s="58" customFormat="1" ht="20.45" customHeight="1">
      <c r="A611" s="10">
        <f t="shared" si="131"/>
        <v>4</v>
      </c>
      <c r="B611" s="23" t="s">
        <v>1436</v>
      </c>
      <c r="C611" s="15" t="s">
        <v>293</v>
      </c>
      <c r="D611" s="13">
        <v>1150</v>
      </c>
      <c r="E611" s="13"/>
      <c r="F611" s="13"/>
      <c r="G611" s="207" t="s">
        <v>293</v>
      </c>
      <c r="H611" s="198"/>
      <c r="I611" s="127"/>
      <c r="J611" s="127"/>
      <c r="K611" s="25" t="str">
        <f t="shared" si="132"/>
        <v>đ/viên</v>
      </c>
      <c r="L611" s="19">
        <f t="shared" si="133"/>
        <v>1150</v>
      </c>
      <c r="M611" s="120"/>
      <c r="N611" s="120"/>
      <c r="O611" s="71">
        <f t="shared" si="129"/>
        <v>1150</v>
      </c>
      <c r="P611" s="71">
        <f t="shared" si="130"/>
        <v>1150</v>
      </c>
    </row>
    <row r="612" spans="1:16" s="58" customFormat="1" ht="20.45" customHeight="1">
      <c r="A612" s="10">
        <f t="shared" si="131"/>
        <v>5</v>
      </c>
      <c r="B612" s="23" t="s">
        <v>1437</v>
      </c>
      <c r="C612" s="15" t="s">
        <v>293</v>
      </c>
      <c r="D612" s="13">
        <v>1150</v>
      </c>
      <c r="E612" s="13"/>
      <c r="F612" s="13"/>
      <c r="G612" s="207" t="s">
        <v>293</v>
      </c>
      <c r="H612" s="198"/>
      <c r="I612" s="127"/>
      <c r="J612" s="127"/>
      <c r="K612" s="25" t="str">
        <f t="shared" si="132"/>
        <v>đ/viên</v>
      </c>
      <c r="L612" s="19">
        <f t="shared" si="133"/>
        <v>1150</v>
      </c>
      <c r="M612" s="120"/>
      <c r="N612" s="120"/>
      <c r="O612" s="71">
        <f t="shared" si="129"/>
        <v>1150</v>
      </c>
      <c r="P612" s="71">
        <f t="shared" si="130"/>
        <v>1150</v>
      </c>
    </row>
    <row r="613" spans="1:16" s="58" customFormat="1" ht="20.45" customHeight="1">
      <c r="A613" s="10">
        <f t="shared" si="131"/>
        <v>6</v>
      </c>
      <c r="B613" s="23" t="s">
        <v>1438</v>
      </c>
      <c r="C613" s="15" t="s">
        <v>293</v>
      </c>
      <c r="D613" s="13">
        <v>4605</v>
      </c>
      <c r="E613" s="13"/>
      <c r="F613" s="13"/>
      <c r="G613" s="207" t="s">
        <v>293</v>
      </c>
      <c r="H613" s="198"/>
      <c r="I613" s="127"/>
      <c r="J613" s="127"/>
      <c r="K613" s="25" t="str">
        <f t="shared" si="132"/>
        <v>đ/viên</v>
      </c>
      <c r="L613" s="19">
        <f t="shared" si="133"/>
        <v>4605</v>
      </c>
      <c r="M613" s="120"/>
      <c r="N613" s="120"/>
      <c r="O613" s="71">
        <f t="shared" si="129"/>
        <v>4605</v>
      </c>
      <c r="P613" s="71">
        <f t="shared" si="130"/>
        <v>4605</v>
      </c>
    </row>
    <row r="614" spans="1:16" s="58" customFormat="1" ht="20.45" customHeight="1">
      <c r="A614" s="29">
        <f t="shared" si="131"/>
        <v>7</v>
      </c>
      <c r="B614" s="23" t="s">
        <v>1439</v>
      </c>
      <c r="C614" s="15" t="s">
        <v>293</v>
      </c>
      <c r="D614" s="13">
        <v>8600</v>
      </c>
      <c r="E614" s="13"/>
      <c r="F614" s="13"/>
      <c r="G614" s="207" t="s">
        <v>293</v>
      </c>
      <c r="H614" s="198"/>
      <c r="I614" s="127"/>
      <c r="J614" s="127"/>
      <c r="K614" s="25" t="str">
        <f t="shared" si="132"/>
        <v>đ/viên</v>
      </c>
      <c r="L614" s="19">
        <f t="shared" si="133"/>
        <v>8600</v>
      </c>
      <c r="M614" s="120"/>
      <c r="N614" s="120"/>
      <c r="O614" s="71">
        <f t="shared" si="129"/>
        <v>8600</v>
      </c>
      <c r="P614" s="71">
        <f t="shared" si="130"/>
        <v>8600</v>
      </c>
    </row>
    <row r="615" spans="1:16" s="58" customFormat="1" ht="36" customHeight="1">
      <c r="A615" s="10"/>
      <c r="B615" s="284" t="s">
        <v>1407</v>
      </c>
      <c r="C615" s="285"/>
      <c r="D615" s="285"/>
      <c r="E615" s="285"/>
      <c r="F615" s="285"/>
      <c r="G615" s="285"/>
      <c r="H615" s="285"/>
      <c r="I615" s="285"/>
      <c r="J615" s="285"/>
      <c r="K615" s="285"/>
      <c r="L615" s="285"/>
      <c r="M615" s="285"/>
      <c r="N615" s="286"/>
      <c r="O615" s="69"/>
      <c r="P615" s="69"/>
    </row>
    <row r="616" spans="1:16" s="58" customFormat="1" ht="36.6" customHeight="1">
      <c r="A616" s="10">
        <v>1</v>
      </c>
      <c r="B616" s="23" t="s">
        <v>361</v>
      </c>
      <c r="C616" s="10" t="s">
        <v>36</v>
      </c>
      <c r="D616" s="13"/>
      <c r="E616" s="13">
        <f>1750000/1.1</f>
        <v>1590909.0909090908</v>
      </c>
      <c r="F616" s="13"/>
      <c r="G616" s="211" t="s">
        <v>36</v>
      </c>
      <c r="H616" s="68"/>
      <c r="I616" s="127"/>
      <c r="J616" s="127"/>
      <c r="K616" s="10" t="str">
        <f>C616</f>
        <v>đ/m3</v>
      </c>
      <c r="L616" s="10"/>
      <c r="M616" s="10">
        <f>E616</f>
        <v>1590909.0909090908</v>
      </c>
      <c r="N616" s="120"/>
      <c r="O616" s="71">
        <f>E616</f>
        <v>1590909.0909090908</v>
      </c>
      <c r="P616" s="71">
        <f>M616</f>
        <v>1590909.0909090908</v>
      </c>
    </row>
    <row r="617" spans="1:16" s="58" customFormat="1" ht="26.1" customHeight="1">
      <c r="A617" s="10">
        <v>2</v>
      </c>
      <c r="B617" s="23" t="s">
        <v>362</v>
      </c>
      <c r="C617" s="10" t="s">
        <v>152</v>
      </c>
      <c r="D617" s="13"/>
      <c r="E617" s="13">
        <f>185000/1.1</f>
        <v>168181.81818181818</v>
      </c>
      <c r="F617" s="13"/>
      <c r="G617" s="211" t="s">
        <v>152</v>
      </c>
      <c r="H617" s="68"/>
      <c r="I617" s="127"/>
      <c r="J617" s="127"/>
      <c r="K617" s="10" t="str">
        <f>C617</f>
        <v>đ/bao</v>
      </c>
      <c r="L617" s="10"/>
      <c r="M617" s="10">
        <f>E617</f>
        <v>168181.81818181818</v>
      </c>
      <c r="N617" s="120"/>
      <c r="O617" s="71">
        <f>E617</f>
        <v>168181.81818181818</v>
      </c>
      <c r="P617" s="71">
        <f>M617</f>
        <v>168181.81818181818</v>
      </c>
    </row>
    <row r="618" spans="1:16" s="58" customFormat="1" ht="17.25">
      <c r="A618" s="17" t="s">
        <v>363</v>
      </c>
      <c r="B618" s="273" t="s">
        <v>364</v>
      </c>
      <c r="C618" s="273"/>
      <c r="D618" s="273" t="s">
        <v>365</v>
      </c>
      <c r="E618" s="273"/>
      <c r="F618" s="273"/>
      <c r="G618" s="127"/>
      <c r="H618" s="127"/>
      <c r="I618" s="127"/>
      <c r="J618" s="127"/>
      <c r="K618" s="116"/>
      <c r="L618" s="120"/>
      <c r="M618" s="120"/>
      <c r="N618" s="120"/>
      <c r="O618" s="69"/>
      <c r="P618" s="69"/>
    </row>
    <row r="619" spans="1:16" s="58" customFormat="1" ht="32.1" customHeight="1">
      <c r="A619" s="10" t="s">
        <v>35</v>
      </c>
      <c r="B619" s="237" t="s">
        <v>366</v>
      </c>
      <c r="C619" s="238"/>
      <c r="D619" s="238"/>
      <c r="E619" s="238"/>
      <c r="F619" s="238"/>
      <c r="G619" s="238"/>
      <c r="H619" s="238"/>
      <c r="I619" s="238"/>
      <c r="J619" s="238"/>
      <c r="K619" s="238"/>
      <c r="L619" s="238"/>
      <c r="M619" s="238"/>
      <c r="N619" s="239"/>
      <c r="O619" s="69"/>
      <c r="P619" s="69"/>
    </row>
    <row r="620" spans="1:16" s="58" customFormat="1" ht="23.45" customHeight="1">
      <c r="A620" s="10">
        <v>1</v>
      </c>
      <c r="B620" s="11" t="s">
        <v>367</v>
      </c>
      <c r="C620" s="12" t="s">
        <v>259</v>
      </c>
      <c r="D620" s="30"/>
      <c r="E620" s="13">
        <f>2500000/1.1</f>
        <v>2272727.2727272725</v>
      </c>
      <c r="F620" s="13"/>
      <c r="G620" s="206" t="s">
        <v>259</v>
      </c>
      <c r="H620" s="127"/>
      <c r="I620" s="127"/>
      <c r="J620" s="127"/>
      <c r="K620" s="25" t="str">
        <f t="shared" ref="K620:K629" si="134">C620</f>
        <v>đ/bộ</v>
      </c>
      <c r="L620" s="120"/>
      <c r="M620" s="120">
        <f t="shared" ref="M620:M629" si="135">E620</f>
        <v>2272727.2727272725</v>
      </c>
      <c r="N620" s="120"/>
      <c r="O620" s="71">
        <f t="shared" ref="O620:O629" si="136">E620</f>
        <v>2272727.2727272725</v>
      </c>
      <c r="P620" s="71">
        <f t="shared" ref="P620:P629" si="137">M620</f>
        <v>2272727.2727272725</v>
      </c>
    </row>
    <row r="621" spans="1:16" s="58" customFormat="1" ht="23.45" customHeight="1">
      <c r="A621" s="10">
        <f t="shared" ref="A621:A629" si="138">+A620+1</f>
        <v>2</v>
      </c>
      <c r="B621" s="11" t="s">
        <v>368</v>
      </c>
      <c r="C621" s="12" t="s">
        <v>259</v>
      </c>
      <c r="D621" s="30"/>
      <c r="E621" s="13">
        <f>3020000/1.1</f>
        <v>2745454.5454545454</v>
      </c>
      <c r="F621" s="13"/>
      <c r="G621" s="206" t="s">
        <v>259</v>
      </c>
      <c r="H621" s="127"/>
      <c r="I621" s="127"/>
      <c r="J621" s="127"/>
      <c r="K621" s="25" t="str">
        <f t="shared" si="134"/>
        <v>đ/bộ</v>
      </c>
      <c r="L621" s="120"/>
      <c r="M621" s="120">
        <f t="shared" si="135"/>
        <v>2745454.5454545454</v>
      </c>
      <c r="N621" s="120"/>
      <c r="O621" s="71">
        <f t="shared" si="136"/>
        <v>2745454.5454545454</v>
      </c>
      <c r="P621" s="71">
        <f t="shared" si="137"/>
        <v>2745454.5454545454</v>
      </c>
    </row>
    <row r="622" spans="1:16" s="58" customFormat="1" ht="23.45" customHeight="1">
      <c r="A622" s="10">
        <f t="shared" si="138"/>
        <v>3</v>
      </c>
      <c r="B622" s="11" t="s">
        <v>369</v>
      </c>
      <c r="C622" s="12" t="s">
        <v>259</v>
      </c>
      <c r="D622" s="30"/>
      <c r="E622" s="13">
        <f>3400000/1.1</f>
        <v>3090909.0909090908</v>
      </c>
      <c r="F622" s="13"/>
      <c r="G622" s="206" t="s">
        <v>259</v>
      </c>
      <c r="H622" s="127"/>
      <c r="I622" s="127"/>
      <c r="J622" s="127"/>
      <c r="K622" s="25" t="str">
        <f t="shared" si="134"/>
        <v>đ/bộ</v>
      </c>
      <c r="L622" s="120"/>
      <c r="M622" s="120">
        <f t="shared" si="135"/>
        <v>3090909.0909090908</v>
      </c>
      <c r="N622" s="120"/>
      <c r="O622" s="71">
        <f t="shared" si="136"/>
        <v>3090909.0909090908</v>
      </c>
      <c r="P622" s="71">
        <f t="shared" si="137"/>
        <v>3090909.0909090908</v>
      </c>
    </row>
    <row r="623" spans="1:16" s="58" customFormat="1" ht="23.45" customHeight="1">
      <c r="A623" s="10">
        <f t="shared" si="138"/>
        <v>4</v>
      </c>
      <c r="B623" s="11" t="s">
        <v>370</v>
      </c>
      <c r="C623" s="12" t="s">
        <v>259</v>
      </c>
      <c r="D623" s="30"/>
      <c r="E623" s="13">
        <f>5620000/1.1</f>
        <v>5109090.9090909082</v>
      </c>
      <c r="F623" s="13"/>
      <c r="G623" s="206" t="s">
        <v>259</v>
      </c>
      <c r="H623" s="127"/>
      <c r="I623" s="127"/>
      <c r="J623" s="127"/>
      <c r="K623" s="25" t="str">
        <f t="shared" si="134"/>
        <v>đ/bộ</v>
      </c>
      <c r="L623" s="120"/>
      <c r="M623" s="120">
        <f t="shared" si="135"/>
        <v>5109090.9090909082</v>
      </c>
      <c r="N623" s="120"/>
      <c r="O623" s="71">
        <f t="shared" si="136"/>
        <v>5109090.9090909082</v>
      </c>
      <c r="P623" s="71">
        <f t="shared" si="137"/>
        <v>5109090.9090909082</v>
      </c>
    </row>
    <row r="624" spans="1:16" s="58" customFormat="1" ht="23.45" customHeight="1">
      <c r="A624" s="10">
        <f t="shared" si="138"/>
        <v>5</v>
      </c>
      <c r="B624" s="11" t="s">
        <v>371</v>
      </c>
      <c r="C624" s="12" t="s">
        <v>84</v>
      </c>
      <c r="D624" s="30"/>
      <c r="E624" s="13">
        <f>620000/1.1</f>
        <v>563636.36363636365</v>
      </c>
      <c r="F624" s="13"/>
      <c r="G624" s="206" t="s">
        <v>84</v>
      </c>
      <c r="H624" s="127"/>
      <c r="I624" s="127"/>
      <c r="J624" s="127"/>
      <c r="K624" s="25" t="str">
        <f t="shared" si="134"/>
        <v>đ/cái</v>
      </c>
      <c r="L624" s="120"/>
      <c r="M624" s="120">
        <f t="shared" si="135"/>
        <v>563636.36363636365</v>
      </c>
      <c r="N624" s="120"/>
      <c r="O624" s="71">
        <f t="shared" si="136"/>
        <v>563636.36363636365</v>
      </c>
      <c r="P624" s="71">
        <f t="shared" si="137"/>
        <v>563636.36363636365</v>
      </c>
    </row>
    <row r="625" spans="1:16" s="58" customFormat="1" ht="23.45" customHeight="1">
      <c r="A625" s="10">
        <f t="shared" si="138"/>
        <v>6</v>
      </c>
      <c r="B625" s="11" t="s">
        <v>372</v>
      </c>
      <c r="C625" s="12" t="s">
        <v>84</v>
      </c>
      <c r="D625" s="30"/>
      <c r="E625" s="13">
        <f>750000/1.1</f>
        <v>681818.18181818177</v>
      </c>
      <c r="F625" s="13"/>
      <c r="G625" s="206" t="s">
        <v>84</v>
      </c>
      <c r="H625" s="127"/>
      <c r="I625" s="127"/>
      <c r="J625" s="127"/>
      <c r="K625" s="25" t="str">
        <f t="shared" si="134"/>
        <v>đ/cái</v>
      </c>
      <c r="L625" s="120"/>
      <c r="M625" s="120">
        <f t="shared" si="135"/>
        <v>681818.18181818177</v>
      </c>
      <c r="N625" s="120"/>
      <c r="O625" s="71">
        <f t="shared" si="136"/>
        <v>681818.18181818177</v>
      </c>
      <c r="P625" s="71">
        <f t="shared" si="137"/>
        <v>681818.18181818177</v>
      </c>
    </row>
    <row r="626" spans="1:16" s="58" customFormat="1" ht="23.45" customHeight="1">
      <c r="A626" s="10">
        <f t="shared" si="138"/>
        <v>7</v>
      </c>
      <c r="B626" s="11" t="s">
        <v>1087</v>
      </c>
      <c r="C626" s="12" t="s">
        <v>259</v>
      </c>
      <c r="D626" s="30"/>
      <c r="E626" s="13">
        <f>2410000/1.1</f>
        <v>2190909.0909090908</v>
      </c>
      <c r="F626" s="13"/>
      <c r="G626" s="206" t="s">
        <v>259</v>
      </c>
      <c r="H626" s="127"/>
      <c r="I626" s="127"/>
      <c r="J626" s="127"/>
      <c r="K626" s="25" t="str">
        <f t="shared" si="134"/>
        <v>đ/bộ</v>
      </c>
      <c r="L626" s="120"/>
      <c r="M626" s="120">
        <f t="shared" si="135"/>
        <v>2190909.0909090908</v>
      </c>
      <c r="N626" s="120"/>
      <c r="O626" s="71">
        <f t="shared" si="136"/>
        <v>2190909.0909090908</v>
      </c>
      <c r="P626" s="71">
        <f t="shared" si="137"/>
        <v>2190909.0909090908</v>
      </c>
    </row>
    <row r="627" spans="1:16" s="58" customFormat="1" ht="23.45" customHeight="1">
      <c r="A627" s="10">
        <f t="shared" si="138"/>
        <v>8</v>
      </c>
      <c r="B627" s="11" t="s">
        <v>373</v>
      </c>
      <c r="C627" s="12" t="s">
        <v>259</v>
      </c>
      <c r="D627" s="30"/>
      <c r="E627" s="13">
        <f>3470000/1.1</f>
        <v>3154545.4545454541</v>
      </c>
      <c r="F627" s="13"/>
      <c r="G627" s="206" t="s">
        <v>259</v>
      </c>
      <c r="H627" s="127"/>
      <c r="I627" s="127"/>
      <c r="J627" s="127"/>
      <c r="K627" s="25" t="str">
        <f t="shared" si="134"/>
        <v>đ/bộ</v>
      </c>
      <c r="L627" s="120"/>
      <c r="M627" s="120">
        <f t="shared" si="135"/>
        <v>3154545.4545454541</v>
      </c>
      <c r="N627" s="120"/>
      <c r="O627" s="71">
        <f t="shared" si="136"/>
        <v>3154545.4545454541</v>
      </c>
      <c r="P627" s="71">
        <f t="shared" si="137"/>
        <v>3154545.4545454541</v>
      </c>
    </row>
    <row r="628" spans="1:16" s="58" customFormat="1" ht="23.45" customHeight="1">
      <c r="A628" s="10">
        <f t="shared" si="138"/>
        <v>9</v>
      </c>
      <c r="B628" s="11" t="s">
        <v>374</v>
      </c>
      <c r="C628" s="12" t="s">
        <v>259</v>
      </c>
      <c r="D628" s="30"/>
      <c r="E628" s="13">
        <f>1570000/1.1</f>
        <v>1427272.7272727271</v>
      </c>
      <c r="F628" s="13"/>
      <c r="G628" s="206" t="s">
        <v>259</v>
      </c>
      <c r="H628" s="127"/>
      <c r="I628" s="127"/>
      <c r="J628" s="127"/>
      <c r="K628" s="25" t="str">
        <f t="shared" si="134"/>
        <v>đ/bộ</v>
      </c>
      <c r="L628" s="120"/>
      <c r="M628" s="120">
        <f t="shared" si="135"/>
        <v>1427272.7272727271</v>
      </c>
      <c r="N628" s="120"/>
      <c r="O628" s="71">
        <f t="shared" si="136"/>
        <v>1427272.7272727271</v>
      </c>
      <c r="P628" s="71">
        <f t="shared" si="137"/>
        <v>1427272.7272727271</v>
      </c>
    </row>
    <row r="629" spans="1:16" s="58" customFormat="1" ht="23.45" customHeight="1">
      <c r="A629" s="10">
        <f t="shared" si="138"/>
        <v>10</v>
      </c>
      <c r="B629" s="11" t="s">
        <v>375</v>
      </c>
      <c r="C629" s="12" t="s">
        <v>259</v>
      </c>
      <c r="D629" s="30"/>
      <c r="E629" s="13">
        <f>3620000/1.1</f>
        <v>3290909.0909090908</v>
      </c>
      <c r="F629" s="13"/>
      <c r="G629" s="206" t="s">
        <v>259</v>
      </c>
      <c r="H629" s="127"/>
      <c r="I629" s="127"/>
      <c r="J629" s="127"/>
      <c r="K629" s="25" t="str">
        <f t="shared" si="134"/>
        <v>đ/bộ</v>
      </c>
      <c r="L629" s="120"/>
      <c r="M629" s="120">
        <f t="shared" si="135"/>
        <v>3290909.0909090908</v>
      </c>
      <c r="N629" s="120"/>
      <c r="O629" s="71">
        <f t="shared" si="136"/>
        <v>3290909.0909090908</v>
      </c>
      <c r="P629" s="71">
        <f t="shared" si="137"/>
        <v>3290909.0909090908</v>
      </c>
    </row>
    <row r="630" spans="1:16" s="58" customFormat="1" ht="47.1" customHeight="1">
      <c r="A630" s="32"/>
      <c r="B630" s="237" t="s">
        <v>376</v>
      </c>
      <c r="C630" s="238"/>
      <c r="D630" s="238"/>
      <c r="E630" s="238"/>
      <c r="F630" s="238"/>
      <c r="G630" s="238"/>
      <c r="H630" s="238"/>
      <c r="I630" s="238"/>
      <c r="J630" s="238"/>
      <c r="K630" s="238"/>
      <c r="L630" s="238"/>
      <c r="M630" s="238"/>
      <c r="N630" s="239"/>
      <c r="O630" s="69"/>
      <c r="P630" s="69"/>
    </row>
    <row r="631" spans="1:16" s="58" customFormat="1" ht="24" customHeight="1">
      <c r="A631" s="10">
        <v>1</v>
      </c>
      <c r="B631" s="11" t="s">
        <v>377</v>
      </c>
      <c r="C631" s="12" t="s">
        <v>259</v>
      </c>
      <c r="D631" s="30"/>
      <c r="E631" s="13">
        <f>2400000/1.1</f>
        <v>2181818.1818181816</v>
      </c>
      <c r="F631" s="13">
        <f t="shared" ref="F631:F642" si="139">E631</f>
        <v>2181818.1818181816</v>
      </c>
      <c r="G631" s="206" t="s">
        <v>259</v>
      </c>
      <c r="H631" s="127"/>
      <c r="I631" s="127"/>
      <c r="J631" s="127"/>
      <c r="K631" s="25" t="str">
        <f t="shared" ref="K631:K642" si="140">C631</f>
        <v>đ/bộ</v>
      </c>
      <c r="L631" s="120"/>
      <c r="M631" s="120">
        <f t="shared" ref="M631:M642" si="141">E631</f>
        <v>2181818.1818181816</v>
      </c>
      <c r="N631" s="120">
        <f>F631</f>
        <v>2181818.1818181816</v>
      </c>
      <c r="O631" s="71">
        <f t="shared" ref="O631:O642" si="142">E631</f>
        <v>2181818.1818181816</v>
      </c>
      <c r="P631" s="71">
        <f t="shared" ref="P631:P642" si="143">M631</f>
        <v>2181818.1818181816</v>
      </c>
    </row>
    <row r="632" spans="1:16" s="58" customFormat="1" ht="24" customHeight="1">
      <c r="A632" s="10">
        <f t="shared" ref="A632:A642" si="144">+A631+1</f>
        <v>2</v>
      </c>
      <c r="B632" s="11" t="s">
        <v>378</v>
      </c>
      <c r="C632" s="12" t="s">
        <v>259</v>
      </c>
      <c r="D632" s="30"/>
      <c r="E632" s="13">
        <f>2250000/1.1</f>
        <v>2045454.5454545452</v>
      </c>
      <c r="F632" s="13">
        <f t="shared" si="139"/>
        <v>2045454.5454545452</v>
      </c>
      <c r="G632" s="206" t="s">
        <v>259</v>
      </c>
      <c r="H632" s="127"/>
      <c r="I632" s="127"/>
      <c r="J632" s="127"/>
      <c r="K632" s="25" t="str">
        <f t="shared" si="140"/>
        <v>đ/bộ</v>
      </c>
      <c r="L632" s="120"/>
      <c r="M632" s="120">
        <f t="shared" si="141"/>
        <v>2045454.5454545452</v>
      </c>
      <c r="N632" s="120">
        <f t="shared" ref="N632:N642" si="145">F632</f>
        <v>2045454.5454545452</v>
      </c>
      <c r="O632" s="71">
        <f t="shared" si="142"/>
        <v>2045454.5454545452</v>
      </c>
      <c r="P632" s="71">
        <f t="shared" si="143"/>
        <v>2045454.5454545452</v>
      </c>
    </row>
    <row r="633" spans="1:16" s="58" customFormat="1" ht="24" customHeight="1">
      <c r="A633" s="10">
        <f t="shared" si="144"/>
        <v>3</v>
      </c>
      <c r="B633" s="11" t="s">
        <v>379</v>
      </c>
      <c r="C633" s="12" t="s">
        <v>259</v>
      </c>
      <c r="D633" s="30"/>
      <c r="E633" s="13">
        <f>2050000/1.1</f>
        <v>1863636.3636363635</v>
      </c>
      <c r="F633" s="13">
        <f t="shared" si="139"/>
        <v>1863636.3636363635</v>
      </c>
      <c r="G633" s="206" t="s">
        <v>259</v>
      </c>
      <c r="H633" s="127"/>
      <c r="I633" s="127"/>
      <c r="J633" s="127"/>
      <c r="K633" s="25" t="str">
        <f t="shared" si="140"/>
        <v>đ/bộ</v>
      </c>
      <c r="L633" s="120"/>
      <c r="M633" s="120">
        <f t="shared" si="141"/>
        <v>1863636.3636363635</v>
      </c>
      <c r="N633" s="120">
        <f t="shared" si="145"/>
        <v>1863636.3636363635</v>
      </c>
      <c r="O633" s="71">
        <f t="shared" si="142"/>
        <v>1863636.3636363635</v>
      </c>
      <c r="P633" s="71">
        <f t="shared" si="143"/>
        <v>1863636.3636363635</v>
      </c>
    </row>
    <row r="634" spans="1:16" s="58" customFormat="1" ht="24" customHeight="1">
      <c r="A634" s="10">
        <f t="shared" si="144"/>
        <v>4</v>
      </c>
      <c r="B634" s="11" t="s">
        <v>380</v>
      </c>
      <c r="C634" s="12" t="s">
        <v>259</v>
      </c>
      <c r="D634" s="30"/>
      <c r="E634" s="13">
        <f>1850000/1.1</f>
        <v>1681818.1818181816</v>
      </c>
      <c r="F634" s="13">
        <f t="shared" si="139"/>
        <v>1681818.1818181816</v>
      </c>
      <c r="G634" s="206" t="s">
        <v>259</v>
      </c>
      <c r="H634" s="127"/>
      <c r="I634" s="127"/>
      <c r="J634" s="127"/>
      <c r="K634" s="25" t="str">
        <f t="shared" si="140"/>
        <v>đ/bộ</v>
      </c>
      <c r="L634" s="120"/>
      <c r="M634" s="120">
        <f t="shared" si="141"/>
        <v>1681818.1818181816</v>
      </c>
      <c r="N634" s="120">
        <f t="shared" si="145"/>
        <v>1681818.1818181816</v>
      </c>
      <c r="O634" s="71">
        <f t="shared" si="142"/>
        <v>1681818.1818181816</v>
      </c>
      <c r="P634" s="71">
        <f t="shared" si="143"/>
        <v>1681818.1818181816</v>
      </c>
    </row>
    <row r="635" spans="1:16" s="58" customFormat="1" ht="24" customHeight="1">
      <c r="A635" s="10">
        <f t="shared" si="144"/>
        <v>5</v>
      </c>
      <c r="B635" s="11" t="s">
        <v>381</v>
      </c>
      <c r="C635" s="12" t="s">
        <v>84</v>
      </c>
      <c r="D635" s="30"/>
      <c r="E635" s="13">
        <f>670000/1.1</f>
        <v>609090.90909090906</v>
      </c>
      <c r="F635" s="13">
        <f t="shared" si="139"/>
        <v>609090.90909090906</v>
      </c>
      <c r="G635" s="206" t="s">
        <v>84</v>
      </c>
      <c r="H635" s="127"/>
      <c r="I635" s="127"/>
      <c r="J635" s="127"/>
      <c r="K635" s="25" t="str">
        <f t="shared" si="140"/>
        <v>đ/cái</v>
      </c>
      <c r="L635" s="120"/>
      <c r="M635" s="120">
        <f t="shared" si="141"/>
        <v>609090.90909090906</v>
      </c>
      <c r="N635" s="120">
        <f t="shared" si="145"/>
        <v>609090.90909090906</v>
      </c>
      <c r="O635" s="71">
        <f t="shared" si="142"/>
        <v>609090.90909090906</v>
      </c>
      <c r="P635" s="71">
        <f t="shared" si="143"/>
        <v>609090.90909090906</v>
      </c>
    </row>
    <row r="636" spans="1:16" s="58" customFormat="1" ht="24" customHeight="1">
      <c r="A636" s="10">
        <f t="shared" si="144"/>
        <v>6</v>
      </c>
      <c r="B636" s="11" t="s">
        <v>382</v>
      </c>
      <c r="C636" s="12" t="s">
        <v>84</v>
      </c>
      <c r="D636" s="30"/>
      <c r="E636" s="13">
        <f>670000/1.1</f>
        <v>609090.90909090906</v>
      </c>
      <c r="F636" s="13">
        <f t="shared" si="139"/>
        <v>609090.90909090906</v>
      </c>
      <c r="G636" s="206" t="s">
        <v>84</v>
      </c>
      <c r="H636" s="127"/>
      <c r="I636" s="127"/>
      <c r="J636" s="127"/>
      <c r="K636" s="25" t="str">
        <f t="shared" si="140"/>
        <v>đ/cái</v>
      </c>
      <c r="L636" s="120"/>
      <c r="M636" s="120">
        <f t="shared" si="141"/>
        <v>609090.90909090906</v>
      </c>
      <c r="N636" s="120">
        <f t="shared" si="145"/>
        <v>609090.90909090906</v>
      </c>
      <c r="O636" s="71">
        <f t="shared" si="142"/>
        <v>609090.90909090906</v>
      </c>
      <c r="P636" s="71">
        <f t="shared" si="143"/>
        <v>609090.90909090906</v>
      </c>
    </row>
    <row r="637" spans="1:16" s="58" customFormat="1" ht="24" customHeight="1">
      <c r="A637" s="10">
        <f t="shared" si="144"/>
        <v>7</v>
      </c>
      <c r="B637" s="11" t="s">
        <v>383</v>
      </c>
      <c r="C637" s="12" t="s">
        <v>84</v>
      </c>
      <c r="D637" s="30"/>
      <c r="E637" s="13">
        <f>510000/1.1</f>
        <v>463636.36363636359</v>
      </c>
      <c r="F637" s="13">
        <f t="shared" si="139"/>
        <v>463636.36363636359</v>
      </c>
      <c r="G637" s="206" t="s">
        <v>84</v>
      </c>
      <c r="H637" s="127"/>
      <c r="I637" s="127"/>
      <c r="J637" s="127"/>
      <c r="K637" s="25" t="str">
        <f t="shared" si="140"/>
        <v>đ/cái</v>
      </c>
      <c r="L637" s="120"/>
      <c r="M637" s="120">
        <f t="shared" si="141"/>
        <v>463636.36363636359</v>
      </c>
      <c r="N637" s="120">
        <f t="shared" si="145"/>
        <v>463636.36363636359</v>
      </c>
      <c r="O637" s="71">
        <f t="shared" si="142"/>
        <v>463636.36363636359</v>
      </c>
      <c r="P637" s="71">
        <f t="shared" si="143"/>
        <v>463636.36363636359</v>
      </c>
    </row>
    <row r="638" spans="1:16" s="58" customFormat="1" ht="24" customHeight="1">
      <c r="A638" s="10">
        <f t="shared" si="144"/>
        <v>8</v>
      </c>
      <c r="B638" s="11" t="s">
        <v>384</v>
      </c>
      <c r="C638" s="12" t="s">
        <v>84</v>
      </c>
      <c r="D638" s="30"/>
      <c r="E638" s="13">
        <f>460000/1.1</f>
        <v>418181.81818181818</v>
      </c>
      <c r="F638" s="13">
        <f t="shared" si="139"/>
        <v>418181.81818181818</v>
      </c>
      <c r="G638" s="206" t="s">
        <v>84</v>
      </c>
      <c r="H638" s="127"/>
      <c r="I638" s="127"/>
      <c r="J638" s="127"/>
      <c r="K638" s="25" t="str">
        <f t="shared" si="140"/>
        <v>đ/cái</v>
      </c>
      <c r="L638" s="120"/>
      <c r="M638" s="120">
        <f t="shared" si="141"/>
        <v>418181.81818181818</v>
      </c>
      <c r="N638" s="120">
        <f t="shared" si="145"/>
        <v>418181.81818181818</v>
      </c>
      <c r="O638" s="71">
        <f t="shared" si="142"/>
        <v>418181.81818181818</v>
      </c>
      <c r="P638" s="71">
        <f t="shared" si="143"/>
        <v>418181.81818181818</v>
      </c>
    </row>
    <row r="639" spans="1:16" s="58" customFormat="1" ht="24" customHeight="1">
      <c r="A639" s="10">
        <f t="shared" si="144"/>
        <v>9</v>
      </c>
      <c r="B639" s="11" t="s">
        <v>385</v>
      </c>
      <c r="C639" s="12" t="s">
        <v>84</v>
      </c>
      <c r="D639" s="30"/>
      <c r="E639" s="13">
        <f>470000/1.1</f>
        <v>427272.72727272724</v>
      </c>
      <c r="F639" s="13">
        <f t="shared" si="139"/>
        <v>427272.72727272724</v>
      </c>
      <c r="G639" s="206" t="s">
        <v>84</v>
      </c>
      <c r="H639" s="127"/>
      <c r="I639" s="127"/>
      <c r="J639" s="127"/>
      <c r="K639" s="25" t="str">
        <f t="shared" si="140"/>
        <v>đ/cái</v>
      </c>
      <c r="L639" s="120"/>
      <c r="M639" s="120">
        <f t="shared" si="141"/>
        <v>427272.72727272724</v>
      </c>
      <c r="N639" s="120">
        <f t="shared" si="145"/>
        <v>427272.72727272724</v>
      </c>
      <c r="O639" s="71">
        <f t="shared" si="142"/>
        <v>427272.72727272724</v>
      </c>
      <c r="P639" s="71">
        <f t="shared" si="143"/>
        <v>427272.72727272724</v>
      </c>
    </row>
    <row r="640" spans="1:16" s="58" customFormat="1" ht="24" customHeight="1">
      <c r="A640" s="10">
        <f t="shared" si="144"/>
        <v>10</v>
      </c>
      <c r="B640" s="11" t="s">
        <v>386</v>
      </c>
      <c r="C640" s="12" t="s">
        <v>84</v>
      </c>
      <c r="D640" s="30"/>
      <c r="E640" s="13">
        <f>1480000/1.1</f>
        <v>1345454.5454545454</v>
      </c>
      <c r="F640" s="13">
        <f t="shared" si="139"/>
        <v>1345454.5454545454</v>
      </c>
      <c r="G640" s="206" t="s">
        <v>84</v>
      </c>
      <c r="H640" s="127"/>
      <c r="I640" s="127"/>
      <c r="J640" s="127"/>
      <c r="K640" s="25" t="str">
        <f t="shared" si="140"/>
        <v>đ/cái</v>
      </c>
      <c r="L640" s="120"/>
      <c r="M640" s="120">
        <f t="shared" si="141"/>
        <v>1345454.5454545454</v>
      </c>
      <c r="N640" s="120">
        <f t="shared" si="145"/>
        <v>1345454.5454545454</v>
      </c>
      <c r="O640" s="71">
        <f t="shared" si="142"/>
        <v>1345454.5454545454</v>
      </c>
      <c r="P640" s="71">
        <f t="shared" si="143"/>
        <v>1345454.5454545454</v>
      </c>
    </row>
    <row r="641" spans="1:16" s="58" customFormat="1" ht="24" customHeight="1">
      <c r="A641" s="10">
        <f t="shared" si="144"/>
        <v>11</v>
      </c>
      <c r="B641" s="11" t="s">
        <v>387</v>
      </c>
      <c r="C641" s="12" t="s">
        <v>84</v>
      </c>
      <c r="D641" s="30"/>
      <c r="E641" s="13">
        <f>700000/1.1</f>
        <v>636363.63636363635</v>
      </c>
      <c r="F641" s="13">
        <f t="shared" si="139"/>
        <v>636363.63636363635</v>
      </c>
      <c r="G641" s="206" t="s">
        <v>84</v>
      </c>
      <c r="H641" s="127"/>
      <c r="I641" s="127"/>
      <c r="J641" s="127"/>
      <c r="K641" s="25" t="str">
        <f t="shared" si="140"/>
        <v>đ/cái</v>
      </c>
      <c r="L641" s="120"/>
      <c r="M641" s="120">
        <f t="shared" si="141"/>
        <v>636363.63636363635</v>
      </c>
      <c r="N641" s="120">
        <f t="shared" si="145"/>
        <v>636363.63636363635</v>
      </c>
      <c r="O641" s="71">
        <f t="shared" si="142"/>
        <v>636363.63636363635</v>
      </c>
      <c r="P641" s="71">
        <f t="shared" si="143"/>
        <v>636363.63636363635</v>
      </c>
    </row>
    <row r="642" spans="1:16" s="58" customFormat="1" ht="24" customHeight="1">
      <c r="A642" s="10">
        <f t="shared" si="144"/>
        <v>12</v>
      </c>
      <c r="B642" s="11" t="s">
        <v>388</v>
      </c>
      <c r="C642" s="12" t="s">
        <v>84</v>
      </c>
      <c r="D642" s="30"/>
      <c r="E642" s="13">
        <f>650000/1.1</f>
        <v>590909.09090909082</v>
      </c>
      <c r="F642" s="13">
        <f t="shared" si="139"/>
        <v>590909.09090909082</v>
      </c>
      <c r="G642" s="206" t="s">
        <v>84</v>
      </c>
      <c r="H642" s="127"/>
      <c r="I642" s="127"/>
      <c r="J642" s="127"/>
      <c r="K642" s="25" t="str">
        <f t="shared" si="140"/>
        <v>đ/cái</v>
      </c>
      <c r="L642" s="120"/>
      <c r="M642" s="120">
        <f t="shared" si="141"/>
        <v>590909.09090909082</v>
      </c>
      <c r="N642" s="120">
        <f t="shared" si="145"/>
        <v>590909.09090909082</v>
      </c>
      <c r="O642" s="71">
        <f t="shared" si="142"/>
        <v>590909.09090909082</v>
      </c>
      <c r="P642" s="71">
        <f t="shared" si="143"/>
        <v>590909.09090909082</v>
      </c>
    </row>
    <row r="643" spans="1:16" s="58" customFormat="1" ht="38.1" customHeight="1">
      <c r="A643" s="10"/>
      <c r="B643" s="237" t="s">
        <v>389</v>
      </c>
      <c r="C643" s="238"/>
      <c r="D643" s="238"/>
      <c r="E643" s="238"/>
      <c r="F643" s="238"/>
      <c r="G643" s="238"/>
      <c r="H643" s="238"/>
      <c r="I643" s="238"/>
      <c r="J643" s="238"/>
      <c r="K643" s="238"/>
      <c r="L643" s="238"/>
      <c r="M643" s="238"/>
      <c r="N643" s="239"/>
      <c r="O643" s="69"/>
      <c r="P643" s="69"/>
    </row>
    <row r="644" spans="1:16" s="58" customFormat="1" ht="24" customHeight="1">
      <c r="A644" s="10">
        <v>1</v>
      </c>
      <c r="B644" s="11" t="s">
        <v>390</v>
      </c>
      <c r="C644" s="12" t="s">
        <v>259</v>
      </c>
      <c r="D644" s="30"/>
      <c r="E644" s="13">
        <f>1565000/1.1</f>
        <v>1422727.2727272727</v>
      </c>
      <c r="F644" s="13">
        <f t="shared" ref="F644:F653" si="146">E644</f>
        <v>1422727.2727272727</v>
      </c>
      <c r="G644" s="206" t="s">
        <v>259</v>
      </c>
      <c r="H644" s="127"/>
      <c r="I644" s="127"/>
      <c r="J644" s="127"/>
      <c r="K644" s="25" t="str">
        <f>C644</f>
        <v>đ/bộ</v>
      </c>
      <c r="L644" s="120"/>
      <c r="M644" s="120">
        <f>E644</f>
        <v>1422727.2727272727</v>
      </c>
      <c r="N644" s="120">
        <f>F644</f>
        <v>1422727.2727272727</v>
      </c>
      <c r="O644" s="71">
        <f t="shared" ref="O644:O653" si="147">E644</f>
        <v>1422727.2727272727</v>
      </c>
      <c r="P644" s="71">
        <f t="shared" ref="P644:P653" si="148">M644</f>
        <v>1422727.2727272727</v>
      </c>
    </row>
    <row r="645" spans="1:16" s="58" customFormat="1" ht="24" customHeight="1">
      <c r="A645" s="10">
        <f t="shared" ref="A645:A653" si="149">+A644+1</f>
        <v>2</v>
      </c>
      <c r="B645" s="11" t="s">
        <v>391</v>
      </c>
      <c r="C645" s="12" t="s">
        <v>259</v>
      </c>
      <c r="D645" s="30"/>
      <c r="E645" s="13">
        <f>550000/1.1</f>
        <v>499999.99999999994</v>
      </c>
      <c r="F645" s="13">
        <f t="shared" si="146"/>
        <v>499999.99999999994</v>
      </c>
      <c r="G645" s="206" t="s">
        <v>259</v>
      </c>
      <c r="H645" s="127"/>
      <c r="I645" s="127"/>
      <c r="J645" s="127"/>
      <c r="K645" s="25" t="str">
        <f t="shared" ref="K645:K653" si="150">C645</f>
        <v>đ/bộ</v>
      </c>
      <c r="L645" s="120"/>
      <c r="M645" s="120">
        <f t="shared" ref="M645:M653" si="151">E645</f>
        <v>499999.99999999994</v>
      </c>
      <c r="N645" s="120">
        <f t="shared" ref="N645:N653" si="152">F645</f>
        <v>499999.99999999994</v>
      </c>
      <c r="O645" s="71">
        <f t="shared" si="147"/>
        <v>499999.99999999994</v>
      </c>
      <c r="P645" s="71">
        <f t="shared" si="148"/>
        <v>499999.99999999994</v>
      </c>
    </row>
    <row r="646" spans="1:16" s="58" customFormat="1" ht="24" customHeight="1">
      <c r="A646" s="10">
        <f t="shared" si="149"/>
        <v>3</v>
      </c>
      <c r="B646" s="11" t="s">
        <v>392</v>
      </c>
      <c r="C646" s="12" t="s">
        <v>259</v>
      </c>
      <c r="D646" s="30"/>
      <c r="E646" s="13">
        <f>895000/1.1</f>
        <v>813636.36363636353</v>
      </c>
      <c r="F646" s="13">
        <f t="shared" si="146"/>
        <v>813636.36363636353</v>
      </c>
      <c r="G646" s="206" t="s">
        <v>259</v>
      </c>
      <c r="H646" s="127"/>
      <c r="I646" s="127"/>
      <c r="J646" s="127"/>
      <c r="K646" s="25" t="str">
        <f t="shared" si="150"/>
        <v>đ/bộ</v>
      </c>
      <c r="L646" s="120"/>
      <c r="M646" s="120">
        <f t="shared" si="151"/>
        <v>813636.36363636353</v>
      </c>
      <c r="N646" s="120">
        <f t="shared" si="152"/>
        <v>813636.36363636353</v>
      </c>
      <c r="O646" s="71">
        <f t="shared" si="147"/>
        <v>813636.36363636353</v>
      </c>
      <c r="P646" s="71">
        <f t="shared" si="148"/>
        <v>813636.36363636353</v>
      </c>
    </row>
    <row r="647" spans="1:16" s="58" customFormat="1" ht="24" customHeight="1">
      <c r="A647" s="10">
        <f t="shared" si="149"/>
        <v>4</v>
      </c>
      <c r="B647" s="11" t="s">
        <v>393</v>
      </c>
      <c r="C647" s="12" t="s">
        <v>259</v>
      </c>
      <c r="D647" s="30"/>
      <c r="E647" s="13">
        <f>250000/1.1</f>
        <v>227272.72727272726</v>
      </c>
      <c r="F647" s="13">
        <f t="shared" si="146"/>
        <v>227272.72727272726</v>
      </c>
      <c r="G647" s="206" t="s">
        <v>259</v>
      </c>
      <c r="H647" s="127"/>
      <c r="I647" s="127"/>
      <c r="J647" s="127"/>
      <c r="K647" s="25" t="str">
        <f t="shared" si="150"/>
        <v>đ/bộ</v>
      </c>
      <c r="L647" s="120"/>
      <c r="M647" s="120">
        <f t="shared" si="151"/>
        <v>227272.72727272726</v>
      </c>
      <c r="N647" s="120">
        <f t="shared" si="152"/>
        <v>227272.72727272726</v>
      </c>
      <c r="O647" s="71">
        <f t="shared" si="147"/>
        <v>227272.72727272726</v>
      </c>
      <c r="P647" s="71">
        <f t="shared" si="148"/>
        <v>227272.72727272726</v>
      </c>
    </row>
    <row r="648" spans="1:16" s="58" customFormat="1" ht="24" customHeight="1">
      <c r="A648" s="10">
        <f t="shared" si="149"/>
        <v>5</v>
      </c>
      <c r="B648" s="11" t="s">
        <v>394</v>
      </c>
      <c r="C648" s="12" t="s">
        <v>259</v>
      </c>
      <c r="D648" s="30"/>
      <c r="E648" s="13">
        <f>335000/1.1</f>
        <v>304545.45454545453</v>
      </c>
      <c r="F648" s="13">
        <f t="shared" si="146"/>
        <v>304545.45454545453</v>
      </c>
      <c r="G648" s="206" t="s">
        <v>259</v>
      </c>
      <c r="H648" s="127"/>
      <c r="I648" s="127"/>
      <c r="J648" s="127"/>
      <c r="K648" s="25" t="str">
        <f t="shared" si="150"/>
        <v>đ/bộ</v>
      </c>
      <c r="L648" s="120"/>
      <c r="M648" s="120">
        <f t="shared" si="151"/>
        <v>304545.45454545453</v>
      </c>
      <c r="N648" s="120">
        <f t="shared" si="152"/>
        <v>304545.45454545453</v>
      </c>
      <c r="O648" s="71">
        <f t="shared" si="147"/>
        <v>304545.45454545453</v>
      </c>
      <c r="P648" s="71">
        <f t="shared" si="148"/>
        <v>304545.45454545453</v>
      </c>
    </row>
    <row r="649" spans="1:16" s="58" customFormat="1" ht="24" customHeight="1">
      <c r="A649" s="10">
        <f t="shared" si="149"/>
        <v>6</v>
      </c>
      <c r="B649" s="11" t="s">
        <v>395</v>
      </c>
      <c r="C649" s="12" t="s">
        <v>259</v>
      </c>
      <c r="D649" s="30"/>
      <c r="E649" s="13">
        <f>330000/1.1</f>
        <v>300000</v>
      </c>
      <c r="F649" s="13">
        <f t="shared" si="146"/>
        <v>300000</v>
      </c>
      <c r="G649" s="206" t="s">
        <v>259</v>
      </c>
      <c r="H649" s="127"/>
      <c r="I649" s="127"/>
      <c r="J649" s="127"/>
      <c r="K649" s="25" t="str">
        <f t="shared" si="150"/>
        <v>đ/bộ</v>
      </c>
      <c r="L649" s="120"/>
      <c r="M649" s="120">
        <f t="shared" si="151"/>
        <v>300000</v>
      </c>
      <c r="N649" s="120">
        <f t="shared" si="152"/>
        <v>300000</v>
      </c>
      <c r="O649" s="71">
        <f t="shared" si="147"/>
        <v>300000</v>
      </c>
      <c r="P649" s="71">
        <f t="shared" si="148"/>
        <v>300000</v>
      </c>
    </row>
    <row r="650" spans="1:16" s="58" customFormat="1" ht="24" customHeight="1">
      <c r="A650" s="10">
        <f t="shared" si="149"/>
        <v>7</v>
      </c>
      <c r="B650" s="11" t="s">
        <v>396</v>
      </c>
      <c r="C650" s="12" t="s">
        <v>259</v>
      </c>
      <c r="D650" s="30"/>
      <c r="E650" s="13">
        <f>260000/1.1</f>
        <v>236363.63636363635</v>
      </c>
      <c r="F650" s="13">
        <f t="shared" si="146"/>
        <v>236363.63636363635</v>
      </c>
      <c r="G650" s="206" t="s">
        <v>259</v>
      </c>
      <c r="H650" s="127"/>
      <c r="I650" s="127"/>
      <c r="J650" s="127"/>
      <c r="K650" s="25" t="str">
        <f t="shared" si="150"/>
        <v>đ/bộ</v>
      </c>
      <c r="L650" s="120"/>
      <c r="M650" s="120">
        <f t="shared" si="151"/>
        <v>236363.63636363635</v>
      </c>
      <c r="N650" s="120">
        <f t="shared" si="152"/>
        <v>236363.63636363635</v>
      </c>
      <c r="O650" s="71">
        <f t="shared" si="147"/>
        <v>236363.63636363635</v>
      </c>
      <c r="P650" s="71">
        <f t="shared" si="148"/>
        <v>236363.63636363635</v>
      </c>
    </row>
    <row r="651" spans="1:16" s="58" customFormat="1" ht="24" customHeight="1">
      <c r="A651" s="10">
        <f t="shared" si="149"/>
        <v>8</v>
      </c>
      <c r="B651" s="11" t="s">
        <v>397</v>
      </c>
      <c r="C651" s="12" t="s">
        <v>259</v>
      </c>
      <c r="D651" s="30"/>
      <c r="E651" s="13">
        <f>130000/1.1</f>
        <v>118181.81818181818</v>
      </c>
      <c r="F651" s="13">
        <f t="shared" si="146"/>
        <v>118181.81818181818</v>
      </c>
      <c r="G651" s="206" t="s">
        <v>259</v>
      </c>
      <c r="H651" s="127"/>
      <c r="I651" s="127"/>
      <c r="J651" s="127"/>
      <c r="K651" s="25" t="str">
        <f t="shared" si="150"/>
        <v>đ/bộ</v>
      </c>
      <c r="L651" s="120"/>
      <c r="M651" s="120">
        <f t="shared" si="151"/>
        <v>118181.81818181818</v>
      </c>
      <c r="N651" s="120">
        <f t="shared" si="152"/>
        <v>118181.81818181818</v>
      </c>
      <c r="O651" s="71">
        <f t="shared" si="147"/>
        <v>118181.81818181818</v>
      </c>
      <c r="P651" s="71">
        <f t="shared" si="148"/>
        <v>118181.81818181818</v>
      </c>
    </row>
    <row r="652" spans="1:16" s="58" customFormat="1" ht="24" customHeight="1">
      <c r="A652" s="10">
        <f t="shared" si="149"/>
        <v>9</v>
      </c>
      <c r="B652" s="11" t="s">
        <v>398</v>
      </c>
      <c r="C652" s="12" t="s">
        <v>259</v>
      </c>
      <c r="D652" s="30"/>
      <c r="E652" s="13">
        <f>890000/1.1</f>
        <v>809090.90909090906</v>
      </c>
      <c r="F652" s="13">
        <f t="shared" si="146"/>
        <v>809090.90909090906</v>
      </c>
      <c r="G652" s="206" t="s">
        <v>259</v>
      </c>
      <c r="H652" s="127"/>
      <c r="I652" s="127"/>
      <c r="J652" s="127"/>
      <c r="K652" s="25" t="str">
        <f t="shared" si="150"/>
        <v>đ/bộ</v>
      </c>
      <c r="L652" s="120"/>
      <c r="M652" s="120">
        <f t="shared" si="151"/>
        <v>809090.90909090906</v>
      </c>
      <c r="N652" s="120">
        <f t="shared" si="152"/>
        <v>809090.90909090906</v>
      </c>
      <c r="O652" s="71">
        <f t="shared" si="147"/>
        <v>809090.90909090906</v>
      </c>
      <c r="P652" s="71">
        <f t="shared" si="148"/>
        <v>809090.90909090906</v>
      </c>
    </row>
    <row r="653" spans="1:16" s="58" customFormat="1" ht="24" customHeight="1">
      <c r="A653" s="10">
        <f t="shared" si="149"/>
        <v>10</v>
      </c>
      <c r="B653" s="11" t="s">
        <v>399</v>
      </c>
      <c r="C653" s="12" t="s">
        <v>259</v>
      </c>
      <c r="D653" s="30"/>
      <c r="E653" s="13">
        <f>410000/1.1</f>
        <v>372727.27272727271</v>
      </c>
      <c r="F653" s="13">
        <f t="shared" si="146"/>
        <v>372727.27272727271</v>
      </c>
      <c r="G653" s="206" t="s">
        <v>259</v>
      </c>
      <c r="H653" s="127"/>
      <c r="I653" s="127"/>
      <c r="J653" s="127"/>
      <c r="K653" s="25" t="str">
        <f t="shared" si="150"/>
        <v>đ/bộ</v>
      </c>
      <c r="L653" s="120"/>
      <c r="M653" s="120">
        <f t="shared" si="151"/>
        <v>372727.27272727271</v>
      </c>
      <c r="N653" s="120">
        <f t="shared" si="152"/>
        <v>372727.27272727271</v>
      </c>
      <c r="O653" s="71">
        <f t="shared" si="147"/>
        <v>372727.27272727271</v>
      </c>
      <c r="P653" s="71">
        <f t="shared" si="148"/>
        <v>372727.27272727271</v>
      </c>
    </row>
    <row r="654" spans="1:16" s="58" customFormat="1" ht="37.5" customHeight="1">
      <c r="A654" s="10"/>
      <c r="B654" s="237" t="s">
        <v>1658</v>
      </c>
      <c r="C654" s="238"/>
      <c r="D654" s="238"/>
      <c r="E654" s="238"/>
      <c r="F654" s="238"/>
      <c r="G654" s="238"/>
      <c r="H654" s="238"/>
      <c r="I654" s="238"/>
      <c r="J654" s="238"/>
      <c r="K654" s="238"/>
      <c r="L654" s="238"/>
      <c r="M654" s="238"/>
      <c r="N654" s="239"/>
      <c r="O654" s="69"/>
      <c r="P654" s="69"/>
    </row>
    <row r="655" spans="1:16" s="58" customFormat="1" ht="22.5" customHeight="1">
      <c r="A655" s="10"/>
      <c r="B655" s="9" t="s">
        <v>400</v>
      </c>
      <c r="C655" s="8"/>
      <c r="D655" s="16"/>
      <c r="E655" s="16"/>
      <c r="F655" s="16"/>
      <c r="G655" s="127"/>
      <c r="H655" s="127"/>
      <c r="I655" s="127"/>
      <c r="J655" s="127"/>
      <c r="K655" s="116"/>
      <c r="L655" s="120"/>
      <c r="M655" s="120"/>
      <c r="N655" s="120"/>
      <c r="O655" s="69"/>
      <c r="P655" s="69"/>
    </row>
    <row r="656" spans="1:16" s="58" customFormat="1" ht="22.5" customHeight="1">
      <c r="A656" s="10">
        <v>1</v>
      </c>
      <c r="B656" s="11" t="s">
        <v>401</v>
      </c>
      <c r="C656" s="12" t="s">
        <v>259</v>
      </c>
      <c r="D656" s="16"/>
      <c r="E656" s="13">
        <f>1076900/1.1</f>
        <v>978999.99999999988</v>
      </c>
      <c r="F656" s="13">
        <f>E656</f>
        <v>978999.99999999988</v>
      </c>
      <c r="G656" s="206" t="s">
        <v>259</v>
      </c>
      <c r="H656" s="127"/>
      <c r="I656" s="127"/>
      <c r="J656" s="127"/>
      <c r="K656" s="25" t="str">
        <f>C656</f>
        <v>đ/bộ</v>
      </c>
      <c r="L656" s="120"/>
      <c r="M656" s="120">
        <f t="shared" ref="M656:N658" si="153">E656</f>
        <v>978999.99999999988</v>
      </c>
      <c r="N656" s="120">
        <f t="shared" si="153"/>
        <v>978999.99999999988</v>
      </c>
      <c r="O656" s="71">
        <f>E656</f>
        <v>978999.99999999988</v>
      </c>
      <c r="P656" s="71">
        <f>M656</f>
        <v>978999.99999999988</v>
      </c>
    </row>
    <row r="657" spans="1:16" s="58" customFormat="1" ht="22.5" customHeight="1">
      <c r="A657" s="10">
        <f>+A656+1</f>
        <v>2</v>
      </c>
      <c r="B657" s="11" t="s">
        <v>402</v>
      </c>
      <c r="C657" s="12" t="s">
        <v>259</v>
      </c>
      <c r="D657" s="30"/>
      <c r="E657" s="13">
        <f>1190200/1.1</f>
        <v>1082000</v>
      </c>
      <c r="F657" s="13">
        <f>E657</f>
        <v>1082000</v>
      </c>
      <c r="G657" s="206" t="s">
        <v>259</v>
      </c>
      <c r="H657" s="127"/>
      <c r="I657" s="127"/>
      <c r="J657" s="127"/>
      <c r="K657" s="25" t="str">
        <f>C657</f>
        <v>đ/bộ</v>
      </c>
      <c r="L657" s="120"/>
      <c r="M657" s="120">
        <f t="shared" si="153"/>
        <v>1082000</v>
      </c>
      <c r="N657" s="120">
        <f t="shared" si="153"/>
        <v>1082000</v>
      </c>
      <c r="O657" s="71">
        <f>E657</f>
        <v>1082000</v>
      </c>
      <c r="P657" s="71">
        <f>M657</f>
        <v>1082000</v>
      </c>
    </row>
    <row r="658" spans="1:16" s="58" customFormat="1" ht="22.5" customHeight="1">
      <c r="A658" s="10">
        <f>+A657+1</f>
        <v>3</v>
      </c>
      <c r="B658" s="11" t="s">
        <v>403</v>
      </c>
      <c r="C658" s="12" t="s">
        <v>259</v>
      </c>
      <c r="D658" s="30"/>
      <c r="E658" s="13">
        <f>1493800/1.1</f>
        <v>1358000</v>
      </c>
      <c r="F658" s="13">
        <f>E658</f>
        <v>1358000</v>
      </c>
      <c r="G658" s="206" t="s">
        <v>259</v>
      </c>
      <c r="H658" s="127"/>
      <c r="I658" s="127"/>
      <c r="J658" s="127"/>
      <c r="K658" s="25" t="str">
        <f>C658</f>
        <v>đ/bộ</v>
      </c>
      <c r="L658" s="120"/>
      <c r="M658" s="120">
        <f t="shared" si="153"/>
        <v>1358000</v>
      </c>
      <c r="N658" s="120">
        <f t="shared" si="153"/>
        <v>1358000</v>
      </c>
      <c r="O658" s="71">
        <f>E658</f>
        <v>1358000</v>
      </c>
      <c r="P658" s="71">
        <f>M658</f>
        <v>1358000</v>
      </c>
    </row>
    <row r="659" spans="1:16" s="58" customFormat="1" ht="22.5" customHeight="1">
      <c r="A659" s="10"/>
      <c r="B659" s="9" t="s">
        <v>404</v>
      </c>
      <c r="C659" s="12"/>
      <c r="D659" s="30"/>
      <c r="E659" s="13"/>
      <c r="F659" s="13"/>
      <c r="G659" s="127"/>
      <c r="H659" s="127"/>
      <c r="I659" s="127"/>
      <c r="J659" s="127"/>
      <c r="K659" s="116"/>
      <c r="L659" s="120"/>
      <c r="M659" s="120"/>
      <c r="N659" s="120"/>
      <c r="O659" s="69"/>
      <c r="P659" s="69"/>
    </row>
    <row r="660" spans="1:16" s="58" customFormat="1" ht="22.5" customHeight="1">
      <c r="A660" s="10">
        <f>+A658+1</f>
        <v>4</v>
      </c>
      <c r="B660" s="11" t="s">
        <v>405</v>
      </c>
      <c r="C660" s="12" t="s">
        <v>259</v>
      </c>
      <c r="D660" s="30"/>
      <c r="E660" s="13">
        <f>2596000/1.1</f>
        <v>2360000</v>
      </c>
      <c r="F660" s="13">
        <f>E660</f>
        <v>2360000</v>
      </c>
      <c r="G660" s="206" t="s">
        <v>259</v>
      </c>
      <c r="H660" s="127"/>
      <c r="I660" s="127"/>
      <c r="J660" s="127"/>
      <c r="K660" s="25" t="str">
        <f>C660</f>
        <v>đ/bộ</v>
      </c>
      <c r="L660" s="120"/>
      <c r="M660" s="120">
        <f>E660</f>
        <v>2360000</v>
      </c>
      <c r="N660" s="120">
        <f>F660</f>
        <v>2360000</v>
      </c>
      <c r="O660" s="71">
        <f>E660</f>
        <v>2360000</v>
      </c>
      <c r="P660" s="71">
        <f>M660</f>
        <v>2360000</v>
      </c>
    </row>
    <row r="661" spans="1:16" s="58" customFormat="1" ht="22.5" customHeight="1">
      <c r="A661" s="10"/>
      <c r="B661" s="9" t="s">
        <v>406</v>
      </c>
      <c r="C661" s="12"/>
      <c r="D661" s="30"/>
      <c r="E661" s="13"/>
      <c r="F661" s="13"/>
      <c r="G661" s="127"/>
      <c r="H661" s="127"/>
      <c r="I661" s="127"/>
      <c r="J661" s="127"/>
      <c r="K661" s="116"/>
      <c r="L661" s="120"/>
      <c r="M661" s="120"/>
      <c r="N661" s="120"/>
      <c r="O661" s="69"/>
      <c r="P661" s="69"/>
    </row>
    <row r="662" spans="1:16" s="58" customFormat="1" ht="22.5" customHeight="1">
      <c r="A662" s="10">
        <f>+A660+1</f>
        <v>5</v>
      </c>
      <c r="B662" s="11" t="s">
        <v>407</v>
      </c>
      <c r="C662" s="12" t="s">
        <v>84</v>
      </c>
      <c r="D662" s="30"/>
      <c r="E662" s="13">
        <f>332750/1.1</f>
        <v>302500</v>
      </c>
      <c r="F662" s="13">
        <f>E662</f>
        <v>302500</v>
      </c>
      <c r="G662" s="206" t="s">
        <v>84</v>
      </c>
      <c r="H662" s="127"/>
      <c r="I662" s="127"/>
      <c r="J662" s="127"/>
      <c r="K662" s="25" t="str">
        <f>C662</f>
        <v>đ/cái</v>
      </c>
      <c r="L662" s="120"/>
      <c r="M662" s="120">
        <f>E662</f>
        <v>302500</v>
      </c>
      <c r="N662" s="120">
        <f>F662</f>
        <v>302500</v>
      </c>
      <c r="O662" s="71">
        <f>E662</f>
        <v>302500</v>
      </c>
      <c r="P662" s="71">
        <f>M662</f>
        <v>302500</v>
      </c>
    </row>
    <row r="663" spans="1:16" s="58" customFormat="1" ht="22.5" customHeight="1">
      <c r="A663" s="10">
        <f>+A662+1</f>
        <v>6</v>
      </c>
      <c r="B663" s="11" t="s">
        <v>408</v>
      </c>
      <c r="C663" s="12" t="s">
        <v>259</v>
      </c>
      <c r="D663" s="30"/>
      <c r="E663" s="13">
        <f>528000/1.1</f>
        <v>479999.99999999994</v>
      </c>
      <c r="F663" s="13">
        <f>528000/1.1</f>
        <v>479999.99999999994</v>
      </c>
      <c r="G663" s="206" t="s">
        <v>259</v>
      </c>
      <c r="H663" s="127"/>
      <c r="I663" s="127"/>
      <c r="J663" s="127"/>
      <c r="K663" s="25" t="str">
        <f>C663</f>
        <v>đ/bộ</v>
      </c>
      <c r="L663" s="120"/>
      <c r="M663" s="120">
        <f>E663</f>
        <v>479999.99999999994</v>
      </c>
      <c r="N663" s="120">
        <f>F663</f>
        <v>479999.99999999994</v>
      </c>
      <c r="O663" s="71">
        <f>E663</f>
        <v>479999.99999999994</v>
      </c>
      <c r="P663" s="71">
        <f>M663</f>
        <v>479999.99999999994</v>
      </c>
    </row>
    <row r="664" spans="1:16" s="58" customFormat="1" ht="22.5" customHeight="1">
      <c r="A664" s="10"/>
      <c r="B664" s="9" t="s">
        <v>409</v>
      </c>
      <c r="C664" s="12"/>
      <c r="D664" s="30"/>
      <c r="E664" s="13"/>
      <c r="F664" s="13"/>
      <c r="G664" s="127"/>
      <c r="H664" s="127"/>
      <c r="I664" s="127"/>
      <c r="J664" s="127"/>
      <c r="K664" s="116"/>
      <c r="L664" s="120"/>
      <c r="M664" s="120"/>
      <c r="N664" s="120"/>
      <c r="O664" s="69"/>
      <c r="P664" s="69"/>
    </row>
    <row r="665" spans="1:16" s="58" customFormat="1" ht="22.5" customHeight="1">
      <c r="A665" s="10">
        <v>7</v>
      </c>
      <c r="B665" s="11" t="s">
        <v>410</v>
      </c>
      <c r="C665" s="12" t="s">
        <v>84</v>
      </c>
      <c r="D665" s="30"/>
      <c r="E665" s="13">
        <f>268400/1.1</f>
        <v>243999.99999999997</v>
      </c>
      <c r="F665" s="13">
        <f>E665</f>
        <v>243999.99999999997</v>
      </c>
      <c r="G665" s="206" t="s">
        <v>84</v>
      </c>
      <c r="H665" s="127"/>
      <c r="I665" s="127"/>
      <c r="J665" s="127"/>
      <c r="K665" s="25" t="str">
        <f>C665</f>
        <v>đ/cái</v>
      </c>
      <c r="L665" s="120"/>
      <c r="M665" s="120">
        <f>E665</f>
        <v>243999.99999999997</v>
      </c>
      <c r="N665" s="120">
        <f>F665</f>
        <v>243999.99999999997</v>
      </c>
      <c r="O665" s="71">
        <f>E665</f>
        <v>243999.99999999997</v>
      </c>
      <c r="P665" s="71">
        <f>M665</f>
        <v>243999.99999999997</v>
      </c>
    </row>
    <row r="666" spans="1:16" s="58" customFormat="1" ht="22.5" customHeight="1">
      <c r="A666" s="10">
        <v>8</v>
      </c>
      <c r="B666" s="11" t="s">
        <v>411</v>
      </c>
      <c r="C666" s="12" t="s">
        <v>84</v>
      </c>
      <c r="D666" s="30"/>
      <c r="E666" s="13">
        <f>305800/1.1</f>
        <v>278000</v>
      </c>
      <c r="F666" s="13">
        <f>E666</f>
        <v>278000</v>
      </c>
      <c r="G666" s="206" t="s">
        <v>84</v>
      </c>
      <c r="H666" s="127"/>
      <c r="I666" s="127"/>
      <c r="J666" s="127"/>
      <c r="K666" s="25" t="str">
        <f>C666</f>
        <v>đ/cái</v>
      </c>
      <c r="L666" s="120"/>
      <c r="M666" s="120">
        <f>E666</f>
        <v>278000</v>
      </c>
      <c r="N666" s="120">
        <f>F666</f>
        <v>278000</v>
      </c>
      <c r="O666" s="71">
        <f>E666</f>
        <v>278000</v>
      </c>
      <c r="P666" s="71">
        <f>M666</f>
        <v>278000</v>
      </c>
    </row>
    <row r="667" spans="1:16" s="58" customFormat="1" ht="22.5" customHeight="1">
      <c r="A667" s="10"/>
      <c r="B667" s="9" t="s">
        <v>412</v>
      </c>
      <c r="C667" s="12"/>
      <c r="D667" s="30"/>
      <c r="E667" s="13"/>
      <c r="F667" s="13"/>
      <c r="G667" s="206"/>
      <c r="H667" s="127"/>
      <c r="I667" s="127"/>
      <c r="J667" s="127"/>
      <c r="K667" s="116"/>
      <c r="L667" s="120"/>
      <c r="M667" s="120"/>
      <c r="N667" s="120"/>
      <c r="O667" s="69"/>
      <c r="P667" s="69"/>
    </row>
    <row r="668" spans="1:16" s="58" customFormat="1" ht="22.5" customHeight="1">
      <c r="A668" s="10">
        <f>+A666+1</f>
        <v>9</v>
      </c>
      <c r="B668" s="11" t="s">
        <v>413</v>
      </c>
      <c r="C668" s="12" t="s">
        <v>84</v>
      </c>
      <c r="D668" s="30"/>
      <c r="E668" s="13">
        <f>209000/1.1</f>
        <v>189999.99999999997</v>
      </c>
      <c r="F668" s="13">
        <f>E668</f>
        <v>189999.99999999997</v>
      </c>
      <c r="G668" s="206" t="s">
        <v>84</v>
      </c>
      <c r="H668" s="127"/>
      <c r="I668" s="127"/>
      <c r="J668" s="127"/>
      <c r="K668" s="25" t="str">
        <f>C668</f>
        <v>đ/cái</v>
      </c>
      <c r="L668" s="120"/>
      <c r="M668" s="120">
        <f>E668</f>
        <v>189999.99999999997</v>
      </c>
      <c r="N668" s="120">
        <f>F668</f>
        <v>189999.99999999997</v>
      </c>
      <c r="O668" s="71">
        <f>E668</f>
        <v>189999.99999999997</v>
      </c>
      <c r="P668" s="71">
        <f>M668</f>
        <v>189999.99999999997</v>
      </c>
    </row>
    <row r="669" spans="1:16" s="58" customFormat="1" ht="22.5" customHeight="1">
      <c r="A669" s="10">
        <f>+A668+1</f>
        <v>10</v>
      </c>
      <c r="B669" s="11" t="s">
        <v>414</v>
      </c>
      <c r="C669" s="12" t="s">
        <v>84</v>
      </c>
      <c r="D669" s="30"/>
      <c r="E669" s="13">
        <f>440000/1.1</f>
        <v>399999.99999999994</v>
      </c>
      <c r="F669" s="13">
        <f>E669</f>
        <v>399999.99999999994</v>
      </c>
      <c r="G669" s="206" t="s">
        <v>84</v>
      </c>
      <c r="H669" s="127"/>
      <c r="I669" s="127"/>
      <c r="J669" s="127"/>
      <c r="K669" s="25" t="str">
        <f>C669</f>
        <v>đ/cái</v>
      </c>
      <c r="L669" s="120"/>
      <c r="M669" s="120">
        <f>E669</f>
        <v>399999.99999999994</v>
      </c>
      <c r="N669" s="120">
        <f>F669</f>
        <v>399999.99999999994</v>
      </c>
      <c r="O669" s="71">
        <f>E669</f>
        <v>399999.99999999994</v>
      </c>
      <c r="P669" s="71">
        <f>M669</f>
        <v>399999.99999999994</v>
      </c>
    </row>
    <row r="670" spans="1:16" s="58" customFormat="1" ht="38.450000000000003" customHeight="1">
      <c r="A670" s="10"/>
      <c r="B670" s="237" t="s">
        <v>1088</v>
      </c>
      <c r="C670" s="238"/>
      <c r="D670" s="238"/>
      <c r="E670" s="238"/>
      <c r="F670" s="238"/>
      <c r="G670" s="238"/>
      <c r="H670" s="238"/>
      <c r="I670" s="238"/>
      <c r="J670" s="238"/>
      <c r="K670" s="238"/>
      <c r="L670" s="238"/>
      <c r="M670" s="238"/>
      <c r="N670" s="239"/>
      <c r="O670" s="69"/>
      <c r="P670" s="69"/>
    </row>
    <row r="671" spans="1:16" s="58" customFormat="1" ht="20.45" customHeight="1">
      <c r="A671" s="10">
        <v>1</v>
      </c>
      <c r="B671" s="11" t="s">
        <v>415</v>
      </c>
      <c r="C671" s="12" t="s">
        <v>259</v>
      </c>
      <c r="D671" s="30"/>
      <c r="E671" s="13">
        <v>18450000</v>
      </c>
      <c r="F671" s="13"/>
      <c r="G671" s="206" t="s">
        <v>259</v>
      </c>
      <c r="H671" s="127"/>
      <c r="I671" s="127"/>
      <c r="J671" s="127"/>
      <c r="K671" s="25" t="str">
        <f>C671</f>
        <v>đ/bộ</v>
      </c>
      <c r="L671" s="120"/>
      <c r="M671" s="120">
        <f>E671</f>
        <v>18450000</v>
      </c>
      <c r="N671" s="120"/>
      <c r="O671" s="71">
        <f t="shared" ref="O671:O681" si="154">E671</f>
        <v>18450000</v>
      </c>
      <c r="P671" s="71">
        <f t="shared" ref="P671:P681" si="155">M671</f>
        <v>18450000</v>
      </c>
    </row>
    <row r="672" spans="1:16" s="58" customFormat="1" ht="20.45" customHeight="1">
      <c r="A672" s="10">
        <v>2</v>
      </c>
      <c r="B672" s="11" t="s">
        <v>416</v>
      </c>
      <c r="C672" s="12" t="s">
        <v>259</v>
      </c>
      <c r="D672" s="30"/>
      <c r="E672" s="13">
        <v>2320000</v>
      </c>
      <c r="F672" s="13"/>
      <c r="G672" s="206" t="s">
        <v>259</v>
      </c>
      <c r="H672" s="127"/>
      <c r="I672" s="127"/>
      <c r="J672" s="127"/>
      <c r="K672" s="25" t="str">
        <f t="shared" ref="K672:K681" si="156">C672</f>
        <v>đ/bộ</v>
      </c>
      <c r="L672" s="120"/>
      <c r="M672" s="120">
        <f t="shared" ref="M672:M681" si="157">E672</f>
        <v>2320000</v>
      </c>
      <c r="N672" s="120"/>
      <c r="O672" s="71">
        <f t="shared" si="154"/>
        <v>2320000</v>
      </c>
      <c r="P672" s="71">
        <f t="shared" si="155"/>
        <v>2320000</v>
      </c>
    </row>
    <row r="673" spans="1:16" s="58" customFormat="1" ht="20.45" customHeight="1">
      <c r="A673" s="10">
        <v>3</v>
      </c>
      <c r="B673" s="11" t="s">
        <v>417</v>
      </c>
      <c r="C673" s="12" t="s">
        <v>259</v>
      </c>
      <c r="D673" s="30"/>
      <c r="E673" s="13">
        <v>2860000</v>
      </c>
      <c r="F673" s="13"/>
      <c r="G673" s="206" t="s">
        <v>259</v>
      </c>
      <c r="H673" s="127"/>
      <c r="I673" s="127"/>
      <c r="J673" s="127"/>
      <c r="K673" s="25" t="str">
        <f t="shared" si="156"/>
        <v>đ/bộ</v>
      </c>
      <c r="L673" s="120"/>
      <c r="M673" s="120">
        <f t="shared" si="157"/>
        <v>2860000</v>
      </c>
      <c r="N673" s="120"/>
      <c r="O673" s="71">
        <f t="shared" si="154"/>
        <v>2860000</v>
      </c>
      <c r="P673" s="71">
        <f t="shared" si="155"/>
        <v>2860000</v>
      </c>
    </row>
    <row r="674" spans="1:16" s="58" customFormat="1" ht="20.45" customHeight="1">
      <c r="A674" s="10">
        <v>4</v>
      </c>
      <c r="B674" s="11" t="s">
        <v>418</v>
      </c>
      <c r="C674" s="12" t="s">
        <v>84</v>
      </c>
      <c r="D674" s="30"/>
      <c r="E674" s="13">
        <v>410000</v>
      </c>
      <c r="F674" s="13"/>
      <c r="G674" s="206" t="s">
        <v>84</v>
      </c>
      <c r="H674" s="127"/>
      <c r="I674" s="127"/>
      <c r="J674" s="127"/>
      <c r="K674" s="25" t="str">
        <f t="shared" si="156"/>
        <v>đ/cái</v>
      </c>
      <c r="L674" s="120"/>
      <c r="M674" s="120">
        <f t="shared" si="157"/>
        <v>410000</v>
      </c>
      <c r="N674" s="120"/>
      <c r="O674" s="71">
        <f t="shared" si="154"/>
        <v>410000</v>
      </c>
      <c r="P674" s="71">
        <f t="shared" si="155"/>
        <v>410000</v>
      </c>
    </row>
    <row r="675" spans="1:16" s="58" customFormat="1" ht="20.45" customHeight="1">
      <c r="A675" s="10">
        <v>5</v>
      </c>
      <c r="B675" s="11" t="s">
        <v>419</v>
      </c>
      <c r="C675" s="12" t="s">
        <v>84</v>
      </c>
      <c r="D675" s="30"/>
      <c r="E675" s="13">
        <v>515000</v>
      </c>
      <c r="F675" s="13"/>
      <c r="G675" s="206" t="s">
        <v>84</v>
      </c>
      <c r="H675" s="127"/>
      <c r="I675" s="127"/>
      <c r="J675" s="127"/>
      <c r="K675" s="25" t="str">
        <f t="shared" si="156"/>
        <v>đ/cái</v>
      </c>
      <c r="L675" s="120"/>
      <c r="M675" s="120">
        <f t="shared" si="157"/>
        <v>515000</v>
      </c>
      <c r="N675" s="120"/>
      <c r="O675" s="71">
        <f t="shared" si="154"/>
        <v>515000</v>
      </c>
      <c r="P675" s="71">
        <f t="shared" si="155"/>
        <v>515000</v>
      </c>
    </row>
    <row r="676" spans="1:16" s="58" customFormat="1" ht="20.45" customHeight="1">
      <c r="A676" s="10">
        <v>6</v>
      </c>
      <c r="B676" s="11" t="s">
        <v>420</v>
      </c>
      <c r="C676" s="12" t="s">
        <v>84</v>
      </c>
      <c r="D676" s="30"/>
      <c r="E676" s="13">
        <v>730000</v>
      </c>
      <c r="F676" s="13"/>
      <c r="G676" s="206" t="s">
        <v>84</v>
      </c>
      <c r="H676" s="127"/>
      <c r="I676" s="127"/>
      <c r="J676" s="127"/>
      <c r="K676" s="25" t="str">
        <f t="shared" si="156"/>
        <v>đ/cái</v>
      </c>
      <c r="L676" s="120"/>
      <c r="M676" s="120">
        <f t="shared" si="157"/>
        <v>730000</v>
      </c>
      <c r="N676" s="120"/>
      <c r="O676" s="71">
        <f t="shared" si="154"/>
        <v>730000</v>
      </c>
      <c r="P676" s="71">
        <f t="shared" si="155"/>
        <v>730000</v>
      </c>
    </row>
    <row r="677" spans="1:16" s="58" customFormat="1" ht="20.45" customHeight="1">
      <c r="A677" s="10">
        <v>7</v>
      </c>
      <c r="B677" s="11" t="s">
        <v>421</v>
      </c>
      <c r="C677" s="12" t="s">
        <v>84</v>
      </c>
      <c r="D677" s="30"/>
      <c r="E677" s="13">
        <v>470000</v>
      </c>
      <c r="F677" s="13"/>
      <c r="G677" s="206" t="s">
        <v>84</v>
      </c>
      <c r="H677" s="127"/>
      <c r="I677" s="127"/>
      <c r="J677" s="127"/>
      <c r="K677" s="25" t="str">
        <f t="shared" si="156"/>
        <v>đ/cái</v>
      </c>
      <c r="L677" s="120"/>
      <c r="M677" s="120">
        <f t="shared" si="157"/>
        <v>470000</v>
      </c>
      <c r="N677" s="120"/>
      <c r="O677" s="71">
        <f t="shared" si="154"/>
        <v>470000</v>
      </c>
      <c r="P677" s="71">
        <f t="shared" si="155"/>
        <v>470000</v>
      </c>
    </row>
    <row r="678" spans="1:16" s="58" customFormat="1" ht="20.45" customHeight="1">
      <c r="A678" s="10">
        <v>8</v>
      </c>
      <c r="B678" s="11" t="s">
        <v>422</v>
      </c>
      <c r="C678" s="12" t="s">
        <v>84</v>
      </c>
      <c r="D678" s="30"/>
      <c r="E678" s="13">
        <v>975000</v>
      </c>
      <c r="F678" s="13"/>
      <c r="G678" s="206" t="s">
        <v>84</v>
      </c>
      <c r="H678" s="127"/>
      <c r="I678" s="127"/>
      <c r="J678" s="127"/>
      <c r="K678" s="25" t="str">
        <f t="shared" si="156"/>
        <v>đ/cái</v>
      </c>
      <c r="L678" s="120"/>
      <c r="M678" s="120">
        <f t="shared" si="157"/>
        <v>975000</v>
      </c>
      <c r="N678" s="120"/>
      <c r="O678" s="71">
        <f t="shared" si="154"/>
        <v>975000</v>
      </c>
      <c r="P678" s="71">
        <f t="shared" si="155"/>
        <v>975000</v>
      </c>
    </row>
    <row r="679" spans="1:16" s="58" customFormat="1" ht="20.45" customHeight="1">
      <c r="A679" s="10">
        <v>9</v>
      </c>
      <c r="B679" s="11" t="s">
        <v>1089</v>
      </c>
      <c r="C679" s="12" t="s">
        <v>84</v>
      </c>
      <c r="D679" s="30"/>
      <c r="E679" s="13">
        <v>1070000</v>
      </c>
      <c r="F679" s="13"/>
      <c r="G679" s="206" t="s">
        <v>84</v>
      </c>
      <c r="H679" s="127"/>
      <c r="I679" s="127"/>
      <c r="J679" s="127"/>
      <c r="K679" s="25" t="str">
        <f t="shared" si="156"/>
        <v>đ/cái</v>
      </c>
      <c r="L679" s="120"/>
      <c r="M679" s="120">
        <f t="shared" si="157"/>
        <v>1070000</v>
      </c>
      <c r="N679" s="120"/>
      <c r="O679" s="71">
        <f t="shared" si="154"/>
        <v>1070000</v>
      </c>
      <c r="P679" s="71">
        <f t="shared" si="155"/>
        <v>1070000</v>
      </c>
    </row>
    <row r="680" spans="1:16" s="58" customFormat="1" ht="20.45" customHeight="1">
      <c r="A680" s="10">
        <v>10</v>
      </c>
      <c r="B680" s="11" t="s">
        <v>423</v>
      </c>
      <c r="C680" s="12" t="s">
        <v>84</v>
      </c>
      <c r="D680" s="30"/>
      <c r="E680" s="13">
        <v>790000</v>
      </c>
      <c r="F680" s="13"/>
      <c r="G680" s="206" t="s">
        <v>84</v>
      </c>
      <c r="H680" s="127"/>
      <c r="I680" s="127"/>
      <c r="J680" s="127"/>
      <c r="K680" s="25" t="str">
        <f t="shared" si="156"/>
        <v>đ/cái</v>
      </c>
      <c r="L680" s="120"/>
      <c r="M680" s="120">
        <f t="shared" si="157"/>
        <v>790000</v>
      </c>
      <c r="N680" s="120"/>
      <c r="O680" s="71">
        <f t="shared" si="154"/>
        <v>790000</v>
      </c>
      <c r="P680" s="71">
        <f t="shared" si="155"/>
        <v>790000</v>
      </c>
    </row>
    <row r="681" spans="1:16" s="58" customFormat="1" ht="20.45" customHeight="1">
      <c r="A681" s="10">
        <v>11</v>
      </c>
      <c r="B681" s="11" t="s">
        <v>424</v>
      </c>
      <c r="C681" s="12" t="s">
        <v>84</v>
      </c>
      <c r="D681" s="30"/>
      <c r="E681" s="13">
        <v>550000</v>
      </c>
      <c r="F681" s="13"/>
      <c r="G681" s="206" t="s">
        <v>84</v>
      </c>
      <c r="H681" s="127"/>
      <c r="I681" s="127"/>
      <c r="J681" s="127"/>
      <c r="K681" s="25" t="str">
        <f t="shared" si="156"/>
        <v>đ/cái</v>
      </c>
      <c r="L681" s="120"/>
      <c r="M681" s="120">
        <f t="shared" si="157"/>
        <v>550000</v>
      </c>
      <c r="N681" s="120"/>
      <c r="O681" s="71">
        <f t="shared" si="154"/>
        <v>550000</v>
      </c>
      <c r="P681" s="71">
        <f t="shared" si="155"/>
        <v>550000</v>
      </c>
    </row>
    <row r="682" spans="1:16" s="58" customFormat="1" ht="25.5" customHeight="1">
      <c r="A682" s="17" t="s">
        <v>425</v>
      </c>
      <c r="B682" s="252" t="s">
        <v>426</v>
      </c>
      <c r="C682" s="252"/>
      <c r="D682" s="252"/>
      <c r="E682" s="252"/>
      <c r="F682" s="252"/>
      <c r="G682" s="127"/>
      <c r="H682" s="127"/>
      <c r="I682" s="127"/>
      <c r="J682" s="127"/>
      <c r="K682" s="25"/>
      <c r="L682" s="120"/>
      <c r="M682" s="120"/>
      <c r="N682" s="120"/>
      <c r="O682" s="69"/>
      <c r="P682" s="69"/>
    </row>
    <row r="683" spans="1:16" s="58" customFormat="1" ht="33.950000000000003" customHeight="1">
      <c r="A683" s="10"/>
      <c r="B683" s="240" t="s">
        <v>1881</v>
      </c>
      <c r="C683" s="241"/>
      <c r="D683" s="241"/>
      <c r="E683" s="241"/>
      <c r="F683" s="241"/>
      <c r="G683" s="241"/>
      <c r="H683" s="241"/>
      <c r="I683" s="241"/>
      <c r="J683" s="241"/>
      <c r="K683" s="241"/>
      <c r="L683" s="241"/>
      <c r="M683" s="241"/>
      <c r="N683" s="242"/>
      <c r="O683" s="69"/>
      <c r="P683" s="69"/>
    </row>
    <row r="684" spans="1:16" s="58" customFormat="1" ht="17.25">
      <c r="A684" s="10"/>
      <c r="B684" s="237" t="s">
        <v>427</v>
      </c>
      <c r="C684" s="238"/>
      <c r="D684" s="238"/>
      <c r="E684" s="238"/>
      <c r="F684" s="238"/>
      <c r="G684" s="238"/>
      <c r="H684" s="238"/>
      <c r="I684" s="238"/>
      <c r="J684" s="238"/>
      <c r="K684" s="238"/>
      <c r="L684" s="238"/>
      <c r="M684" s="238"/>
      <c r="N684" s="239"/>
      <c r="O684" s="69"/>
      <c r="P684" s="69"/>
    </row>
    <row r="685" spans="1:16" s="58" customFormat="1" ht="21.95" customHeight="1">
      <c r="A685" s="10">
        <v>1</v>
      </c>
      <c r="B685" s="33" t="s">
        <v>428</v>
      </c>
      <c r="C685" s="12" t="s">
        <v>1132</v>
      </c>
      <c r="D685" s="13">
        <v>13000</v>
      </c>
      <c r="E685" s="13"/>
      <c r="F685" s="13"/>
      <c r="G685" s="206" t="s">
        <v>1769</v>
      </c>
      <c r="H685" s="68">
        <v>13000</v>
      </c>
      <c r="I685" s="127"/>
      <c r="J685" s="127"/>
      <c r="K685" s="25" t="str">
        <f>C685</f>
        <v>đ/m2</v>
      </c>
      <c r="L685" s="122">
        <f>H685</f>
        <v>13000</v>
      </c>
      <c r="M685" s="120"/>
      <c r="N685" s="120"/>
      <c r="O685" s="71">
        <f t="shared" ref="O685:O692" si="158">D685</f>
        <v>13000</v>
      </c>
      <c r="P685" s="71">
        <f t="shared" ref="P685:P692" si="159">L685</f>
        <v>13000</v>
      </c>
    </row>
    <row r="686" spans="1:16" s="58" customFormat="1" ht="21.95" customHeight="1">
      <c r="A686" s="10">
        <f t="shared" ref="A686:A692" si="160">+A685+1</f>
        <v>2</v>
      </c>
      <c r="B686" s="33" t="s">
        <v>429</v>
      </c>
      <c r="C686" s="12" t="s">
        <v>1132</v>
      </c>
      <c r="D686" s="13">
        <v>14000</v>
      </c>
      <c r="E686" s="13"/>
      <c r="F686" s="13"/>
      <c r="G686" s="206" t="s">
        <v>1769</v>
      </c>
      <c r="H686" s="68">
        <v>14000</v>
      </c>
      <c r="I686" s="127"/>
      <c r="J686" s="127"/>
      <c r="K686" s="25" t="str">
        <f t="shared" ref="K686:K692" si="161">C686</f>
        <v>đ/m2</v>
      </c>
      <c r="L686" s="122">
        <f t="shared" ref="L686:L692" si="162">H686</f>
        <v>14000</v>
      </c>
      <c r="M686" s="120"/>
      <c r="N686" s="120"/>
      <c r="O686" s="71">
        <f t="shared" si="158"/>
        <v>14000</v>
      </c>
      <c r="P686" s="71">
        <f t="shared" si="159"/>
        <v>14000</v>
      </c>
    </row>
    <row r="687" spans="1:16" s="58" customFormat="1" ht="21.95" customHeight="1">
      <c r="A687" s="10">
        <f t="shared" si="160"/>
        <v>3</v>
      </c>
      <c r="B687" s="33" t="s">
        <v>430</v>
      </c>
      <c r="C687" s="12" t="s">
        <v>1132</v>
      </c>
      <c r="D687" s="13">
        <v>16300</v>
      </c>
      <c r="E687" s="13"/>
      <c r="F687" s="13"/>
      <c r="G687" s="206" t="s">
        <v>1769</v>
      </c>
      <c r="H687" s="68">
        <v>16300</v>
      </c>
      <c r="I687" s="127"/>
      <c r="J687" s="127"/>
      <c r="K687" s="25" t="str">
        <f t="shared" si="161"/>
        <v>đ/m2</v>
      </c>
      <c r="L687" s="122">
        <f t="shared" si="162"/>
        <v>16300</v>
      </c>
      <c r="M687" s="120"/>
      <c r="N687" s="120"/>
      <c r="O687" s="71">
        <f t="shared" si="158"/>
        <v>16300</v>
      </c>
      <c r="P687" s="71">
        <f t="shared" si="159"/>
        <v>16300</v>
      </c>
    </row>
    <row r="688" spans="1:16" s="58" customFormat="1" ht="21.95" customHeight="1">
      <c r="A688" s="10">
        <f t="shared" si="160"/>
        <v>4</v>
      </c>
      <c r="B688" s="33" t="s">
        <v>431</v>
      </c>
      <c r="C688" s="12" t="s">
        <v>1132</v>
      </c>
      <c r="D688" s="13">
        <v>17800</v>
      </c>
      <c r="E688" s="13"/>
      <c r="F688" s="13"/>
      <c r="G688" s="206" t="s">
        <v>1769</v>
      </c>
      <c r="H688" s="68">
        <v>17800</v>
      </c>
      <c r="I688" s="127"/>
      <c r="J688" s="127"/>
      <c r="K688" s="25" t="str">
        <f t="shared" si="161"/>
        <v>đ/m2</v>
      </c>
      <c r="L688" s="122">
        <f t="shared" si="162"/>
        <v>17800</v>
      </c>
      <c r="M688" s="120"/>
      <c r="N688" s="120"/>
      <c r="O688" s="71">
        <f t="shared" si="158"/>
        <v>17800</v>
      </c>
      <c r="P688" s="71">
        <f t="shared" si="159"/>
        <v>17800</v>
      </c>
    </row>
    <row r="689" spans="1:16" s="58" customFormat="1" ht="21.95" customHeight="1">
      <c r="A689" s="10">
        <f t="shared" si="160"/>
        <v>5</v>
      </c>
      <c r="B689" s="33" t="s">
        <v>432</v>
      </c>
      <c r="C689" s="12" t="s">
        <v>1132</v>
      </c>
      <c r="D689" s="13">
        <v>23500</v>
      </c>
      <c r="E689" s="13"/>
      <c r="F689" s="13"/>
      <c r="G689" s="206" t="s">
        <v>1769</v>
      </c>
      <c r="H689" s="68">
        <v>23500</v>
      </c>
      <c r="I689" s="127"/>
      <c r="J689" s="127"/>
      <c r="K689" s="25" t="str">
        <f t="shared" si="161"/>
        <v>đ/m2</v>
      </c>
      <c r="L689" s="122">
        <f t="shared" si="162"/>
        <v>23500</v>
      </c>
      <c r="M689" s="120"/>
      <c r="N689" s="120"/>
      <c r="O689" s="71">
        <f t="shared" si="158"/>
        <v>23500</v>
      </c>
      <c r="P689" s="71">
        <f t="shared" si="159"/>
        <v>23500</v>
      </c>
    </row>
    <row r="690" spans="1:16" s="58" customFormat="1" ht="21.95" customHeight="1">
      <c r="A690" s="10">
        <f t="shared" si="160"/>
        <v>6</v>
      </c>
      <c r="B690" s="33" t="s">
        <v>433</v>
      </c>
      <c r="C690" s="12" t="s">
        <v>1132</v>
      </c>
      <c r="D690" s="13">
        <v>25900</v>
      </c>
      <c r="E690" s="13"/>
      <c r="F690" s="13"/>
      <c r="G690" s="206" t="s">
        <v>1769</v>
      </c>
      <c r="H690" s="68">
        <v>25900</v>
      </c>
      <c r="I690" s="127"/>
      <c r="J690" s="127"/>
      <c r="K690" s="25" t="str">
        <f t="shared" si="161"/>
        <v>đ/m2</v>
      </c>
      <c r="L690" s="122">
        <f t="shared" si="162"/>
        <v>25900</v>
      </c>
      <c r="M690" s="120"/>
      <c r="N690" s="120"/>
      <c r="O690" s="71">
        <f t="shared" si="158"/>
        <v>25900</v>
      </c>
      <c r="P690" s="71">
        <f t="shared" si="159"/>
        <v>25900</v>
      </c>
    </row>
    <row r="691" spans="1:16" s="58" customFormat="1" ht="21.95" customHeight="1">
      <c r="A691" s="10">
        <f t="shared" si="160"/>
        <v>7</v>
      </c>
      <c r="B691" s="33" t="s">
        <v>434</v>
      </c>
      <c r="C691" s="12" t="s">
        <v>1132</v>
      </c>
      <c r="D691" s="13">
        <v>29200</v>
      </c>
      <c r="E691" s="13"/>
      <c r="F691" s="13"/>
      <c r="G691" s="206" t="s">
        <v>1769</v>
      </c>
      <c r="H691" s="68">
        <v>29200</v>
      </c>
      <c r="I691" s="127"/>
      <c r="J691" s="127"/>
      <c r="K691" s="25" t="str">
        <f t="shared" si="161"/>
        <v>đ/m2</v>
      </c>
      <c r="L691" s="122">
        <f t="shared" si="162"/>
        <v>29200</v>
      </c>
      <c r="M691" s="120"/>
      <c r="N691" s="120"/>
      <c r="O691" s="71">
        <f t="shared" si="158"/>
        <v>29200</v>
      </c>
      <c r="P691" s="71">
        <f t="shared" si="159"/>
        <v>29200</v>
      </c>
    </row>
    <row r="692" spans="1:16" s="58" customFormat="1" ht="21.95" customHeight="1">
      <c r="A692" s="10">
        <f t="shared" si="160"/>
        <v>8</v>
      </c>
      <c r="B692" s="33" t="s">
        <v>435</v>
      </c>
      <c r="C692" s="12" t="s">
        <v>1132</v>
      </c>
      <c r="D692" s="13">
        <v>36300</v>
      </c>
      <c r="E692" s="13"/>
      <c r="F692" s="13"/>
      <c r="G692" s="206" t="s">
        <v>1769</v>
      </c>
      <c r="H692" s="68">
        <v>36300</v>
      </c>
      <c r="I692" s="127"/>
      <c r="J692" s="127"/>
      <c r="K692" s="25" t="str">
        <f t="shared" si="161"/>
        <v>đ/m2</v>
      </c>
      <c r="L692" s="122">
        <f t="shared" si="162"/>
        <v>36300</v>
      </c>
      <c r="M692" s="120"/>
      <c r="N692" s="120"/>
      <c r="O692" s="71">
        <f t="shared" si="158"/>
        <v>36300</v>
      </c>
      <c r="P692" s="71">
        <f t="shared" si="159"/>
        <v>36300</v>
      </c>
    </row>
    <row r="693" spans="1:16" s="58" customFormat="1" ht="17.25">
      <c r="A693" s="10"/>
      <c r="B693" s="9" t="s">
        <v>436</v>
      </c>
      <c r="C693" s="9"/>
      <c r="D693" s="9"/>
      <c r="E693" s="9"/>
      <c r="F693" s="9"/>
      <c r="G693" s="127"/>
      <c r="H693" s="234"/>
      <c r="I693" s="127"/>
      <c r="J693" s="127"/>
      <c r="K693" s="116"/>
      <c r="L693" s="120"/>
      <c r="M693" s="120"/>
      <c r="N693" s="120"/>
      <c r="O693" s="69"/>
      <c r="P693" s="69"/>
    </row>
    <row r="694" spans="1:16" s="58" customFormat="1" ht="21.95" customHeight="1">
      <c r="A694" s="10"/>
      <c r="B694" s="9" t="s">
        <v>437</v>
      </c>
      <c r="C694" s="15"/>
      <c r="D694" s="13"/>
      <c r="E694" s="13"/>
      <c r="F694" s="13"/>
      <c r="G694" s="127"/>
      <c r="H694" s="68"/>
      <c r="I694" s="127"/>
      <c r="J694" s="127"/>
      <c r="K694" s="116"/>
      <c r="L694" s="120"/>
      <c r="M694" s="120"/>
      <c r="N694" s="120"/>
      <c r="O694" s="69"/>
      <c r="P694" s="69"/>
    </row>
    <row r="695" spans="1:16" s="58" customFormat="1" ht="21.95" customHeight="1">
      <c r="A695" s="10">
        <f>+A692+1</f>
        <v>9</v>
      </c>
      <c r="B695" s="11" t="s">
        <v>438</v>
      </c>
      <c r="C695" s="12" t="s">
        <v>1140</v>
      </c>
      <c r="D695" s="13">
        <v>38000</v>
      </c>
      <c r="E695" s="13"/>
      <c r="F695" s="13"/>
      <c r="G695" s="206" t="s">
        <v>1770</v>
      </c>
      <c r="H695" s="68">
        <v>42500</v>
      </c>
      <c r="I695" s="127"/>
      <c r="J695" s="127"/>
      <c r="K695" s="25" t="str">
        <f>C695</f>
        <v>đ/m2lưới</v>
      </c>
      <c r="L695" s="122">
        <f>H695</f>
        <v>42500</v>
      </c>
      <c r="M695" s="120"/>
      <c r="N695" s="120"/>
      <c r="O695" s="71">
        <f>D695</f>
        <v>38000</v>
      </c>
      <c r="P695" s="71">
        <f>L695</f>
        <v>42500</v>
      </c>
    </row>
    <row r="696" spans="1:16" s="58" customFormat="1" ht="21.95" customHeight="1">
      <c r="A696" s="10">
        <f>+A695+1</f>
        <v>10</v>
      </c>
      <c r="B696" s="11" t="s">
        <v>439</v>
      </c>
      <c r="C696" s="12" t="s">
        <v>1140</v>
      </c>
      <c r="D696" s="13">
        <v>44000</v>
      </c>
      <c r="E696" s="13"/>
      <c r="F696" s="13"/>
      <c r="G696" s="206" t="s">
        <v>1770</v>
      </c>
      <c r="H696" s="68">
        <v>48000</v>
      </c>
      <c r="I696" s="127"/>
      <c r="J696" s="127"/>
      <c r="K696" s="25" t="str">
        <f>C696</f>
        <v>đ/m2lưới</v>
      </c>
      <c r="L696" s="122">
        <f>H696</f>
        <v>48000</v>
      </c>
      <c r="M696" s="120"/>
      <c r="N696" s="120"/>
      <c r="O696" s="71">
        <f>D696</f>
        <v>44000</v>
      </c>
      <c r="P696" s="71">
        <f>L696</f>
        <v>48000</v>
      </c>
    </row>
    <row r="697" spans="1:16" s="58" customFormat="1" ht="21.95" customHeight="1">
      <c r="A697" s="10">
        <f>+A696+1</f>
        <v>11</v>
      </c>
      <c r="B697" s="11" t="s">
        <v>440</v>
      </c>
      <c r="C697" s="12" t="s">
        <v>1140</v>
      </c>
      <c r="D697" s="13">
        <v>52500</v>
      </c>
      <c r="E697" s="13"/>
      <c r="F697" s="13"/>
      <c r="G697" s="206" t="s">
        <v>1770</v>
      </c>
      <c r="H697" s="68">
        <v>56500</v>
      </c>
      <c r="I697" s="127"/>
      <c r="J697" s="127"/>
      <c r="K697" s="25" t="str">
        <f>C697</f>
        <v>đ/m2lưới</v>
      </c>
      <c r="L697" s="122">
        <f>H697</f>
        <v>56500</v>
      </c>
      <c r="M697" s="120"/>
      <c r="N697" s="120"/>
      <c r="O697" s="71">
        <f>D697</f>
        <v>52500</v>
      </c>
      <c r="P697" s="71">
        <f>L697</f>
        <v>56500</v>
      </c>
    </row>
    <row r="698" spans="1:16" s="58" customFormat="1" ht="24.75" customHeight="1">
      <c r="A698" s="10"/>
      <c r="B698" s="9" t="s">
        <v>441</v>
      </c>
      <c r="C698" s="15"/>
      <c r="D698" s="134"/>
      <c r="E698" s="13"/>
      <c r="F698" s="13"/>
      <c r="G698" s="127"/>
      <c r="H698" s="134"/>
      <c r="I698" s="127"/>
      <c r="J698" s="127"/>
      <c r="K698" s="25"/>
      <c r="L698" s="134"/>
      <c r="M698" s="120"/>
      <c r="N698" s="120"/>
      <c r="O698" s="69"/>
      <c r="P698" s="69"/>
    </row>
    <row r="699" spans="1:16" s="58" customFormat="1" ht="27" customHeight="1">
      <c r="A699" s="10">
        <f>+A697+1</f>
        <v>12</v>
      </c>
      <c r="B699" s="11" t="s">
        <v>438</v>
      </c>
      <c r="C699" s="12" t="s">
        <v>1140</v>
      </c>
      <c r="D699" s="122">
        <v>37000</v>
      </c>
      <c r="E699" s="13"/>
      <c r="F699" s="13"/>
      <c r="G699" s="206" t="s">
        <v>1770</v>
      </c>
      <c r="H699" s="134">
        <v>39500</v>
      </c>
      <c r="I699" s="134"/>
      <c r="J699" s="134"/>
      <c r="K699" s="12" t="str">
        <f>C699</f>
        <v>đ/m2lưới</v>
      </c>
      <c r="L699" s="122">
        <f>H699</f>
        <v>39500</v>
      </c>
      <c r="M699" s="120"/>
      <c r="N699" s="120"/>
      <c r="O699" s="71">
        <f>D699</f>
        <v>37000</v>
      </c>
      <c r="P699" s="71">
        <f>L699</f>
        <v>39500</v>
      </c>
    </row>
    <row r="700" spans="1:16" s="58" customFormat="1" ht="27" customHeight="1">
      <c r="A700" s="10">
        <f>+A699+1</f>
        <v>13</v>
      </c>
      <c r="B700" s="11" t="s">
        <v>442</v>
      </c>
      <c r="C700" s="12" t="s">
        <v>1140</v>
      </c>
      <c r="D700" s="122">
        <v>40500</v>
      </c>
      <c r="E700" s="13"/>
      <c r="F700" s="13"/>
      <c r="G700" s="206" t="s">
        <v>1770</v>
      </c>
      <c r="H700" s="134">
        <v>41500</v>
      </c>
      <c r="I700" s="134"/>
      <c r="J700" s="134"/>
      <c r="K700" s="12" t="str">
        <f>C700</f>
        <v>đ/m2lưới</v>
      </c>
      <c r="L700" s="122">
        <f>H700</f>
        <v>41500</v>
      </c>
      <c r="M700" s="120"/>
      <c r="N700" s="120"/>
      <c r="O700" s="71">
        <f>D700</f>
        <v>40500</v>
      </c>
      <c r="P700" s="71">
        <f>L700</f>
        <v>41500</v>
      </c>
    </row>
    <row r="701" spans="1:16" s="58" customFormat="1" ht="27" customHeight="1">
      <c r="A701" s="10">
        <f>+A700+1</f>
        <v>14</v>
      </c>
      <c r="B701" s="11" t="s">
        <v>440</v>
      </c>
      <c r="C701" s="12" t="s">
        <v>1140</v>
      </c>
      <c r="D701" s="122">
        <v>47000</v>
      </c>
      <c r="E701" s="13"/>
      <c r="F701" s="13"/>
      <c r="G701" s="206" t="s">
        <v>1770</v>
      </c>
      <c r="H701" s="134">
        <v>51500</v>
      </c>
      <c r="I701" s="134"/>
      <c r="J701" s="134"/>
      <c r="K701" s="12" t="str">
        <f>C701</f>
        <v>đ/m2lưới</v>
      </c>
      <c r="L701" s="122">
        <f>H701</f>
        <v>51500</v>
      </c>
      <c r="M701" s="120"/>
      <c r="N701" s="120"/>
      <c r="O701" s="71">
        <f>D701</f>
        <v>47000</v>
      </c>
      <c r="P701" s="71">
        <f>L701</f>
        <v>51500</v>
      </c>
    </row>
    <row r="702" spans="1:16" s="58" customFormat="1" ht="39" customHeight="1">
      <c r="A702" s="10"/>
      <c r="B702" s="240" t="s">
        <v>1519</v>
      </c>
      <c r="C702" s="241"/>
      <c r="D702" s="241"/>
      <c r="E702" s="241"/>
      <c r="F702" s="241"/>
      <c r="G702" s="241"/>
      <c r="H702" s="241"/>
      <c r="I702" s="241"/>
      <c r="J702" s="241"/>
      <c r="K702" s="241"/>
      <c r="L702" s="241"/>
      <c r="M702" s="241"/>
      <c r="N702" s="242"/>
      <c r="O702" s="71">
        <f>E702</f>
        <v>0</v>
      </c>
      <c r="P702" s="71">
        <f t="shared" ref="P702:P727" si="163">M702</f>
        <v>0</v>
      </c>
    </row>
    <row r="703" spans="1:16" s="58" customFormat="1" ht="27" customHeight="1">
      <c r="A703" s="10"/>
      <c r="B703" s="9" t="s">
        <v>1520</v>
      </c>
      <c r="C703" s="12"/>
      <c r="D703" s="13"/>
      <c r="E703" s="13"/>
      <c r="F703" s="13"/>
      <c r="G703" s="127"/>
      <c r="H703" s="127"/>
      <c r="I703" s="127"/>
      <c r="J703" s="127"/>
      <c r="K703" s="25"/>
      <c r="L703" s="122"/>
      <c r="M703" s="120"/>
      <c r="N703" s="120"/>
      <c r="O703" s="71">
        <f t="shared" ref="O703:O724" si="164">D703</f>
        <v>0</v>
      </c>
      <c r="P703" s="71">
        <f t="shared" si="163"/>
        <v>0</v>
      </c>
    </row>
    <row r="704" spans="1:16" s="58" customFormat="1" ht="27" customHeight="1">
      <c r="A704" s="10">
        <v>1</v>
      </c>
      <c r="B704" s="11" t="s">
        <v>1521</v>
      </c>
      <c r="C704" s="12" t="s">
        <v>1132</v>
      </c>
      <c r="D704" s="122">
        <v>10454.545454545454</v>
      </c>
      <c r="E704" s="13"/>
      <c r="F704" s="13"/>
      <c r="G704" s="206" t="s">
        <v>1769</v>
      </c>
      <c r="H704" s="134"/>
      <c r="I704" s="134"/>
      <c r="J704" s="134"/>
      <c r="K704" s="12" t="s">
        <v>1132</v>
      </c>
      <c r="L704" s="122"/>
      <c r="M704" s="120">
        <f>D704</f>
        <v>10454.545454545454</v>
      </c>
      <c r="N704" s="120"/>
      <c r="O704" s="71">
        <f t="shared" si="164"/>
        <v>10454.545454545454</v>
      </c>
      <c r="P704" s="71">
        <f t="shared" si="163"/>
        <v>10454.545454545454</v>
      </c>
    </row>
    <row r="705" spans="1:16" s="58" customFormat="1" ht="27" customHeight="1">
      <c r="A705" s="10">
        <v>2</v>
      </c>
      <c r="B705" s="11" t="s">
        <v>1522</v>
      </c>
      <c r="C705" s="12" t="s">
        <v>1132</v>
      </c>
      <c r="D705" s="122">
        <v>11363.636363636362</v>
      </c>
      <c r="E705" s="13"/>
      <c r="F705" s="13"/>
      <c r="G705" s="206" t="s">
        <v>1769</v>
      </c>
      <c r="H705" s="134"/>
      <c r="I705" s="134"/>
      <c r="J705" s="134"/>
      <c r="K705" s="12" t="s">
        <v>1132</v>
      </c>
      <c r="L705" s="122"/>
      <c r="M705" s="120">
        <f t="shared" ref="M705:M725" si="165">D705</f>
        <v>11363.636363636362</v>
      </c>
      <c r="N705" s="120"/>
      <c r="O705" s="71">
        <f t="shared" si="164"/>
        <v>11363.636363636362</v>
      </c>
      <c r="P705" s="71">
        <f t="shared" si="163"/>
        <v>11363.636363636362</v>
      </c>
    </row>
    <row r="706" spans="1:16" s="58" customFormat="1" ht="27" customHeight="1">
      <c r="A706" s="10">
        <v>3</v>
      </c>
      <c r="B706" s="11" t="s">
        <v>1523</v>
      </c>
      <c r="C706" s="12" t="s">
        <v>1132</v>
      </c>
      <c r="D706" s="122">
        <v>12272.727272727272</v>
      </c>
      <c r="E706" s="13"/>
      <c r="F706" s="13"/>
      <c r="G706" s="206" t="s">
        <v>1769</v>
      </c>
      <c r="H706" s="134"/>
      <c r="I706" s="134"/>
      <c r="J706" s="134"/>
      <c r="K706" s="12" t="s">
        <v>1132</v>
      </c>
      <c r="L706" s="122"/>
      <c r="M706" s="120">
        <f t="shared" si="165"/>
        <v>12272.727272727272</v>
      </c>
      <c r="N706" s="120"/>
      <c r="O706" s="71">
        <f t="shared" si="164"/>
        <v>12272.727272727272</v>
      </c>
      <c r="P706" s="71">
        <f t="shared" si="163"/>
        <v>12272.727272727272</v>
      </c>
    </row>
    <row r="707" spans="1:16" s="58" customFormat="1" ht="27" customHeight="1">
      <c r="A707" s="10">
        <v>4</v>
      </c>
      <c r="B707" s="11" t="s">
        <v>1524</v>
      </c>
      <c r="C707" s="12" t="s">
        <v>1132</v>
      </c>
      <c r="D707" s="122">
        <v>14363.636363636362</v>
      </c>
      <c r="E707" s="13"/>
      <c r="F707" s="13"/>
      <c r="G707" s="206" t="s">
        <v>1769</v>
      </c>
      <c r="H707" s="134"/>
      <c r="I707" s="134"/>
      <c r="J707" s="134"/>
      <c r="K707" s="12" t="s">
        <v>1132</v>
      </c>
      <c r="L707" s="122"/>
      <c r="M707" s="120">
        <f t="shared" si="165"/>
        <v>14363.636363636362</v>
      </c>
      <c r="N707" s="120"/>
      <c r="O707" s="71">
        <f t="shared" si="164"/>
        <v>14363.636363636362</v>
      </c>
      <c r="P707" s="71">
        <f t="shared" si="163"/>
        <v>14363.636363636362</v>
      </c>
    </row>
    <row r="708" spans="1:16" s="58" customFormat="1" ht="27" customHeight="1">
      <c r="A708" s="10">
        <v>5</v>
      </c>
      <c r="B708" s="11" t="s">
        <v>1525</v>
      </c>
      <c r="C708" s="12" t="s">
        <v>1132</v>
      </c>
      <c r="D708" s="122">
        <v>15727.272727272726</v>
      </c>
      <c r="E708" s="13"/>
      <c r="F708" s="13"/>
      <c r="G708" s="206" t="s">
        <v>1769</v>
      </c>
      <c r="H708" s="134"/>
      <c r="I708" s="134"/>
      <c r="J708" s="134"/>
      <c r="K708" s="12" t="s">
        <v>1132</v>
      </c>
      <c r="L708" s="122"/>
      <c r="M708" s="120">
        <f t="shared" si="165"/>
        <v>15727.272727272726</v>
      </c>
      <c r="N708" s="120"/>
      <c r="O708" s="71">
        <f t="shared" si="164"/>
        <v>15727.272727272726</v>
      </c>
      <c r="P708" s="71">
        <f t="shared" si="163"/>
        <v>15727.272727272726</v>
      </c>
    </row>
    <row r="709" spans="1:16" s="58" customFormat="1" ht="27" customHeight="1">
      <c r="A709" s="10">
        <v>6</v>
      </c>
      <c r="B709" s="11" t="s">
        <v>1526</v>
      </c>
      <c r="C709" s="12" t="s">
        <v>1132</v>
      </c>
      <c r="D709" s="122">
        <v>20454.545454545452</v>
      </c>
      <c r="E709" s="13"/>
      <c r="F709" s="13"/>
      <c r="G709" s="206" t="s">
        <v>1769</v>
      </c>
      <c r="H709" s="134"/>
      <c r="I709" s="134"/>
      <c r="J709" s="134"/>
      <c r="K709" s="12" t="s">
        <v>1132</v>
      </c>
      <c r="L709" s="122"/>
      <c r="M709" s="120">
        <f t="shared" si="165"/>
        <v>20454.545454545452</v>
      </c>
      <c r="N709" s="120"/>
      <c r="O709" s="71">
        <f t="shared" si="164"/>
        <v>20454.545454545452</v>
      </c>
      <c r="P709" s="71">
        <f t="shared" si="163"/>
        <v>20454.545454545452</v>
      </c>
    </row>
    <row r="710" spans="1:16" s="58" customFormat="1" ht="27" customHeight="1">
      <c r="A710" s="10">
        <v>7</v>
      </c>
      <c r="B710" s="11" t="s">
        <v>1528</v>
      </c>
      <c r="C710" s="12" t="s">
        <v>1132</v>
      </c>
      <c r="D710" s="122">
        <v>22272.727272727272</v>
      </c>
      <c r="E710" s="13"/>
      <c r="F710" s="13"/>
      <c r="G710" s="206" t="s">
        <v>1769</v>
      </c>
      <c r="H710" s="134"/>
      <c r="I710" s="134"/>
      <c r="J710" s="134"/>
      <c r="K710" s="12" t="s">
        <v>1132</v>
      </c>
      <c r="L710" s="122"/>
      <c r="M710" s="120">
        <f t="shared" si="165"/>
        <v>22272.727272727272</v>
      </c>
      <c r="N710" s="120"/>
      <c r="O710" s="71">
        <f t="shared" si="164"/>
        <v>22272.727272727272</v>
      </c>
      <c r="P710" s="71">
        <f t="shared" si="163"/>
        <v>22272.727272727272</v>
      </c>
    </row>
    <row r="711" spans="1:16" s="58" customFormat="1" ht="27" customHeight="1">
      <c r="A711" s="10">
        <v>8</v>
      </c>
      <c r="B711" s="11" t="s">
        <v>1527</v>
      </c>
      <c r="C711" s="12" t="s">
        <v>1132</v>
      </c>
      <c r="D711" s="122">
        <v>25454.545454545452</v>
      </c>
      <c r="E711" s="13"/>
      <c r="F711" s="13"/>
      <c r="G711" s="206" t="s">
        <v>1769</v>
      </c>
      <c r="H711" s="134"/>
      <c r="I711" s="134"/>
      <c r="J711" s="134"/>
      <c r="K711" s="12" t="s">
        <v>1132</v>
      </c>
      <c r="L711" s="122"/>
      <c r="M711" s="120">
        <f t="shared" si="165"/>
        <v>25454.545454545452</v>
      </c>
      <c r="N711" s="120"/>
      <c r="O711" s="71">
        <f t="shared" si="164"/>
        <v>25454.545454545452</v>
      </c>
      <c r="P711" s="71">
        <f t="shared" si="163"/>
        <v>25454.545454545452</v>
      </c>
    </row>
    <row r="712" spans="1:16" s="58" customFormat="1" ht="27" customHeight="1">
      <c r="A712" s="10">
        <v>9</v>
      </c>
      <c r="B712" s="11" t="s">
        <v>1529</v>
      </c>
      <c r="C712" s="12" t="s">
        <v>1132</v>
      </c>
      <c r="D712" s="122">
        <v>31818.181818181816</v>
      </c>
      <c r="E712" s="13"/>
      <c r="F712" s="13"/>
      <c r="G712" s="206" t="s">
        <v>1769</v>
      </c>
      <c r="H712" s="134"/>
      <c r="I712" s="134"/>
      <c r="J712" s="134"/>
      <c r="K712" s="12" t="s">
        <v>1132</v>
      </c>
      <c r="L712" s="122"/>
      <c r="M712" s="120">
        <f t="shared" si="165"/>
        <v>31818.181818181816</v>
      </c>
      <c r="N712" s="120"/>
      <c r="O712" s="71">
        <f t="shared" si="164"/>
        <v>31818.181818181816</v>
      </c>
      <c r="P712" s="71">
        <f t="shared" si="163"/>
        <v>31818.181818181816</v>
      </c>
    </row>
    <row r="713" spans="1:16" s="58" customFormat="1" ht="27" customHeight="1">
      <c r="A713" s="10">
        <v>10</v>
      </c>
      <c r="B713" s="11" t="s">
        <v>1530</v>
      </c>
      <c r="C713" s="12" t="s">
        <v>1132</v>
      </c>
      <c r="D713" s="122">
        <v>39272.727272727272</v>
      </c>
      <c r="E713" s="13"/>
      <c r="F713" s="13"/>
      <c r="G713" s="206" t="s">
        <v>1769</v>
      </c>
      <c r="H713" s="134"/>
      <c r="I713" s="134"/>
      <c r="J713" s="134"/>
      <c r="K713" s="12" t="s">
        <v>1132</v>
      </c>
      <c r="L713" s="122"/>
      <c r="M713" s="120">
        <f t="shared" si="165"/>
        <v>39272.727272727272</v>
      </c>
      <c r="N713" s="120"/>
      <c r="O713" s="71">
        <f t="shared" si="164"/>
        <v>39272.727272727272</v>
      </c>
      <c r="P713" s="71">
        <f t="shared" si="163"/>
        <v>39272.727272727272</v>
      </c>
    </row>
    <row r="714" spans="1:16" s="58" customFormat="1" ht="27" customHeight="1">
      <c r="A714" s="10">
        <v>11</v>
      </c>
      <c r="B714" s="11" t="s">
        <v>1531</v>
      </c>
      <c r="C714" s="12" t="s">
        <v>1132</v>
      </c>
      <c r="D714" s="122">
        <v>46090.909090909088</v>
      </c>
      <c r="E714" s="13"/>
      <c r="F714" s="13"/>
      <c r="G714" s="206" t="s">
        <v>1769</v>
      </c>
      <c r="H714" s="134"/>
      <c r="I714" s="134"/>
      <c r="J714" s="134"/>
      <c r="K714" s="12" t="s">
        <v>1132</v>
      </c>
      <c r="L714" s="122"/>
      <c r="M714" s="120">
        <f t="shared" si="165"/>
        <v>46090.909090909088</v>
      </c>
      <c r="N714" s="120"/>
      <c r="O714" s="71">
        <f t="shared" si="164"/>
        <v>46090.909090909088</v>
      </c>
      <c r="P714" s="71">
        <f t="shared" si="163"/>
        <v>46090.909090909088</v>
      </c>
    </row>
    <row r="715" spans="1:16" s="58" customFormat="1" ht="27" customHeight="1">
      <c r="A715" s="10">
        <v>12</v>
      </c>
      <c r="B715" s="11" t="s">
        <v>1532</v>
      </c>
      <c r="C715" s="12" t="s">
        <v>1132</v>
      </c>
      <c r="D715" s="122">
        <v>52727.272727272721</v>
      </c>
      <c r="E715" s="13"/>
      <c r="F715" s="13"/>
      <c r="G715" s="206" t="s">
        <v>1769</v>
      </c>
      <c r="H715" s="134"/>
      <c r="I715" s="134"/>
      <c r="J715" s="134"/>
      <c r="K715" s="12" t="s">
        <v>1132</v>
      </c>
      <c r="L715" s="122"/>
      <c r="M715" s="120">
        <f t="shared" si="165"/>
        <v>52727.272727272721</v>
      </c>
      <c r="N715" s="120"/>
      <c r="O715" s="71">
        <f t="shared" si="164"/>
        <v>52727.272727272721</v>
      </c>
      <c r="P715" s="71">
        <f t="shared" si="163"/>
        <v>52727.272727272721</v>
      </c>
    </row>
    <row r="716" spans="1:16" s="58" customFormat="1" ht="27" customHeight="1">
      <c r="A716" s="10">
        <v>13</v>
      </c>
      <c r="B716" s="11" t="s">
        <v>1533</v>
      </c>
      <c r="C716" s="12" t="s">
        <v>1132</v>
      </c>
      <c r="D716" s="122">
        <v>59090.909090909088</v>
      </c>
      <c r="E716" s="13"/>
      <c r="F716" s="13"/>
      <c r="G716" s="206" t="s">
        <v>1769</v>
      </c>
      <c r="H716" s="134"/>
      <c r="I716" s="134"/>
      <c r="J716" s="134"/>
      <c r="K716" s="12" t="s">
        <v>1132</v>
      </c>
      <c r="L716" s="122"/>
      <c r="M716" s="120">
        <f t="shared" si="165"/>
        <v>59090.909090909088</v>
      </c>
      <c r="N716" s="120"/>
      <c r="O716" s="71">
        <f t="shared" si="164"/>
        <v>59090.909090909088</v>
      </c>
      <c r="P716" s="71">
        <f t="shared" si="163"/>
        <v>59090.909090909088</v>
      </c>
    </row>
    <row r="717" spans="1:16" s="58" customFormat="1" ht="31.5" customHeight="1">
      <c r="A717" s="10"/>
      <c r="B717" s="9" t="s">
        <v>1534</v>
      </c>
      <c r="C717" s="12"/>
      <c r="D717" s="13"/>
      <c r="E717" s="13"/>
      <c r="F717" s="13"/>
      <c r="G717" s="127"/>
      <c r="H717" s="127"/>
      <c r="I717" s="134"/>
      <c r="J717" s="127"/>
      <c r="K717" s="25"/>
      <c r="L717" s="122"/>
      <c r="M717" s="120"/>
      <c r="N717" s="120"/>
      <c r="O717" s="71">
        <f t="shared" si="164"/>
        <v>0</v>
      </c>
      <c r="P717" s="71">
        <f t="shared" si="163"/>
        <v>0</v>
      </c>
    </row>
    <row r="718" spans="1:16" s="58" customFormat="1" ht="27" customHeight="1">
      <c r="A718" s="10">
        <v>1</v>
      </c>
      <c r="B718" s="11" t="s">
        <v>1535</v>
      </c>
      <c r="C718" s="12" t="s">
        <v>1538</v>
      </c>
      <c r="D718" s="122">
        <v>35000000</v>
      </c>
      <c r="E718" s="13"/>
      <c r="F718" s="13"/>
      <c r="G718" s="206" t="s">
        <v>1538</v>
      </c>
      <c r="H718" s="134"/>
      <c r="I718" s="134"/>
      <c r="J718" s="134"/>
      <c r="K718" s="12" t="s">
        <v>1538</v>
      </c>
      <c r="L718" s="122"/>
      <c r="M718" s="120">
        <f t="shared" si="165"/>
        <v>35000000</v>
      </c>
      <c r="N718" s="120"/>
      <c r="O718" s="71">
        <f t="shared" si="164"/>
        <v>35000000</v>
      </c>
      <c r="P718" s="71">
        <f t="shared" si="163"/>
        <v>35000000</v>
      </c>
    </row>
    <row r="719" spans="1:16" s="58" customFormat="1" ht="27" customHeight="1">
      <c r="A719" s="10">
        <v>2</v>
      </c>
      <c r="B719" s="11" t="s">
        <v>1536</v>
      </c>
      <c r="C719" s="12" t="s">
        <v>1538</v>
      </c>
      <c r="D719" s="122">
        <v>39000000</v>
      </c>
      <c r="E719" s="13"/>
      <c r="F719" s="13"/>
      <c r="G719" s="206" t="s">
        <v>1538</v>
      </c>
      <c r="H719" s="134"/>
      <c r="I719" s="134"/>
      <c r="J719" s="134"/>
      <c r="K719" s="12" t="s">
        <v>1538</v>
      </c>
      <c r="L719" s="122"/>
      <c r="M719" s="120">
        <f t="shared" si="165"/>
        <v>39000000</v>
      </c>
      <c r="N719" s="120"/>
      <c r="O719" s="71">
        <f t="shared" si="164"/>
        <v>39000000</v>
      </c>
      <c r="P719" s="71">
        <f t="shared" si="163"/>
        <v>39000000</v>
      </c>
    </row>
    <row r="720" spans="1:16" s="58" customFormat="1" ht="27" customHeight="1">
      <c r="A720" s="10">
        <v>3</v>
      </c>
      <c r="B720" s="11" t="s">
        <v>1537</v>
      </c>
      <c r="C720" s="12" t="s">
        <v>1538</v>
      </c>
      <c r="D720" s="122">
        <v>46499999.999999993</v>
      </c>
      <c r="E720" s="13"/>
      <c r="F720" s="13"/>
      <c r="G720" s="206" t="s">
        <v>1538</v>
      </c>
      <c r="H720" s="134"/>
      <c r="I720" s="134"/>
      <c r="J720" s="134"/>
      <c r="K720" s="12" t="s">
        <v>1538</v>
      </c>
      <c r="L720" s="122"/>
      <c r="M720" s="120">
        <f t="shared" si="165"/>
        <v>46499999.999999993</v>
      </c>
      <c r="N720" s="120"/>
      <c r="O720" s="71">
        <f t="shared" si="164"/>
        <v>46499999.999999993</v>
      </c>
      <c r="P720" s="71">
        <f t="shared" si="163"/>
        <v>46499999.999999993</v>
      </c>
    </row>
    <row r="721" spans="1:16" s="58" customFormat="1" ht="27" customHeight="1">
      <c r="A721" s="10">
        <v>4</v>
      </c>
      <c r="B721" s="11" t="s">
        <v>1539</v>
      </c>
      <c r="C721" s="12" t="s">
        <v>1538</v>
      </c>
      <c r="D721" s="122">
        <v>55299999.999999993</v>
      </c>
      <c r="E721" s="13"/>
      <c r="F721" s="13"/>
      <c r="G721" s="206" t="s">
        <v>1538</v>
      </c>
      <c r="H721" s="134"/>
      <c r="I721" s="134"/>
      <c r="J721" s="134"/>
      <c r="K721" s="12" t="s">
        <v>1538</v>
      </c>
      <c r="L721" s="122"/>
      <c r="M721" s="120">
        <f t="shared" si="165"/>
        <v>55299999.999999993</v>
      </c>
      <c r="N721" s="120"/>
      <c r="O721" s="71">
        <f t="shared" si="164"/>
        <v>55299999.999999993</v>
      </c>
      <c r="P721" s="71">
        <f t="shared" si="163"/>
        <v>55299999.999999993</v>
      </c>
    </row>
    <row r="722" spans="1:16" s="58" customFormat="1" ht="27" customHeight="1">
      <c r="A722" s="10">
        <v>5</v>
      </c>
      <c r="B722" s="11" t="s">
        <v>1540</v>
      </c>
      <c r="C722" s="12" t="s">
        <v>1538</v>
      </c>
      <c r="D722" s="122">
        <v>38500000</v>
      </c>
      <c r="E722" s="13"/>
      <c r="F722" s="13"/>
      <c r="G722" s="206" t="s">
        <v>1538</v>
      </c>
      <c r="H722" s="134"/>
      <c r="I722" s="134"/>
      <c r="J722" s="134"/>
      <c r="K722" s="12" t="s">
        <v>1538</v>
      </c>
      <c r="L722" s="122"/>
      <c r="M722" s="120">
        <f t="shared" si="165"/>
        <v>38500000</v>
      </c>
      <c r="N722" s="120"/>
      <c r="O722" s="71">
        <f t="shared" si="164"/>
        <v>38500000</v>
      </c>
      <c r="P722" s="71">
        <f t="shared" si="163"/>
        <v>38500000</v>
      </c>
    </row>
    <row r="723" spans="1:16" s="58" customFormat="1" ht="27" customHeight="1">
      <c r="A723" s="10">
        <v>6</v>
      </c>
      <c r="B723" s="11" t="s">
        <v>1541</v>
      </c>
      <c r="C723" s="12" t="s">
        <v>1538</v>
      </c>
      <c r="D723" s="122">
        <v>42000000</v>
      </c>
      <c r="E723" s="13"/>
      <c r="F723" s="13"/>
      <c r="G723" s="206" t="s">
        <v>1538</v>
      </c>
      <c r="H723" s="134"/>
      <c r="I723" s="134"/>
      <c r="J723" s="134"/>
      <c r="K723" s="12" t="s">
        <v>1538</v>
      </c>
      <c r="L723" s="122"/>
      <c r="M723" s="120">
        <f t="shared" si="165"/>
        <v>42000000</v>
      </c>
      <c r="N723" s="120"/>
      <c r="O723" s="71">
        <f t="shared" si="164"/>
        <v>42000000</v>
      </c>
      <c r="P723" s="71">
        <f t="shared" si="163"/>
        <v>42000000</v>
      </c>
    </row>
    <row r="724" spans="1:16" s="58" customFormat="1" ht="27" customHeight="1">
      <c r="A724" s="10">
        <v>7</v>
      </c>
      <c r="B724" s="11" t="s">
        <v>1542</v>
      </c>
      <c r="C724" s="12" t="s">
        <v>1538</v>
      </c>
      <c r="D724" s="122">
        <v>50399999.999999993</v>
      </c>
      <c r="E724" s="13"/>
      <c r="F724" s="13"/>
      <c r="G724" s="206" t="s">
        <v>1538</v>
      </c>
      <c r="H724" s="134"/>
      <c r="I724" s="134"/>
      <c r="J724" s="134"/>
      <c r="K724" s="12" t="s">
        <v>1538</v>
      </c>
      <c r="L724" s="122"/>
      <c r="M724" s="120">
        <f t="shared" si="165"/>
        <v>50399999.999999993</v>
      </c>
      <c r="N724" s="120"/>
      <c r="O724" s="71">
        <f t="shared" si="164"/>
        <v>50399999.999999993</v>
      </c>
      <c r="P724" s="71">
        <f t="shared" si="163"/>
        <v>50399999.999999993</v>
      </c>
    </row>
    <row r="725" spans="1:16" s="58" customFormat="1" ht="27" customHeight="1">
      <c r="A725" s="10">
        <v>8</v>
      </c>
      <c r="B725" s="11" t="s">
        <v>1543</v>
      </c>
      <c r="C725" s="12" t="s">
        <v>1538</v>
      </c>
      <c r="D725" s="122">
        <v>59999999.999999993</v>
      </c>
      <c r="E725" s="13"/>
      <c r="F725" s="13"/>
      <c r="G725" s="206" t="s">
        <v>1538</v>
      </c>
      <c r="H725" s="134"/>
      <c r="I725" s="134"/>
      <c r="J725" s="134"/>
      <c r="K725" s="12" t="s">
        <v>1538</v>
      </c>
      <c r="L725" s="122"/>
      <c r="M725" s="120">
        <f t="shared" si="165"/>
        <v>59999999.999999993</v>
      </c>
      <c r="N725" s="120"/>
      <c r="O725" s="71">
        <f>D725</f>
        <v>59999999.999999993</v>
      </c>
      <c r="P725" s="71">
        <f t="shared" si="163"/>
        <v>59999999.999999993</v>
      </c>
    </row>
    <row r="726" spans="1:16" s="58" customFormat="1" ht="24.75" customHeight="1">
      <c r="A726" s="17" t="s">
        <v>443</v>
      </c>
      <c r="B726" s="252" t="s">
        <v>444</v>
      </c>
      <c r="C726" s="252"/>
      <c r="D726" s="252"/>
      <c r="E726" s="252"/>
      <c r="F726" s="252"/>
      <c r="G726" s="127"/>
      <c r="H726" s="127"/>
      <c r="I726" s="127"/>
      <c r="J726" s="127"/>
      <c r="K726" s="116"/>
      <c r="L726" s="120"/>
      <c r="M726" s="120"/>
      <c r="N726" s="120"/>
      <c r="O726" s="71">
        <f>E726</f>
        <v>0</v>
      </c>
      <c r="P726" s="71">
        <f t="shared" si="163"/>
        <v>0</v>
      </c>
    </row>
    <row r="727" spans="1:16" s="58" customFormat="1" ht="38.1" customHeight="1">
      <c r="A727" s="10"/>
      <c r="B727" s="237" t="s">
        <v>1544</v>
      </c>
      <c r="C727" s="238"/>
      <c r="D727" s="238"/>
      <c r="E727" s="238"/>
      <c r="F727" s="238"/>
      <c r="G727" s="238"/>
      <c r="H727" s="238"/>
      <c r="I727" s="238"/>
      <c r="J727" s="238"/>
      <c r="K727" s="238"/>
      <c r="L727" s="238"/>
      <c r="M727" s="238"/>
      <c r="N727" s="239"/>
      <c r="O727" s="71">
        <f>E727</f>
        <v>0</v>
      </c>
      <c r="P727" s="71">
        <f t="shared" si="163"/>
        <v>0</v>
      </c>
    </row>
    <row r="728" spans="1:16" s="58" customFormat="1" ht="27" customHeight="1">
      <c r="A728" s="10">
        <v>1</v>
      </c>
      <c r="B728" s="11" t="s">
        <v>445</v>
      </c>
      <c r="C728" s="12" t="s">
        <v>152</v>
      </c>
      <c r="D728" s="122"/>
      <c r="E728" s="13">
        <f>70000/1.1</f>
        <v>63636.363636363632</v>
      </c>
      <c r="F728" s="13"/>
      <c r="G728" s="206" t="str">
        <f>C728</f>
        <v>đ/bao</v>
      </c>
      <c r="H728" s="134"/>
      <c r="I728" s="134"/>
      <c r="J728" s="134"/>
      <c r="K728" s="12" t="str">
        <f>C728</f>
        <v>đ/bao</v>
      </c>
      <c r="L728" s="122"/>
      <c r="M728" s="120">
        <f>E728</f>
        <v>63636.363636363632</v>
      </c>
      <c r="N728" s="120"/>
      <c r="O728" s="71">
        <f>E728</f>
        <v>63636.363636363632</v>
      </c>
      <c r="P728" s="71">
        <f>M728</f>
        <v>63636.363636363632</v>
      </c>
    </row>
    <row r="729" spans="1:16" s="58" customFormat="1" ht="27" customHeight="1">
      <c r="A729" s="10">
        <v>2</v>
      </c>
      <c r="B729" s="11" t="s">
        <v>1545</v>
      </c>
      <c r="C729" s="12" t="s">
        <v>152</v>
      </c>
      <c r="D729" s="122"/>
      <c r="E729" s="13">
        <f>66000/1.1</f>
        <v>59999.999999999993</v>
      </c>
      <c r="F729" s="13"/>
      <c r="G729" s="206" t="str">
        <f>C729</f>
        <v>đ/bao</v>
      </c>
      <c r="H729" s="134"/>
      <c r="I729" s="134"/>
      <c r="J729" s="134"/>
      <c r="K729" s="12" t="str">
        <f>C729</f>
        <v>đ/bao</v>
      </c>
      <c r="L729" s="122"/>
      <c r="M729" s="120">
        <f>E729</f>
        <v>59999.999999999993</v>
      </c>
      <c r="N729" s="120"/>
      <c r="O729" s="71">
        <f>E729</f>
        <v>59999.999999999993</v>
      </c>
      <c r="P729" s="71">
        <f>M729</f>
        <v>59999.999999999993</v>
      </c>
    </row>
    <row r="730" spans="1:16" s="58" customFormat="1" ht="29.25" customHeight="1">
      <c r="A730" s="17" t="s">
        <v>446</v>
      </c>
      <c r="B730" s="252" t="s">
        <v>447</v>
      </c>
      <c r="C730" s="252"/>
      <c r="D730" s="252"/>
      <c r="E730" s="252"/>
      <c r="F730" s="252"/>
      <c r="G730" s="127"/>
      <c r="H730" s="127"/>
      <c r="I730" s="127"/>
      <c r="J730" s="127"/>
      <c r="K730" s="116"/>
      <c r="L730" s="120"/>
      <c r="M730" s="120"/>
      <c r="N730" s="120"/>
      <c r="O730" s="69"/>
      <c r="P730" s="69"/>
    </row>
    <row r="731" spans="1:16" s="58" customFormat="1" ht="45" customHeight="1">
      <c r="A731" s="31"/>
      <c r="B731" s="237" t="s">
        <v>1638</v>
      </c>
      <c r="C731" s="238"/>
      <c r="D731" s="238"/>
      <c r="E731" s="238"/>
      <c r="F731" s="238"/>
      <c r="G731" s="238"/>
      <c r="H731" s="238"/>
      <c r="I731" s="238"/>
      <c r="J731" s="238"/>
      <c r="K731" s="238"/>
      <c r="L731" s="238"/>
      <c r="M731" s="238"/>
      <c r="N731" s="239"/>
      <c r="O731" s="69"/>
      <c r="P731" s="69"/>
    </row>
    <row r="732" spans="1:16" s="58" customFormat="1" ht="24" customHeight="1">
      <c r="A732" s="10"/>
      <c r="B732" s="237" t="s">
        <v>1640</v>
      </c>
      <c r="C732" s="238"/>
      <c r="D732" s="238"/>
      <c r="E732" s="238"/>
      <c r="F732" s="238"/>
      <c r="G732" s="238"/>
      <c r="H732" s="238"/>
      <c r="I732" s="238"/>
      <c r="J732" s="238"/>
      <c r="K732" s="238"/>
      <c r="L732" s="238"/>
      <c r="M732" s="238"/>
      <c r="N732" s="239"/>
      <c r="O732" s="69"/>
      <c r="P732" s="69"/>
    </row>
    <row r="733" spans="1:16" s="58" customFormat="1" ht="27" customHeight="1">
      <c r="A733" s="10">
        <v>1</v>
      </c>
      <c r="B733" s="11" t="s">
        <v>448</v>
      </c>
      <c r="C733" s="12" t="s">
        <v>259</v>
      </c>
      <c r="D733" s="122"/>
      <c r="E733" s="122">
        <f>8900000/1.1</f>
        <v>8090909.0909090899</v>
      </c>
      <c r="F733" s="13"/>
      <c r="G733" s="206" t="s">
        <v>259</v>
      </c>
      <c r="H733" s="134"/>
      <c r="I733" s="134"/>
      <c r="J733" s="134"/>
      <c r="K733" s="12" t="str">
        <f>C733</f>
        <v>đ/bộ</v>
      </c>
      <c r="L733" s="122"/>
      <c r="M733" s="120">
        <f>E733</f>
        <v>8090909.0909090899</v>
      </c>
      <c r="N733" s="120"/>
      <c r="O733" s="71"/>
      <c r="P733" s="71"/>
    </row>
    <row r="734" spans="1:16" s="58" customFormat="1" ht="27" customHeight="1">
      <c r="A734" s="10">
        <f>+A733+1</f>
        <v>2</v>
      </c>
      <c r="B734" s="11" t="s">
        <v>449</v>
      </c>
      <c r="C734" s="12" t="s">
        <v>259</v>
      </c>
      <c r="D734" s="122"/>
      <c r="E734" s="122">
        <f>11100000/1.1</f>
        <v>10090909.09090909</v>
      </c>
      <c r="F734" s="13"/>
      <c r="G734" s="206" t="s">
        <v>259</v>
      </c>
      <c r="H734" s="134"/>
      <c r="I734" s="134"/>
      <c r="J734" s="134"/>
      <c r="K734" s="12" t="str">
        <f>C734</f>
        <v>đ/bộ</v>
      </c>
      <c r="L734" s="122"/>
      <c r="M734" s="120">
        <f>E734</f>
        <v>10090909.09090909</v>
      </c>
      <c r="N734" s="120"/>
      <c r="O734" s="71">
        <f>E734</f>
        <v>10090909.09090909</v>
      </c>
      <c r="P734" s="71">
        <f>M734</f>
        <v>10090909.09090909</v>
      </c>
    </row>
    <row r="735" spans="1:16" s="58" customFormat="1" ht="27" customHeight="1">
      <c r="A735" s="10">
        <f>+A734+1</f>
        <v>3</v>
      </c>
      <c r="B735" s="11" t="s">
        <v>450</v>
      </c>
      <c r="C735" s="12" t="s">
        <v>259</v>
      </c>
      <c r="D735" s="122"/>
      <c r="E735" s="122">
        <f>17000000/1.1</f>
        <v>15454545.454545453</v>
      </c>
      <c r="F735" s="13"/>
      <c r="G735" s="206" t="s">
        <v>259</v>
      </c>
      <c r="H735" s="134"/>
      <c r="I735" s="134"/>
      <c r="J735" s="134"/>
      <c r="K735" s="12" t="str">
        <f>C735</f>
        <v>đ/bộ</v>
      </c>
      <c r="L735" s="122"/>
      <c r="M735" s="120">
        <f>E735</f>
        <v>15454545.454545453</v>
      </c>
      <c r="N735" s="120"/>
      <c r="O735" s="71">
        <f>E735</f>
        <v>15454545.454545453</v>
      </c>
      <c r="P735" s="71">
        <f>M735</f>
        <v>15454545.454545453</v>
      </c>
    </row>
    <row r="736" spans="1:16" s="58" customFormat="1" ht="27" customHeight="1">
      <c r="A736" s="10">
        <f>+A735+1</f>
        <v>4</v>
      </c>
      <c r="B736" s="11" t="s">
        <v>451</v>
      </c>
      <c r="C736" s="12" t="s">
        <v>259</v>
      </c>
      <c r="D736" s="122"/>
      <c r="E736" s="122">
        <f>22400000/1.1</f>
        <v>20363636.363636363</v>
      </c>
      <c r="F736" s="13"/>
      <c r="G736" s="206" t="s">
        <v>259</v>
      </c>
      <c r="H736" s="134"/>
      <c r="I736" s="134"/>
      <c r="J736" s="134"/>
      <c r="K736" s="12" t="str">
        <f>C736</f>
        <v>đ/bộ</v>
      </c>
      <c r="L736" s="122"/>
      <c r="M736" s="120">
        <f>E736</f>
        <v>20363636.363636363</v>
      </c>
      <c r="N736" s="120"/>
      <c r="O736" s="71">
        <f>E736</f>
        <v>20363636.363636363</v>
      </c>
      <c r="P736" s="71">
        <f>M736</f>
        <v>20363636.363636363</v>
      </c>
    </row>
    <row r="737" spans="1:16" s="58" customFormat="1" ht="21.95" customHeight="1">
      <c r="A737" s="10"/>
      <c r="B737" s="9" t="s">
        <v>1639</v>
      </c>
      <c r="C737" s="15"/>
      <c r="D737" s="20"/>
      <c r="E737" s="69"/>
      <c r="F737" s="13"/>
      <c r="G737" s="127"/>
      <c r="H737" s="127"/>
      <c r="I737" s="127"/>
      <c r="J737" s="127"/>
      <c r="K737" s="116"/>
      <c r="L737" s="120"/>
      <c r="M737" s="120"/>
      <c r="N737" s="120"/>
      <c r="O737" s="69"/>
      <c r="P737" s="69"/>
    </row>
    <row r="738" spans="1:16" s="58" customFormat="1" ht="21.95" customHeight="1">
      <c r="A738" s="10">
        <f>+A736+1</f>
        <v>5</v>
      </c>
      <c r="B738" s="11" t="s">
        <v>1641</v>
      </c>
      <c r="C738" s="12" t="s">
        <v>259</v>
      </c>
      <c r="D738" s="20"/>
      <c r="E738" s="13">
        <f>7000000/1.1</f>
        <v>6363636.3636363633</v>
      </c>
      <c r="F738" s="13"/>
      <c r="G738" s="206" t="s">
        <v>259</v>
      </c>
      <c r="H738" s="196"/>
      <c r="I738" s="68"/>
      <c r="J738" s="127"/>
      <c r="K738" s="25" t="str">
        <f t="shared" ref="K738:K743" si="166">C738</f>
        <v>đ/bộ</v>
      </c>
      <c r="L738" s="122"/>
      <c r="M738" s="120">
        <f t="shared" ref="M738:M743" si="167">E738</f>
        <v>6363636.3636363633</v>
      </c>
      <c r="N738" s="120"/>
      <c r="O738" s="71">
        <f t="shared" ref="O738:O743" si="168">E738</f>
        <v>6363636.3636363633</v>
      </c>
      <c r="P738" s="71">
        <f t="shared" ref="P738:P743" si="169">M738</f>
        <v>6363636.3636363633</v>
      </c>
    </row>
    <row r="739" spans="1:16" s="58" customFormat="1" ht="21.95" customHeight="1">
      <c r="A739" s="10">
        <f>+A738+1</f>
        <v>6</v>
      </c>
      <c r="B739" s="11" t="s">
        <v>1642</v>
      </c>
      <c r="C739" s="12" t="s">
        <v>259</v>
      </c>
      <c r="D739" s="20"/>
      <c r="E739" s="13">
        <f>9200000/1.1</f>
        <v>8363636.3636363633</v>
      </c>
      <c r="F739" s="13"/>
      <c r="G739" s="206" t="s">
        <v>259</v>
      </c>
      <c r="H739" s="196"/>
      <c r="I739" s="68"/>
      <c r="J739" s="127"/>
      <c r="K739" s="25" t="str">
        <f t="shared" si="166"/>
        <v>đ/bộ</v>
      </c>
      <c r="L739" s="122"/>
      <c r="M739" s="120">
        <f t="shared" si="167"/>
        <v>8363636.3636363633</v>
      </c>
      <c r="N739" s="120"/>
      <c r="O739" s="71">
        <f t="shared" si="168"/>
        <v>8363636.3636363633</v>
      </c>
      <c r="P739" s="71">
        <f t="shared" si="169"/>
        <v>8363636.3636363633</v>
      </c>
    </row>
    <row r="740" spans="1:16" s="58" customFormat="1" ht="21.95" customHeight="1">
      <c r="A740" s="10">
        <f>+A739+1</f>
        <v>7</v>
      </c>
      <c r="B740" s="11" t="s">
        <v>1643</v>
      </c>
      <c r="C740" s="12" t="s">
        <v>259</v>
      </c>
      <c r="D740" s="20"/>
      <c r="E740" s="13">
        <f>14000000/1.1</f>
        <v>12727272.727272727</v>
      </c>
      <c r="F740" s="13"/>
      <c r="G740" s="206" t="s">
        <v>259</v>
      </c>
      <c r="H740" s="196"/>
      <c r="I740" s="68"/>
      <c r="J740" s="127"/>
      <c r="K740" s="25" t="str">
        <f t="shared" si="166"/>
        <v>đ/bộ</v>
      </c>
      <c r="L740" s="122"/>
      <c r="M740" s="120">
        <f t="shared" si="167"/>
        <v>12727272.727272727</v>
      </c>
      <c r="N740" s="120"/>
      <c r="O740" s="71">
        <f t="shared" si="168"/>
        <v>12727272.727272727</v>
      </c>
      <c r="P740" s="71">
        <f t="shared" si="169"/>
        <v>12727272.727272727</v>
      </c>
    </row>
    <row r="741" spans="1:16" s="58" customFormat="1" ht="21.95" customHeight="1">
      <c r="A741" s="10">
        <f>+A740+1</f>
        <v>8</v>
      </c>
      <c r="B741" s="11" t="s">
        <v>1644</v>
      </c>
      <c r="C741" s="12" t="s">
        <v>259</v>
      </c>
      <c r="D741" s="20"/>
      <c r="E741" s="13">
        <f>10100000/1.1</f>
        <v>9181818.1818181816</v>
      </c>
      <c r="F741" s="13"/>
      <c r="G741" s="206" t="s">
        <v>259</v>
      </c>
      <c r="H741" s="196"/>
      <c r="I741" s="68"/>
      <c r="J741" s="127"/>
      <c r="K741" s="25" t="str">
        <f t="shared" si="166"/>
        <v>đ/bộ</v>
      </c>
      <c r="L741" s="122"/>
      <c r="M741" s="120">
        <f t="shared" si="167"/>
        <v>9181818.1818181816</v>
      </c>
      <c r="N741" s="120"/>
      <c r="O741" s="71">
        <f t="shared" si="168"/>
        <v>9181818.1818181816</v>
      </c>
      <c r="P741" s="71">
        <f t="shared" si="169"/>
        <v>9181818.1818181816</v>
      </c>
    </row>
    <row r="742" spans="1:16" s="58" customFormat="1" ht="21.95" customHeight="1">
      <c r="A742" s="10">
        <f>+A741+1</f>
        <v>9</v>
      </c>
      <c r="B742" s="11" t="s">
        <v>1645</v>
      </c>
      <c r="C742" s="12" t="s">
        <v>259</v>
      </c>
      <c r="D742" s="20"/>
      <c r="E742" s="13">
        <f>12100000/1.1</f>
        <v>11000000</v>
      </c>
      <c r="F742" s="13"/>
      <c r="G742" s="206" t="s">
        <v>259</v>
      </c>
      <c r="H742" s="196"/>
      <c r="I742" s="68"/>
      <c r="J742" s="127"/>
      <c r="K742" s="25" t="str">
        <f t="shared" si="166"/>
        <v>đ/bộ</v>
      </c>
      <c r="L742" s="122"/>
      <c r="M742" s="120">
        <f t="shared" si="167"/>
        <v>11000000</v>
      </c>
      <c r="N742" s="120"/>
      <c r="O742" s="71">
        <f t="shared" si="168"/>
        <v>11000000</v>
      </c>
      <c r="P742" s="71">
        <f t="shared" si="169"/>
        <v>11000000</v>
      </c>
    </row>
    <row r="743" spans="1:16" s="58" customFormat="1" ht="21.95" customHeight="1">
      <c r="A743" s="10">
        <f>+A742+1</f>
        <v>10</v>
      </c>
      <c r="B743" s="11" t="s">
        <v>1646</v>
      </c>
      <c r="C743" s="12" t="s">
        <v>259</v>
      </c>
      <c r="D743" s="20"/>
      <c r="E743" s="13">
        <f>16800000/1.1</f>
        <v>15272727.272727272</v>
      </c>
      <c r="F743" s="13"/>
      <c r="G743" s="206" t="s">
        <v>259</v>
      </c>
      <c r="H743" s="196"/>
      <c r="I743" s="68"/>
      <c r="J743" s="127"/>
      <c r="K743" s="25" t="str">
        <f t="shared" si="166"/>
        <v>đ/bộ</v>
      </c>
      <c r="L743" s="122"/>
      <c r="M743" s="120">
        <f t="shared" si="167"/>
        <v>15272727.272727272</v>
      </c>
      <c r="N743" s="120"/>
      <c r="O743" s="71">
        <f t="shared" si="168"/>
        <v>15272727.272727272</v>
      </c>
      <c r="P743" s="71">
        <f t="shared" si="169"/>
        <v>15272727.272727272</v>
      </c>
    </row>
    <row r="744" spans="1:16" s="58" customFormat="1" ht="21.95" customHeight="1">
      <c r="A744" s="10"/>
      <c r="B744" s="9" t="s">
        <v>1647</v>
      </c>
      <c r="C744" s="15"/>
      <c r="D744" s="20"/>
      <c r="E744" s="69"/>
      <c r="F744" s="13"/>
      <c r="G744" s="127"/>
      <c r="H744" s="127"/>
      <c r="I744" s="127"/>
      <c r="J744" s="127"/>
      <c r="K744" s="116"/>
      <c r="L744" s="120"/>
      <c r="M744" s="120"/>
      <c r="N744" s="120"/>
      <c r="O744" s="69"/>
      <c r="P744" s="69"/>
    </row>
    <row r="745" spans="1:16" s="58" customFormat="1" ht="21.95" customHeight="1">
      <c r="A745" s="10">
        <f>+A740+1</f>
        <v>8</v>
      </c>
      <c r="B745" s="11" t="s">
        <v>1641</v>
      </c>
      <c r="C745" s="12" t="s">
        <v>259</v>
      </c>
      <c r="D745" s="20"/>
      <c r="E745" s="13">
        <f>7500000/1.1</f>
        <v>6818181.8181818174</v>
      </c>
      <c r="F745" s="13"/>
      <c r="G745" s="206" t="s">
        <v>259</v>
      </c>
      <c r="H745" s="127"/>
      <c r="I745" s="68"/>
      <c r="J745" s="127"/>
      <c r="K745" s="25" t="str">
        <f t="shared" ref="K745:K752" si="170">C745</f>
        <v>đ/bộ</v>
      </c>
      <c r="L745" s="122"/>
      <c r="M745" s="120">
        <f t="shared" ref="M745:M808" si="171">E745</f>
        <v>6818181.8181818174</v>
      </c>
      <c r="N745" s="120"/>
      <c r="O745" s="71">
        <f t="shared" ref="O745:O752" si="172">E745</f>
        <v>6818181.8181818174</v>
      </c>
      <c r="P745" s="71">
        <f t="shared" ref="P745:P752" si="173">M745</f>
        <v>6818181.8181818174</v>
      </c>
    </row>
    <row r="746" spans="1:16" s="58" customFormat="1" ht="21.95" customHeight="1">
      <c r="A746" s="10">
        <f t="shared" ref="A746:A752" si="174">+A745+1</f>
        <v>9</v>
      </c>
      <c r="B746" s="11" t="s">
        <v>1642</v>
      </c>
      <c r="C746" s="12" t="s">
        <v>259</v>
      </c>
      <c r="D746" s="20"/>
      <c r="E746" s="13">
        <f>9600000/1.1</f>
        <v>8727272.7272727266</v>
      </c>
      <c r="F746" s="13"/>
      <c r="G746" s="206" t="s">
        <v>259</v>
      </c>
      <c r="H746" s="127"/>
      <c r="I746" s="68"/>
      <c r="J746" s="127"/>
      <c r="K746" s="25" t="str">
        <f t="shared" si="170"/>
        <v>đ/bộ</v>
      </c>
      <c r="L746" s="122"/>
      <c r="M746" s="120">
        <f t="shared" si="171"/>
        <v>8727272.7272727266</v>
      </c>
      <c r="N746" s="120"/>
      <c r="O746" s="71">
        <f t="shared" si="172"/>
        <v>8727272.7272727266</v>
      </c>
      <c r="P746" s="71">
        <f t="shared" si="173"/>
        <v>8727272.7272727266</v>
      </c>
    </row>
    <row r="747" spans="1:16" s="58" customFormat="1" ht="24.95" customHeight="1">
      <c r="A747" s="10">
        <f t="shared" si="174"/>
        <v>10</v>
      </c>
      <c r="B747" s="11" t="s">
        <v>1643</v>
      </c>
      <c r="C747" s="12" t="s">
        <v>259</v>
      </c>
      <c r="D747" s="20"/>
      <c r="E747" s="13">
        <f>14800000/1.1</f>
        <v>13454545.454545453</v>
      </c>
      <c r="F747" s="13"/>
      <c r="G747" s="206" t="s">
        <v>259</v>
      </c>
      <c r="H747" s="127"/>
      <c r="I747" s="68"/>
      <c r="J747" s="127"/>
      <c r="K747" s="25" t="str">
        <f t="shared" si="170"/>
        <v>đ/bộ</v>
      </c>
      <c r="L747" s="122"/>
      <c r="M747" s="120">
        <f t="shared" si="171"/>
        <v>13454545.454545453</v>
      </c>
      <c r="N747" s="120"/>
      <c r="O747" s="71">
        <f t="shared" si="172"/>
        <v>13454545.454545453</v>
      </c>
      <c r="P747" s="71">
        <f t="shared" si="173"/>
        <v>13454545.454545453</v>
      </c>
    </row>
    <row r="748" spans="1:16" s="58" customFormat="1" ht="24.95" customHeight="1">
      <c r="A748" s="10">
        <f t="shared" si="174"/>
        <v>11</v>
      </c>
      <c r="B748" s="11" t="s">
        <v>1648</v>
      </c>
      <c r="C748" s="12" t="s">
        <v>259</v>
      </c>
      <c r="D748" s="20"/>
      <c r="E748" s="13">
        <f>20600000/1.1</f>
        <v>18727272.727272727</v>
      </c>
      <c r="F748" s="13"/>
      <c r="G748" s="206" t="s">
        <v>259</v>
      </c>
      <c r="H748" s="127"/>
      <c r="I748" s="68"/>
      <c r="J748" s="127"/>
      <c r="K748" s="25" t="str">
        <f t="shared" si="170"/>
        <v>đ/bộ</v>
      </c>
      <c r="L748" s="122"/>
      <c r="M748" s="120">
        <f t="shared" si="171"/>
        <v>18727272.727272727</v>
      </c>
      <c r="N748" s="120"/>
      <c r="O748" s="71">
        <f t="shared" si="172"/>
        <v>18727272.727272727</v>
      </c>
      <c r="P748" s="71">
        <f t="shared" si="173"/>
        <v>18727272.727272727</v>
      </c>
    </row>
    <row r="749" spans="1:16" s="58" customFormat="1" ht="24.95" customHeight="1">
      <c r="A749" s="10">
        <f t="shared" si="174"/>
        <v>12</v>
      </c>
      <c r="B749" s="11" t="s">
        <v>1659</v>
      </c>
      <c r="C749" s="12" t="s">
        <v>259</v>
      </c>
      <c r="D749" s="20"/>
      <c r="E749" s="13">
        <f>9500000/1.1</f>
        <v>8636363.6363636348</v>
      </c>
      <c r="F749" s="13"/>
      <c r="G749" s="206" t="s">
        <v>259</v>
      </c>
      <c r="H749" s="127"/>
      <c r="I749" s="68"/>
      <c r="J749" s="127"/>
      <c r="K749" s="25" t="str">
        <f t="shared" si="170"/>
        <v>đ/bộ</v>
      </c>
      <c r="L749" s="122"/>
      <c r="M749" s="120">
        <f t="shared" si="171"/>
        <v>8636363.6363636348</v>
      </c>
      <c r="N749" s="120"/>
      <c r="O749" s="71">
        <f t="shared" si="172"/>
        <v>8636363.6363636348</v>
      </c>
      <c r="P749" s="71">
        <f t="shared" si="173"/>
        <v>8636363.6363636348</v>
      </c>
    </row>
    <row r="750" spans="1:16" s="58" customFormat="1" ht="24.95" customHeight="1">
      <c r="A750" s="10">
        <f t="shared" si="174"/>
        <v>13</v>
      </c>
      <c r="B750" s="11" t="s">
        <v>1660</v>
      </c>
      <c r="C750" s="12" t="s">
        <v>259</v>
      </c>
      <c r="D750" s="20"/>
      <c r="E750" s="13">
        <f>11500000/1.1</f>
        <v>10454545.454545453</v>
      </c>
      <c r="F750" s="13"/>
      <c r="G750" s="206" t="s">
        <v>259</v>
      </c>
      <c r="H750" s="127"/>
      <c r="I750" s="68"/>
      <c r="J750" s="127"/>
      <c r="K750" s="25" t="str">
        <f t="shared" si="170"/>
        <v>đ/bộ</v>
      </c>
      <c r="L750" s="122"/>
      <c r="M750" s="120">
        <f t="shared" si="171"/>
        <v>10454545.454545453</v>
      </c>
      <c r="N750" s="120"/>
      <c r="O750" s="71">
        <f t="shared" si="172"/>
        <v>10454545.454545453</v>
      </c>
      <c r="P750" s="71">
        <f t="shared" si="173"/>
        <v>10454545.454545453</v>
      </c>
    </row>
    <row r="751" spans="1:16" s="58" customFormat="1" ht="24.95" customHeight="1">
      <c r="A751" s="10">
        <f t="shared" si="174"/>
        <v>14</v>
      </c>
      <c r="B751" s="11" t="s">
        <v>1661</v>
      </c>
      <c r="C751" s="12" t="s">
        <v>259</v>
      </c>
      <c r="D751" s="20"/>
      <c r="E751" s="13">
        <f>17200000/1.1</f>
        <v>15636363.636363635</v>
      </c>
      <c r="F751" s="13"/>
      <c r="G751" s="206" t="s">
        <v>259</v>
      </c>
      <c r="H751" s="127"/>
      <c r="I751" s="68"/>
      <c r="J751" s="127"/>
      <c r="K751" s="25" t="str">
        <f t="shared" si="170"/>
        <v>đ/bộ</v>
      </c>
      <c r="L751" s="122"/>
      <c r="M751" s="120">
        <f t="shared" si="171"/>
        <v>15636363.636363635</v>
      </c>
      <c r="N751" s="120"/>
      <c r="O751" s="71">
        <f t="shared" si="172"/>
        <v>15636363.636363635</v>
      </c>
      <c r="P751" s="71">
        <f t="shared" si="173"/>
        <v>15636363.636363635</v>
      </c>
    </row>
    <row r="752" spans="1:16" s="58" customFormat="1" ht="24.95" customHeight="1">
      <c r="A752" s="10">
        <f t="shared" si="174"/>
        <v>15</v>
      </c>
      <c r="B752" s="11" t="s">
        <v>1662</v>
      </c>
      <c r="C752" s="12" t="s">
        <v>259</v>
      </c>
      <c r="D752" s="20"/>
      <c r="E752" s="13">
        <f>23200000/1.1</f>
        <v>21090909.09090909</v>
      </c>
      <c r="F752" s="13"/>
      <c r="G752" s="206" t="s">
        <v>259</v>
      </c>
      <c r="H752" s="127"/>
      <c r="I752" s="68"/>
      <c r="J752" s="127"/>
      <c r="K752" s="25" t="str">
        <f t="shared" si="170"/>
        <v>đ/bộ</v>
      </c>
      <c r="L752" s="122"/>
      <c r="M752" s="120">
        <f t="shared" si="171"/>
        <v>21090909.09090909</v>
      </c>
      <c r="N752" s="120"/>
      <c r="O752" s="71">
        <f t="shared" si="172"/>
        <v>21090909.09090909</v>
      </c>
      <c r="P752" s="71">
        <f t="shared" si="173"/>
        <v>21090909.09090909</v>
      </c>
    </row>
    <row r="753" spans="1:16" s="58" customFormat="1" ht="24.95" customHeight="1">
      <c r="A753" s="10"/>
      <c r="B753" s="9" t="s">
        <v>1649</v>
      </c>
      <c r="C753" s="15"/>
      <c r="D753" s="20"/>
      <c r="E753" s="69"/>
      <c r="F753" s="13"/>
      <c r="G753" s="127"/>
      <c r="H753" s="127"/>
      <c r="I753" s="127"/>
      <c r="J753" s="127"/>
      <c r="K753" s="116"/>
      <c r="L753" s="120"/>
      <c r="M753" s="120"/>
      <c r="N753" s="120"/>
      <c r="O753" s="69"/>
      <c r="P753" s="69"/>
    </row>
    <row r="754" spans="1:16" s="58" customFormat="1" ht="24.95" customHeight="1">
      <c r="A754" s="10">
        <f>+A747+1</f>
        <v>11</v>
      </c>
      <c r="B754" s="11" t="s">
        <v>1641</v>
      </c>
      <c r="C754" s="12" t="s">
        <v>259</v>
      </c>
      <c r="D754" s="20"/>
      <c r="E754" s="13">
        <f>7000000/1.1</f>
        <v>6363636.3636363633</v>
      </c>
      <c r="F754" s="13"/>
      <c r="G754" s="206" t="s">
        <v>259</v>
      </c>
      <c r="H754" s="127"/>
      <c r="I754" s="68"/>
      <c r="J754" s="127"/>
      <c r="K754" s="25" t="str">
        <f>C754</f>
        <v>đ/bộ</v>
      </c>
      <c r="L754" s="122"/>
      <c r="M754" s="120">
        <f t="shared" si="171"/>
        <v>6363636.3636363633</v>
      </c>
      <c r="N754" s="120"/>
      <c r="O754" s="71">
        <f t="shared" ref="O754:O759" si="175">E754</f>
        <v>6363636.3636363633</v>
      </c>
      <c r="P754" s="71">
        <f t="shared" ref="P754:P759" si="176">M754</f>
        <v>6363636.3636363633</v>
      </c>
    </row>
    <row r="755" spans="1:16" s="58" customFormat="1" ht="24.95" customHeight="1">
      <c r="A755" s="10">
        <f>+A754+1</f>
        <v>12</v>
      </c>
      <c r="B755" s="11" t="s">
        <v>1642</v>
      </c>
      <c r="C755" s="12" t="s">
        <v>259</v>
      </c>
      <c r="D755" s="20"/>
      <c r="E755" s="13">
        <f>9100000/1.1</f>
        <v>8272727.2727272725</v>
      </c>
      <c r="F755" s="13"/>
      <c r="G755" s="206" t="s">
        <v>259</v>
      </c>
      <c r="H755" s="127"/>
      <c r="I755" s="68"/>
      <c r="J755" s="127"/>
      <c r="K755" s="12" t="s">
        <v>259</v>
      </c>
      <c r="L755" s="122"/>
      <c r="M755" s="120">
        <f t="shared" si="171"/>
        <v>8272727.2727272725</v>
      </c>
      <c r="N755" s="120"/>
      <c r="O755" s="71">
        <f t="shared" si="175"/>
        <v>8272727.2727272725</v>
      </c>
      <c r="P755" s="71">
        <f t="shared" si="176"/>
        <v>8272727.2727272725</v>
      </c>
    </row>
    <row r="756" spans="1:16" s="58" customFormat="1" ht="24.95" customHeight="1">
      <c r="A756" s="10">
        <f>+A755+1</f>
        <v>13</v>
      </c>
      <c r="B756" s="11" t="s">
        <v>1643</v>
      </c>
      <c r="C756" s="12" t="s">
        <v>259</v>
      </c>
      <c r="D756" s="20"/>
      <c r="E756" s="13">
        <f>13100000/1.1</f>
        <v>11909090.909090908</v>
      </c>
      <c r="F756" s="13"/>
      <c r="G756" s="206" t="s">
        <v>259</v>
      </c>
      <c r="H756" s="127"/>
      <c r="I756" s="68"/>
      <c r="J756" s="127"/>
      <c r="K756" s="12" t="s">
        <v>259</v>
      </c>
      <c r="L756" s="122"/>
      <c r="M756" s="120">
        <f t="shared" si="171"/>
        <v>11909090.909090908</v>
      </c>
      <c r="N756" s="120"/>
      <c r="O756" s="71">
        <f t="shared" si="175"/>
        <v>11909090.909090908</v>
      </c>
      <c r="P756" s="71">
        <f t="shared" si="176"/>
        <v>11909090.909090908</v>
      </c>
    </row>
    <row r="757" spans="1:16" s="58" customFormat="1" ht="24.95" customHeight="1">
      <c r="A757" s="10">
        <f>+A756+1</f>
        <v>14</v>
      </c>
      <c r="B757" s="11" t="s">
        <v>1644</v>
      </c>
      <c r="C757" s="12" t="s">
        <v>259</v>
      </c>
      <c r="D757" s="20"/>
      <c r="E757" s="13">
        <f>9600000/1.1</f>
        <v>8727272.7272727266</v>
      </c>
      <c r="F757" s="13"/>
      <c r="G757" s="206" t="s">
        <v>259</v>
      </c>
      <c r="H757" s="127"/>
      <c r="I757" s="68"/>
      <c r="J757" s="127"/>
      <c r="K757" s="12" t="s">
        <v>259</v>
      </c>
      <c r="L757" s="122"/>
      <c r="M757" s="120">
        <f t="shared" si="171"/>
        <v>8727272.7272727266</v>
      </c>
      <c r="N757" s="120"/>
      <c r="O757" s="71">
        <f t="shared" si="175"/>
        <v>8727272.7272727266</v>
      </c>
      <c r="P757" s="71">
        <f t="shared" si="176"/>
        <v>8727272.7272727266</v>
      </c>
    </row>
    <row r="758" spans="1:16" s="58" customFormat="1" ht="24.95" customHeight="1">
      <c r="A758" s="10">
        <f>+A757+1</f>
        <v>15</v>
      </c>
      <c r="B758" s="11" t="s">
        <v>1645</v>
      </c>
      <c r="C758" s="12" t="s">
        <v>259</v>
      </c>
      <c r="D758" s="20"/>
      <c r="E758" s="13">
        <f>12050000/1.1</f>
        <v>10954545.454545453</v>
      </c>
      <c r="F758" s="13"/>
      <c r="G758" s="206" t="s">
        <v>259</v>
      </c>
      <c r="H758" s="127"/>
      <c r="I758" s="68"/>
      <c r="J758" s="127"/>
      <c r="K758" s="12" t="s">
        <v>259</v>
      </c>
      <c r="L758" s="122"/>
      <c r="M758" s="120">
        <f t="shared" si="171"/>
        <v>10954545.454545453</v>
      </c>
      <c r="N758" s="120"/>
      <c r="O758" s="71">
        <f t="shared" si="175"/>
        <v>10954545.454545453</v>
      </c>
      <c r="P758" s="71">
        <f t="shared" si="176"/>
        <v>10954545.454545453</v>
      </c>
    </row>
    <row r="759" spans="1:16" s="58" customFormat="1" ht="24.95" customHeight="1">
      <c r="A759" s="10">
        <f>+A758+1</f>
        <v>16</v>
      </c>
      <c r="B759" s="11" t="s">
        <v>1646</v>
      </c>
      <c r="C759" s="12" t="s">
        <v>259</v>
      </c>
      <c r="D759" s="20"/>
      <c r="E759" s="13">
        <f>18500000/1.1</f>
        <v>16818181.818181816</v>
      </c>
      <c r="F759" s="13"/>
      <c r="G759" s="206" t="s">
        <v>259</v>
      </c>
      <c r="H759" s="127"/>
      <c r="I759" s="68"/>
      <c r="J759" s="127"/>
      <c r="K759" s="12" t="s">
        <v>259</v>
      </c>
      <c r="L759" s="122"/>
      <c r="M759" s="120">
        <f t="shared" si="171"/>
        <v>16818181.818181816</v>
      </c>
      <c r="N759" s="120"/>
      <c r="O759" s="71">
        <f t="shared" si="175"/>
        <v>16818181.818181816</v>
      </c>
      <c r="P759" s="71">
        <f t="shared" si="176"/>
        <v>16818181.818181816</v>
      </c>
    </row>
    <row r="760" spans="1:16" s="58" customFormat="1" ht="24.95" customHeight="1">
      <c r="A760" s="10"/>
      <c r="B760" s="9" t="s">
        <v>1650</v>
      </c>
      <c r="C760" s="12"/>
      <c r="D760" s="20"/>
      <c r="E760" s="13"/>
      <c r="F760" s="13"/>
      <c r="G760" s="206"/>
      <c r="H760" s="127"/>
      <c r="I760" s="68"/>
      <c r="J760" s="127"/>
      <c r="K760" s="25"/>
      <c r="L760" s="122"/>
      <c r="M760" s="120"/>
      <c r="N760" s="120"/>
      <c r="O760" s="71">
        <f t="shared" ref="O760:O767" si="177">E760</f>
        <v>0</v>
      </c>
      <c r="P760" s="71">
        <f t="shared" ref="P760:P767" si="178">M760</f>
        <v>0</v>
      </c>
    </row>
    <row r="761" spans="1:16" s="58" customFormat="1" ht="24.95" customHeight="1">
      <c r="A761" s="10">
        <v>17</v>
      </c>
      <c r="B761" s="11" t="s">
        <v>1641</v>
      </c>
      <c r="C761" s="12" t="s">
        <v>259</v>
      </c>
      <c r="D761" s="20"/>
      <c r="E761" s="13">
        <f>7000000/1.1</f>
        <v>6363636.3636363633</v>
      </c>
      <c r="F761" s="13"/>
      <c r="G761" s="206" t="s">
        <v>259</v>
      </c>
      <c r="H761" s="127"/>
      <c r="I761" s="68"/>
      <c r="J761" s="127"/>
      <c r="K761" s="12" t="s">
        <v>259</v>
      </c>
      <c r="L761" s="122"/>
      <c r="M761" s="120">
        <f t="shared" si="171"/>
        <v>6363636.3636363633</v>
      </c>
      <c r="N761" s="120"/>
      <c r="O761" s="71">
        <f t="shared" si="177"/>
        <v>6363636.3636363633</v>
      </c>
      <c r="P761" s="71">
        <f t="shared" si="178"/>
        <v>6363636.3636363633</v>
      </c>
    </row>
    <row r="762" spans="1:16" s="58" customFormat="1" ht="24.95" customHeight="1">
      <c r="A762" s="10">
        <f t="shared" ref="A762:A767" si="179">+A761+1</f>
        <v>18</v>
      </c>
      <c r="B762" s="11" t="s">
        <v>1642</v>
      </c>
      <c r="C762" s="12" t="s">
        <v>259</v>
      </c>
      <c r="D762" s="20"/>
      <c r="E762" s="13">
        <f>8400000/1.1</f>
        <v>7636363.6363636358</v>
      </c>
      <c r="F762" s="13"/>
      <c r="G762" s="206" t="s">
        <v>259</v>
      </c>
      <c r="H762" s="127"/>
      <c r="I762" s="68"/>
      <c r="J762" s="127"/>
      <c r="K762" s="12" t="s">
        <v>259</v>
      </c>
      <c r="L762" s="122"/>
      <c r="M762" s="120">
        <f t="shared" si="171"/>
        <v>7636363.6363636358</v>
      </c>
      <c r="N762" s="120"/>
      <c r="O762" s="71">
        <f t="shared" si="177"/>
        <v>7636363.6363636358</v>
      </c>
      <c r="P762" s="71">
        <f t="shared" si="178"/>
        <v>7636363.6363636358</v>
      </c>
    </row>
    <row r="763" spans="1:16" s="58" customFormat="1" ht="24.95" customHeight="1">
      <c r="A763" s="10">
        <f t="shared" si="179"/>
        <v>19</v>
      </c>
      <c r="B763" s="11" t="s">
        <v>1643</v>
      </c>
      <c r="C763" s="12" t="s">
        <v>259</v>
      </c>
      <c r="D763" s="20"/>
      <c r="E763" s="13">
        <f>13200000/1.1</f>
        <v>11999999.999999998</v>
      </c>
      <c r="F763" s="13"/>
      <c r="G763" s="206" t="s">
        <v>259</v>
      </c>
      <c r="H763" s="127"/>
      <c r="I763" s="68"/>
      <c r="J763" s="127"/>
      <c r="K763" s="12" t="s">
        <v>259</v>
      </c>
      <c r="L763" s="122"/>
      <c r="M763" s="120">
        <f t="shared" si="171"/>
        <v>11999999.999999998</v>
      </c>
      <c r="N763" s="120"/>
      <c r="O763" s="71">
        <f t="shared" si="177"/>
        <v>11999999.999999998</v>
      </c>
      <c r="P763" s="71">
        <f t="shared" si="178"/>
        <v>11999999.999999998</v>
      </c>
    </row>
    <row r="764" spans="1:16" s="58" customFormat="1" ht="24.95" customHeight="1">
      <c r="A764" s="10">
        <f t="shared" si="179"/>
        <v>20</v>
      </c>
      <c r="B764" s="11" t="s">
        <v>1648</v>
      </c>
      <c r="C764" s="12" t="s">
        <v>259</v>
      </c>
      <c r="D764" s="20"/>
      <c r="E764" s="13">
        <f>17200000/1.1</f>
        <v>15636363.636363635</v>
      </c>
      <c r="F764" s="13"/>
      <c r="G764" s="206" t="s">
        <v>259</v>
      </c>
      <c r="H764" s="127"/>
      <c r="I764" s="68"/>
      <c r="J764" s="127"/>
      <c r="K764" s="12" t="s">
        <v>259</v>
      </c>
      <c r="L764" s="122"/>
      <c r="M764" s="120">
        <f t="shared" si="171"/>
        <v>15636363.636363635</v>
      </c>
      <c r="N764" s="120"/>
      <c r="O764" s="71">
        <f t="shared" si="177"/>
        <v>15636363.636363635</v>
      </c>
      <c r="P764" s="71">
        <f t="shared" si="178"/>
        <v>15636363.636363635</v>
      </c>
    </row>
    <row r="765" spans="1:16" s="58" customFormat="1" ht="24.95" customHeight="1">
      <c r="A765" s="10">
        <f t="shared" si="179"/>
        <v>21</v>
      </c>
      <c r="B765" s="11" t="s">
        <v>1644</v>
      </c>
      <c r="C765" s="12" t="s">
        <v>259</v>
      </c>
      <c r="D765" s="20"/>
      <c r="E765" s="13">
        <f>9050000/1.1</f>
        <v>8227272.7272727266</v>
      </c>
      <c r="F765" s="13"/>
      <c r="G765" s="206" t="s">
        <v>259</v>
      </c>
      <c r="H765" s="127"/>
      <c r="I765" s="68"/>
      <c r="J765" s="127"/>
      <c r="K765" s="12" t="s">
        <v>259</v>
      </c>
      <c r="L765" s="122"/>
      <c r="M765" s="120">
        <f t="shared" si="171"/>
        <v>8227272.7272727266</v>
      </c>
      <c r="N765" s="120"/>
      <c r="O765" s="71">
        <f t="shared" si="177"/>
        <v>8227272.7272727266</v>
      </c>
      <c r="P765" s="71">
        <f t="shared" si="178"/>
        <v>8227272.7272727266</v>
      </c>
    </row>
    <row r="766" spans="1:16" s="58" customFormat="1" ht="24.95" customHeight="1">
      <c r="A766" s="10">
        <f t="shared" si="179"/>
        <v>22</v>
      </c>
      <c r="B766" s="11" t="s">
        <v>1645</v>
      </c>
      <c r="C766" s="12" t="s">
        <v>259</v>
      </c>
      <c r="D766" s="20"/>
      <c r="E766" s="13">
        <f>11250000/1.1</f>
        <v>10227272.727272727</v>
      </c>
      <c r="F766" s="13"/>
      <c r="G766" s="206" t="s">
        <v>259</v>
      </c>
      <c r="H766" s="127"/>
      <c r="I766" s="68"/>
      <c r="J766" s="127"/>
      <c r="K766" s="12" t="s">
        <v>259</v>
      </c>
      <c r="L766" s="122"/>
      <c r="M766" s="120">
        <f t="shared" si="171"/>
        <v>10227272.727272727</v>
      </c>
      <c r="N766" s="120"/>
      <c r="O766" s="71">
        <f t="shared" si="177"/>
        <v>10227272.727272727</v>
      </c>
      <c r="P766" s="71">
        <f t="shared" si="178"/>
        <v>10227272.727272727</v>
      </c>
    </row>
    <row r="767" spans="1:16" s="58" customFormat="1" ht="24.95" customHeight="1">
      <c r="A767" s="10">
        <f t="shared" si="179"/>
        <v>23</v>
      </c>
      <c r="B767" s="11" t="s">
        <v>1646</v>
      </c>
      <c r="C767" s="12" t="s">
        <v>259</v>
      </c>
      <c r="D767" s="20"/>
      <c r="E767" s="13">
        <f>18900000/1.1</f>
        <v>17181818.18181818</v>
      </c>
      <c r="F767" s="13"/>
      <c r="G767" s="206" t="s">
        <v>259</v>
      </c>
      <c r="H767" s="127"/>
      <c r="I767" s="68"/>
      <c r="J767" s="127"/>
      <c r="K767" s="12" t="s">
        <v>259</v>
      </c>
      <c r="L767" s="122"/>
      <c r="M767" s="120">
        <f t="shared" si="171"/>
        <v>17181818.18181818</v>
      </c>
      <c r="N767" s="120"/>
      <c r="O767" s="71">
        <f t="shared" si="177"/>
        <v>17181818.18181818</v>
      </c>
      <c r="P767" s="71">
        <f t="shared" si="178"/>
        <v>17181818.18181818</v>
      </c>
    </row>
    <row r="768" spans="1:16" s="58" customFormat="1" ht="24.95" customHeight="1">
      <c r="A768" s="10"/>
      <c r="B768" s="9" t="s">
        <v>1651</v>
      </c>
      <c r="C768" s="15"/>
      <c r="D768" s="20"/>
      <c r="E768" s="69"/>
      <c r="F768" s="13"/>
      <c r="G768" s="206"/>
      <c r="H768" s="127"/>
      <c r="I768" s="127"/>
      <c r="J768" s="127"/>
      <c r="K768" s="116"/>
      <c r="L768" s="120"/>
      <c r="M768" s="120"/>
      <c r="N768" s="120"/>
      <c r="O768" s="71">
        <f>E768</f>
        <v>0</v>
      </c>
      <c r="P768" s="71">
        <f>M768</f>
        <v>0</v>
      </c>
    </row>
    <row r="769" spans="1:16" s="58" customFormat="1" ht="24.95" customHeight="1">
      <c r="A769" s="10">
        <v>24</v>
      </c>
      <c r="B769" s="11" t="s">
        <v>1644</v>
      </c>
      <c r="C769" s="12" t="s">
        <v>259</v>
      </c>
      <c r="D769" s="20"/>
      <c r="E769" s="13">
        <f>7950000/1.1</f>
        <v>7227272.7272727266</v>
      </c>
      <c r="F769" s="13"/>
      <c r="G769" s="206" t="s">
        <v>259</v>
      </c>
      <c r="H769" s="127"/>
      <c r="I769" s="68"/>
      <c r="J769" s="127"/>
      <c r="K769" s="25" t="str">
        <f>C769</f>
        <v>đ/bộ</v>
      </c>
      <c r="L769" s="122"/>
      <c r="M769" s="120">
        <f t="shared" si="171"/>
        <v>7227272.7272727266</v>
      </c>
      <c r="N769" s="120"/>
      <c r="O769" s="71">
        <f>E769</f>
        <v>7227272.7272727266</v>
      </c>
      <c r="P769" s="71">
        <f>M769</f>
        <v>7227272.7272727266</v>
      </c>
    </row>
    <row r="770" spans="1:16" s="58" customFormat="1" ht="24.95" customHeight="1">
      <c r="A770" s="10">
        <f>+A769+1</f>
        <v>25</v>
      </c>
      <c r="B770" s="11" t="s">
        <v>1645</v>
      </c>
      <c r="C770" s="12" t="s">
        <v>259</v>
      </c>
      <c r="D770" s="20"/>
      <c r="E770" s="13">
        <f>8800000/1.1</f>
        <v>7999999.9999999991</v>
      </c>
      <c r="F770" s="13"/>
      <c r="G770" s="206" t="s">
        <v>259</v>
      </c>
      <c r="H770" s="127"/>
      <c r="I770" s="68"/>
      <c r="J770" s="127"/>
      <c r="K770" s="25" t="str">
        <f>C770</f>
        <v>đ/bộ</v>
      </c>
      <c r="L770" s="122"/>
      <c r="M770" s="120">
        <f t="shared" si="171"/>
        <v>7999999.9999999991</v>
      </c>
      <c r="N770" s="120"/>
      <c r="O770" s="71">
        <f>E770</f>
        <v>7999999.9999999991</v>
      </c>
      <c r="P770" s="71">
        <f>M770</f>
        <v>7999999.9999999991</v>
      </c>
    </row>
    <row r="771" spans="1:16" s="58" customFormat="1" ht="24.95" customHeight="1">
      <c r="A771" s="10">
        <f>+A770+1</f>
        <v>26</v>
      </c>
      <c r="B771" s="11" t="s">
        <v>1646</v>
      </c>
      <c r="C771" s="12" t="s">
        <v>259</v>
      </c>
      <c r="D771" s="20"/>
      <c r="E771" s="13">
        <f>14800000/1.1</f>
        <v>13454545.454545453</v>
      </c>
      <c r="F771" s="13"/>
      <c r="G771" s="206" t="s">
        <v>259</v>
      </c>
      <c r="H771" s="127"/>
      <c r="I771" s="68"/>
      <c r="J771" s="127"/>
      <c r="K771" s="25" t="str">
        <f>C771</f>
        <v>đ/bộ</v>
      </c>
      <c r="L771" s="122"/>
      <c r="M771" s="120">
        <f t="shared" si="171"/>
        <v>13454545.454545453</v>
      </c>
      <c r="N771" s="120"/>
      <c r="O771" s="71">
        <f>E771</f>
        <v>13454545.454545453</v>
      </c>
      <c r="P771" s="71">
        <f>M771</f>
        <v>13454545.454545453</v>
      </c>
    </row>
    <row r="772" spans="1:16" s="58" customFormat="1" ht="24.95" customHeight="1">
      <c r="A772" s="10"/>
      <c r="B772" s="9" t="s">
        <v>1652</v>
      </c>
      <c r="C772" s="12"/>
      <c r="D772" s="20"/>
      <c r="E772" s="13"/>
      <c r="F772" s="13"/>
      <c r="G772" s="206"/>
      <c r="H772" s="127"/>
      <c r="I772" s="68"/>
      <c r="J772" s="127"/>
      <c r="K772" s="25"/>
      <c r="L772" s="122"/>
      <c r="M772" s="120"/>
      <c r="N772" s="120"/>
      <c r="O772" s="71">
        <f t="shared" ref="O772:O783" si="180">E772</f>
        <v>0</v>
      </c>
      <c r="P772" s="71">
        <f t="shared" ref="P772:P783" si="181">M772</f>
        <v>0</v>
      </c>
    </row>
    <row r="773" spans="1:16" s="58" customFormat="1" ht="24.95" customHeight="1">
      <c r="A773" s="10">
        <v>27</v>
      </c>
      <c r="B773" s="11" t="s">
        <v>1641</v>
      </c>
      <c r="C773" s="12" t="s">
        <v>259</v>
      </c>
      <c r="D773" s="20"/>
      <c r="E773" s="13">
        <f>5950000/1.1</f>
        <v>5409090.9090909082</v>
      </c>
      <c r="F773" s="13"/>
      <c r="G773" s="206" t="s">
        <v>259</v>
      </c>
      <c r="H773" s="127"/>
      <c r="I773" s="68"/>
      <c r="J773" s="127"/>
      <c r="K773" s="25" t="str">
        <f>C773</f>
        <v>đ/bộ</v>
      </c>
      <c r="L773" s="122"/>
      <c r="M773" s="120">
        <f t="shared" si="171"/>
        <v>5409090.9090909082</v>
      </c>
      <c r="N773" s="120"/>
      <c r="O773" s="71">
        <f t="shared" si="180"/>
        <v>5409090.9090909082</v>
      </c>
      <c r="P773" s="71">
        <f t="shared" si="181"/>
        <v>5409090.9090909082</v>
      </c>
    </row>
    <row r="774" spans="1:16" s="58" customFormat="1" ht="24.95" customHeight="1">
      <c r="A774" s="10">
        <f>+A773+1</f>
        <v>28</v>
      </c>
      <c r="B774" s="11" t="s">
        <v>1642</v>
      </c>
      <c r="C774" s="12" t="s">
        <v>259</v>
      </c>
      <c r="D774" s="20"/>
      <c r="E774" s="13">
        <f>7350000/1.1</f>
        <v>6681818.1818181816</v>
      </c>
      <c r="F774" s="13"/>
      <c r="G774" s="206" t="s">
        <v>259</v>
      </c>
      <c r="H774" s="127"/>
      <c r="I774" s="68"/>
      <c r="J774" s="127"/>
      <c r="K774" s="25" t="str">
        <f>C774</f>
        <v>đ/bộ</v>
      </c>
      <c r="L774" s="122"/>
      <c r="M774" s="120">
        <f t="shared" si="171"/>
        <v>6681818.1818181816</v>
      </c>
      <c r="N774" s="120"/>
      <c r="O774" s="71">
        <f t="shared" si="180"/>
        <v>6681818.1818181816</v>
      </c>
      <c r="P774" s="71">
        <f t="shared" si="181"/>
        <v>6681818.1818181816</v>
      </c>
    </row>
    <row r="775" spans="1:16" s="58" customFormat="1" ht="24.95" customHeight="1">
      <c r="A775" s="10">
        <f>+A774+1</f>
        <v>29</v>
      </c>
      <c r="B775" s="11" t="s">
        <v>1643</v>
      </c>
      <c r="C775" s="12" t="s">
        <v>259</v>
      </c>
      <c r="D775" s="20"/>
      <c r="E775" s="13">
        <f>12600000/1.1</f>
        <v>11454545.454545453</v>
      </c>
      <c r="F775" s="13"/>
      <c r="G775" s="206" t="s">
        <v>259</v>
      </c>
      <c r="H775" s="127"/>
      <c r="I775" s="68"/>
      <c r="J775" s="127"/>
      <c r="K775" s="25" t="str">
        <f>C775</f>
        <v>đ/bộ</v>
      </c>
      <c r="L775" s="122"/>
      <c r="M775" s="120">
        <f t="shared" si="171"/>
        <v>11454545.454545453</v>
      </c>
      <c r="N775" s="120"/>
      <c r="O775" s="71">
        <f t="shared" si="180"/>
        <v>11454545.454545453</v>
      </c>
      <c r="P775" s="71">
        <f t="shared" si="181"/>
        <v>11454545.454545453</v>
      </c>
    </row>
    <row r="776" spans="1:16" s="58" customFormat="1" ht="24.95" customHeight="1">
      <c r="A776" s="10">
        <f>+A775+1</f>
        <v>30</v>
      </c>
      <c r="B776" s="11" t="s">
        <v>1644</v>
      </c>
      <c r="C776" s="12" t="s">
        <v>259</v>
      </c>
      <c r="D776" s="20"/>
      <c r="E776" s="13">
        <f>7800000/1.1</f>
        <v>7090909.0909090899</v>
      </c>
      <c r="F776" s="13"/>
      <c r="G776" s="206" t="s">
        <v>259</v>
      </c>
      <c r="H776" s="127"/>
      <c r="I776" s="68"/>
      <c r="J776" s="127"/>
      <c r="K776" s="25" t="str">
        <f>C776</f>
        <v>đ/bộ</v>
      </c>
      <c r="L776" s="122"/>
      <c r="M776" s="120">
        <f t="shared" si="171"/>
        <v>7090909.0909090899</v>
      </c>
      <c r="N776" s="120"/>
      <c r="O776" s="71">
        <f t="shared" si="180"/>
        <v>7090909.0909090899</v>
      </c>
      <c r="P776" s="71">
        <f t="shared" si="181"/>
        <v>7090909.0909090899</v>
      </c>
    </row>
    <row r="777" spans="1:16" s="58" customFormat="1" ht="24.95" customHeight="1">
      <c r="A777" s="10">
        <f>+A776+1</f>
        <v>31</v>
      </c>
      <c r="B777" s="11" t="s">
        <v>1645</v>
      </c>
      <c r="C777" s="12" t="s">
        <v>259</v>
      </c>
      <c r="D777" s="20"/>
      <c r="E777" s="13">
        <f>9100000/1.1</f>
        <v>8272727.2727272725</v>
      </c>
      <c r="F777" s="13"/>
      <c r="G777" s="206" t="s">
        <v>259</v>
      </c>
      <c r="H777" s="127"/>
      <c r="I777" s="68"/>
      <c r="J777" s="127"/>
      <c r="K777" s="25" t="str">
        <f>C777</f>
        <v>đ/bộ</v>
      </c>
      <c r="L777" s="122"/>
      <c r="M777" s="120">
        <f t="shared" si="171"/>
        <v>8272727.2727272725</v>
      </c>
      <c r="N777" s="120"/>
      <c r="O777" s="71">
        <f t="shared" si="180"/>
        <v>8272727.2727272725</v>
      </c>
      <c r="P777" s="71">
        <f t="shared" si="181"/>
        <v>8272727.2727272725</v>
      </c>
    </row>
    <row r="778" spans="1:16" s="58" customFormat="1" ht="24.95" customHeight="1">
      <c r="A778" s="10"/>
      <c r="B778" s="9" t="s">
        <v>1653</v>
      </c>
      <c r="C778" s="12"/>
      <c r="D778" s="20"/>
      <c r="E778" s="13"/>
      <c r="F778" s="13"/>
      <c r="G778" s="206"/>
      <c r="H778" s="127"/>
      <c r="I778" s="68"/>
      <c r="J778" s="127"/>
      <c r="K778" s="25"/>
      <c r="L778" s="122"/>
      <c r="M778" s="120"/>
      <c r="N778" s="120"/>
      <c r="O778" s="71">
        <f t="shared" si="180"/>
        <v>0</v>
      </c>
      <c r="P778" s="71">
        <f t="shared" si="181"/>
        <v>0</v>
      </c>
    </row>
    <row r="779" spans="1:16" s="58" customFormat="1" ht="24.95" customHeight="1">
      <c r="A779" s="10">
        <v>27</v>
      </c>
      <c r="B779" s="11" t="s">
        <v>1641</v>
      </c>
      <c r="C779" s="12" t="s">
        <v>259</v>
      </c>
      <c r="D779" s="20"/>
      <c r="E779" s="13">
        <f>5700000/1.1</f>
        <v>5181818.1818181816</v>
      </c>
      <c r="F779" s="13"/>
      <c r="G779" s="206" t="s">
        <v>259</v>
      </c>
      <c r="H779" s="127"/>
      <c r="I779" s="68"/>
      <c r="J779" s="127"/>
      <c r="K779" s="25" t="str">
        <f>C779</f>
        <v>đ/bộ</v>
      </c>
      <c r="L779" s="122"/>
      <c r="M779" s="120">
        <f t="shared" si="171"/>
        <v>5181818.1818181816</v>
      </c>
      <c r="N779" s="120"/>
      <c r="O779" s="71">
        <f t="shared" si="180"/>
        <v>5181818.1818181816</v>
      </c>
      <c r="P779" s="71">
        <f t="shared" si="181"/>
        <v>5181818.1818181816</v>
      </c>
    </row>
    <row r="780" spans="1:16" s="58" customFormat="1" ht="24.95" customHeight="1">
      <c r="A780" s="10">
        <f>+A779+1</f>
        <v>28</v>
      </c>
      <c r="B780" s="11" t="s">
        <v>1642</v>
      </c>
      <c r="C780" s="12" t="s">
        <v>259</v>
      </c>
      <c r="D780" s="20"/>
      <c r="E780" s="13">
        <f>7600000/1.1</f>
        <v>6909090.9090909082</v>
      </c>
      <c r="F780" s="13"/>
      <c r="G780" s="206" t="s">
        <v>259</v>
      </c>
      <c r="H780" s="127"/>
      <c r="I780" s="68"/>
      <c r="J780" s="127"/>
      <c r="K780" s="25" t="str">
        <f>C780</f>
        <v>đ/bộ</v>
      </c>
      <c r="L780" s="122"/>
      <c r="M780" s="120">
        <f t="shared" si="171"/>
        <v>6909090.9090909082</v>
      </c>
      <c r="N780" s="120"/>
      <c r="O780" s="71">
        <f t="shared" si="180"/>
        <v>6909090.9090909082</v>
      </c>
      <c r="P780" s="71">
        <f t="shared" si="181"/>
        <v>6909090.9090909082</v>
      </c>
    </row>
    <row r="781" spans="1:16" s="58" customFormat="1" ht="24.95" customHeight="1">
      <c r="A781" s="10">
        <f>+A780+1</f>
        <v>29</v>
      </c>
      <c r="B781" s="11" t="s">
        <v>1643</v>
      </c>
      <c r="C781" s="12" t="s">
        <v>259</v>
      </c>
      <c r="D781" s="20"/>
      <c r="E781" s="13">
        <f>11100000/1.1</f>
        <v>10090909.09090909</v>
      </c>
      <c r="F781" s="13"/>
      <c r="G781" s="206" t="s">
        <v>259</v>
      </c>
      <c r="H781" s="127"/>
      <c r="I781" s="68"/>
      <c r="J781" s="127"/>
      <c r="K781" s="25" t="str">
        <f>C781</f>
        <v>đ/bộ</v>
      </c>
      <c r="L781" s="122"/>
      <c r="M781" s="120">
        <f t="shared" si="171"/>
        <v>10090909.09090909</v>
      </c>
      <c r="N781" s="120"/>
      <c r="O781" s="71">
        <f t="shared" si="180"/>
        <v>10090909.09090909</v>
      </c>
      <c r="P781" s="71">
        <f t="shared" si="181"/>
        <v>10090909.09090909</v>
      </c>
    </row>
    <row r="782" spans="1:16" s="58" customFormat="1" ht="24.95" customHeight="1">
      <c r="A782" s="10">
        <f>+A781+1</f>
        <v>30</v>
      </c>
      <c r="B782" s="11" t="s">
        <v>1644</v>
      </c>
      <c r="C782" s="12" t="s">
        <v>259</v>
      </c>
      <c r="D782" s="20"/>
      <c r="E782" s="13">
        <f>6750000/1.1</f>
        <v>6136363.6363636358</v>
      </c>
      <c r="F782" s="13"/>
      <c r="G782" s="206" t="s">
        <v>259</v>
      </c>
      <c r="H782" s="127"/>
      <c r="I782" s="68"/>
      <c r="J782" s="127"/>
      <c r="K782" s="25" t="str">
        <f>C782</f>
        <v>đ/bộ</v>
      </c>
      <c r="L782" s="122"/>
      <c r="M782" s="120">
        <f t="shared" si="171"/>
        <v>6136363.6363636358</v>
      </c>
      <c r="N782" s="120"/>
      <c r="O782" s="71">
        <f t="shared" si="180"/>
        <v>6136363.6363636358</v>
      </c>
      <c r="P782" s="71">
        <f t="shared" si="181"/>
        <v>6136363.6363636358</v>
      </c>
    </row>
    <row r="783" spans="1:16" s="58" customFormat="1" ht="24.95" customHeight="1">
      <c r="A783" s="10">
        <f>+A782+1</f>
        <v>31</v>
      </c>
      <c r="B783" s="11" t="s">
        <v>1645</v>
      </c>
      <c r="C783" s="12" t="s">
        <v>259</v>
      </c>
      <c r="D783" s="20"/>
      <c r="E783" s="13">
        <f>9150000/1.1</f>
        <v>8318181.8181818174</v>
      </c>
      <c r="F783" s="13"/>
      <c r="G783" s="206" t="s">
        <v>259</v>
      </c>
      <c r="H783" s="127"/>
      <c r="I783" s="68"/>
      <c r="J783" s="127"/>
      <c r="K783" s="25" t="str">
        <f>C783</f>
        <v>đ/bộ</v>
      </c>
      <c r="L783" s="122"/>
      <c r="M783" s="120">
        <f t="shared" si="171"/>
        <v>8318181.8181818174</v>
      </c>
      <c r="N783" s="120"/>
      <c r="O783" s="71">
        <f t="shared" si="180"/>
        <v>8318181.8181818174</v>
      </c>
      <c r="P783" s="71">
        <f t="shared" si="181"/>
        <v>8318181.8181818174</v>
      </c>
    </row>
    <row r="784" spans="1:16" s="58" customFormat="1" ht="24.95" customHeight="1">
      <c r="A784" s="10"/>
      <c r="B784" s="9" t="s">
        <v>1654</v>
      </c>
      <c r="C784" s="12"/>
      <c r="D784" s="20"/>
      <c r="E784" s="13"/>
      <c r="F784" s="13"/>
      <c r="G784" s="206"/>
      <c r="H784" s="127"/>
      <c r="I784" s="68"/>
      <c r="J784" s="127"/>
      <c r="K784" s="25"/>
      <c r="L784" s="122"/>
      <c r="M784" s="120"/>
      <c r="N784" s="120"/>
      <c r="O784" s="71">
        <f>E784</f>
        <v>0</v>
      </c>
      <c r="P784" s="71">
        <f>M784</f>
        <v>0</v>
      </c>
    </row>
    <row r="785" spans="1:16" s="58" customFormat="1" ht="24.95" customHeight="1">
      <c r="A785" s="10">
        <v>27</v>
      </c>
      <c r="B785" s="11" t="s">
        <v>1641</v>
      </c>
      <c r="C785" s="12" t="s">
        <v>259</v>
      </c>
      <c r="D785" s="20"/>
      <c r="E785" s="13">
        <f>4800000/1.1</f>
        <v>4363636.3636363633</v>
      </c>
      <c r="F785" s="13"/>
      <c r="G785" s="206" t="s">
        <v>259</v>
      </c>
      <c r="H785" s="127"/>
      <c r="I785" s="68"/>
      <c r="J785" s="127"/>
      <c r="K785" s="25" t="str">
        <f>C785</f>
        <v>đ/bộ</v>
      </c>
      <c r="L785" s="122"/>
      <c r="M785" s="120">
        <f t="shared" si="171"/>
        <v>4363636.3636363633</v>
      </c>
      <c r="N785" s="120"/>
      <c r="O785" s="71">
        <f>E785</f>
        <v>4363636.3636363633</v>
      </c>
      <c r="P785" s="71">
        <f>M785</f>
        <v>4363636.3636363633</v>
      </c>
    </row>
    <row r="786" spans="1:16" s="58" customFormat="1" ht="24.95" customHeight="1">
      <c r="A786" s="10">
        <f>+A785+1</f>
        <v>28</v>
      </c>
      <c r="B786" s="11" t="s">
        <v>1642</v>
      </c>
      <c r="C786" s="12" t="s">
        <v>259</v>
      </c>
      <c r="D786" s="20"/>
      <c r="E786" s="13">
        <f>6050000/1.1</f>
        <v>5500000</v>
      </c>
      <c r="F786" s="13"/>
      <c r="G786" s="206" t="s">
        <v>259</v>
      </c>
      <c r="H786" s="127"/>
      <c r="I786" s="68"/>
      <c r="J786" s="127"/>
      <c r="K786" s="25" t="str">
        <f>C786</f>
        <v>đ/bộ</v>
      </c>
      <c r="L786" s="122"/>
      <c r="M786" s="120">
        <f t="shared" si="171"/>
        <v>5500000</v>
      </c>
      <c r="N786" s="120"/>
      <c r="O786" s="71">
        <f>E786</f>
        <v>5500000</v>
      </c>
      <c r="P786" s="71">
        <f>M786</f>
        <v>5500000</v>
      </c>
    </row>
    <row r="787" spans="1:16" s="58" customFormat="1" ht="24.95" customHeight="1">
      <c r="A787" s="10">
        <f>+A786+1</f>
        <v>29</v>
      </c>
      <c r="B787" s="11" t="s">
        <v>1643</v>
      </c>
      <c r="C787" s="12" t="s">
        <v>259</v>
      </c>
      <c r="D787" s="20"/>
      <c r="E787" s="13">
        <f>9200000/1.1</f>
        <v>8363636.3636363633</v>
      </c>
      <c r="F787" s="13"/>
      <c r="G787" s="206" t="s">
        <v>259</v>
      </c>
      <c r="H787" s="127"/>
      <c r="I787" s="68"/>
      <c r="J787" s="127"/>
      <c r="K787" s="25" t="str">
        <f>C787</f>
        <v>đ/bộ</v>
      </c>
      <c r="L787" s="122"/>
      <c r="M787" s="120">
        <f t="shared" si="171"/>
        <v>8363636.3636363633</v>
      </c>
      <c r="N787" s="120"/>
      <c r="O787" s="71">
        <f>E787</f>
        <v>8363636.3636363633</v>
      </c>
      <c r="P787" s="71">
        <f>M787</f>
        <v>8363636.3636363633</v>
      </c>
    </row>
    <row r="788" spans="1:16" s="58" customFormat="1" ht="24.95" customHeight="1">
      <c r="A788" s="10"/>
      <c r="B788" s="9" t="s">
        <v>1656</v>
      </c>
      <c r="C788" s="12"/>
      <c r="D788" s="20"/>
      <c r="E788" s="13"/>
      <c r="F788" s="13"/>
      <c r="G788" s="206"/>
      <c r="H788" s="127"/>
      <c r="I788" s="68"/>
      <c r="J788" s="127"/>
      <c r="K788" s="25"/>
      <c r="L788" s="122"/>
      <c r="M788" s="120"/>
      <c r="N788" s="120"/>
      <c r="O788" s="71">
        <f t="shared" ref="O788:O820" si="182">E788</f>
        <v>0</v>
      </c>
      <c r="P788" s="71">
        <f t="shared" ref="P788:P820" si="183">M788</f>
        <v>0</v>
      </c>
    </row>
    <row r="789" spans="1:16" s="58" customFormat="1" ht="24.95" customHeight="1">
      <c r="A789" s="10">
        <v>30</v>
      </c>
      <c r="B789" s="11" t="s">
        <v>1641</v>
      </c>
      <c r="C789" s="12" t="s">
        <v>259</v>
      </c>
      <c r="D789" s="20"/>
      <c r="E789" s="13">
        <f>5500000/1.1</f>
        <v>5000000</v>
      </c>
      <c r="F789" s="13"/>
      <c r="G789" s="206" t="s">
        <v>259</v>
      </c>
      <c r="H789" s="127"/>
      <c r="I789" s="68"/>
      <c r="J789" s="127"/>
      <c r="K789" s="25" t="str">
        <f t="shared" ref="K789:K794" si="184">C789</f>
        <v>đ/bộ</v>
      </c>
      <c r="L789" s="122"/>
      <c r="M789" s="120">
        <f t="shared" si="171"/>
        <v>5000000</v>
      </c>
      <c r="N789" s="120"/>
      <c r="O789" s="71">
        <f t="shared" si="182"/>
        <v>5000000</v>
      </c>
      <c r="P789" s="71">
        <f t="shared" si="183"/>
        <v>5000000</v>
      </c>
    </row>
    <row r="790" spans="1:16" s="58" customFormat="1" ht="24.95" customHeight="1">
      <c r="A790" s="10">
        <f>+A789+1</f>
        <v>31</v>
      </c>
      <c r="B790" s="11" t="s">
        <v>1642</v>
      </c>
      <c r="C790" s="12" t="s">
        <v>259</v>
      </c>
      <c r="D790" s="20"/>
      <c r="E790" s="13">
        <f>6650000/1.1</f>
        <v>6045454.5454545449</v>
      </c>
      <c r="F790" s="13"/>
      <c r="G790" s="206" t="s">
        <v>259</v>
      </c>
      <c r="H790" s="127"/>
      <c r="I790" s="68"/>
      <c r="J790" s="127"/>
      <c r="K790" s="25" t="str">
        <f t="shared" si="184"/>
        <v>đ/bộ</v>
      </c>
      <c r="L790" s="122"/>
      <c r="M790" s="120">
        <f t="shared" si="171"/>
        <v>6045454.5454545449</v>
      </c>
      <c r="N790" s="120"/>
      <c r="O790" s="71">
        <f t="shared" si="182"/>
        <v>6045454.5454545449</v>
      </c>
      <c r="P790" s="71">
        <f t="shared" si="183"/>
        <v>6045454.5454545449</v>
      </c>
    </row>
    <row r="791" spans="1:16" s="58" customFormat="1" ht="24.95" customHeight="1">
      <c r="A791" s="10">
        <f>+A790+1</f>
        <v>32</v>
      </c>
      <c r="B791" s="11" t="s">
        <v>1643</v>
      </c>
      <c r="C791" s="12" t="s">
        <v>259</v>
      </c>
      <c r="D791" s="20"/>
      <c r="E791" s="13">
        <f>9300000/1.1</f>
        <v>8454545.4545454532</v>
      </c>
      <c r="F791" s="13"/>
      <c r="G791" s="206" t="s">
        <v>259</v>
      </c>
      <c r="H791" s="127"/>
      <c r="I791" s="68"/>
      <c r="J791" s="127"/>
      <c r="K791" s="25" t="str">
        <f t="shared" si="184"/>
        <v>đ/bộ</v>
      </c>
      <c r="L791" s="122"/>
      <c r="M791" s="120">
        <f t="shared" si="171"/>
        <v>8454545.4545454532</v>
      </c>
      <c r="N791" s="120"/>
      <c r="O791" s="71">
        <f t="shared" si="182"/>
        <v>8454545.4545454532</v>
      </c>
      <c r="P791" s="71">
        <f t="shared" si="183"/>
        <v>8454545.4545454532</v>
      </c>
    </row>
    <row r="792" spans="1:16" s="58" customFormat="1" ht="24.95" customHeight="1">
      <c r="A792" s="10">
        <f>+A791+1</f>
        <v>33</v>
      </c>
      <c r="B792" s="11" t="s">
        <v>1644</v>
      </c>
      <c r="C792" s="12" t="s">
        <v>259</v>
      </c>
      <c r="D792" s="20"/>
      <c r="E792" s="13">
        <f>7200000/1.1</f>
        <v>6545454.5454545449</v>
      </c>
      <c r="F792" s="13"/>
      <c r="G792" s="206" t="s">
        <v>259</v>
      </c>
      <c r="H792" s="127"/>
      <c r="I792" s="68"/>
      <c r="J792" s="127"/>
      <c r="K792" s="25" t="str">
        <f t="shared" si="184"/>
        <v>đ/bộ</v>
      </c>
      <c r="L792" s="122"/>
      <c r="M792" s="120">
        <f t="shared" si="171"/>
        <v>6545454.5454545449</v>
      </c>
      <c r="N792" s="120"/>
      <c r="O792" s="71">
        <f t="shared" si="182"/>
        <v>6545454.5454545449</v>
      </c>
      <c r="P792" s="71">
        <f t="shared" si="183"/>
        <v>6545454.5454545449</v>
      </c>
    </row>
    <row r="793" spans="1:16" s="58" customFormat="1" ht="24.95" customHeight="1">
      <c r="A793" s="10">
        <f>+A792+1</f>
        <v>34</v>
      </c>
      <c r="B793" s="11" t="s">
        <v>1645</v>
      </c>
      <c r="C793" s="12" t="s">
        <v>259</v>
      </c>
      <c r="D793" s="20"/>
      <c r="E793" s="13">
        <f>8300000/1.1</f>
        <v>7545454.5454545449</v>
      </c>
      <c r="F793" s="13"/>
      <c r="G793" s="206" t="s">
        <v>259</v>
      </c>
      <c r="H793" s="127"/>
      <c r="I793" s="68"/>
      <c r="J793" s="127"/>
      <c r="K793" s="25" t="str">
        <f t="shared" si="184"/>
        <v>đ/bộ</v>
      </c>
      <c r="L793" s="122"/>
      <c r="M793" s="120">
        <f t="shared" si="171"/>
        <v>7545454.5454545449</v>
      </c>
      <c r="N793" s="120"/>
      <c r="O793" s="71">
        <f t="shared" si="182"/>
        <v>7545454.5454545449</v>
      </c>
      <c r="P793" s="71">
        <f t="shared" si="183"/>
        <v>7545454.5454545449</v>
      </c>
    </row>
    <row r="794" spans="1:16" s="58" customFormat="1" ht="24.95" customHeight="1">
      <c r="A794" s="10">
        <f>+A793+1</f>
        <v>35</v>
      </c>
      <c r="B794" s="11" t="s">
        <v>1646</v>
      </c>
      <c r="C794" s="12" t="s">
        <v>259</v>
      </c>
      <c r="D794" s="20"/>
      <c r="E794" s="13">
        <f>12700000/1.1</f>
        <v>11545454.545454545</v>
      </c>
      <c r="F794" s="13"/>
      <c r="G794" s="206" t="s">
        <v>259</v>
      </c>
      <c r="H794" s="127"/>
      <c r="I794" s="68"/>
      <c r="J794" s="127"/>
      <c r="K794" s="25" t="str">
        <f t="shared" si="184"/>
        <v>đ/bộ</v>
      </c>
      <c r="L794" s="122"/>
      <c r="M794" s="120">
        <f t="shared" si="171"/>
        <v>11545454.545454545</v>
      </c>
      <c r="N794" s="120"/>
      <c r="O794" s="71">
        <f t="shared" si="182"/>
        <v>11545454.545454545</v>
      </c>
      <c r="P794" s="71">
        <f t="shared" si="183"/>
        <v>11545454.545454545</v>
      </c>
    </row>
    <row r="795" spans="1:16" s="58" customFormat="1" ht="24.95" customHeight="1">
      <c r="A795" s="10"/>
      <c r="B795" s="9" t="s">
        <v>1655</v>
      </c>
      <c r="C795" s="12"/>
      <c r="D795" s="20"/>
      <c r="E795" s="13"/>
      <c r="F795" s="13"/>
      <c r="G795" s="206"/>
      <c r="H795" s="127"/>
      <c r="I795" s="68"/>
      <c r="J795" s="127"/>
      <c r="K795" s="25"/>
      <c r="L795" s="122"/>
      <c r="M795" s="120"/>
      <c r="N795" s="120"/>
      <c r="O795" s="71">
        <f t="shared" si="182"/>
        <v>0</v>
      </c>
      <c r="P795" s="71">
        <f t="shared" si="183"/>
        <v>0</v>
      </c>
    </row>
    <row r="796" spans="1:16" s="58" customFormat="1" ht="24.95" customHeight="1">
      <c r="A796" s="10"/>
      <c r="B796" s="9" t="s">
        <v>1663</v>
      </c>
      <c r="C796" s="12"/>
      <c r="D796" s="20"/>
      <c r="E796" s="13"/>
      <c r="F796" s="13"/>
      <c r="G796" s="206"/>
      <c r="H796" s="127"/>
      <c r="I796" s="68"/>
      <c r="J796" s="127"/>
      <c r="K796" s="25"/>
      <c r="L796" s="122"/>
      <c r="M796" s="120"/>
      <c r="N796" s="120"/>
      <c r="O796" s="71">
        <f t="shared" si="182"/>
        <v>0</v>
      </c>
      <c r="P796" s="71">
        <f t="shared" si="183"/>
        <v>0</v>
      </c>
    </row>
    <row r="797" spans="1:16" s="58" customFormat="1" ht="24.95" customHeight="1">
      <c r="A797" s="10">
        <v>36</v>
      </c>
      <c r="B797" s="11" t="s">
        <v>448</v>
      </c>
      <c r="C797" s="12" t="s">
        <v>259</v>
      </c>
      <c r="D797" s="20"/>
      <c r="E797" s="13">
        <f>7500000/1.1</f>
        <v>6818181.8181818174</v>
      </c>
      <c r="F797" s="13"/>
      <c r="G797" s="206" t="s">
        <v>259</v>
      </c>
      <c r="H797" s="127"/>
      <c r="I797" s="68"/>
      <c r="J797" s="127"/>
      <c r="K797" s="25" t="str">
        <f>C797</f>
        <v>đ/bộ</v>
      </c>
      <c r="L797" s="122"/>
      <c r="M797" s="120">
        <f t="shared" si="171"/>
        <v>6818181.8181818174</v>
      </c>
      <c r="N797" s="120"/>
      <c r="O797" s="71">
        <f t="shared" si="182"/>
        <v>6818181.8181818174</v>
      </c>
      <c r="P797" s="71">
        <f t="shared" si="183"/>
        <v>6818181.8181818174</v>
      </c>
    </row>
    <row r="798" spans="1:16" s="58" customFormat="1" ht="24.95" customHeight="1">
      <c r="A798" s="10">
        <f>+A797+1</f>
        <v>37</v>
      </c>
      <c r="B798" s="11" t="s">
        <v>449</v>
      </c>
      <c r="C798" s="12" t="s">
        <v>259</v>
      </c>
      <c r="D798" s="20"/>
      <c r="E798" s="13">
        <f>9700000/1.1</f>
        <v>8818181.8181818184</v>
      </c>
      <c r="F798" s="13"/>
      <c r="G798" s="206" t="s">
        <v>259</v>
      </c>
      <c r="H798" s="127"/>
      <c r="I798" s="68"/>
      <c r="J798" s="127"/>
      <c r="K798" s="25" t="str">
        <f>C798</f>
        <v>đ/bộ</v>
      </c>
      <c r="L798" s="122"/>
      <c r="M798" s="120">
        <f t="shared" si="171"/>
        <v>8818181.8181818184</v>
      </c>
      <c r="N798" s="120"/>
      <c r="O798" s="71">
        <f t="shared" si="182"/>
        <v>8818181.8181818184</v>
      </c>
      <c r="P798" s="71">
        <f t="shared" si="183"/>
        <v>8818181.8181818184</v>
      </c>
    </row>
    <row r="799" spans="1:16" s="58" customFormat="1" ht="24.95" customHeight="1">
      <c r="A799" s="10">
        <f>+A798+1</f>
        <v>38</v>
      </c>
      <c r="B799" s="11" t="s">
        <v>450</v>
      </c>
      <c r="C799" s="12" t="s">
        <v>259</v>
      </c>
      <c r="D799" s="20"/>
      <c r="E799" s="13">
        <f>14900000/1.1</f>
        <v>13545454.545454545</v>
      </c>
      <c r="F799" s="13"/>
      <c r="G799" s="206" t="s">
        <v>259</v>
      </c>
      <c r="H799" s="127"/>
      <c r="I799" s="68"/>
      <c r="J799" s="127"/>
      <c r="K799" s="25" t="str">
        <f>C799</f>
        <v>đ/bộ</v>
      </c>
      <c r="L799" s="122"/>
      <c r="M799" s="120">
        <f t="shared" si="171"/>
        <v>13545454.545454545</v>
      </c>
      <c r="N799" s="120"/>
      <c r="O799" s="71">
        <f t="shared" si="182"/>
        <v>13545454.545454545</v>
      </c>
      <c r="P799" s="71">
        <f t="shared" si="183"/>
        <v>13545454.545454545</v>
      </c>
    </row>
    <row r="800" spans="1:16" s="58" customFormat="1" ht="24.95" customHeight="1">
      <c r="A800" s="10">
        <f>+A799+1</f>
        <v>39</v>
      </c>
      <c r="B800" s="11" t="s">
        <v>451</v>
      </c>
      <c r="C800" s="12" t="s">
        <v>259</v>
      </c>
      <c r="D800" s="20"/>
      <c r="E800" s="13">
        <f>20500000/1.1</f>
        <v>18636363.636363637</v>
      </c>
      <c r="F800" s="13"/>
      <c r="G800" s="206" t="s">
        <v>259</v>
      </c>
      <c r="H800" s="127"/>
      <c r="I800" s="68"/>
      <c r="J800" s="127"/>
      <c r="K800" s="25" t="str">
        <f>C800</f>
        <v>đ/bộ</v>
      </c>
      <c r="L800" s="122"/>
      <c r="M800" s="120">
        <f t="shared" si="171"/>
        <v>18636363.636363637</v>
      </c>
      <c r="N800" s="120"/>
      <c r="O800" s="71">
        <f t="shared" si="182"/>
        <v>18636363.636363637</v>
      </c>
      <c r="P800" s="71">
        <f t="shared" si="183"/>
        <v>18636363.636363637</v>
      </c>
    </row>
    <row r="801" spans="1:16" s="58" customFormat="1" ht="34.5" customHeight="1">
      <c r="A801" s="10"/>
      <c r="B801" s="9" t="s">
        <v>1674</v>
      </c>
      <c r="C801" s="12"/>
      <c r="D801" s="20"/>
      <c r="E801" s="13"/>
      <c r="F801" s="13"/>
      <c r="G801" s="206"/>
      <c r="H801" s="127"/>
      <c r="I801" s="68"/>
      <c r="J801" s="127"/>
      <c r="K801" s="25"/>
      <c r="L801" s="122"/>
      <c r="M801" s="120"/>
      <c r="N801" s="120"/>
      <c r="O801" s="71">
        <f t="shared" si="182"/>
        <v>0</v>
      </c>
      <c r="P801" s="71">
        <f t="shared" si="183"/>
        <v>0</v>
      </c>
    </row>
    <row r="802" spans="1:16" s="58" customFormat="1" ht="24.95" customHeight="1">
      <c r="A802" s="10">
        <v>40</v>
      </c>
      <c r="B802" s="11" t="s">
        <v>1669</v>
      </c>
      <c r="C802" s="12" t="s">
        <v>259</v>
      </c>
      <c r="D802" s="20"/>
      <c r="E802" s="13">
        <f>11300000/1.1</f>
        <v>10272727.272727272</v>
      </c>
      <c r="F802" s="13"/>
      <c r="G802" s="206" t="s">
        <v>259</v>
      </c>
      <c r="H802" s="127"/>
      <c r="I802" s="68"/>
      <c r="J802" s="127"/>
      <c r="K802" s="25" t="str">
        <f>C802</f>
        <v>đ/bộ</v>
      </c>
      <c r="L802" s="122"/>
      <c r="M802" s="120">
        <f t="shared" si="171"/>
        <v>10272727.272727272</v>
      </c>
      <c r="N802" s="120"/>
      <c r="O802" s="71">
        <f t="shared" si="182"/>
        <v>10272727.272727272</v>
      </c>
      <c r="P802" s="71">
        <f t="shared" si="183"/>
        <v>10272727.272727272</v>
      </c>
    </row>
    <row r="803" spans="1:16" s="58" customFormat="1" ht="24.95" customHeight="1">
      <c r="A803" s="10">
        <f t="shared" ref="A803:A820" si="185">+A802+1</f>
        <v>41</v>
      </c>
      <c r="B803" s="11" t="s">
        <v>1670</v>
      </c>
      <c r="C803" s="12" t="s">
        <v>259</v>
      </c>
      <c r="D803" s="20"/>
      <c r="E803" s="13">
        <f>13250000/1.1</f>
        <v>12045454.545454545</v>
      </c>
      <c r="F803" s="13"/>
      <c r="G803" s="206" t="s">
        <v>259</v>
      </c>
      <c r="H803" s="127"/>
      <c r="I803" s="68"/>
      <c r="J803" s="127"/>
      <c r="K803" s="25" t="str">
        <f>C803</f>
        <v>đ/bộ</v>
      </c>
      <c r="L803" s="122"/>
      <c r="M803" s="120">
        <f t="shared" si="171"/>
        <v>12045454.545454545</v>
      </c>
      <c r="N803" s="120"/>
      <c r="O803" s="71">
        <f t="shared" si="182"/>
        <v>12045454.545454545</v>
      </c>
      <c r="P803" s="71">
        <f t="shared" si="183"/>
        <v>12045454.545454545</v>
      </c>
    </row>
    <row r="804" spans="1:16" s="58" customFormat="1" ht="24.95" customHeight="1">
      <c r="A804" s="10">
        <f t="shared" si="185"/>
        <v>42</v>
      </c>
      <c r="B804" s="11" t="s">
        <v>1671</v>
      </c>
      <c r="C804" s="12" t="s">
        <v>259</v>
      </c>
      <c r="D804" s="20"/>
      <c r="E804" s="13">
        <f>20600000/1.1</f>
        <v>18727272.727272727</v>
      </c>
      <c r="F804" s="13"/>
      <c r="G804" s="206" t="s">
        <v>259</v>
      </c>
      <c r="H804" s="127"/>
      <c r="I804" s="68"/>
      <c r="J804" s="127"/>
      <c r="K804" s="25" t="str">
        <f>C804</f>
        <v>đ/bộ</v>
      </c>
      <c r="L804" s="122"/>
      <c r="M804" s="120">
        <f t="shared" si="171"/>
        <v>18727272.727272727</v>
      </c>
      <c r="N804" s="120"/>
      <c r="O804" s="71">
        <f t="shared" si="182"/>
        <v>18727272.727272727</v>
      </c>
      <c r="P804" s="71">
        <f t="shared" si="183"/>
        <v>18727272.727272727</v>
      </c>
    </row>
    <row r="805" spans="1:16" s="58" customFormat="1" ht="24.95" customHeight="1">
      <c r="A805" s="10">
        <f t="shared" si="185"/>
        <v>43</v>
      </c>
      <c r="B805" s="11" t="s">
        <v>1672</v>
      </c>
      <c r="C805" s="12" t="s">
        <v>259</v>
      </c>
      <c r="D805" s="20"/>
      <c r="E805" s="13">
        <f>28750000/1.1</f>
        <v>26136363.636363633</v>
      </c>
      <c r="F805" s="13"/>
      <c r="G805" s="206" t="s">
        <v>259</v>
      </c>
      <c r="H805" s="127"/>
      <c r="I805" s="68"/>
      <c r="J805" s="127"/>
      <c r="K805" s="25" t="str">
        <f>C805</f>
        <v>đ/bộ</v>
      </c>
      <c r="L805" s="122"/>
      <c r="M805" s="120">
        <f t="shared" si="171"/>
        <v>26136363.636363633</v>
      </c>
      <c r="N805" s="120"/>
      <c r="O805" s="71">
        <f t="shared" si="182"/>
        <v>26136363.636363633</v>
      </c>
      <c r="P805" s="71">
        <f t="shared" si="183"/>
        <v>26136363.636363633</v>
      </c>
    </row>
    <row r="806" spans="1:16" s="58" customFormat="1" ht="24.95" customHeight="1">
      <c r="A806" s="10">
        <f t="shared" si="185"/>
        <v>44</v>
      </c>
      <c r="B806" s="11" t="s">
        <v>1673</v>
      </c>
      <c r="C806" s="12" t="s">
        <v>259</v>
      </c>
      <c r="D806" s="20"/>
      <c r="E806" s="13">
        <f>32400000/1.1</f>
        <v>29454545.454545453</v>
      </c>
      <c r="F806" s="13"/>
      <c r="G806" s="206" t="s">
        <v>259</v>
      </c>
      <c r="H806" s="127"/>
      <c r="I806" s="68"/>
      <c r="J806" s="127"/>
      <c r="K806" s="25" t="str">
        <f>C806</f>
        <v>đ/bộ</v>
      </c>
      <c r="L806" s="122"/>
      <c r="M806" s="120">
        <f t="shared" si="171"/>
        <v>29454545.454545453</v>
      </c>
      <c r="N806" s="120"/>
      <c r="O806" s="71">
        <f t="shared" si="182"/>
        <v>29454545.454545453</v>
      </c>
      <c r="P806" s="71">
        <f t="shared" si="183"/>
        <v>29454545.454545453</v>
      </c>
    </row>
    <row r="807" spans="1:16" s="58" customFormat="1" ht="37.5" customHeight="1">
      <c r="A807" s="10"/>
      <c r="B807" s="9" t="s">
        <v>1664</v>
      </c>
      <c r="C807" s="12"/>
      <c r="D807" s="20"/>
      <c r="E807" s="13"/>
      <c r="F807" s="13"/>
      <c r="G807" s="206"/>
      <c r="H807" s="127"/>
      <c r="I807" s="68"/>
      <c r="J807" s="127"/>
      <c r="K807" s="25"/>
      <c r="L807" s="122"/>
      <c r="M807" s="120"/>
      <c r="N807" s="120"/>
      <c r="O807" s="71">
        <f t="shared" si="182"/>
        <v>0</v>
      </c>
      <c r="P807" s="71">
        <f t="shared" si="183"/>
        <v>0</v>
      </c>
    </row>
    <row r="808" spans="1:16" s="58" customFormat="1" ht="24.95" customHeight="1">
      <c r="A808" s="10">
        <v>45</v>
      </c>
      <c r="B808" s="11" t="s">
        <v>1665</v>
      </c>
      <c r="C808" s="12" t="s">
        <v>259</v>
      </c>
      <c r="D808" s="20"/>
      <c r="E808" s="13">
        <f>29400000/1.1</f>
        <v>26727272.727272727</v>
      </c>
      <c r="F808" s="13"/>
      <c r="G808" s="206" t="s">
        <v>259</v>
      </c>
      <c r="H808" s="127"/>
      <c r="I808" s="68"/>
      <c r="J808" s="127"/>
      <c r="K808" s="25" t="str">
        <f>C808</f>
        <v>đ/bộ</v>
      </c>
      <c r="L808" s="122"/>
      <c r="M808" s="120">
        <f t="shared" si="171"/>
        <v>26727272.727272727</v>
      </c>
      <c r="N808" s="120"/>
      <c r="O808" s="71">
        <f t="shared" si="182"/>
        <v>26727272.727272727</v>
      </c>
      <c r="P808" s="71">
        <f t="shared" si="183"/>
        <v>26727272.727272727</v>
      </c>
    </row>
    <row r="809" spans="1:16" s="58" customFormat="1" ht="24.95" customHeight="1">
      <c r="A809" s="10">
        <f t="shared" si="185"/>
        <v>46</v>
      </c>
      <c r="B809" s="11" t="s">
        <v>1666</v>
      </c>
      <c r="C809" s="12" t="s">
        <v>259</v>
      </c>
      <c r="D809" s="20"/>
      <c r="E809" s="13">
        <f>35300000/1.1</f>
        <v>32090909.09090909</v>
      </c>
      <c r="F809" s="13"/>
      <c r="G809" s="206" t="s">
        <v>259</v>
      </c>
      <c r="H809" s="127"/>
      <c r="I809" s="68"/>
      <c r="J809" s="127"/>
      <c r="K809" s="25" t="str">
        <f>C809</f>
        <v>đ/bộ</v>
      </c>
      <c r="L809" s="122"/>
      <c r="M809" s="120">
        <f t="shared" ref="M809:M820" si="186">E809</f>
        <v>32090909.09090909</v>
      </c>
      <c r="N809" s="120"/>
      <c r="O809" s="71">
        <f t="shared" si="182"/>
        <v>32090909.09090909</v>
      </c>
      <c r="P809" s="71">
        <f t="shared" si="183"/>
        <v>32090909.09090909</v>
      </c>
    </row>
    <row r="810" spans="1:16" s="58" customFormat="1" ht="24.95" customHeight="1">
      <c r="A810" s="10">
        <f t="shared" si="185"/>
        <v>47</v>
      </c>
      <c r="B810" s="11" t="s">
        <v>1667</v>
      </c>
      <c r="C810" s="12" t="s">
        <v>259</v>
      </c>
      <c r="D810" s="20"/>
      <c r="E810" s="13">
        <f>39050000/1.1</f>
        <v>35500000</v>
      </c>
      <c r="F810" s="13"/>
      <c r="G810" s="206" t="s">
        <v>259</v>
      </c>
      <c r="H810" s="127"/>
      <c r="I810" s="68"/>
      <c r="J810" s="127"/>
      <c r="K810" s="25" t="str">
        <f>C810</f>
        <v>đ/bộ</v>
      </c>
      <c r="L810" s="122"/>
      <c r="M810" s="120">
        <f t="shared" si="186"/>
        <v>35500000</v>
      </c>
      <c r="N810" s="120"/>
      <c r="O810" s="71">
        <f t="shared" si="182"/>
        <v>35500000</v>
      </c>
      <c r="P810" s="71">
        <f t="shared" si="183"/>
        <v>35500000</v>
      </c>
    </row>
    <row r="811" spans="1:16" s="58" customFormat="1" ht="24.95" customHeight="1">
      <c r="A811" s="10">
        <f t="shared" si="185"/>
        <v>48</v>
      </c>
      <c r="B811" s="11" t="s">
        <v>1668</v>
      </c>
      <c r="C811" s="12" t="s">
        <v>259</v>
      </c>
      <c r="D811" s="20"/>
      <c r="E811" s="13">
        <f>48600000/1.1</f>
        <v>44181818.18181818</v>
      </c>
      <c r="F811" s="13"/>
      <c r="G811" s="206" t="s">
        <v>259</v>
      </c>
      <c r="H811" s="127"/>
      <c r="I811" s="68"/>
      <c r="J811" s="127"/>
      <c r="K811" s="25" t="str">
        <f>C811</f>
        <v>đ/bộ</v>
      </c>
      <c r="L811" s="122"/>
      <c r="M811" s="120">
        <f t="shared" si="186"/>
        <v>44181818.18181818</v>
      </c>
      <c r="N811" s="120"/>
      <c r="O811" s="71">
        <f t="shared" si="182"/>
        <v>44181818.18181818</v>
      </c>
      <c r="P811" s="71">
        <f t="shared" si="183"/>
        <v>44181818.18181818</v>
      </c>
    </row>
    <row r="812" spans="1:16" s="58" customFormat="1" ht="39.75" customHeight="1">
      <c r="A812" s="10"/>
      <c r="B812" s="9" t="s">
        <v>1675</v>
      </c>
      <c r="C812" s="12"/>
      <c r="D812" s="20"/>
      <c r="E812" s="13"/>
      <c r="F812" s="13"/>
      <c r="G812" s="206"/>
      <c r="H812" s="127"/>
      <c r="I812" s="68"/>
      <c r="J812" s="127"/>
      <c r="K812" s="25"/>
      <c r="L812" s="122"/>
      <c r="M812" s="120"/>
      <c r="N812" s="120"/>
      <c r="O812" s="71">
        <f t="shared" si="182"/>
        <v>0</v>
      </c>
      <c r="P812" s="71">
        <f t="shared" si="183"/>
        <v>0</v>
      </c>
    </row>
    <row r="813" spans="1:16" s="58" customFormat="1" ht="24.95" customHeight="1">
      <c r="A813" s="10">
        <v>49</v>
      </c>
      <c r="B813" s="11" t="s">
        <v>1676</v>
      </c>
      <c r="C813" s="12" t="s">
        <v>259</v>
      </c>
      <c r="D813" s="20"/>
      <c r="E813" s="13">
        <f>15600000/1.1</f>
        <v>14181818.18181818</v>
      </c>
      <c r="F813" s="13"/>
      <c r="G813" s="206" t="s">
        <v>259</v>
      </c>
      <c r="H813" s="127"/>
      <c r="I813" s="68"/>
      <c r="J813" s="127"/>
      <c r="K813" s="25" t="str">
        <f t="shared" ref="K813:K820" si="187">C813</f>
        <v>đ/bộ</v>
      </c>
      <c r="L813" s="122"/>
      <c r="M813" s="120">
        <f t="shared" si="186"/>
        <v>14181818.18181818</v>
      </c>
      <c r="N813" s="120"/>
      <c r="O813" s="71">
        <f t="shared" si="182"/>
        <v>14181818.18181818</v>
      </c>
      <c r="P813" s="71">
        <f t="shared" si="183"/>
        <v>14181818.18181818</v>
      </c>
    </row>
    <row r="814" spans="1:16" s="58" customFormat="1" ht="24.95" customHeight="1">
      <c r="A814" s="10">
        <f t="shared" si="185"/>
        <v>50</v>
      </c>
      <c r="B814" s="11" t="s">
        <v>1677</v>
      </c>
      <c r="C814" s="12" t="s">
        <v>259</v>
      </c>
      <c r="D814" s="20"/>
      <c r="E814" s="13">
        <f>19700000/1.1</f>
        <v>17909090.909090906</v>
      </c>
      <c r="F814" s="13"/>
      <c r="G814" s="206" t="s">
        <v>259</v>
      </c>
      <c r="H814" s="127"/>
      <c r="I814" s="68"/>
      <c r="J814" s="127"/>
      <c r="K814" s="25" t="str">
        <f t="shared" si="187"/>
        <v>đ/bộ</v>
      </c>
      <c r="L814" s="122"/>
      <c r="M814" s="120">
        <f t="shared" si="186"/>
        <v>17909090.909090906</v>
      </c>
      <c r="N814" s="120"/>
      <c r="O814" s="71">
        <f t="shared" si="182"/>
        <v>17909090.909090906</v>
      </c>
      <c r="P814" s="71">
        <f t="shared" si="183"/>
        <v>17909090.909090906</v>
      </c>
    </row>
    <row r="815" spans="1:16" s="58" customFormat="1" ht="24.95" customHeight="1">
      <c r="A815" s="10">
        <f t="shared" si="185"/>
        <v>51</v>
      </c>
      <c r="B815" s="11" t="s">
        <v>1678</v>
      </c>
      <c r="C815" s="12" t="s">
        <v>259</v>
      </c>
      <c r="D815" s="20"/>
      <c r="E815" s="13">
        <f>23900000/1.1</f>
        <v>21727272.727272727</v>
      </c>
      <c r="F815" s="13"/>
      <c r="G815" s="206" t="s">
        <v>259</v>
      </c>
      <c r="H815" s="127"/>
      <c r="I815" s="68"/>
      <c r="J815" s="127"/>
      <c r="K815" s="25" t="str">
        <f t="shared" si="187"/>
        <v>đ/bộ</v>
      </c>
      <c r="L815" s="122"/>
      <c r="M815" s="120">
        <f t="shared" si="186"/>
        <v>21727272.727272727</v>
      </c>
      <c r="N815" s="120"/>
      <c r="O815" s="71">
        <f t="shared" si="182"/>
        <v>21727272.727272727</v>
      </c>
      <c r="P815" s="71">
        <f t="shared" si="183"/>
        <v>21727272.727272727</v>
      </c>
    </row>
    <row r="816" spans="1:16" s="58" customFormat="1" ht="24.95" customHeight="1">
      <c r="A816" s="10">
        <f t="shared" si="185"/>
        <v>52</v>
      </c>
      <c r="B816" s="11" t="s">
        <v>1679</v>
      </c>
      <c r="C816" s="12" t="s">
        <v>259</v>
      </c>
      <c r="D816" s="20"/>
      <c r="E816" s="13">
        <f>27050000/1.1</f>
        <v>24590909.09090909</v>
      </c>
      <c r="F816" s="13"/>
      <c r="G816" s="206" t="s">
        <v>259</v>
      </c>
      <c r="H816" s="127"/>
      <c r="I816" s="68"/>
      <c r="J816" s="127"/>
      <c r="K816" s="25" t="str">
        <f t="shared" si="187"/>
        <v>đ/bộ</v>
      </c>
      <c r="L816" s="122"/>
      <c r="M816" s="120">
        <f t="shared" si="186"/>
        <v>24590909.09090909</v>
      </c>
      <c r="N816" s="120"/>
      <c r="O816" s="71">
        <f t="shared" si="182"/>
        <v>24590909.09090909</v>
      </c>
      <c r="P816" s="71">
        <f t="shared" si="183"/>
        <v>24590909.09090909</v>
      </c>
    </row>
    <row r="817" spans="1:16" s="58" customFormat="1" ht="24.95" customHeight="1">
      <c r="A817" s="10">
        <f t="shared" si="185"/>
        <v>53</v>
      </c>
      <c r="B817" s="11" t="s">
        <v>1680</v>
      </c>
      <c r="C817" s="12" t="s">
        <v>259</v>
      </c>
      <c r="D817" s="20"/>
      <c r="E817" s="13">
        <f>27200000/1.1</f>
        <v>24727272.727272727</v>
      </c>
      <c r="F817" s="13"/>
      <c r="G817" s="206" t="s">
        <v>259</v>
      </c>
      <c r="H817" s="127"/>
      <c r="I817" s="68"/>
      <c r="J817" s="127"/>
      <c r="K817" s="25" t="str">
        <f t="shared" si="187"/>
        <v>đ/bộ</v>
      </c>
      <c r="L817" s="122"/>
      <c r="M817" s="120">
        <f t="shared" si="186"/>
        <v>24727272.727272727</v>
      </c>
      <c r="N817" s="120"/>
      <c r="O817" s="71">
        <f t="shared" si="182"/>
        <v>24727272.727272727</v>
      </c>
      <c r="P817" s="71">
        <f t="shared" si="183"/>
        <v>24727272.727272727</v>
      </c>
    </row>
    <row r="818" spans="1:16" s="58" customFormat="1" ht="24.95" customHeight="1">
      <c r="A818" s="10">
        <f t="shared" si="185"/>
        <v>54</v>
      </c>
      <c r="B818" s="11" t="s">
        <v>1681</v>
      </c>
      <c r="C818" s="12" t="s">
        <v>259</v>
      </c>
      <c r="D818" s="20"/>
      <c r="E818" s="13">
        <f>31050000/1.1</f>
        <v>28227272.727272727</v>
      </c>
      <c r="F818" s="13"/>
      <c r="G818" s="206" t="s">
        <v>259</v>
      </c>
      <c r="H818" s="127"/>
      <c r="I818" s="68"/>
      <c r="J818" s="127"/>
      <c r="K818" s="25" t="str">
        <f t="shared" si="187"/>
        <v>đ/bộ</v>
      </c>
      <c r="L818" s="122"/>
      <c r="M818" s="120">
        <f t="shared" si="186"/>
        <v>28227272.727272727</v>
      </c>
      <c r="N818" s="120"/>
      <c r="O818" s="71">
        <f t="shared" si="182"/>
        <v>28227272.727272727</v>
      </c>
      <c r="P818" s="71">
        <f t="shared" si="183"/>
        <v>28227272.727272727</v>
      </c>
    </row>
    <row r="819" spans="1:16" s="58" customFormat="1" ht="24.95" customHeight="1">
      <c r="A819" s="10">
        <f t="shared" si="185"/>
        <v>55</v>
      </c>
      <c r="B819" s="11" t="s">
        <v>1682</v>
      </c>
      <c r="C819" s="12" t="s">
        <v>259</v>
      </c>
      <c r="D819" s="20"/>
      <c r="E819" s="13">
        <f>34100000/1.1</f>
        <v>30999999.999999996</v>
      </c>
      <c r="F819" s="13"/>
      <c r="G819" s="206" t="s">
        <v>259</v>
      </c>
      <c r="H819" s="127"/>
      <c r="I819" s="68"/>
      <c r="J819" s="127"/>
      <c r="K819" s="25" t="str">
        <f t="shared" si="187"/>
        <v>đ/bộ</v>
      </c>
      <c r="L819" s="122"/>
      <c r="M819" s="120">
        <f t="shared" si="186"/>
        <v>30999999.999999996</v>
      </c>
      <c r="N819" s="120"/>
      <c r="O819" s="71">
        <f t="shared" si="182"/>
        <v>30999999.999999996</v>
      </c>
      <c r="P819" s="71">
        <f t="shared" si="183"/>
        <v>30999999.999999996</v>
      </c>
    </row>
    <row r="820" spans="1:16" s="58" customFormat="1" ht="24.95" customHeight="1">
      <c r="A820" s="10">
        <f t="shared" si="185"/>
        <v>56</v>
      </c>
      <c r="B820" s="11" t="s">
        <v>1683</v>
      </c>
      <c r="C820" s="12" t="s">
        <v>259</v>
      </c>
      <c r="D820" s="20"/>
      <c r="E820" s="13">
        <f>37100000/1.1</f>
        <v>33727272.727272727</v>
      </c>
      <c r="F820" s="13"/>
      <c r="G820" s="206" t="s">
        <v>259</v>
      </c>
      <c r="H820" s="127"/>
      <c r="I820" s="68"/>
      <c r="J820" s="127"/>
      <c r="K820" s="25" t="str">
        <f t="shared" si="187"/>
        <v>đ/bộ</v>
      </c>
      <c r="L820" s="122"/>
      <c r="M820" s="120">
        <f t="shared" si="186"/>
        <v>33727272.727272727</v>
      </c>
      <c r="N820" s="120"/>
      <c r="O820" s="71">
        <f t="shared" si="182"/>
        <v>33727272.727272727</v>
      </c>
      <c r="P820" s="71">
        <f t="shared" si="183"/>
        <v>33727272.727272727</v>
      </c>
    </row>
    <row r="821" spans="1:16" s="58" customFormat="1" ht="24" customHeight="1">
      <c r="A821" s="17" t="s">
        <v>452</v>
      </c>
      <c r="B821" s="252" t="s">
        <v>453</v>
      </c>
      <c r="C821" s="252"/>
      <c r="D821" s="252"/>
      <c r="E821" s="252"/>
      <c r="F821" s="252"/>
      <c r="G821" s="127"/>
      <c r="H821" s="127"/>
      <c r="I821" s="127"/>
      <c r="J821" s="127"/>
      <c r="K821" s="116"/>
      <c r="L821" s="120"/>
      <c r="M821" s="120"/>
      <c r="N821" s="120"/>
      <c r="O821" s="69"/>
      <c r="P821" s="69"/>
    </row>
    <row r="822" spans="1:16" s="58" customFormat="1" ht="42.75" customHeight="1">
      <c r="A822" s="10"/>
      <c r="B822" s="240" t="s">
        <v>454</v>
      </c>
      <c r="C822" s="241"/>
      <c r="D822" s="241"/>
      <c r="E822" s="241"/>
      <c r="F822" s="241"/>
      <c r="G822" s="241"/>
      <c r="H822" s="241"/>
      <c r="I822" s="241"/>
      <c r="J822" s="241"/>
      <c r="K822" s="241"/>
      <c r="L822" s="241"/>
      <c r="M822" s="241"/>
      <c r="N822" s="242"/>
      <c r="O822" s="69"/>
      <c r="P822" s="69"/>
    </row>
    <row r="823" spans="1:16" s="58" customFormat="1" ht="21.95" customHeight="1">
      <c r="A823" s="10">
        <v>1</v>
      </c>
      <c r="B823" s="34" t="s">
        <v>455</v>
      </c>
      <c r="C823" s="12" t="s">
        <v>259</v>
      </c>
      <c r="D823" s="35"/>
      <c r="E823" s="13">
        <v>1430000</v>
      </c>
      <c r="F823" s="35"/>
      <c r="G823" s="127"/>
      <c r="H823" s="127"/>
      <c r="I823" s="127"/>
      <c r="J823" s="127"/>
      <c r="K823" s="25" t="str">
        <f>C823</f>
        <v>đ/bộ</v>
      </c>
      <c r="L823" s="122"/>
      <c r="M823" s="122">
        <f>E823</f>
        <v>1430000</v>
      </c>
      <c r="N823" s="120"/>
      <c r="O823" s="71">
        <f>E823</f>
        <v>1430000</v>
      </c>
      <c r="P823" s="71">
        <f>M823</f>
        <v>1430000</v>
      </c>
    </row>
    <row r="824" spans="1:16" s="58" customFormat="1" ht="21.95" customHeight="1">
      <c r="A824" s="10">
        <f>+A823+1</f>
        <v>2</v>
      </c>
      <c r="B824" s="34" t="s">
        <v>456</v>
      </c>
      <c r="C824" s="12" t="s">
        <v>259</v>
      </c>
      <c r="D824" s="35"/>
      <c r="E824" s="13">
        <v>680000</v>
      </c>
      <c r="F824" s="35"/>
      <c r="G824" s="127"/>
      <c r="H824" s="127"/>
      <c r="I824" s="127"/>
      <c r="J824" s="127"/>
      <c r="K824" s="25" t="str">
        <f>C824</f>
        <v>đ/bộ</v>
      </c>
      <c r="L824" s="122"/>
      <c r="M824" s="122">
        <f>E824</f>
        <v>680000</v>
      </c>
      <c r="N824" s="120"/>
      <c r="O824" s="71">
        <f>E824</f>
        <v>680000</v>
      </c>
      <c r="P824" s="71">
        <f>M824</f>
        <v>680000</v>
      </c>
    </row>
    <row r="825" spans="1:16" s="58" customFormat="1" ht="21.95" customHeight="1">
      <c r="A825" s="10">
        <v>3</v>
      </c>
      <c r="B825" s="34" t="s">
        <v>457</v>
      </c>
      <c r="C825" s="12" t="s">
        <v>84</v>
      </c>
      <c r="D825" s="13"/>
      <c r="E825" s="13">
        <v>917000</v>
      </c>
      <c r="F825" s="13"/>
      <c r="G825" s="127"/>
      <c r="H825" s="127"/>
      <c r="I825" s="127"/>
      <c r="J825" s="127"/>
      <c r="K825" s="25" t="str">
        <f>C825</f>
        <v>đ/cái</v>
      </c>
      <c r="L825" s="122"/>
      <c r="M825" s="122">
        <f>E825</f>
        <v>917000</v>
      </c>
      <c r="N825" s="120"/>
      <c r="O825" s="71">
        <f>E825</f>
        <v>917000</v>
      </c>
      <c r="P825" s="71">
        <f>M825</f>
        <v>917000</v>
      </c>
    </row>
    <row r="826" spans="1:16" s="58" customFormat="1" ht="21.95" customHeight="1">
      <c r="A826" s="10">
        <f>+A825+1</f>
        <v>4</v>
      </c>
      <c r="B826" s="34" t="s">
        <v>458</v>
      </c>
      <c r="C826" s="12" t="s">
        <v>84</v>
      </c>
      <c r="D826" s="13"/>
      <c r="E826" s="13">
        <v>834000</v>
      </c>
      <c r="F826" s="13"/>
      <c r="G826" s="127"/>
      <c r="H826" s="127"/>
      <c r="I826" s="127"/>
      <c r="J826" s="127"/>
      <c r="K826" s="25" t="str">
        <f>C826</f>
        <v>đ/cái</v>
      </c>
      <c r="L826" s="122"/>
      <c r="M826" s="122">
        <f>E826</f>
        <v>834000</v>
      </c>
      <c r="N826" s="120"/>
      <c r="O826" s="71">
        <f>E826</f>
        <v>834000</v>
      </c>
      <c r="P826" s="71">
        <f>M826</f>
        <v>834000</v>
      </c>
    </row>
    <row r="827" spans="1:16" s="58" customFormat="1" ht="37.5" customHeight="1">
      <c r="A827" s="10">
        <v>5</v>
      </c>
      <c r="B827" s="34" t="s">
        <v>459</v>
      </c>
      <c r="C827" s="12" t="s">
        <v>259</v>
      </c>
      <c r="D827" s="13"/>
      <c r="E827" s="13">
        <v>770000</v>
      </c>
      <c r="F827" s="13"/>
      <c r="G827" s="127"/>
      <c r="H827" s="127"/>
      <c r="I827" s="127"/>
      <c r="J827" s="127"/>
      <c r="K827" s="25" t="str">
        <f>C827</f>
        <v>đ/bộ</v>
      </c>
      <c r="L827" s="122"/>
      <c r="M827" s="122">
        <f>E827</f>
        <v>770000</v>
      </c>
      <c r="N827" s="120"/>
      <c r="O827" s="71">
        <f>E827</f>
        <v>770000</v>
      </c>
      <c r="P827" s="71">
        <f>M827</f>
        <v>770000</v>
      </c>
    </row>
    <row r="828" spans="1:16" s="58" customFormat="1" ht="27" customHeight="1">
      <c r="A828" s="17" t="s">
        <v>460</v>
      </c>
      <c r="B828" s="252" t="s">
        <v>461</v>
      </c>
      <c r="C828" s="252"/>
      <c r="D828" s="252"/>
      <c r="E828" s="252"/>
      <c r="F828" s="252"/>
      <c r="G828" s="127"/>
      <c r="H828" s="127"/>
      <c r="I828" s="127"/>
      <c r="J828" s="127"/>
      <c r="K828" s="116"/>
      <c r="L828" s="120"/>
      <c r="M828" s="120"/>
      <c r="N828" s="120"/>
      <c r="O828" s="69"/>
      <c r="P828" s="69"/>
    </row>
    <row r="829" spans="1:16" s="58" customFormat="1" ht="38.450000000000003" hidden="1" customHeight="1">
      <c r="A829" s="10"/>
      <c r="B829" s="240" t="s">
        <v>462</v>
      </c>
      <c r="C829" s="241"/>
      <c r="D829" s="241"/>
      <c r="E829" s="241"/>
      <c r="F829" s="241"/>
      <c r="G829" s="241"/>
      <c r="H829" s="241"/>
      <c r="I829" s="241"/>
      <c r="J829" s="241"/>
      <c r="K829" s="241"/>
      <c r="L829" s="241"/>
      <c r="M829" s="241"/>
      <c r="N829" s="242"/>
      <c r="O829" s="69"/>
      <c r="P829" s="69"/>
    </row>
    <row r="830" spans="1:16" s="58" customFormat="1" ht="24.95" hidden="1" customHeight="1">
      <c r="A830" s="10"/>
      <c r="B830" s="11"/>
      <c r="C830" s="12"/>
      <c r="D830" s="13"/>
      <c r="E830" s="13"/>
      <c r="F830" s="13"/>
      <c r="G830" s="127"/>
      <c r="H830" s="127"/>
      <c r="I830" s="127"/>
      <c r="J830" s="127"/>
      <c r="K830" s="25"/>
      <c r="L830" s="122"/>
      <c r="M830" s="122"/>
      <c r="N830" s="122"/>
      <c r="O830" s="71">
        <f t="shared" ref="O830:O847" si="188">E830</f>
        <v>0</v>
      </c>
      <c r="P830" s="71">
        <f t="shared" ref="P830:P847" si="189">M830</f>
        <v>0</v>
      </c>
    </row>
    <row r="831" spans="1:16" s="58" customFormat="1" ht="24.95" hidden="1" customHeight="1">
      <c r="A831" s="10"/>
      <c r="B831" s="11"/>
      <c r="C831" s="12"/>
      <c r="D831" s="13"/>
      <c r="E831" s="13"/>
      <c r="F831" s="13"/>
      <c r="G831" s="127"/>
      <c r="H831" s="127"/>
      <c r="I831" s="127"/>
      <c r="J831" s="127"/>
      <c r="K831" s="25"/>
      <c r="L831" s="122"/>
      <c r="M831" s="122"/>
      <c r="N831" s="122"/>
      <c r="O831" s="71">
        <f t="shared" si="188"/>
        <v>0</v>
      </c>
      <c r="P831" s="71">
        <f t="shared" si="189"/>
        <v>0</v>
      </c>
    </row>
    <row r="832" spans="1:16" s="58" customFormat="1" ht="24.95" hidden="1" customHeight="1">
      <c r="A832" s="10"/>
      <c r="B832" s="11"/>
      <c r="C832" s="12"/>
      <c r="D832" s="13"/>
      <c r="E832" s="13"/>
      <c r="F832" s="13"/>
      <c r="G832" s="127"/>
      <c r="H832" s="127"/>
      <c r="I832" s="127"/>
      <c r="J832" s="127"/>
      <c r="K832" s="25"/>
      <c r="L832" s="122"/>
      <c r="M832" s="122"/>
      <c r="N832" s="122"/>
      <c r="O832" s="71">
        <f t="shared" si="188"/>
        <v>0</v>
      </c>
      <c r="P832" s="71">
        <f t="shared" si="189"/>
        <v>0</v>
      </c>
    </row>
    <row r="833" spans="1:16" s="58" customFormat="1" ht="24.95" hidden="1" customHeight="1">
      <c r="A833" s="10"/>
      <c r="B833" s="11"/>
      <c r="C833" s="12"/>
      <c r="D833" s="13"/>
      <c r="E833" s="13"/>
      <c r="F833" s="13"/>
      <c r="G833" s="127"/>
      <c r="H833" s="127"/>
      <c r="I833" s="127"/>
      <c r="J833" s="127"/>
      <c r="K833" s="25"/>
      <c r="L833" s="122"/>
      <c r="M833" s="122"/>
      <c r="N833" s="122"/>
      <c r="O833" s="71">
        <f t="shared" si="188"/>
        <v>0</v>
      </c>
      <c r="P833" s="71">
        <f t="shared" si="189"/>
        <v>0</v>
      </c>
    </row>
    <row r="834" spans="1:16" s="58" customFormat="1" ht="24.95" hidden="1" customHeight="1">
      <c r="A834" s="10"/>
      <c r="B834" s="11"/>
      <c r="C834" s="12"/>
      <c r="D834" s="13"/>
      <c r="E834" s="13"/>
      <c r="F834" s="13"/>
      <c r="G834" s="127"/>
      <c r="H834" s="127"/>
      <c r="I834" s="127"/>
      <c r="J834" s="127"/>
      <c r="K834" s="25"/>
      <c r="L834" s="122"/>
      <c r="M834" s="122"/>
      <c r="N834" s="122"/>
      <c r="O834" s="71">
        <f t="shared" si="188"/>
        <v>0</v>
      </c>
      <c r="P834" s="71">
        <f t="shared" si="189"/>
        <v>0</v>
      </c>
    </row>
    <row r="835" spans="1:16" s="58" customFormat="1" ht="24.95" hidden="1" customHeight="1">
      <c r="A835" s="10"/>
      <c r="B835" s="11"/>
      <c r="C835" s="12"/>
      <c r="D835" s="13"/>
      <c r="E835" s="13"/>
      <c r="F835" s="13"/>
      <c r="G835" s="127"/>
      <c r="H835" s="127"/>
      <c r="I835" s="127"/>
      <c r="J835" s="127"/>
      <c r="K835" s="25"/>
      <c r="L835" s="122"/>
      <c r="M835" s="122"/>
      <c r="N835" s="122"/>
      <c r="O835" s="71">
        <f t="shared" si="188"/>
        <v>0</v>
      </c>
      <c r="P835" s="71">
        <f t="shared" si="189"/>
        <v>0</v>
      </c>
    </row>
    <row r="836" spans="1:16" s="58" customFormat="1" ht="24.95" hidden="1" customHeight="1">
      <c r="A836" s="10"/>
      <c r="B836" s="11"/>
      <c r="C836" s="12"/>
      <c r="D836" s="13"/>
      <c r="E836" s="13"/>
      <c r="F836" s="13"/>
      <c r="G836" s="127"/>
      <c r="H836" s="127"/>
      <c r="I836" s="127"/>
      <c r="J836" s="127"/>
      <c r="K836" s="25"/>
      <c r="L836" s="122"/>
      <c r="M836" s="122"/>
      <c r="N836" s="122"/>
      <c r="O836" s="71">
        <f t="shared" si="188"/>
        <v>0</v>
      </c>
      <c r="P836" s="71">
        <f t="shared" si="189"/>
        <v>0</v>
      </c>
    </row>
    <row r="837" spans="1:16" s="58" customFormat="1" ht="24.95" hidden="1" customHeight="1">
      <c r="A837" s="10"/>
      <c r="B837" s="11"/>
      <c r="C837" s="12"/>
      <c r="D837" s="13"/>
      <c r="E837" s="13"/>
      <c r="F837" s="13"/>
      <c r="G837" s="127"/>
      <c r="H837" s="127"/>
      <c r="I837" s="127"/>
      <c r="J837" s="127"/>
      <c r="K837" s="25"/>
      <c r="L837" s="122"/>
      <c r="M837" s="122"/>
      <c r="N837" s="122"/>
      <c r="O837" s="71">
        <f t="shared" si="188"/>
        <v>0</v>
      </c>
      <c r="P837" s="71">
        <f t="shared" si="189"/>
        <v>0</v>
      </c>
    </row>
    <row r="838" spans="1:16" s="58" customFormat="1" ht="24.95" hidden="1" customHeight="1">
      <c r="A838" s="10"/>
      <c r="B838" s="11"/>
      <c r="C838" s="12"/>
      <c r="D838" s="13"/>
      <c r="E838" s="13"/>
      <c r="F838" s="13"/>
      <c r="G838" s="127"/>
      <c r="H838" s="127"/>
      <c r="I838" s="127"/>
      <c r="J838" s="127"/>
      <c r="K838" s="25"/>
      <c r="L838" s="122"/>
      <c r="M838" s="122"/>
      <c r="N838" s="122"/>
      <c r="O838" s="71">
        <f t="shared" si="188"/>
        <v>0</v>
      </c>
      <c r="P838" s="71">
        <f t="shared" si="189"/>
        <v>0</v>
      </c>
    </row>
    <row r="839" spans="1:16" s="58" customFormat="1" ht="24.95" hidden="1" customHeight="1">
      <c r="A839" s="10"/>
      <c r="B839" s="11"/>
      <c r="C839" s="12"/>
      <c r="D839" s="13"/>
      <c r="E839" s="13"/>
      <c r="F839" s="13"/>
      <c r="G839" s="127"/>
      <c r="H839" s="127"/>
      <c r="I839" s="127"/>
      <c r="J839" s="127"/>
      <c r="K839" s="25"/>
      <c r="L839" s="122"/>
      <c r="M839" s="122"/>
      <c r="N839" s="122"/>
      <c r="O839" s="71">
        <f t="shared" si="188"/>
        <v>0</v>
      </c>
      <c r="P839" s="71">
        <f t="shared" si="189"/>
        <v>0</v>
      </c>
    </row>
    <row r="840" spans="1:16" s="58" customFormat="1" ht="24.95" hidden="1" customHeight="1">
      <c r="A840" s="10"/>
      <c r="B840" s="11"/>
      <c r="C840" s="12"/>
      <c r="D840" s="13"/>
      <c r="E840" s="13"/>
      <c r="F840" s="13"/>
      <c r="G840" s="127"/>
      <c r="H840" s="127"/>
      <c r="I840" s="127"/>
      <c r="J840" s="127"/>
      <c r="K840" s="25"/>
      <c r="L840" s="122"/>
      <c r="M840" s="122"/>
      <c r="N840" s="122"/>
      <c r="O840" s="71">
        <f t="shared" si="188"/>
        <v>0</v>
      </c>
      <c r="P840" s="71">
        <f t="shared" si="189"/>
        <v>0</v>
      </c>
    </row>
    <row r="841" spans="1:16" s="58" customFormat="1" ht="24.95" hidden="1" customHeight="1">
      <c r="A841" s="10"/>
      <c r="B841" s="11"/>
      <c r="C841" s="12"/>
      <c r="D841" s="13"/>
      <c r="E841" s="13"/>
      <c r="F841" s="13"/>
      <c r="G841" s="127"/>
      <c r="H841" s="127"/>
      <c r="I841" s="127"/>
      <c r="J841" s="127"/>
      <c r="K841" s="25"/>
      <c r="L841" s="122"/>
      <c r="M841" s="122"/>
      <c r="N841" s="122"/>
      <c r="O841" s="71">
        <f t="shared" si="188"/>
        <v>0</v>
      </c>
      <c r="P841" s="71">
        <f t="shared" si="189"/>
        <v>0</v>
      </c>
    </row>
    <row r="842" spans="1:16" s="58" customFormat="1" ht="24.95" hidden="1" customHeight="1">
      <c r="A842" s="10"/>
      <c r="B842" s="11"/>
      <c r="C842" s="12"/>
      <c r="D842" s="13"/>
      <c r="E842" s="13"/>
      <c r="F842" s="13"/>
      <c r="G842" s="127"/>
      <c r="H842" s="127"/>
      <c r="I842" s="127"/>
      <c r="J842" s="127"/>
      <c r="K842" s="25"/>
      <c r="L842" s="122"/>
      <c r="M842" s="122"/>
      <c r="N842" s="122"/>
      <c r="O842" s="71">
        <f t="shared" si="188"/>
        <v>0</v>
      </c>
      <c r="P842" s="71">
        <f t="shared" si="189"/>
        <v>0</v>
      </c>
    </row>
    <row r="843" spans="1:16" s="58" customFormat="1" ht="24.95" hidden="1" customHeight="1">
      <c r="A843" s="10"/>
      <c r="B843" s="11"/>
      <c r="C843" s="12"/>
      <c r="D843" s="13"/>
      <c r="E843" s="13"/>
      <c r="F843" s="13"/>
      <c r="G843" s="127"/>
      <c r="H843" s="127"/>
      <c r="I843" s="127"/>
      <c r="J843" s="127"/>
      <c r="K843" s="25"/>
      <c r="L843" s="122"/>
      <c r="M843" s="122"/>
      <c r="N843" s="122"/>
      <c r="O843" s="71">
        <f t="shared" si="188"/>
        <v>0</v>
      </c>
      <c r="P843" s="71">
        <f t="shared" si="189"/>
        <v>0</v>
      </c>
    </row>
    <row r="844" spans="1:16" s="58" customFormat="1" ht="24.95" hidden="1" customHeight="1">
      <c r="A844" s="10"/>
      <c r="B844" s="11"/>
      <c r="C844" s="12"/>
      <c r="D844" s="13"/>
      <c r="E844" s="13"/>
      <c r="F844" s="13"/>
      <c r="G844" s="127"/>
      <c r="H844" s="127"/>
      <c r="I844" s="127"/>
      <c r="J844" s="127"/>
      <c r="K844" s="25"/>
      <c r="L844" s="122"/>
      <c r="M844" s="122"/>
      <c r="N844" s="122"/>
      <c r="O844" s="71">
        <f t="shared" si="188"/>
        <v>0</v>
      </c>
      <c r="P844" s="71">
        <f t="shared" si="189"/>
        <v>0</v>
      </c>
    </row>
    <row r="845" spans="1:16" s="58" customFormat="1" ht="24.95" hidden="1" customHeight="1">
      <c r="A845" s="10"/>
      <c r="B845" s="11"/>
      <c r="C845" s="12"/>
      <c r="D845" s="13"/>
      <c r="E845" s="13"/>
      <c r="F845" s="13"/>
      <c r="G845" s="127"/>
      <c r="H845" s="127"/>
      <c r="I845" s="127"/>
      <c r="J845" s="127"/>
      <c r="K845" s="25"/>
      <c r="L845" s="122"/>
      <c r="M845" s="122"/>
      <c r="N845" s="122"/>
      <c r="O845" s="71">
        <f t="shared" si="188"/>
        <v>0</v>
      </c>
      <c r="P845" s="71">
        <f t="shared" si="189"/>
        <v>0</v>
      </c>
    </row>
    <row r="846" spans="1:16" s="58" customFormat="1" ht="24.95" hidden="1" customHeight="1">
      <c r="A846" s="10"/>
      <c r="B846" s="11"/>
      <c r="C846" s="12"/>
      <c r="D846" s="13"/>
      <c r="E846" s="13"/>
      <c r="F846" s="13"/>
      <c r="G846" s="127"/>
      <c r="H846" s="127"/>
      <c r="I846" s="127"/>
      <c r="J846" s="127"/>
      <c r="K846" s="25"/>
      <c r="L846" s="122"/>
      <c r="M846" s="122"/>
      <c r="N846" s="122"/>
      <c r="O846" s="71">
        <f t="shared" si="188"/>
        <v>0</v>
      </c>
      <c r="P846" s="71">
        <f t="shared" si="189"/>
        <v>0</v>
      </c>
    </row>
    <row r="847" spans="1:16" s="58" customFormat="1" ht="24.95" hidden="1" customHeight="1">
      <c r="A847" s="10"/>
      <c r="B847" s="11"/>
      <c r="C847" s="12"/>
      <c r="D847" s="13"/>
      <c r="E847" s="13"/>
      <c r="F847" s="13"/>
      <c r="G847" s="127"/>
      <c r="H847" s="127"/>
      <c r="I847" s="127"/>
      <c r="J847" s="127"/>
      <c r="K847" s="25"/>
      <c r="L847" s="122"/>
      <c r="M847" s="122"/>
      <c r="N847" s="122"/>
      <c r="O847" s="71">
        <f t="shared" si="188"/>
        <v>0</v>
      </c>
      <c r="P847" s="71">
        <f t="shared" si="189"/>
        <v>0</v>
      </c>
    </row>
    <row r="848" spans="1:16" s="58" customFormat="1" ht="45" hidden="1" customHeight="1">
      <c r="A848" s="31"/>
      <c r="B848" s="237" t="s">
        <v>464</v>
      </c>
      <c r="C848" s="238"/>
      <c r="D848" s="238"/>
      <c r="E848" s="238"/>
      <c r="F848" s="238"/>
      <c r="G848" s="238"/>
      <c r="H848" s="238"/>
      <c r="I848" s="238"/>
      <c r="J848" s="238"/>
      <c r="K848" s="238"/>
      <c r="L848" s="238"/>
      <c r="M848" s="238"/>
      <c r="N848" s="239"/>
      <c r="O848" s="69"/>
      <c r="P848" s="69"/>
    </row>
    <row r="849" spans="1:16" s="58" customFormat="1" ht="21.95" hidden="1" customHeight="1">
      <c r="A849" s="12"/>
      <c r="B849" s="11"/>
      <c r="C849" s="12"/>
      <c r="D849" s="14"/>
      <c r="E849" s="14"/>
      <c r="F849" s="13"/>
      <c r="G849" s="127"/>
      <c r="H849" s="127"/>
      <c r="I849" s="127"/>
      <c r="J849" s="127"/>
      <c r="K849" s="122"/>
      <c r="L849" s="122"/>
      <c r="M849" s="122"/>
      <c r="N849" s="122"/>
      <c r="O849" s="71">
        <f>F849</f>
        <v>0</v>
      </c>
      <c r="P849" s="71">
        <f>N849</f>
        <v>0</v>
      </c>
    </row>
    <row r="850" spans="1:16" s="58" customFormat="1" ht="21.95" hidden="1" customHeight="1">
      <c r="A850" s="12"/>
      <c r="B850" s="11"/>
      <c r="C850" s="12"/>
      <c r="D850" s="14"/>
      <c r="E850" s="14"/>
      <c r="F850" s="13"/>
      <c r="G850" s="127"/>
      <c r="H850" s="127"/>
      <c r="I850" s="127"/>
      <c r="J850" s="127"/>
      <c r="K850" s="122"/>
      <c r="L850" s="122"/>
      <c r="M850" s="122"/>
      <c r="N850" s="122"/>
      <c r="O850" s="71">
        <f t="shared" ref="O850:O855" si="190">F850</f>
        <v>0</v>
      </c>
      <c r="P850" s="71">
        <f t="shared" ref="P850:P855" si="191">N850</f>
        <v>0</v>
      </c>
    </row>
    <row r="851" spans="1:16" s="58" customFormat="1" ht="17.25" hidden="1">
      <c r="A851" s="12"/>
      <c r="B851" s="11"/>
      <c r="C851" s="12"/>
      <c r="D851" s="14"/>
      <c r="E851" s="14"/>
      <c r="F851" s="13"/>
      <c r="G851" s="127"/>
      <c r="H851" s="127"/>
      <c r="I851" s="127"/>
      <c r="J851" s="127"/>
      <c r="K851" s="122"/>
      <c r="L851" s="122"/>
      <c r="M851" s="122"/>
      <c r="N851" s="122"/>
      <c r="O851" s="71">
        <f t="shared" si="190"/>
        <v>0</v>
      </c>
      <c r="P851" s="71">
        <f t="shared" si="191"/>
        <v>0</v>
      </c>
    </row>
    <row r="852" spans="1:16" s="58" customFormat="1" ht="23.45" hidden="1" customHeight="1">
      <c r="A852" s="12"/>
      <c r="B852" s="11"/>
      <c r="C852" s="12"/>
      <c r="D852" s="14"/>
      <c r="E852" s="14"/>
      <c r="F852" s="13"/>
      <c r="G852" s="127"/>
      <c r="H852" s="127"/>
      <c r="I852" s="127"/>
      <c r="J852" s="127"/>
      <c r="K852" s="122"/>
      <c r="L852" s="122"/>
      <c r="M852" s="122"/>
      <c r="N852" s="122"/>
      <c r="O852" s="71">
        <f t="shared" si="190"/>
        <v>0</v>
      </c>
      <c r="P852" s="71">
        <f t="shared" si="191"/>
        <v>0</v>
      </c>
    </row>
    <row r="853" spans="1:16" s="58" customFormat="1" ht="23.45" hidden="1" customHeight="1">
      <c r="A853" s="12"/>
      <c r="B853" s="11"/>
      <c r="C853" s="12"/>
      <c r="D853" s="14"/>
      <c r="E853" s="14"/>
      <c r="F853" s="13"/>
      <c r="G853" s="127"/>
      <c r="H853" s="127"/>
      <c r="I853" s="127"/>
      <c r="J853" s="127"/>
      <c r="K853" s="122"/>
      <c r="L853" s="122"/>
      <c r="M853" s="122"/>
      <c r="N853" s="122"/>
      <c r="O853" s="71">
        <f t="shared" si="190"/>
        <v>0</v>
      </c>
      <c r="P853" s="71">
        <f t="shared" si="191"/>
        <v>0</v>
      </c>
    </row>
    <row r="854" spans="1:16" s="58" customFormat="1" ht="23.45" hidden="1" customHeight="1">
      <c r="A854" s="12"/>
      <c r="B854" s="11"/>
      <c r="C854" s="12"/>
      <c r="D854" s="14"/>
      <c r="E854" s="14"/>
      <c r="F854" s="13"/>
      <c r="G854" s="127"/>
      <c r="H854" s="127"/>
      <c r="I854" s="127"/>
      <c r="J854" s="127"/>
      <c r="K854" s="122"/>
      <c r="L854" s="122"/>
      <c r="M854" s="122"/>
      <c r="N854" s="122"/>
      <c r="O854" s="71">
        <f t="shared" si="190"/>
        <v>0</v>
      </c>
      <c r="P854" s="71">
        <f t="shared" si="191"/>
        <v>0</v>
      </c>
    </row>
    <row r="855" spans="1:16" s="58" customFormat="1" ht="23.45" hidden="1" customHeight="1">
      <c r="A855" s="10"/>
      <c r="B855" s="11"/>
      <c r="C855" s="12"/>
      <c r="D855" s="14"/>
      <c r="E855" s="14"/>
      <c r="F855" s="13"/>
      <c r="G855" s="127"/>
      <c r="H855" s="127"/>
      <c r="I855" s="127"/>
      <c r="J855" s="127"/>
      <c r="K855" s="122"/>
      <c r="L855" s="122"/>
      <c r="M855" s="122"/>
      <c r="N855" s="122"/>
      <c r="O855" s="71">
        <f t="shared" si="190"/>
        <v>0</v>
      </c>
      <c r="P855" s="71">
        <f t="shared" si="191"/>
        <v>0</v>
      </c>
    </row>
    <row r="856" spans="1:16" s="58" customFormat="1" ht="40.5" hidden="1" customHeight="1">
      <c r="A856" s="31"/>
      <c r="B856" s="237" t="s">
        <v>465</v>
      </c>
      <c r="C856" s="238"/>
      <c r="D856" s="238"/>
      <c r="E856" s="238"/>
      <c r="F856" s="238"/>
      <c r="G856" s="238"/>
      <c r="H856" s="238"/>
      <c r="I856" s="238"/>
      <c r="J856" s="238"/>
      <c r="K856" s="238"/>
      <c r="L856" s="238"/>
      <c r="M856" s="238"/>
      <c r="N856" s="239"/>
      <c r="O856" s="69"/>
      <c r="P856" s="69"/>
    </row>
    <row r="857" spans="1:16" s="58" customFormat="1" ht="40.5" customHeight="1">
      <c r="A857" s="31"/>
      <c r="B857" s="237" t="s">
        <v>1408</v>
      </c>
      <c r="C857" s="238"/>
      <c r="D857" s="238"/>
      <c r="E857" s="238"/>
      <c r="F857" s="238"/>
      <c r="G857" s="238"/>
      <c r="H857" s="238"/>
      <c r="I857" s="238"/>
      <c r="J857" s="238"/>
      <c r="K857" s="238"/>
      <c r="L857" s="238"/>
      <c r="M857" s="238"/>
      <c r="N857" s="239"/>
      <c r="O857" s="69"/>
      <c r="P857" s="69"/>
    </row>
    <row r="858" spans="1:16" s="58" customFormat="1" ht="24" customHeight="1">
      <c r="A858" s="12">
        <v>1</v>
      </c>
      <c r="B858" s="11" t="s">
        <v>1411</v>
      </c>
      <c r="C858" s="12" t="s">
        <v>163</v>
      </c>
      <c r="D858" s="14"/>
      <c r="E858" s="122">
        <f>24000-2400</f>
        <v>21600</v>
      </c>
      <c r="F858" s="13"/>
      <c r="G858" s="206"/>
      <c r="H858" s="127"/>
      <c r="I858" s="134"/>
      <c r="J858" s="127"/>
      <c r="K858" s="25" t="str">
        <f t="shared" ref="K858:K867" si="192">C858</f>
        <v>đ/kg</v>
      </c>
      <c r="L858" s="122"/>
      <c r="M858" s="122">
        <f>E858</f>
        <v>21600</v>
      </c>
      <c r="N858" s="122"/>
      <c r="O858" s="71">
        <f t="shared" ref="O858:O867" si="193">E858</f>
        <v>21600</v>
      </c>
      <c r="P858" s="71">
        <f t="shared" ref="P858:P867" si="194">M858</f>
        <v>21600</v>
      </c>
    </row>
    <row r="859" spans="1:16" s="58" customFormat="1" ht="24" customHeight="1">
      <c r="A859" s="12">
        <v>2</v>
      </c>
      <c r="B859" s="11" t="s">
        <v>1412</v>
      </c>
      <c r="C859" s="12" t="s">
        <v>163</v>
      </c>
      <c r="D859" s="14"/>
      <c r="E859" s="122">
        <f>72000-7200</f>
        <v>64800</v>
      </c>
      <c r="F859" s="13"/>
      <c r="G859" s="206"/>
      <c r="H859" s="127"/>
      <c r="I859" s="134"/>
      <c r="J859" s="127"/>
      <c r="K859" s="25" t="str">
        <f t="shared" si="192"/>
        <v>đ/kg</v>
      </c>
      <c r="L859" s="122"/>
      <c r="M859" s="122">
        <f t="shared" ref="M859:M867" si="195">E859</f>
        <v>64800</v>
      </c>
      <c r="N859" s="122"/>
      <c r="O859" s="71">
        <f t="shared" si="193"/>
        <v>64800</v>
      </c>
      <c r="P859" s="71">
        <f t="shared" si="194"/>
        <v>64800</v>
      </c>
    </row>
    <row r="860" spans="1:16" s="58" customFormat="1" ht="24" customHeight="1">
      <c r="A860" s="12">
        <v>3</v>
      </c>
      <c r="B860" s="11" t="s">
        <v>1413</v>
      </c>
      <c r="C860" s="12" t="s">
        <v>163</v>
      </c>
      <c r="D860" s="14"/>
      <c r="E860" s="122">
        <f>82000-8200</f>
        <v>73800</v>
      </c>
      <c r="F860" s="13"/>
      <c r="G860" s="206"/>
      <c r="H860" s="127"/>
      <c r="I860" s="134"/>
      <c r="J860" s="127"/>
      <c r="K860" s="25" t="str">
        <f t="shared" si="192"/>
        <v>đ/kg</v>
      </c>
      <c r="L860" s="122"/>
      <c r="M860" s="122">
        <f t="shared" si="195"/>
        <v>73800</v>
      </c>
      <c r="N860" s="122"/>
      <c r="O860" s="71">
        <f t="shared" si="193"/>
        <v>73800</v>
      </c>
      <c r="P860" s="71">
        <f t="shared" si="194"/>
        <v>73800</v>
      </c>
    </row>
    <row r="861" spans="1:16" s="58" customFormat="1" ht="24" customHeight="1">
      <c r="A861" s="12">
        <v>4</v>
      </c>
      <c r="B861" s="11" t="s">
        <v>1414</v>
      </c>
      <c r="C861" s="12" t="s">
        <v>163</v>
      </c>
      <c r="D861" s="14"/>
      <c r="E861" s="122">
        <f>54000-5400</f>
        <v>48600</v>
      </c>
      <c r="F861" s="13"/>
      <c r="G861" s="206"/>
      <c r="H861" s="127"/>
      <c r="I861" s="134"/>
      <c r="J861" s="127"/>
      <c r="K861" s="25" t="str">
        <f t="shared" si="192"/>
        <v>đ/kg</v>
      </c>
      <c r="L861" s="122"/>
      <c r="M861" s="122">
        <f t="shared" si="195"/>
        <v>48600</v>
      </c>
      <c r="N861" s="122"/>
      <c r="O861" s="71">
        <f t="shared" si="193"/>
        <v>48600</v>
      </c>
      <c r="P861" s="71">
        <f t="shared" si="194"/>
        <v>48600</v>
      </c>
    </row>
    <row r="862" spans="1:16" s="58" customFormat="1" ht="24" customHeight="1">
      <c r="A862" s="12">
        <v>5</v>
      </c>
      <c r="B862" s="11" t="s">
        <v>1415</v>
      </c>
      <c r="C862" s="12" t="s">
        <v>163</v>
      </c>
      <c r="D862" s="14"/>
      <c r="E862" s="122">
        <f>100000-10000</f>
        <v>90000</v>
      </c>
      <c r="F862" s="13"/>
      <c r="G862" s="206"/>
      <c r="H862" s="127"/>
      <c r="I862" s="134"/>
      <c r="J862" s="127"/>
      <c r="K862" s="25" t="str">
        <f t="shared" si="192"/>
        <v>đ/kg</v>
      </c>
      <c r="L862" s="122"/>
      <c r="M862" s="122">
        <f t="shared" si="195"/>
        <v>90000</v>
      </c>
      <c r="N862" s="122"/>
      <c r="O862" s="71">
        <f t="shared" si="193"/>
        <v>90000</v>
      </c>
      <c r="P862" s="71">
        <f t="shared" si="194"/>
        <v>90000</v>
      </c>
    </row>
    <row r="863" spans="1:16" s="58" customFormat="1" ht="24" customHeight="1">
      <c r="A863" s="12">
        <v>6</v>
      </c>
      <c r="B863" s="11" t="s">
        <v>1416</v>
      </c>
      <c r="C863" s="12" t="s">
        <v>163</v>
      </c>
      <c r="D863" s="14"/>
      <c r="E863" s="122">
        <f>120000-12000</f>
        <v>108000</v>
      </c>
      <c r="F863" s="13"/>
      <c r="G863" s="206"/>
      <c r="H863" s="127"/>
      <c r="I863" s="134"/>
      <c r="J863" s="127"/>
      <c r="K863" s="25" t="str">
        <f t="shared" si="192"/>
        <v>đ/kg</v>
      </c>
      <c r="L863" s="122"/>
      <c r="M863" s="122">
        <f t="shared" si="195"/>
        <v>108000</v>
      </c>
      <c r="N863" s="122"/>
      <c r="O863" s="71">
        <f t="shared" si="193"/>
        <v>108000</v>
      </c>
      <c r="P863" s="71">
        <f t="shared" si="194"/>
        <v>108000</v>
      </c>
    </row>
    <row r="864" spans="1:16" s="58" customFormat="1" ht="24" customHeight="1">
      <c r="A864" s="12">
        <v>7</v>
      </c>
      <c r="B864" s="11" t="s">
        <v>1417</v>
      </c>
      <c r="C864" s="12" t="s">
        <v>163</v>
      </c>
      <c r="D864" s="14"/>
      <c r="E864" s="122">
        <f>60000-6000</f>
        <v>54000</v>
      </c>
      <c r="F864" s="13"/>
      <c r="G864" s="206"/>
      <c r="H864" s="127"/>
      <c r="I864" s="134"/>
      <c r="J864" s="127"/>
      <c r="K864" s="25" t="str">
        <f t="shared" si="192"/>
        <v>đ/kg</v>
      </c>
      <c r="L864" s="122"/>
      <c r="M864" s="122">
        <f t="shared" si="195"/>
        <v>54000</v>
      </c>
      <c r="N864" s="122"/>
      <c r="O864" s="71">
        <f t="shared" si="193"/>
        <v>54000</v>
      </c>
      <c r="P864" s="71">
        <f t="shared" si="194"/>
        <v>54000</v>
      </c>
    </row>
    <row r="865" spans="1:16" s="58" customFormat="1" ht="24" customHeight="1">
      <c r="A865" s="12">
        <v>8</v>
      </c>
      <c r="B865" s="11" t="s">
        <v>1418</v>
      </c>
      <c r="C865" s="12" t="s">
        <v>163</v>
      </c>
      <c r="D865" s="14"/>
      <c r="E865" s="122">
        <f>75000-7500</f>
        <v>67500</v>
      </c>
      <c r="F865" s="13"/>
      <c r="G865" s="206"/>
      <c r="H865" s="127"/>
      <c r="I865" s="134"/>
      <c r="J865" s="127"/>
      <c r="K865" s="25" t="str">
        <f t="shared" si="192"/>
        <v>đ/kg</v>
      </c>
      <c r="L865" s="122"/>
      <c r="M865" s="122">
        <f t="shared" si="195"/>
        <v>67500</v>
      </c>
      <c r="N865" s="122"/>
      <c r="O865" s="71">
        <f t="shared" si="193"/>
        <v>67500</v>
      </c>
      <c r="P865" s="71">
        <f t="shared" si="194"/>
        <v>67500</v>
      </c>
    </row>
    <row r="866" spans="1:16" s="58" customFormat="1" ht="24" customHeight="1">
      <c r="A866" s="12">
        <v>9</v>
      </c>
      <c r="B866" s="11" t="s">
        <v>1409</v>
      </c>
      <c r="C866" s="12" t="s">
        <v>163</v>
      </c>
      <c r="D866" s="14"/>
      <c r="E866" s="122">
        <f>5000-500</f>
        <v>4500</v>
      </c>
      <c r="F866" s="13"/>
      <c r="G866" s="206"/>
      <c r="H866" s="127"/>
      <c r="I866" s="134"/>
      <c r="J866" s="127"/>
      <c r="K866" s="25" t="str">
        <f t="shared" si="192"/>
        <v>đ/kg</v>
      </c>
      <c r="L866" s="122"/>
      <c r="M866" s="122">
        <f t="shared" si="195"/>
        <v>4500</v>
      </c>
      <c r="N866" s="122"/>
      <c r="O866" s="71">
        <f t="shared" si="193"/>
        <v>4500</v>
      </c>
      <c r="P866" s="71">
        <f t="shared" si="194"/>
        <v>4500</v>
      </c>
    </row>
    <row r="867" spans="1:16" s="58" customFormat="1" ht="24" customHeight="1">
      <c r="A867" s="12">
        <v>10</v>
      </c>
      <c r="B867" s="11" t="s">
        <v>1410</v>
      </c>
      <c r="C867" s="12" t="s">
        <v>163</v>
      </c>
      <c r="D867" s="14"/>
      <c r="E867" s="122">
        <f>6000-600</f>
        <v>5400</v>
      </c>
      <c r="F867" s="13"/>
      <c r="G867" s="206"/>
      <c r="H867" s="127"/>
      <c r="I867" s="134"/>
      <c r="J867" s="127"/>
      <c r="K867" s="25" t="str">
        <f t="shared" si="192"/>
        <v>đ/kg</v>
      </c>
      <c r="L867" s="122"/>
      <c r="M867" s="122">
        <f t="shared" si="195"/>
        <v>5400</v>
      </c>
      <c r="N867" s="122"/>
      <c r="O867" s="71">
        <f t="shared" si="193"/>
        <v>5400</v>
      </c>
      <c r="P867" s="71">
        <f t="shared" si="194"/>
        <v>5400</v>
      </c>
    </row>
    <row r="868" spans="1:16" s="58" customFormat="1" ht="35.25" customHeight="1">
      <c r="A868" s="10"/>
      <c r="B868" s="240" t="s">
        <v>1689</v>
      </c>
      <c r="C868" s="241"/>
      <c r="D868" s="241"/>
      <c r="E868" s="241"/>
      <c r="F868" s="241"/>
      <c r="G868" s="241"/>
      <c r="H868" s="241"/>
      <c r="I868" s="241"/>
      <c r="J868" s="241"/>
      <c r="K868" s="241"/>
      <c r="L868" s="241"/>
      <c r="M868" s="241"/>
      <c r="N868" s="242"/>
      <c r="O868" s="69"/>
      <c r="P868" s="69"/>
    </row>
    <row r="869" spans="1:16" s="58" customFormat="1" ht="24" customHeight="1">
      <c r="A869" s="12">
        <v>1</v>
      </c>
      <c r="B869" s="11" t="s">
        <v>466</v>
      </c>
      <c r="C869" s="12" t="s">
        <v>163</v>
      </c>
      <c r="D869" s="14"/>
      <c r="E869" s="134">
        <f>142222/1.1</f>
        <v>129292.72727272726</v>
      </c>
      <c r="F869" s="13"/>
      <c r="G869" s="134" t="s">
        <v>163</v>
      </c>
      <c r="H869" s="134"/>
      <c r="I869" s="134"/>
      <c r="J869" s="127"/>
      <c r="K869" s="25" t="str">
        <f t="shared" ref="K869:K875" si="196">C869</f>
        <v>đ/kg</v>
      </c>
      <c r="L869" s="122"/>
      <c r="M869" s="122">
        <f>E869</f>
        <v>129292.72727272726</v>
      </c>
      <c r="N869" s="122"/>
      <c r="O869" s="71">
        <f t="shared" ref="O869:O875" si="197">E869</f>
        <v>129292.72727272726</v>
      </c>
      <c r="P869" s="71">
        <f t="shared" ref="P869:P875" si="198">M869</f>
        <v>129292.72727272726</v>
      </c>
    </row>
    <row r="870" spans="1:16" s="58" customFormat="1" ht="24" customHeight="1">
      <c r="A870" s="12">
        <v>2</v>
      </c>
      <c r="B870" s="11" t="s">
        <v>467</v>
      </c>
      <c r="C870" s="12" t="s">
        <v>163</v>
      </c>
      <c r="D870" s="14"/>
      <c r="E870" s="134">
        <f>181481/1.1</f>
        <v>164982.72727272726</v>
      </c>
      <c r="F870" s="13"/>
      <c r="G870" s="134" t="s">
        <v>163</v>
      </c>
      <c r="H870" s="134"/>
      <c r="I870" s="134"/>
      <c r="J870" s="127"/>
      <c r="K870" s="25" t="str">
        <f t="shared" si="196"/>
        <v>đ/kg</v>
      </c>
      <c r="L870" s="122"/>
      <c r="M870" s="122">
        <f t="shared" ref="M870:M875" si="199">E870</f>
        <v>164982.72727272726</v>
      </c>
      <c r="N870" s="120"/>
      <c r="O870" s="71">
        <f t="shared" si="197"/>
        <v>164982.72727272726</v>
      </c>
      <c r="P870" s="71">
        <f t="shared" si="198"/>
        <v>164982.72727272726</v>
      </c>
    </row>
    <row r="871" spans="1:16" s="58" customFormat="1" ht="24" customHeight="1">
      <c r="A871" s="12">
        <v>3</v>
      </c>
      <c r="B871" s="11" t="s">
        <v>468</v>
      </c>
      <c r="C871" s="12" t="s">
        <v>163</v>
      </c>
      <c r="D871" s="14"/>
      <c r="E871" s="134">
        <f>121624/1.1</f>
        <v>110567.27272727272</v>
      </c>
      <c r="F871" s="13"/>
      <c r="G871" s="134" t="s">
        <v>163</v>
      </c>
      <c r="H871" s="134"/>
      <c r="I871" s="134"/>
      <c r="J871" s="127"/>
      <c r="K871" s="25" t="str">
        <f t="shared" si="196"/>
        <v>đ/kg</v>
      </c>
      <c r="L871" s="122"/>
      <c r="M871" s="122">
        <f t="shared" si="199"/>
        <v>110567.27272727272</v>
      </c>
      <c r="N871" s="120"/>
      <c r="O871" s="71">
        <f t="shared" si="197"/>
        <v>110567.27272727272</v>
      </c>
      <c r="P871" s="71">
        <f t="shared" si="198"/>
        <v>110567.27272727272</v>
      </c>
    </row>
    <row r="872" spans="1:16" s="58" customFormat="1" ht="24" customHeight="1">
      <c r="A872" s="12">
        <v>4</v>
      </c>
      <c r="B872" s="11" t="s">
        <v>469</v>
      </c>
      <c r="C872" s="12" t="s">
        <v>163</v>
      </c>
      <c r="D872" s="14"/>
      <c r="E872" s="134">
        <f>73504/1.1</f>
        <v>66821.818181818177</v>
      </c>
      <c r="F872" s="13"/>
      <c r="G872" s="134" t="s">
        <v>163</v>
      </c>
      <c r="H872" s="134"/>
      <c r="I872" s="134"/>
      <c r="J872" s="127"/>
      <c r="K872" s="25" t="str">
        <f t="shared" si="196"/>
        <v>đ/kg</v>
      </c>
      <c r="L872" s="122"/>
      <c r="M872" s="122">
        <f t="shared" si="199"/>
        <v>66821.818181818177</v>
      </c>
      <c r="N872" s="120"/>
      <c r="O872" s="71">
        <f t="shared" si="197"/>
        <v>66821.818181818177</v>
      </c>
      <c r="P872" s="71">
        <f t="shared" si="198"/>
        <v>66821.818181818177</v>
      </c>
    </row>
    <row r="873" spans="1:16" s="58" customFormat="1" ht="24" customHeight="1">
      <c r="A873" s="12">
        <v>5</v>
      </c>
      <c r="B873" s="11" t="s">
        <v>470</v>
      </c>
      <c r="C873" s="12" t="s">
        <v>163</v>
      </c>
      <c r="D873" s="14"/>
      <c r="E873" s="134">
        <f>171400/1.1</f>
        <v>155818.18181818179</v>
      </c>
      <c r="F873" s="13"/>
      <c r="G873" s="134" t="s">
        <v>163</v>
      </c>
      <c r="H873" s="134"/>
      <c r="I873" s="134"/>
      <c r="J873" s="127"/>
      <c r="K873" s="25" t="str">
        <f t="shared" si="196"/>
        <v>đ/kg</v>
      </c>
      <c r="L873" s="122"/>
      <c r="M873" s="122">
        <f t="shared" si="199"/>
        <v>155818.18181818179</v>
      </c>
      <c r="N873" s="120"/>
      <c r="O873" s="71">
        <f t="shared" si="197"/>
        <v>155818.18181818179</v>
      </c>
      <c r="P873" s="71">
        <f t="shared" si="198"/>
        <v>155818.18181818179</v>
      </c>
    </row>
    <row r="874" spans="1:16" s="58" customFormat="1" ht="24" customHeight="1">
      <c r="A874" s="12">
        <v>6</v>
      </c>
      <c r="B874" s="11" t="s">
        <v>471</v>
      </c>
      <c r="C874" s="12" t="s">
        <v>163</v>
      </c>
      <c r="D874" s="14"/>
      <c r="E874" s="134">
        <f>9263/1.1</f>
        <v>8420.9090909090901</v>
      </c>
      <c r="F874" s="13"/>
      <c r="G874" s="134" t="s">
        <v>163</v>
      </c>
      <c r="H874" s="134"/>
      <c r="I874" s="134"/>
      <c r="J874" s="127"/>
      <c r="K874" s="25" t="str">
        <f t="shared" si="196"/>
        <v>đ/kg</v>
      </c>
      <c r="L874" s="122"/>
      <c r="M874" s="122">
        <f t="shared" si="199"/>
        <v>8420.9090909090901</v>
      </c>
      <c r="N874" s="120"/>
      <c r="O874" s="71">
        <f t="shared" si="197"/>
        <v>8420.9090909090901</v>
      </c>
      <c r="P874" s="71">
        <f t="shared" si="198"/>
        <v>8420.9090909090901</v>
      </c>
    </row>
    <row r="875" spans="1:16" s="58" customFormat="1" ht="24" customHeight="1">
      <c r="A875" s="12">
        <v>7</v>
      </c>
      <c r="B875" s="11" t="s">
        <v>472</v>
      </c>
      <c r="C875" s="12" t="s">
        <v>163</v>
      </c>
      <c r="D875" s="14"/>
      <c r="E875" s="134">
        <f>7050/1.1</f>
        <v>6409.090909090909</v>
      </c>
      <c r="F875" s="13"/>
      <c r="G875" s="134" t="s">
        <v>163</v>
      </c>
      <c r="H875" s="134"/>
      <c r="I875" s="134"/>
      <c r="J875" s="127"/>
      <c r="K875" s="25" t="str">
        <f t="shared" si="196"/>
        <v>đ/kg</v>
      </c>
      <c r="L875" s="122"/>
      <c r="M875" s="122">
        <f t="shared" si="199"/>
        <v>6409.090909090909</v>
      </c>
      <c r="N875" s="120"/>
      <c r="O875" s="71">
        <f t="shared" si="197"/>
        <v>6409.090909090909</v>
      </c>
      <c r="P875" s="71">
        <f t="shared" si="198"/>
        <v>6409.090909090909</v>
      </c>
    </row>
    <row r="876" spans="1:16" s="58" customFormat="1" ht="56.1" hidden="1" customHeight="1">
      <c r="A876" s="31"/>
      <c r="B876" s="237" t="s">
        <v>473</v>
      </c>
      <c r="C876" s="238"/>
      <c r="D876" s="238"/>
      <c r="E876" s="238"/>
      <c r="F876" s="238"/>
      <c r="G876" s="238"/>
      <c r="H876" s="238"/>
      <c r="I876" s="238"/>
      <c r="J876" s="238"/>
      <c r="K876" s="238"/>
      <c r="L876" s="238"/>
      <c r="M876" s="238"/>
      <c r="N876" s="239"/>
      <c r="O876" s="69"/>
      <c r="P876" s="69"/>
    </row>
    <row r="877" spans="1:16" s="58" customFormat="1" ht="17.25" hidden="1">
      <c r="A877" s="10">
        <v>1</v>
      </c>
      <c r="B877" s="11"/>
      <c r="C877" s="12"/>
      <c r="D877" s="13"/>
      <c r="E877" s="13"/>
      <c r="F877" s="13"/>
      <c r="G877" s="127"/>
      <c r="H877" s="127"/>
      <c r="I877" s="127"/>
      <c r="J877" s="127"/>
      <c r="K877" s="25"/>
      <c r="L877" s="122"/>
      <c r="M877" s="122"/>
      <c r="N877" s="120"/>
      <c r="O877" s="71">
        <f t="shared" ref="O877:O889" si="200">E877</f>
        <v>0</v>
      </c>
      <c r="P877" s="71">
        <f t="shared" ref="P877:P889" si="201">M877</f>
        <v>0</v>
      </c>
    </row>
    <row r="878" spans="1:16" s="58" customFormat="1" ht="17.25" hidden="1">
      <c r="A878" s="10">
        <f t="shared" ref="A878:A889" si="202">+A877+1</f>
        <v>2</v>
      </c>
      <c r="B878" s="11"/>
      <c r="C878" s="12"/>
      <c r="D878" s="13"/>
      <c r="E878" s="13"/>
      <c r="F878" s="13"/>
      <c r="G878" s="127"/>
      <c r="H878" s="127"/>
      <c r="I878" s="127"/>
      <c r="J878" s="127"/>
      <c r="K878" s="25"/>
      <c r="L878" s="122"/>
      <c r="M878" s="122"/>
      <c r="N878" s="120"/>
      <c r="O878" s="71">
        <f t="shared" si="200"/>
        <v>0</v>
      </c>
      <c r="P878" s="71">
        <f t="shared" si="201"/>
        <v>0</v>
      </c>
    </row>
    <row r="879" spans="1:16" s="58" customFormat="1" ht="24" hidden="1" customHeight="1">
      <c r="A879" s="10">
        <f t="shared" si="202"/>
        <v>3</v>
      </c>
      <c r="B879" s="11"/>
      <c r="C879" s="12"/>
      <c r="D879" s="13"/>
      <c r="E879" s="13"/>
      <c r="F879" s="13"/>
      <c r="G879" s="127"/>
      <c r="H879" s="127"/>
      <c r="I879" s="127"/>
      <c r="J879" s="127"/>
      <c r="K879" s="25"/>
      <c r="L879" s="122"/>
      <c r="M879" s="122"/>
      <c r="N879" s="120"/>
      <c r="O879" s="71">
        <f t="shared" si="200"/>
        <v>0</v>
      </c>
      <c r="P879" s="71">
        <f t="shared" si="201"/>
        <v>0</v>
      </c>
    </row>
    <row r="880" spans="1:16" s="58" customFormat="1" ht="24" hidden="1" customHeight="1">
      <c r="A880" s="10">
        <f t="shared" si="202"/>
        <v>4</v>
      </c>
      <c r="B880" s="11"/>
      <c r="C880" s="12"/>
      <c r="D880" s="13"/>
      <c r="E880" s="13"/>
      <c r="F880" s="13"/>
      <c r="G880" s="127"/>
      <c r="H880" s="127"/>
      <c r="I880" s="127"/>
      <c r="J880" s="127"/>
      <c r="K880" s="25"/>
      <c r="L880" s="122"/>
      <c r="M880" s="122"/>
      <c r="N880" s="120"/>
      <c r="O880" s="71">
        <f t="shared" si="200"/>
        <v>0</v>
      </c>
      <c r="P880" s="71">
        <f t="shared" si="201"/>
        <v>0</v>
      </c>
    </row>
    <row r="881" spans="1:16" s="58" customFormat="1" ht="24" hidden="1" customHeight="1">
      <c r="A881" s="10">
        <f t="shared" si="202"/>
        <v>5</v>
      </c>
      <c r="B881" s="11"/>
      <c r="C881" s="12"/>
      <c r="D881" s="13"/>
      <c r="E881" s="13"/>
      <c r="F881" s="13"/>
      <c r="G881" s="127"/>
      <c r="H881" s="127"/>
      <c r="I881" s="127"/>
      <c r="J881" s="127"/>
      <c r="K881" s="25"/>
      <c r="L881" s="122"/>
      <c r="M881" s="122"/>
      <c r="N881" s="120"/>
      <c r="O881" s="71">
        <f t="shared" si="200"/>
        <v>0</v>
      </c>
      <c r="P881" s="71">
        <f t="shared" si="201"/>
        <v>0</v>
      </c>
    </row>
    <row r="882" spans="1:16" s="58" customFormat="1" ht="24" hidden="1" customHeight="1">
      <c r="A882" s="10">
        <f t="shared" si="202"/>
        <v>6</v>
      </c>
      <c r="B882" s="11"/>
      <c r="C882" s="12"/>
      <c r="D882" s="13"/>
      <c r="E882" s="13"/>
      <c r="F882" s="13"/>
      <c r="G882" s="127"/>
      <c r="H882" s="127"/>
      <c r="I882" s="127"/>
      <c r="J882" s="127"/>
      <c r="K882" s="25"/>
      <c r="L882" s="122"/>
      <c r="M882" s="122"/>
      <c r="N882" s="120"/>
      <c r="O882" s="71">
        <f t="shared" si="200"/>
        <v>0</v>
      </c>
      <c r="P882" s="71">
        <f t="shared" si="201"/>
        <v>0</v>
      </c>
    </row>
    <row r="883" spans="1:16" s="58" customFormat="1" ht="24" hidden="1" customHeight="1">
      <c r="A883" s="10">
        <f t="shared" si="202"/>
        <v>7</v>
      </c>
      <c r="B883" s="11"/>
      <c r="C883" s="12"/>
      <c r="D883" s="13"/>
      <c r="E883" s="13"/>
      <c r="F883" s="13"/>
      <c r="G883" s="127"/>
      <c r="H883" s="127"/>
      <c r="I883" s="127"/>
      <c r="J883" s="127"/>
      <c r="K883" s="25"/>
      <c r="L883" s="122"/>
      <c r="M883" s="122"/>
      <c r="N883" s="120"/>
      <c r="O883" s="71">
        <f t="shared" si="200"/>
        <v>0</v>
      </c>
      <c r="P883" s="71">
        <f t="shared" si="201"/>
        <v>0</v>
      </c>
    </row>
    <row r="884" spans="1:16" s="58" customFormat="1" ht="24" hidden="1" customHeight="1">
      <c r="A884" s="10">
        <f t="shared" si="202"/>
        <v>8</v>
      </c>
      <c r="B884" s="11"/>
      <c r="C884" s="12"/>
      <c r="D884" s="13"/>
      <c r="E884" s="13"/>
      <c r="F884" s="13"/>
      <c r="G884" s="127"/>
      <c r="H884" s="127"/>
      <c r="I884" s="127"/>
      <c r="J884" s="127"/>
      <c r="K884" s="25"/>
      <c r="L884" s="122"/>
      <c r="M884" s="122"/>
      <c r="N884" s="120"/>
      <c r="O884" s="71">
        <f t="shared" si="200"/>
        <v>0</v>
      </c>
      <c r="P884" s="71">
        <f t="shared" si="201"/>
        <v>0</v>
      </c>
    </row>
    <row r="885" spans="1:16" s="58" customFormat="1" ht="24" hidden="1" customHeight="1">
      <c r="A885" s="10">
        <f t="shared" si="202"/>
        <v>9</v>
      </c>
      <c r="B885" s="11"/>
      <c r="C885" s="12"/>
      <c r="D885" s="13"/>
      <c r="E885" s="13"/>
      <c r="F885" s="13"/>
      <c r="G885" s="127"/>
      <c r="H885" s="127"/>
      <c r="I885" s="127"/>
      <c r="J885" s="127"/>
      <c r="K885" s="25"/>
      <c r="L885" s="122"/>
      <c r="M885" s="122"/>
      <c r="N885" s="120"/>
      <c r="O885" s="71">
        <f t="shared" si="200"/>
        <v>0</v>
      </c>
      <c r="P885" s="71">
        <f t="shared" si="201"/>
        <v>0</v>
      </c>
    </row>
    <row r="886" spans="1:16" s="58" customFormat="1" ht="24" hidden="1" customHeight="1">
      <c r="A886" s="10">
        <f t="shared" si="202"/>
        <v>10</v>
      </c>
      <c r="B886" s="11"/>
      <c r="C886" s="12"/>
      <c r="D886" s="13"/>
      <c r="E886" s="13"/>
      <c r="F886" s="13"/>
      <c r="G886" s="127"/>
      <c r="H886" s="127"/>
      <c r="I886" s="127"/>
      <c r="J886" s="127"/>
      <c r="K886" s="25"/>
      <c r="L886" s="122"/>
      <c r="M886" s="122"/>
      <c r="N886" s="120"/>
      <c r="O886" s="71">
        <f t="shared" si="200"/>
        <v>0</v>
      </c>
      <c r="P886" s="71">
        <f t="shared" si="201"/>
        <v>0</v>
      </c>
    </row>
    <row r="887" spans="1:16" s="58" customFormat="1" ht="24" hidden="1" customHeight="1">
      <c r="A887" s="10">
        <f t="shared" si="202"/>
        <v>11</v>
      </c>
      <c r="B887" s="11"/>
      <c r="C887" s="12"/>
      <c r="D887" s="13"/>
      <c r="E887" s="13"/>
      <c r="F887" s="13"/>
      <c r="G887" s="127"/>
      <c r="H887" s="127"/>
      <c r="I887" s="127"/>
      <c r="J887" s="127"/>
      <c r="K887" s="25"/>
      <c r="L887" s="122"/>
      <c r="M887" s="122"/>
      <c r="N887" s="120"/>
      <c r="O887" s="71">
        <f t="shared" si="200"/>
        <v>0</v>
      </c>
      <c r="P887" s="71">
        <f t="shared" si="201"/>
        <v>0</v>
      </c>
    </row>
    <row r="888" spans="1:16" s="58" customFormat="1" ht="24" hidden="1" customHeight="1">
      <c r="A888" s="10">
        <f t="shared" si="202"/>
        <v>12</v>
      </c>
      <c r="B888" s="11"/>
      <c r="C888" s="12"/>
      <c r="D888" s="13"/>
      <c r="E888" s="13"/>
      <c r="F888" s="13"/>
      <c r="G888" s="127"/>
      <c r="H888" s="127"/>
      <c r="I888" s="127"/>
      <c r="J888" s="127"/>
      <c r="K888" s="25"/>
      <c r="L888" s="122"/>
      <c r="M888" s="122"/>
      <c r="N888" s="120"/>
      <c r="O888" s="71">
        <f t="shared" si="200"/>
        <v>0</v>
      </c>
      <c r="P888" s="71">
        <f t="shared" si="201"/>
        <v>0</v>
      </c>
    </row>
    <row r="889" spans="1:16" s="58" customFormat="1" ht="24" hidden="1" customHeight="1">
      <c r="A889" s="10">
        <f t="shared" si="202"/>
        <v>13</v>
      </c>
      <c r="B889" s="11"/>
      <c r="C889" s="12"/>
      <c r="D889" s="13"/>
      <c r="E889" s="13"/>
      <c r="F889" s="13"/>
      <c r="G889" s="127"/>
      <c r="H889" s="127"/>
      <c r="I889" s="127"/>
      <c r="J889" s="127"/>
      <c r="K889" s="25"/>
      <c r="L889" s="122"/>
      <c r="M889" s="122"/>
      <c r="N889" s="120"/>
      <c r="O889" s="71">
        <f t="shared" si="200"/>
        <v>0</v>
      </c>
      <c r="P889" s="71">
        <f t="shared" si="201"/>
        <v>0</v>
      </c>
    </row>
    <row r="890" spans="1:16" s="58" customFormat="1" ht="35.25" hidden="1" customHeight="1">
      <c r="A890" s="31"/>
      <c r="B890" s="237" t="s">
        <v>474</v>
      </c>
      <c r="C890" s="238"/>
      <c r="D890" s="238"/>
      <c r="E890" s="238"/>
      <c r="F890" s="238"/>
      <c r="G890" s="238"/>
      <c r="H890" s="238"/>
      <c r="I890" s="238"/>
      <c r="J890" s="238"/>
      <c r="K890" s="238"/>
      <c r="L890" s="238"/>
      <c r="M890" s="238"/>
      <c r="N890" s="239"/>
      <c r="O890" s="69"/>
      <c r="P890" s="69"/>
    </row>
    <row r="891" spans="1:16" s="58" customFormat="1" ht="24" hidden="1" customHeight="1">
      <c r="A891" s="10">
        <v>1</v>
      </c>
      <c r="B891" s="11"/>
      <c r="C891" s="12"/>
      <c r="D891" s="13"/>
      <c r="E891" s="13"/>
      <c r="F891" s="13"/>
      <c r="G891" s="127"/>
      <c r="H891" s="127"/>
      <c r="I891" s="127"/>
      <c r="J891" s="127"/>
      <c r="K891" s="25"/>
      <c r="L891" s="122"/>
      <c r="M891" s="122"/>
      <c r="N891" s="120"/>
      <c r="O891" s="71">
        <f t="shared" ref="O891:O902" si="203">E891</f>
        <v>0</v>
      </c>
      <c r="P891" s="71">
        <f t="shared" ref="P891:P902" si="204">M891</f>
        <v>0</v>
      </c>
    </row>
    <row r="892" spans="1:16" s="58" customFormat="1" ht="24" hidden="1" customHeight="1">
      <c r="A892" s="10">
        <v>2</v>
      </c>
      <c r="B892" s="11"/>
      <c r="C892" s="12"/>
      <c r="D892" s="13"/>
      <c r="E892" s="13"/>
      <c r="F892" s="13"/>
      <c r="G892" s="127"/>
      <c r="H892" s="127"/>
      <c r="I892" s="127"/>
      <c r="J892" s="127"/>
      <c r="K892" s="25"/>
      <c r="L892" s="122"/>
      <c r="M892" s="122"/>
      <c r="N892" s="120"/>
      <c r="O892" s="71">
        <f t="shared" si="203"/>
        <v>0</v>
      </c>
      <c r="P892" s="71">
        <f t="shared" si="204"/>
        <v>0</v>
      </c>
    </row>
    <row r="893" spans="1:16" s="58" customFormat="1" ht="24" hidden="1" customHeight="1">
      <c r="A893" s="10">
        <v>3</v>
      </c>
      <c r="B893" s="11"/>
      <c r="C893" s="12"/>
      <c r="D893" s="13"/>
      <c r="E893" s="13"/>
      <c r="F893" s="13"/>
      <c r="G893" s="127"/>
      <c r="H893" s="127"/>
      <c r="I893" s="127"/>
      <c r="J893" s="127"/>
      <c r="K893" s="25"/>
      <c r="L893" s="122"/>
      <c r="M893" s="122"/>
      <c r="N893" s="120"/>
      <c r="O893" s="71">
        <f t="shared" si="203"/>
        <v>0</v>
      </c>
      <c r="P893" s="71">
        <f t="shared" si="204"/>
        <v>0</v>
      </c>
    </row>
    <row r="894" spans="1:16" s="58" customFormat="1" ht="24" hidden="1" customHeight="1">
      <c r="A894" s="10">
        <v>4</v>
      </c>
      <c r="B894" s="11"/>
      <c r="C894" s="12"/>
      <c r="D894" s="13"/>
      <c r="E894" s="13"/>
      <c r="F894" s="13"/>
      <c r="G894" s="127"/>
      <c r="H894" s="127"/>
      <c r="I894" s="127"/>
      <c r="J894" s="127"/>
      <c r="K894" s="25"/>
      <c r="L894" s="122"/>
      <c r="M894" s="122"/>
      <c r="N894" s="120"/>
      <c r="O894" s="71">
        <f t="shared" si="203"/>
        <v>0</v>
      </c>
      <c r="P894" s="71">
        <f t="shared" si="204"/>
        <v>0</v>
      </c>
    </row>
    <row r="895" spans="1:16" s="58" customFormat="1" ht="24" hidden="1" customHeight="1">
      <c r="A895" s="10">
        <v>5</v>
      </c>
      <c r="B895" s="11"/>
      <c r="C895" s="12"/>
      <c r="D895" s="13"/>
      <c r="E895" s="13"/>
      <c r="F895" s="13"/>
      <c r="G895" s="127"/>
      <c r="H895" s="127"/>
      <c r="I895" s="127"/>
      <c r="J895" s="127"/>
      <c r="K895" s="25"/>
      <c r="L895" s="122"/>
      <c r="M895" s="122"/>
      <c r="N895" s="120"/>
      <c r="O895" s="71">
        <f t="shared" si="203"/>
        <v>0</v>
      </c>
      <c r="P895" s="71">
        <f t="shared" si="204"/>
        <v>0</v>
      </c>
    </row>
    <row r="896" spans="1:16" s="58" customFormat="1" ht="24" hidden="1" customHeight="1">
      <c r="A896" s="10">
        <v>6</v>
      </c>
      <c r="B896" s="11"/>
      <c r="C896" s="12"/>
      <c r="D896" s="13"/>
      <c r="E896" s="13"/>
      <c r="F896" s="13"/>
      <c r="G896" s="127"/>
      <c r="H896" s="127"/>
      <c r="I896" s="127"/>
      <c r="J896" s="127"/>
      <c r="K896" s="25"/>
      <c r="L896" s="122"/>
      <c r="M896" s="122"/>
      <c r="N896" s="120"/>
      <c r="O896" s="71">
        <f t="shared" si="203"/>
        <v>0</v>
      </c>
      <c r="P896" s="71">
        <f t="shared" si="204"/>
        <v>0</v>
      </c>
    </row>
    <row r="897" spans="1:16" s="58" customFormat="1" ht="24" hidden="1" customHeight="1">
      <c r="A897" s="10">
        <v>7</v>
      </c>
      <c r="B897" s="11"/>
      <c r="C897" s="12"/>
      <c r="D897" s="13"/>
      <c r="E897" s="13"/>
      <c r="F897" s="13"/>
      <c r="G897" s="127"/>
      <c r="H897" s="127"/>
      <c r="I897" s="127"/>
      <c r="J897" s="127"/>
      <c r="K897" s="25"/>
      <c r="L897" s="122"/>
      <c r="M897" s="122"/>
      <c r="N897" s="120"/>
      <c r="O897" s="71">
        <f t="shared" si="203"/>
        <v>0</v>
      </c>
      <c r="P897" s="71">
        <f t="shared" si="204"/>
        <v>0</v>
      </c>
    </row>
    <row r="898" spans="1:16" s="58" customFormat="1" ht="24" hidden="1" customHeight="1">
      <c r="A898" s="10">
        <v>8</v>
      </c>
      <c r="B898" s="11"/>
      <c r="C898" s="12"/>
      <c r="D898" s="13"/>
      <c r="E898" s="13"/>
      <c r="F898" s="13"/>
      <c r="G898" s="127"/>
      <c r="H898" s="127"/>
      <c r="I898" s="127"/>
      <c r="J898" s="127"/>
      <c r="K898" s="25"/>
      <c r="L898" s="122"/>
      <c r="M898" s="122"/>
      <c r="N898" s="120"/>
      <c r="O898" s="71">
        <f t="shared" si="203"/>
        <v>0</v>
      </c>
      <c r="P898" s="71">
        <f t="shared" si="204"/>
        <v>0</v>
      </c>
    </row>
    <row r="899" spans="1:16" s="58" customFormat="1" ht="24" hidden="1" customHeight="1">
      <c r="A899" s="10">
        <v>9</v>
      </c>
      <c r="B899" s="11"/>
      <c r="C899" s="12"/>
      <c r="D899" s="13"/>
      <c r="E899" s="13"/>
      <c r="F899" s="13"/>
      <c r="G899" s="127"/>
      <c r="H899" s="127"/>
      <c r="I899" s="127"/>
      <c r="J899" s="127"/>
      <c r="K899" s="25"/>
      <c r="L899" s="122"/>
      <c r="M899" s="122"/>
      <c r="N899" s="120"/>
      <c r="O899" s="71">
        <f t="shared" si="203"/>
        <v>0</v>
      </c>
      <c r="P899" s="71">
        <f t="shared" si="204"/>
        <v>0</v>
      </c>
    </row>
    <row r="900" spans="1:16" s="58" customFormat="1" ht="24" hidden="1" customHeight="1">
      <c r="A900" s="10">
        <v>10</v>
      </c>
      <c r="B900" s="11"/>
      <c r="C900" s="12"/>
      <c r="D900" s="13"/>
      <c r="E900" s="13"/>
      <c r="F900" s="13"/>
      <c r="G900" s="127"/>
      <c r="H900" s="127"/>
      <c r="I900" s="127"/>
      <c r="J900" s="127"/>
      <c r="K900" s="25"/>
      <c r="L900" s="122"/>
      <c r="M900" s="122"/>
      <c r="N900" s="120"/>
      <c r="O900" s="71">
        <f t="shared" si="203"/>
        <v>0</v>
      </c>
      <c r="P900" s="71">
        <f t="shared" si="204"/>
        <v>0</v>
      </c>
    </row>
    <row r="901" spans="1:16" s="58" customFormat="1" ht="24" hidden="1" customHeight="1">
      <c r="A901" s="10">
        <v>11</v>
      </c>
      <c r="B901" s="11"/>
      <c r="C901" s="12"/>
      <c r="D901" s="13"/>
      <c r="E901" s="13"/>
      <c r="F901" s="13"/>
      <c r="G901" s="127"/>
      <c r="H901" s="127"/>
      <c r="I901" s="127"/>
      <c r="J901" s="127"/>
      <c r="K901" s="25"/>
      <c r="L901" s="122"/>
      <c r="M901" s="122"/>
      <c r="N901" s="120"/>
      <c r="O901" s="71">
        <f t="shared" si="203"/>
        <v>0</v>
      </c>
      <c r="P901" s="71">
        <f t="shared" si="204"/>
        <v>0</v>
      </c>
    </row>
    <row r="902" spans="1:16" s="58" customFormat="1" ht="24" hidden="1" customHeight="1">
      <c r="A902" s="10">
        <v>12</v>
      </c>
      <c r="B902" s="11"/>
      <c r="C902" s="12"/>
      <c r="D902" s="13"/>
      <c r="E902" s="13"/>
      <c r="F902" s="13"/>
      <c r="G902" s="127"/>
      <c r="H902" s="127"/>
      <c r="I902" s="127"/>
      <c r="J902" s="127"/>
      <c r="K902" s="25"/>
      <c r="L902" s="122"/>
      <c r="M902" s="122"/>
      <c r="N902" s="120"/>
      <c r="O902" s="71">
        <f t="shared" si="203"/>
        <v>0</v>
      </c>
      <c r="P902" s="71">
        <f t="shared" si="204"/>
        <v>0</v>
      </c>
    </row>
    <row r="903" spans="1:16" s="58" customFormat="1" ht="37.5" hidden="1" customHeight="1">
      <c r="A903" s="31"/>
      <c r="B903" s="237" t="s">
        <v>475</v>
      </c>
      <c r="C903" s="238"/>
      <c r="D903" s="238"/>
      <c r="E903" s="238"/>
      <c r="F903" s="238"/>
      <c r="G903" s="238"/>
      <c r="H903" s="238"/>
      <c r="I903" s="238"/>
      <c r="J903" s="238"/>
      <c r="K903" s="238"/>
      <c r="L903" s="238"/>
      <c r="M903" s="238"/>
      <c r="N903" s="239"/>
      <c r="O903" s="69"/>
      <c r="P903" s="69"/>
    </row>
    <row r="904" spans="1:16" s="58" customFormat="1" ht="20.45" hidden="1" customHeight="1">
      <c r="A904" s="10"/>
      <c r="B904" s="11"/>
      <c r="C904" s="12"/>
      <c r="D904" s="13"/>
      <c r="E904" s="13"/>
      <c r="F904" s="13"/>
      <c r="G904" s="127"/>
      <c r="H904" s="127"/>
      <c r="I904" s="127"/>
      <c r="J904" s="127"/>
      <c r="K904" s="25"/>
      <c r="L904" s="122"/>
      <c r="M904" s="122"/>
      <c r="N904" s="120"/>
      <c r="O904" s="71">
        <f t="shared" ref="O904:O910" si="205">E904</f>
        <v>0</v>
      </c>
      <c r="P904" s="71">
        <f t="shared" ref="P904:P910" si="206">M904</f>
        <v>0</v>
      </c>
    </row>
    <row r="905" spans="1:16" s="58" customFormat="1" ht="20.45" hidden="1" customHeight="1">
      <c r="A905" s="10"/>
      <c r="B905" s="11"/>
      <c r="C905" s="12"/>
      <c r="D905" s="13"/>
      <c r="E905" s="13"/>
      <c r="F905" s="13"/>
      <c r="G905" s="127"/>
      <c r="H905" s="127"/>
      <c r="I905" s="127"/>
      <c r="J905" s="127"/>
      <c r="K905" s="25"/>
      <c r="L905" s="122"/>
      <c r="M905" s="122"/>
      <c r="N905" s="120"/>
      <c r="O905" s="71">
        <f t="shared" si="205"/>
        <v>0</v>
      </c>
      <c r="P905" s="71">
        <f t="shared" si="206"/>
        <v>0</v>
      </c>
    </row>
    <row r="906" spans="1:16" s="58" customFormat="1" ht="20.45" hidden="1" customHeight="1">
      <c r="A906" s="10"/>
      <c r="B906" s="11"/>
      <c r="C906" s="12"/>
      <c r="D906" s="13"/>
      <c r="E906" s="13"/>
      <c r="F906" s="13"/>
      <c r="G906" s="127"/>
      <c r="H906" s="127"/>
      <c r="I906" s="127"/>
      <c r="J906" s="127"/>
      <c r="K906" s="25"/>
      <c r="L906" s="122"/>
      <c r="M906" s="122"/>
      <c r="N906" s="120"/>
      <c r="O906" s="71">
        <f t="shared" si="205"/>
        <v>0</v>
      </c>
      <c r="P906" s="71">
        <f t="shared" si="206"/>
        <v>0</v>
      </c>
    </row>
    <row r="907" spans="1:16" s="58" customFormat="1" ht="20.45" hidden="1" customHeight="1">
      <c r="A907" s="10"/>
      <c r="B907" s="11"/>
      <c r="C907" s="12"/>
      <c r="D907" s="13"/>
      <c r="E907" s="13"/>
      <c r="F907" s="13"/>
      <c r="G907" s="127"/>
      <c r="H907" s="127"/>
      <c r="I907" s="127"/>
      <c r="J907" s="127"/>
      <c r="K907" s="25"/>
      <c r="L907" s="122"/>
      <c r="M907" s="122"/>
      <c r="N907" s="120"/>
      <c r="O907" s="71">
        <f t="shared" si="205"/>
        <v>0</v>
      </c>
      <c r="P907" s="71">
        <f t="shared" si="206"/>
        <v>0</v>
      </c>
    </row>
    <row r="908" spans="1:16" s="58" customFormat="1" ht="20.45" hidden="1" customHeight="1">
      <c r="A908" s="10"/>
      <c r="B908" s="11"/>
      <c r="C908" s="12"/>
      <c r="D908" s="13"/>
      <c r="E908" s="13"/>
      <c r="F908" s="13"/>
      <c r="G908" s="127"/>
      <c r="H908" s="127"/>
      <c r="I908" s="127"/>
      <c r="J908" s="127"/>
      <c r="K908" s="25"/>
      <c r="L908" s="122"/>
      <c r="M908" s="122"/>
      <c r="N908" s="120"/>
      <c r="O908" s="71">
        <f t="shared" si="205"/>
        <v>0</v>
      </c>
      <c r="P908" s="71">
        <f t="shared" si="206"/>
        <v>0</v>
      </c>
    </row>
    <row r="909" spans="1:16" s="58" customFormat="1" ht="20.45" hidden="1" customHeight="1">
      <c r="A909" s="10"/>
      <c r="B909" s="11"/>
      <c r="C909" s="12"/>
      <c r="D909" s="13"/>
      <c r="E909" s="13"/>
      <c r="F909" s="13"/>
      <c r="G909" s="127"/>
      <c r="H909" s="127"/>
      <c r="I909" s="127"/>
      <c r="J909" s="127"/>
      <c r="K909" s="25"/>
      <c r="L909" s="122"/>
      <c r="M909" s="122"/>
      <c r="N909" s="120"/>
      <c r="O909" s="71">
        <f t="shared" si="205"/>
        <v>0</v>
      </c>
      <c r="P909" s="71">
        <f t="shared" si="206"/>
        <v>0</v>
      </c>
    </row>
    <row r="910" spans="1:16" s="58" customFormat="1" ht="20.45" hidden="1" customHeight="1">
      <c r="A910" s="10"/>
      <c r="B910" s="11"/>
      <c r="C910" s="12"/>
      <c r="D910" s="13"/>
      <c r="E910" s="13"/>
      <c r="F910" s="13"/>
      <c r="G910" s="127"/>
      <c r="H910" s="127"/>
      <c r="I910" s="127"/>
      <c r="J910" s="127"/>
      <c r="K910" s="25"/>
      <c r="L910" s="122"/>
      <c r="M910" s="122"/>
      <c r="N910" s="120"/>
      <c r="O910" s="71">
        <f t="shared" si="205"/>
        <v>0</v>
      </c>
      <c r="P910" s="71">
        <f t="shared" si="206"/>
        <v>0</v>
      </c>
    </row>
    <row r="911" spans="1:16" s="58" customFormat="1" ht="39.75" customHeight="1">
      <c r="A911" s="31"/>
      <c r="B911" s="237" t="s">
        <v>1288</v>
      </c>
      <c r="C911" s="238"/>
      <c r="D911" s="238"/>
      <c r="E911" s="238"/>
      <c r="F911" s="238"/>
      <c r="G911" s="238"/>
      <c r="H911" s="238"/>
      <c r="I911" s="238"/>
      <c r="J911" s="238"/>
      <c r="K911" s="238"/>
      <c r="L911" s="238"/>
      <c r="M911" s="238"/>
      <c r="N911" s="239"/>
      <c r="O911" s="69"/>
      <c r="P911" s="69"/>
    </row>
    <row r="912" spans="1:16" s="58" customFormat="1" ht="24" customHeight="1">
      <c r="A912" s="10">
        <v>1</v>
      </c>
      <c r="B912" s="11" t="s">
        <v>1289</v>
      </c>
      <c r="C912" s="12" t="s">
        <v>163</v>
      </c>
      <c r="D912" s="13"/>
      <c r="E912" s="13">
        <v>30166</v>
      </c>
      <c r="F912" s="13"/>
      <c r="G912" s="206" t="s">
        <v>163</v>
      </c>
      <c r="H912" s="68"/>
      <c r="I912" s="127"/>
      <c r="J912" s="127"/>
      <c r="K912" s="25" t="str">
        <f>C912</f>
        <v>đ/kg</v>
      </c>
      <c r="L912" s="120"/>
      <c r="M912" s="122">
        <f>E912</f>
        <v>30166</v>
      </c>
      <c r="N912" s="120"/>
      <c r="O912" s="71">
        <f t="shared" ref="O912:O922" si="207">E912</f>
        <v>30166</v>
      </c>
      <c r="P912" s="71">
        <f t="shared" ref="P912:P922" si="208">M912</f>
        <v>30166</v>
      </c>
    </row>
    <row r="913" spans="1:16" s="58" customFormat="1" ht="24" customHeight="1">
      <c r="A913" s="10">
        <v>2</v>
      </c>
      <c r="B913" s="11" t="s">
        <v>1290</v>
      </c>
      <c r="C913" s="12" t="s">
        <v>163</v>
      </c>
      <c r="D913" s="13"/>
      <c r="E913" s="13">
        <v>53650</v>
      </c>
      <c r="F913" s="13"/>
      <c r="G913" s="206" t="s">
        <v>163</v>
      </c>
      <c r="H913" s="68"/>
      <c r="I913" s="127"/>
      <c r="J913" s="127"/>
      <c r="K913" s="25" t="str">
        <f t="shared" ref="K913:K920" si="209">C913</f>
        <v>đ/kg</v>
      </c>
      <c r="L913" s="120"/>
      <c r="M913" s="122">
        <f t="shared" ref="M913:M922" si="210">E913</f>
        <v>53650</v>
      </c>
      <c r="N913" s="120"/>
      <c r="O913" s="71">
        <f t="shared" si="207"/>
        <v>53650</v>
      </c>
      <c r="P913" s="71">
        <f t="shared" si="208"/>
        <v>53650</v>
      </c>
    </row>
    <row r="914" spans="1:16" s="58" customFormat="1" ht="24" customHeight="1">
      <c r="A914" s="10">
        <v>3</v>
      </c>
      <c r="B914" s="11" t="s">
        <v>1291</v>
      </c>
      <c r="C914" s="12" t="s">
        <v>163</v>
      </c>
      <c r="D914" s="13"/>
      <c r="E914" s="13">
        <v>49355</v>
      </c>
      <c r="F914" s="13"/>
      <c r="G914" s="206" t="s">
        <v>163</v>
      </c>
      <c r="H914" s="68"/>
      <c r="I914" s="127"/>
      <c r="J914" s="127"/>
      <c r="K914" s="25" t="str">
        <f t="shared" si="209"/>
        <v>đ/kg</v>
      </c>
      <c r="L914" s="120"/>
      <c r="M914" s="122">
        <f t="shared" si="210"/>
        <v>49355</v>
      </c>
      <c r="N914" s="120"/>
      <c r="O914" s="71">
        <f t="shared" si="207"/>
        <v>49355</v>
      </c>
      <c r="P914" s="71">
        <f t="shared" si="208"/>
        <v>49355</v>
      </c>
    </row>
    <row r="915" spans="1:16" s="58" customFormat="1" ht="24" customHeight="1">
      <c r="A915" s="10">
        <v>4</v>
      </c>
      <c r="B915" s="11" t="s">
        <v>1292</v>
      </c>
      <c r="C915" s="12" t="s">
        <v>163</v>
      </c>
      <c r="D915" s="13"/>
      <c r="E915" s="13">
        <v>79400</v>
      </c>
      <c r="F915" s="13"/>
      <c r="G915" s="206" t="s">
        <v>163</v>
      </c>
      <c r="H915" s="68"/>
      <c r="I915" s="127"/>
      <c r="J915" s="127"/>
      <c r="K915" s="25" t="str">
        <f t="shared" si="209"/>
        <v>đ/kg</v>
      </c>
      <c r="L915" s="120"/>
      <c r="M915" s="122">
        <f t="shared" si="210"/>
        <v>79400</v>
      </c>
      <c r="N915" s="120"/>
      <c r="O915" s="71">
        <f t="shared" si="207"/>
        <v>79400</v>
      </c>
      <c r="P915" s="71">
        <f t="shared" si="208"/>
        <v>79400</v>
      </c>
    </row>
    <row r="916" spans="1:16" s="58" customFormat="1" ht="24" customHeight="1">
      <c r="A916" s="10">
        <v>5</v>
      </c>
      <c r="B916" s="11" t="s">
        <v>1293</v>
      </c>
      <c r="C916" s="12" t="s">
        <v>163</v>
      </c>
      <c r="D916" s="13"/>
      <c r="E916" s="13">
        <v>125000</v>
      </c>
      <c r="F916" s="13"/>
      <c r="G916" s="206" t="s">
        <v>163</v>
      </c>
      <c r="H916" s="68"/>
      <c r="I916" s="127"/>
      <c r="J916" s="127"/>
      <c r="K916" s="25" t="str">
        <f t="shared" si="209"/>
        <v>đ/kg</v>
      </c>
      <c r="L916" s="120"/>
      <c r="M916" s="122">
        <f t="shared" si="210"/>
        <v>125000</v>
      </c>
      <c r="N916" s="120"/>
      <c r="O916" s="71">
        <f t="shared" si="207"/>
        <v>125000</v>
      </c>
      <c r="P916" s="71">
        <f t="shared" si="208"/>
        <v>125000</v>
      </c>
    </row>
    <row r="917" spans="1:16" s="58" customFormat="1" ht="24" customHeight="1">
      <c r="A917" s="10">
        <v>6</v>
      </c>
      <c r="B917" s="11" t="s">
        <v>1294</v>
      </c>
      <c r="C917" s="12" t="s">
        <v>163</v>
      </c>
      <c r="D917" s="13"/>
      <c r="E917" s="13">
        <v>131883</v>
      </c>
      <c r="F917" s="13"/>
      <c r="G917" s="206" t="s">
        <v>163</v>
      </c>
      <c r="H917" s="68"/>
      <c r="I917" s="127"/>
      <c r="J917" s="127"/>
      <c r="K917" s="25" t="str">
        <f t="shared" si="209"/>
        <v>đ/kg</v>
      </c>
      <c r="L917" s="120"/>
      <c r="M917" s="122">
        <f t="shared" si="210"/>
        <v>131883</v>
      </c>
      <c r="N917" s="120"/>
      <c r="O917" s="71">
        <f t="shared" si="207"/>
        <v>131883</v>
      </c>
      <c r="P917" s="71">
        <f t="shared" si="208"/>
        <v>131883</v>
      </c>
    </row>
    <row r="918" spans="1:16" s="58" customFormat="1" ht="24" customHeight="1">
      <c r="A918" s="10">
        <v>7</v>
      </c>
      <c r="B918" s="11" t="s">
        <v>1295</v>
      </c>
      <c r="C918" s="12" t="s">
        <v>163</v>
      </c>
      <c r="D918" s="13"/>
      <c r="E918" s="13">
        <v>178700</v>
      </c>
      <c r="F918" s="13"/>
      <c r="G918" s="206" t="s">
        <v>163</v>
      </c>
      <c r="H918" s="68"/>
      <c r="I918" s="127"/>
      <c r="J918" s="127"/>
      <c r="K918" s="25" t="str">
        <f t="shared" si="209"/>
        <v>đ/kg</v>
      </c>
      <c r="L918" s="120"/>
      <c r="M918" s="122">
        <f t="shared" si="210"/>
        <v>178700</v>
      </c>
      <c r="N918" s="120"/>
      <c r="O918" s="71">
        <f t="shared" si="207"/>
        <v>178700</v>
      </c>
      <c r="P918" s="71">
        <f t="shared" si="208"/>
        <v>178700</v>
      </c>
    </row>
    <row r="919" spans="1:16" s="58" customFormat="1" ht="24" customHeight="1">
      <c r="A919" s="10">
        <v>8</v>
      </c>
      <c r="B919" s="11" t="s">
        <v>1296</v>
      </c>
      <c r="C919" s="12" t="s">
        <v>163</v>
      </c>
      <c r="D919" s="13"/>
      <c r="E919" s="13">
        <v>91772</v>
      </c>
      <c r="F919" s="13"/>
      <c r="G919" s="206" t="s">
        <v>163</v>
      </c>
      <c r="H919" s="68"/>
      <c r="I919" s="127"/>
      <c r="J919" s="127"/>
      <c r="K919" s="25" t="str">
        <f t="shared" si="209"/>
        <v>đ/kg</v>
      </c>
      <c r="L919" s="120"/>
      <c r="M919" s="122">
        <f t="shared" si="210"/>
        <v>91772</v>
      </c>
      <c r="N919" s="120"/>
      <c r="O919" s="71">
        <f t="shared" si="207"/>
        <v>91772</v>
      </c>
      <c r="P919" s="71">
        <f t="shared" si="208"/>
        <v>91772</v>
      </c>
    </row>
    <row r="920" spans="1:16" s="58" customFormat="1" ht="24" customHeight="1">
      <c r="A920" s="10">
        <v>9</v>
      </c>
      <c r="B920" s="11" t="s">
        <v>1297</v>
      </c>
      <c r="C920" s="12" t="s">
        <v>163</v>
      </c>
      <c r="D920" s="13"/>
      <c r="E920" s="13">
        <v>105814</v>
      </c>
      <c r="F920" s="13"/>
      <c r="G920" s="206" t="s">
        <v>163</v>
      </c>
      <c r="H920" s="68"/>
      <c r="I920" s="127"/>
      <c r="J920" s="127"/>
      <c r="K920" s="25" t="str">
        <f t="shared" si="209"/>
        <v>đ/kg</v>
      </c>
      <c r="L920" s="120"/>
      <c r="M920" s="122">
        <f t="shared" si="210"/>
        <v>105814</v>
      </c>
      <c r="N920" s="120"/>
      <c r="O920" s="71">
        <f t="shared" si="207"/>
        <v>105814</v>
      </c>
      <c r="P920" s="71">
        <f t="shared" si="208"/>
        <v>105814</v>
      </c>
    </row>
    <row r="921" spans="1:16" s="58" customFormat="1" ht="24" customHeight="1">
      <c r="A921" s="10">
        <v>10</v>
      </c>
      <c r="B921" s="11" t="s">
        <v>1298</v>
      </c>
      <c r="C921" s="12" t="s">
        <v>163</v>
      </c>
      <c r="D921" s="13"/>
      <c r="E921" s="13">
        <v>5625</v>
      </c>
      <c r="F921" s="13"/>
      <c r="G921" s="206" t="s">
        <v>163</v>
      </c>
      <c r="H921" s="68"/>
      <c r="I921" s="127"/>
      <c r="J921" s="127"/>
      <c r="K921" s="25" t="str">
        <f>C921</f>
        <v>đ/kg</v>
      </c>
      <c r="L921" s="120"/>
      <c r="M921" s="122">
        <f t="shared" si="210"/>
        <v>5625</v>
      </c>
      <c r="N921" s="120"/>
      <c r="O921" s="71">
        <f t="shared" si="207"/>
        <v>5625</v>
      </c>
      <c r="P921" s="71">
        <f t="shared" si="208"/>
        <v>5625</v>
      </c>
    </row>
    <row r="922" spans="1:16" s="58" customFormat="1" ht="24" customHeight="1">
      <c r="A922" s="10">
        <v>11</v>
      </c>
      <c r="B922" s="11" t="s">
        <v>1299</v>
      </c>
      <c r="C922" s="12" t="s">
        <v>163</v>
      </c>
      <c r="D922" s="13"/>
      <c r="E922" s="13">
        <v>6625</v>
      </c>
      <c r="F922" s="13"/>
      <c r="G922" s="206" t="s">
        <v>163</v>
      </c>
      <c r="H922" s="68"/>
      <c r="I922" s="127"/>
      <c r="J922" s="127"/>
      <c r="K922" s="25" t="str">
        <f>C922</f>
        <v>đ/kg</v>
      </c>
      <c r="L922" s="120"/>
      <c r="M922" s="122">
        <f t="shared" si="210"/>
        <v>6625</v>
      </c>
      <c r="N922" s="120"/>
      <c r="O922" s="71">
        <f t="shared" si="207"/>
        <v>6625</v>
      </c>
      <c r="P922" s="71">
        <f t="shared" si="208"/>
        <v>6625</v>
      </c>
    </row>
    <row r="923" spans="1:16" s="58" customFormat="1" ht="60.75" customHeight="1">
      <c r="A923" s="10"/>
      <c r="B923" s="237" t="s">
        <v>1465</v>
      </c>
      <c r="C923" s="238"/>
      <c r="D923" s="238"/>
      <c r="E923" s="238"/>
      <c r="F923" s="238"/>
      <c r="G923" s="238"/>
      <c r="H923" s="238"/>
      <c r="I923" s="238"/>
      <c r="J923" s="238"/>
      <c r="K923" s="238"/>
      <c r="L923" s="238"/>
      <c r="M923" s="238"/>
      <c r="N923" s="239"/>
      <c r="O923" s="71"/>
      <c r="P923" s="71"/>
    </row>
    <row r="924" spans="1:16" s="58" customFormat="1" ht="24" customHeight="1">
      <c r="A924" s="10"/>
      <c r="B924" s="9" t="s">
        <v>1466</v>
      </c>
      <c r="C924" s="12"/>
      <c r="D924" s="13"/>
      <c r="E924" s="13"/>
      <c r="F924" s="13"/>
      <c r="G924" s="206"/>
      <c r="H924" s="68"/>
      <c r="I924" s="127"/>
      <c r="J924" s="127"/>
      <c r="K924" s="12"/>
      <c r="L924" s="120"/>
      <c r="M924" s="122"/>
      <c r="N924" s="120"/>
      <c r="O924" s="71">
        <f t="shared" ref="O924:O961" si="211">E924</f>
        <v>0</v>
      </c>
      <c r="P924" s="71">
        <f t="shared" ref="P924:P961" si="212">M924</f>
        <v>0</v>
      </c>
    </row>
    <row r="925" spans="1:16" s="58" customFormat="1" ht="24" customHeight="1">
      <c r="A925" s="10">
        <v>1</v>
      </c>
      <c r="B925" s="11" t="s">
        <v>1467</v>
      </c>
      <c r="C925" s="12" t="s">
        <v>163</v>
      </c>
      <c r="D925" s="13"/>
      <c r="E925" s="122">
        <v>59664</v>
      </c>
      <c r="F925" s="122">
        <v>59664</v>
      </c>
      <c r="G925" s="206" t="s">
        <v>163</v>
      </c>
      <c r="H925" s="68"/>
      <c r="I925" s="134"/>
      <c r="J925" s="134"/>
      <c r="K925" s="12" t="s">
        <v>163</v>
      </c>
      <c r="L925" s="120"/>
      <c r="M925" s="122">
        <f>E925</f>
        <v>59664</v>
      </c>
      <c r="N925" s="122">
        <f>F925</f>
        <v>59664</v>
      </c>
      <c r="O925" s="71">
        <f t="shared" si="211"/>
        <v>59664</v>
      </c>
      <c r="P925" s="71">
        <f t="shared" si="212"/>
        <v>59664</v>
      </c>
    </row>
    <row r="926" spans="1:16" s="58" customFormat="1" ht="24" customHeight="1">
      <c r="A926" s="10">
        <v>2</v>
      </c>
      <c r="B926" s="11" t="s">
        <v>1468</v>
      </c>
      <c r="C926" s="12" t="s">
        <v>163</v>
      </c>
      <c r="D926" s="13"/>
      <c r="E926" s="122">
        <v>37431</v>
      </c>
      <c r="F926" s="122">
        <v>37431</v>
      </c>
      <c r="G926" s="206" t="s">
        <v>163</v>
      </c>
      <c r="H926" s="68"/>
      <c r="I926" s="134"/>
      <c r="J926" s="134"/>
      <c r="K926" s="12" t="s">
        <v>163</v>
      </c>
      <c r="L926" s="120"/>
      <c r="M926" s="122">
        <f t="shared" ref="M926:M961" si="213">E926</f>
        <v>37431</v>
      </c>
      <c r="N926" s="122">
        <f t="shared" ref="N926:N961" si="214">F926</f>
        <v>37431</v>
      </c>
      <c r="O926" s="71">
        <f t="shared" si="211"/>
        <v>37431</v>
      </c>
      <c r="P926" s="71">
        <f t="shared" si="212"/>
        <v>37431</v>
      </c>
    </row>
    <row r="927" spans="1:16" s="58" customFormat="1" ht="24" customHeight="1">
      <c r="A927" s="10">
        <v>3</v>
      </c>
      <c r="B927" s="11" t="s">
        <v>1469</v>
      </c>
      <c r="C927" s="12" t="s">
        <v>163</v>
      </c>
      <c r="D927" s="13"/>
      <c r="E927" s="122">
        <v>37431</v>
      </c>
      <c r="F927" s="122">
        <v>37431</v>
      </c>
      <c r="G927" s="206" t="s">
        <v>163</v>
      </c>
      <c r="H927" s="68"/>
      <c r="I927" s="134"/>
      <c r="J927" s="134"/>
      <c r="K927" s="12" t="s">
        <v>163</v>
      </c>
      <c r="L927" s="120"/>
      <c r="M927" s="122">
        <f t="shared" si="213"/>
        <v>37431</v>
      </c>
      <c r="N927" s="122">
        <f t="shared" si="214"/>
        <v>37431</v>
      </c>
      <c r="O927" s="71">
        <f t="shared" si="211"/>
        <v>37431</v>
      </c>
      <c r="P927" s="71">
        <f t="shared" si="212"/>
        <v>37431</v>
      </c>
    </row>
    <row r="928" spans="1:16" s="58" customFormat="1" ht="24" customHeight="1">
      <c r="A928" s="10">
        <v>4</v>
      </c>
      <c r="B928" s="11" t="s">
        <v>1470</v>
      </c>
      <c r="C928" s="12" t="s">
        <v>163</v>
      </c>
      <c r="D928" s="13"/>
      <c r="E928" s="122">
        <v>25699</v>
      </c>
      <c r="F928" s="122">
        <v>25699</v>
      </c>
      <c r="G928" s="206" t="s">
        <v>163</v>
      </c>
      <c r="H928" s="68"/>
      <c r="I928" s="134"/>
      <c r="J928" s="134"/>
      <c r="K928" s="12" t="s">
        <v>163</v>
      </c>
      <c r="L928" s="120"/>
      <c r="M928" s="122">
        <f t="shared" si="213"/>
        <v>25699</v>
      </c>
      <c r="N928" s="122">
        <f t="shared" si="214"/>
        <v>25699</v>
      </c>
      <c r="O928" s="71">
        <f t="shared" si="211"/>
        <v>25699</v>
      </c>
      <c r="P928" s="71">
        <f t="shared" si="212"/>
        <v>25699</v>
      </c>
    </row>
    <row r="929" spans="1:16" s="58" customFormat="1" ht="24" customHeight="1">
      <c r="A929" s="10">
        <v>5</v>
      </c>
      <c r="B929" s="11" t="s">
        <v>1471</v>
      </c>
      <c r="C929" s="12" t="s">
        <v>163</v>
      </c>
      <c r="D929" s="13"/>
      <c r="E929" s="122">
        <v>23426</v>
      </c>
      <c r="F929" s="122">
        <v>23426</v>
      </c>
      <c r="G929" s="206" t="s">
        <v>163</v>
      </c>
      <c r="H929" s="68"/>
      <c r="I929" s="134"/>
      <c r="J929" s="134"/>
      <c r="K929" s="12" t="s">
        <v>163</v>
      </c>
      <c r="L929" s="120"/>
      <c r="M929" s="122">
        <f t="shared" si="213"/>
        <v>23426</v>
      </c>
      <c r="N929" s="122">
        <f t="shared" si="214"/>
        <v>23426</v>
      </c>
      <c r="O929" s="71">
        <f t="shared" si="211"/>
        <v>23426</v>
      </c>
      <c r="P929" s="71">
        <f t="shared" si="212"/>
        <v>23426</v>
      </c>
    </row>
    <row r="930" spans="1:16" s="58" customFormat="1" ht="24" customHeight="1">
      <c r="A930" s="10">
        <v>6</v>
      </c>
      <c r="B930" s="11" t="s">
        <v>1472</v>
      </c>
      <c r="C930" s="12" t="s">
        <v>163</v>
      </c>
      <c r="D930" s="13"/>
      <c r="E930" s="122">
        <v>64815</v>
      </c>
      <c r="F930" s="122">
        <v>64815</v>
      </c>
      <c r="G930" s="206" t="s">
        <v>163</v>
      </c>
      <c r="H930" s="68"/>
      <c r="I930" s="134"/>
      <c r="J930" s="134"/>
      <c r="K930" s="12" t="s">
        <v>163</v>
      </c>
      <c r="L930" s="120"/>
      <c r="M930" s="122">
        <f t="shared" si="213"/>
        <v>64815</v>
      </c>
      <c r="N930" s="122">
        <f t="shared" si="214"/>
        <v>64815</v>
      </c>
      <c r="O930" s="71">
        <f t="shared" si="211"/>
        <v>64815</v>
      </c>
      <c r="P930" s="71">
        <f t="shared" si="212"/>
        <v>64815</v>
      </c>
    </row>
    <row r="931" spans="1:16" s="58" customFormat="1" ht="24" customHeight="1">
      <c r="A931" s="10">
        <v>7</v>
      </c>
      <c r="B931" s="11" t="s">
        <v>1473</v>
      </c>
      <c r="C931" s="12" t="s">
        <v>163</v>
      </c>
      <c r="D931" s="13"/>
      <c r="E931" s="122">
        <v>5228</v>
      </c>
      <c r="F931" s="122">
        <v>5228</v>
      </c>
      <c r="G931" s="206" t="s">
        <v>163</v>
      </c>
      <c r="H931" s="68"/>
      <c r="I931" s="134"/>
      <c r="J931" s="134"/>
      <c r="K931" s="12" t="s">
        <v>163</v>
      </c>
      <c r="L931" s="120"/>
      <c r="M931" s="122">
        <f t="shared" si="213"/>
        <v>5228</v>
      </c>
      <c r="N931" s="122">
        <f t="shared" si="214"/>
        <v>5228</v>
      </c>
      <c r="O931" s="71">
        <f t="shared" si="211"/>
        <v>5228</v>
      </c>
      <c r="P931" s="71">
        <f t="shared" si="212"/>
        <v>5228</v>
      </c>
    </row>
    <row r="932" spans="1:16" s="58" customFormat="1" ht="24" customHeight="1">
      <c r="A932" s="10">
        <v>8</v>
      </c>
      <c r="B932" s="11" t="s">
        <v>1474</v>
      </c>
      <c r="C932" s="12" t="s">
        <v>163</v>
      </c>
      <c r="D932" s="13"/>
      <c r="E932" s="122">
        <v>87827</v>
      </c>
      <c r="F932" s="122">
        <v>87827</v>
      </c>
      <c r="G932" s="206" t="s">
        <v>163</v>
      </c>
      <c r="H932" s="68"/>
      <c r="I932" s="134"/>
      <c r="J932" s="134"/>
      <c r="K932" s="12" t="s">
        <v>163</v>
      </c>
      <c r="L932" s="120"/>
      <c r="M932" s="122">
        <f t="shared" si="213"/>
        <v>87827</v>
      </c>
      <c r="N932" s="122">
        <f t="shared" si="214"/>
        <v>87827</v>
      </c>
      <c r="O932" s="71">
        <f t="shared" si="211"/>
        <v>87827</v>
      </c>
      <c r="P932" s="71">
        <f t="shared" si="212"/>
        <v>87827</v>
      </c>
    </row>
    <row r="933" spans="1:16" s="58" customFormat="1" ht="24" customHeight="1">
      <c r="A933" s="10">
        <v>9</v>
      </c>
      <c r="B933" s="11" t="s">
        <v>1475</v>
      </c>
      <c r="C933" s="12" t="s">
        <v>163</v>
      </c>
      <c r="D933" s="13"/>
      <c r="E933" s="122">
        <v>58025</v>
      </c>
      <c r="F933" s="122">
        <v>58025</v>
      </c>
      <c r="G933" s="206" t="s">
        <v>163</v>
      </c>
      <c r="H933" s="68"/>
      <c r="I933" s="134"/>
      <c r="J933" s="134"/>
      <c r="K933" s="12" t="s">
        <v>163</v>
      </c>
      <c r="L933" s="120"/>
      <c r="M933" s="122">
        <f t="shared" si="213"/>
        <v>58025</v>
      </c>
      <c r="N933" s="122">
        <f t="shared" si="214"/>
        <v>58025</v>
      </c>
      <c r="O933" s="71">
        <f t="shared" si="211"/>
        <v>58025</v>
      </c>
      <c r="P933" s="71">
        <f t="shared" si="212"/>
        <v>58025</v>
      </c>
    </row>
    <row r="934" spans="1:16" s="58" customFormat="1" ht="24" customHeight="1">
      <c r="A934" s="10">
        <v>10</v>
      </c>
      <c r="B934" s="11" t="s">
        <v>1476</v>
      </c>
      <c r="C934" s="12" t="s">
        <v>163</v>
      </c>
      <c r="D934" s="13"/>
      <c r="E934" s="122">
        <v>53595</v>
      </c>
      <c r="F934" s="122">
        <v>53595</v>
      </c>
      <c r="G934" s="206" t="s">
        <v>163</v>
      </c>
      <c r="H934" s="68"/>
      <c r="I934" s="134"/>
      <c r="J934" s="134"/>
      <c r="K934" s="12" t="s">
        <v>163</v>
      </c>
      <c r="L934" s="120"/>
      <c r="M934" s="122">
        <f t="shared" si="213"/>
        <v>53595</v>
      </c>
      <c r="N934" s="122">
        <f t="shared" si="214"/>
        <v>53595</v>
      </c>
      <c r="O934" s="71">
        <f t="shared" si="211"/>
        <v>53595</v>
      </c>
      <c r="P934" s="71">
        <f t="shared" si="212"/>
        <v>53595</v>
      </c>
    </row>
    <row r="935" spans="1:16" s="58" customFormat="1" ht="24" customHeight="1">
      <c r="A935" s="10">
        <v>11</v>
      </c>
      <c r="B935" s="11" t="s">
        <v>1477</v>
      </c>
      <c r="C935" s="12" t="s">
        <v>163</v>
      </c>
      <c r="D935" s="13"/>
      <c r="E935" s="122">
        <v>6000</v>
      </c>
      <c r="F935" s="122">
        <v>6000</v>
      </c>
      <c r="G935" s="206" t="s">
        <v>163</v>
      </c>
      <c r="H935" s="68"/>
      <c r="I935" s="134"/>
      <c r="J935" s="134"/>
      <c r="K935" s="12" t="s">
        <v>163</v>
      </c>
      <c r="L935" s="120"/>
      <c r="M935" s="122">
        <f t="shared" si="213"/>
        <v>6000</v>
      </c>
      <c r="N935" s="122">
        <f t="shared" si="214"/>
        <v>6000</v>
      </c>
      <c r="O935" s="71">
        <f t="shared" si="211"/>
        <v>6000</v>
      </c>
      <c r="P935" s="71">
        <f t="shared" si="212"/>
        <v>6000</v>
      </c>
    </row>
    <row r="936" spans="1:16" s="58" customFormat="1" ht="24" customHeight="1">
      <c r="A936" s="10"/>
      <c r="B936" s="9" t="s">
        <v>1478</v>
      </c>
      <c r="C936" s="12"/>
      <c r="D936" s="13"/>
      <c r="E936" s="122"/>
      <c r="F936" s="122"/>
      <c r="G936" s="206"/>
      <c r="H936" s="68"/>
      <c r="I936" s="134"/>
      <c r="J936" s="134"/>
      <c r="K936" s="12"/>
      <c r="L936" s="120"/>
      <c r="M936" s="122">
        <f t="shared" si="213"/>
        <v>0</v>
      </c>
      <c r="N936" s="122">
        <f t="shared" si="214"/>
        <v>0</v>
      </c>
      <c r="O936" s="71">
        <f t="shared" si="211"/>
        <v>0</v>
      </c>
      <c r="P936" s="71">
        <f t="shared" si="212"/>
        <v>0</v>
      </c>
    </row>
    <row r="937" spans="1:16" s="58" customFormat="1" ht="24" customHeight="1">
      <c r="A937" s="10">
        <v>1</v>
      </c>
      <c r="B937" s="11" t="s">
        <v>1479</v>
      </c>
      <c r="C937" s="12" t="s">
        <v>163</v>
      </c>
      <c r="D937" s="13"/>
      <c r="E937" s="122">
        <v>216695</v>
      </c>
      <c r="F937" s="122">
        <v>216695</v>
      </c>
      <c r="G937" s="206" t="s">
        <v>163</v>
      </c>
      <c r="H937" s="68"/>
      <c r="I937" s="134"/>
      <c r="J937" s="134"/>
      <c r="K937" s="12" t="s">
        <v>163</v>
      </c>
      <c r="L937" s="120"/>
      <c r="M937" s="122">
        <f t="shared" si="213"/>
        <v>216695</v>
      </c>
      <c r="N937" s="122">
        <f t="shared" si="214"/>
        <v>216695</v>
      </c>
      <c r="O937" s="71">
        <f t="shared" si="211"/>
        <v>216695</v>
      </c>
      <c r="P937" s="71">
        <f t="shared" si="212"/>
        <v>216695</v>
      </c>
    </row>
    <row r="938" spans="1:16" s="58" customFormat="1" ht="24" customHeight="1">
      <c r="A938" s="10">
        <v>2</v>
      </c>
      <c r="B938" s="11" t="s">
        <v>1480</v>
      </c>
      <c r="C938" s="12" t="s">
        <v>163</v>
      </c>
      <c r="D938" s="13"/>
      <c r="E938" s="122">
        <v>212203</v>
      </c>
      <c r="F938" s="122">
        <v>212203</v>
      </c>
      <c r="G938" s="206" t="s">
        <v>163</v>
      </c>
      <c r="H938" s="68"/>
      <c r="I938" s="134"/>
      <c r="J938" s="134"/>
      <c r="K938" s="12" t="s">
        <v>163</v>
      </c>
      <c r="L938" s="120"/>
      <c r="M938" s="122">
        <f t="shared" si="213"/>
        <v>212203</v>
      </c>
      <c r="N938" s="122">
        <f t="shared" si="214"/>
        <v>212203</v>
      </c>
      <c r="O938" s="71">
        <f t="shared" si="211"/>
        <v>212203</v>
      </c>
      <c r="P938" s="71">
        <f t="shared" si="212"/>
        <v>212203</v>
      </c>
    </row>
    <row r="939" spans="1:16" s="58" customFormat="1" ht="24" customHeight="1">
      <c r="A939" s="10">
        <v>3</v>
      </c>
      <c r="B939" s="11" t="s">
        <v>1481</v>
      </c>
      <c r="C939" s="12" t="s">
        <v>163</v>
      </c>
      <c r="D939" s="13"/>
      <c r="E939" s="122">
        <v>135891</v>
      </c>
      <c r="F939" s="122">
        <v>135891</v>
      </c>
      <c r="G939" s="206" t="s">
        <v>163</v>
      </c>
      <c r="H939" s="68"/>
      <c r="I939" s="134"/>
      <c r="J939" s="134"/>
      <c r="K939" s="12" t="s">
        <v>163</v>
      </c>
      <c r="L939" s="120"/>
      <c r="M939" s="122">
        <f t="shared" si="213"/>
        <v>135891</v>
      </c>
      <c r="N939" s="122">
        <f t="shared" si="214"/>
        <v>135891</v>
      </c>
      <c r="O939" s="71">
        <f t="shared" si="211"/>
        <v>135891</v>
      </c>
      <c r="P939" s="71">
        <f t="shared" si="212"/>
        <v>135891</v>
      </c>
    </row>
    <row r="940" spans="1:16" s="58" customFormat="1" ht="24" customHeight="1">
      <c r="A940" s="10">
        <v>4</v>
      </c>
      <c r="B940" s="11" t="s">
        <v>1482</v>
      </c>
      <c r="C940" s="12" t="s">
        <v>163</v>
      </c>
      <c r="D940" s="13"/>
      <c r="E940" s="122">
        <v>164444</v>
      </c>
      <c r="F940" s="122">
        <v>164444</v>
      </c>
      <c r="G940" s="206" t="s">
        <v>163</v>
      </c>
      <c r="H940" s="68"/>
      <c r="I940" s="134"/>
      <c r="J940" s="134"/>
      <c r="K940" s="12" t="s">
        <v>163</v>
      </c>
      <c r="L940" s="120"/>
      <c r="M940" s="122">
        <f t="shared" si="213"/>
        <v>164444</v>
      </c>
      <c r="N940" s="122">
        <f t="shared" si="214"/>
        <v>164444</v>
      </c>
      <c r="O940" s="71">
        <f t="shared" si="211"/>
        <v>164444</v>
      </c>
      <c r="P940" s="71">
        <f t="shared" si="212"/>
        <v>164444</v>
      </c>
    </row>
    <row r="941" spans="1:16" s="58" customFormat="1" ht="24" customHeight="1">
      <c r="A941" s="10">
        <v>5</v>
      </c>
      <c r="B941" s="11" t="s">
        <v>1483</v>
      </c>
      <c r="C941" s="12" t="s">
        <v>163</v>
      </c>
      <c r="D941" s="13"/>
      <c r="E941" s="122">
        <v>93137</v>
      </c>
      <c r="F941" s="122">
        <v>93137</v>
      </c>
      <c r="G941" s="206" t="s">
        <v>163</v>
      </c>
      <c r="H941" s="68"/>
      <c r="I941" s="134"/>
      <c r="J941" s="134"/>
      <c r="K941" s="12" t="s">
        <v>163</v>
      </c>
      <c r="L941" s="120"/>
      <c r="M941" s="122">
        <f t="shared" si="213"/>
        <v>93137</v>
      </c>
      <c r="N941" s="122">
        <f t="shared" si="214"/>
        <v>93137</v>
      </c>
      <c r="O941" s="71">
        <f t="shared" si="211"/>
        <v>93137</v>
      </c>
      <c r="P941" s="71">
        <f t="shared" si="212"/>
        <v>93137</v>
      </c>
    </row>
    <row r="942" spans="1:16" s="58" customFormat="1" ht="24" customHeight="1">
      <c r="A942" s="10">
        <v>6</v>
      </c>
      <c r="B942" s="11" t="s">
        <v>1484</v>
      </c>
      <c r="C942" s="12" t="s">
        <v>163</v>
      </c>
      <c r="D942" s="13"/>
      <c r="E942" s="122">
        <v>187750</v>
      </c>
      <c r="F942" s="122">
        <v>187750</v>
      </c>
      <c r="G942" s="206" t="s">
        <v>163</v>
      </c>
      <c r="H942" s="68"/>
      <c r="I942" s="134"/>
      <c r="J942" s="134"/>
      <c r="K942" s="12" t="s">
        <v>163</v>
      </c>
      <c r="L942" s="120"/>
      <c r="M942" s="122">
        <f t="shared" si="213"/>
        <v>187750</v>
      </c>
      <c r="N942" s="122">
        <f t="shared" si="214"/>
        <v>187750</v>
      </c>
      <c r="O942" s="71">
        <f t="shared" si="211"/>
        <v>187750</v>
      </c>
      <c r="P942" s="71">
        <f t="shared" si="212"/>
        <v>187750</v>
      </c>
    </row>
    <row r="943" spans="1:16" s="58" customFormat="1" ht="24" customHeight="1">
      <c r="A943" s="10">
        <v>7</v>
      </c>
      <c r="B943" s="11" t="s">
        <v>1485</v>
      </c>
      <c r="C943" s="12" t="s">
        <v>163</v>
      </c>
      <c r="D943" s="13"/>
      <c r="E943" s="122">
        <v>208475</v>
      </c>
      <c r="F943" s="122">
        <v>208475</v>
      </c>
      <c r="G943" s="206" t="s">
        <v>163</v>
      </c>
      <c r="H943" s="68"/>
      <c r="I943" s="134"/>
      <c r="J943" s="134"/>
      <c r="K943" s="12" t="s">
        <v>163</v>
      </c>
      <c r="L943" s="120"/>
      <c r="M943" s="122">
        <f t="shared" si="213"/>
        <v>208475</v>
      </c>
      <c r="N943" s="122">
        <f t="shared" si="214"/>
        <v>208475</v>
      </c>
      <c r="O943" s="71">
        <f t="shared" si="211"/>
        <v>208475</v>
      </c>
      <c r="P943" s="71">
        <f t="shared" si="212"/>
        <v>208475</v>
      </c>
    </row>
    <row r="944" spans="1:16" s="58" customFormat="1" ht="24" customHeight="1">
      <c r="A944" s="10">
        <v>8</v>
      </c>
      <c r="B944" s="11" t="s">
        <v>1486</v>
      </c>
      <c r="C944" s="12" t="s">
        <v>163</v>
      </c>
      <c r="D944" s="13"/>
      <c r="E944" s="122">
        <v>178333</v>
      </c>
      <c r="F944" s="122">
        <v>178333</v>
      </c>
      <c r="G944" s="206" t="s">
        <v>163</v>
      </c>
      <c r="H944" s="68"/>
      <c r="I944" s="134"/>
      <c r="J944" s="134"/>
      <c r="K944" s="12" t="s">
        <v>163</v>
      </c>
      <c r="L944" s="120"/>
      <c r="M944" s="122">
        <f t="shared" si="213"/>
        <v>178333</v>
      </c>
      <c r="N944" s="122">
        <f t="shared" si="214"/>
        <v>178333</v>
      </c>
      <c r="O944" s="71">
        <f t="shared" si="211"/>
        <v>178333</v>
      </c>
      <c r="P944" s="71">
        <f t="shared" si="212"/>
        <v>178333</v>
      </c>
    </row>
    <row r="945" spans="1:16" s="58" customFormat="1" ht="24" customHeight="1">
      <c r="A945" s="10">
        <v>9</v>
      </c>
      <c r="B945" s="11" t="s">
        <v>1487</v>
      </c>
      <c r="C945" s="12" t="s">
        <v>163</v>
      </c>
      <c r="D945" s="13"/>
      <c r="E945" s="122">
        <v>135891</v>
      </c>
      <c r="F945" s="122">
        <v>135891</v>
      </c>
      <c r="G945" s="206" t="s">
        <v>163</v>
      </c>
      <c r="H945" s="68"/>
      <c r="I945" s="134"/>
      <c r="J945" s="134"/>
      <c r="K945" s="12" t="s">
        <v>163</v>
      </c>
      <c r="L945" s="120"/>
      <c r="M945" s="122">
        <f t="shared" si="213"/>
        <v>135891</v>
      </c>
      <c r="N945" s="122">
        <f t="shared" si="214"/>
        <v>135891</v>
      </c>
      <c r="O945" s="71">
        <f t="shared" si="211"/>
        <v>135891</v>
      </c>
      <c r="P945" s="71">
        <f t="shared" si="212"/>
        <v>135891</v>
      </c>
    </row>
    <row r="946" spans="1:16" s="58" customFormat="1" ht="24" customHeight="1">
      <c r="A946" s="10">
        <v>10</v>
      </c>
      <c r="B946" s="11" t="s">
        <v>1488</v>
      </c>
      <c r="C946" s="12" t="s">
        <v>163</v>
      </c>
      <c r="D946" s="13"/>
      <c r="E946" s="122">
        <v>79710</v>
      </c>
      <c r="F946" s="122">
        <v>79710</v>
      </c>
      <c r="G946" s="206" t="s">
        <v>163</v>
      </c>
      <c r="H946" s="68"/>
      <c r="I946" s="134"/>
      <c r="J946" s="134"/>
      <c r="K946" s="12" t="s">
        <v>163</v>
      </c>
      <c r="L946" s="120"/>
      <c r="M946" s="122">
        <f t="shared" si="213"/>
        <v>79710</v>
      </c>
      <c r="N946" s="122">
        <f t="shared" si="214"/>
        <v>79710</v>
      </c>
      <c r="O946" s="71">
        <f t="shared" si="211"/>
        <v>79710</v>
      </c>
      <c r="P946" s="71">
        <f t="shared" si="212"/>
        <v>79710</v>
      </c>
    </row>
    <row r="947" spans="1:16" s="58" customFormat="1" ht="24" customHeight="1">
      <c r="A947" s="10">
        <v>11</v>
      </c>
      <c r="B947" s="11" t="s">
        <v>1489</v>
      </c>
      <c r="C947" s="12" t="s">
        <v>163</v>
      </c>
      <c r="D947" s="13"/>
      <c r="E947" s="122">
        <v>121495</v>
      </c>
      <c r="F947" s="122">
        <v>121495</v>
      </c>
      <c r="G947" s="206" t="s">
        <v>163</v>
      </c>
      <c r="H947" s="68"/>
      <c r="I947" s="134"/>
      <c r="J947" s="134"/>
      <c r="K947" s="12" t="s">
        <v>163</v>
      </c>
      <c r="L947" s="120"/>
      <c r="M947" s="122">
        <f t="shared" si="213"/>
        <v>121495</v>
      </c>
      <c r="N947" s="122">
        <f t="shared" si="214"/>
        <v>121495</v>
      </c>
      <c r="O947" s="71">
        <f t="shared" si="211"/>
        <v>121495</v>
      </c>
      <c r="P947" s="71">
        <f t="shared" si="212"/>
        <v>121495</v>
      </c>
    </row>
    <row r="948" spans="1:16" s="58" customFormat="1" ht="24" customHeight="1">
      <c r="A948" s="10">
        <v>12</v>
      </c>
      <c r="B948" s="11" t="s">
        <v>1490</v>
      </c>
      <c r="C948" s="12" t="s">
        <v>163</v>
      </c>
      <c r="D948" s="13"/>
      <c r="E948" s="122">
        <v>105000</v>
      </c>
      <c r="F948" s="122">
        <v>105000</v>
      </c>
      <c r="G948" s="206" t="s">
        <v>163</v>
      </c>
      <c r="H948" s="68"/>
      <c r="I948" s="134"/>
      <c r="J948" s="134"/>
      <c r="K948" s="12" t="s">
        <v>163</v>
      </c>
      <c r="L948" s="120"/>
      <c r="M948" s="122">
        <f t="shared" si="213"/>
        <v>105000</v>
      </c>
      <c r="N948" s="122">
        <f t="shared" si="214"/>
        <v>105000</v>
      </c>
      <c r="O948" s="71">
        <f t="shared" si="211"/>
        <v>105000</v>
      </c>
      <c r="P948" s="71">
        <f t="shared" si="212"/>
        <v>105000</v>
      </c>
    </row>
    <row r="949" spans="1:16" s="58" customFormat="1" ht="24" customHeight="1">
      <c r="A949" s="10">
        <v>13</v>
      </c>
      <c r="B949" s="11" t="s">
        <v>1491</v>
      </c>
      <c r="C949" s="12" t="s">
        <v>163</v>
      </c>
      <c r="D949" s="13"/>
      <c r="E949" s="122">
        <v>9000</v>
      </c>
      <c r="F949" s="122">
        <v>9000</v>
      </c>
      <c r="G949" s="206" t="s">
        <v>163</v>
      </c>
      <c r="H949" s="68"/>
      <c r="I949" s="134"/>
      <c r="J949" s="134"/>
      <c r="K949" s="12" t="s">
        <v>163</v>
      </c>
      <c r="L949" s="120"/>
      <c r="M949" s="122">
        <f t="shared" si="213"/>
        <v>9000</v>
      </c>
      <c r="N949" s="122">
        <f t="shared" si="214"/>
        <v>9000</v>
      </c>
      <c r="O949" s="71">
        <f t="shared" si="211"/>
        <v>9000</v>
      </c>
      <c r="P949" s="71">
        <f t="shared" si="212"/>
        <v>9000</v>
      </c>
    </row>
    <row r="950" spans="1:16" s="58" customFormat="1" ht="24" customHeight="1">
      <c r="A950" s="10">
        <v>14</v>
      </c>
      <c r="B950" s="11" t="s">
        <v>1492</v>
      </c>
      <c r="C950" s="12" t="s">
        <v>163</v>
      </c>
      <c r="D950" s="13"/>
      <c r="E950" s="122">
        <v>10250</v>
      </c>
      <c r="F950" s="122">
        <v>10250</v>
      </c>
      <c r="G950" s="206" t="s">
        <v>163</v>
      </c>
      <c r="H950" s="68"/>
      <c r="I950" s="134"/>
      <c r="J950" s="134"/>
      <c r="K950" s="12" t="s">
        <v>163</v>
      </c>
      <c r="L950" s="120"/>
      <c r="M950" s="122">
        <f t="shared" si="213"/>
        <v>10250</v>
      </c>
      <c r="N950" s="122">
        <f t="shared" si="214"/>
        <v>10250</v>
      </c>
      <c r="O950" s="71">
        <f t="shared" si="211"/>
        <v>10250</v>
      </c>
      <c r="P950" s="71">
        <f t="shared" si="212"/>
        <v>10250</v>
      </c>
    </row>
    <row r="951" spans="1:16" s="58" customFormat="1" ht="24" customHeight="1">
      <c r="A951" s="10">
        <v>15</v>
      </c>
      <c r="B951" s="11" t="s">
        <v>1493</v>
      </c>
      <c r="C951" s="12" t="s">
        <v>163</v>
      </c>
      <c r="D951" s="13"/>
      <c r="E951" s="122">
        <v>12728</v>
      </c>
      <c r="F951" s="122">
        <v>12728</v>
      </c>
      <c r="G951" s="206" t="s">
        <v>163</v>
      </c>
      <c r="H951" s="68"/>
      <c r="I951" s="134"/>
      <c r="J951" s="134"/>
      <c r="K951" s="12" t="s">
        <v>163</v>
      </c>
      <c r="L951" s="120"/>
      <c r="M951" s="122">
        <f t="shared" si="213"/>
        <v>12728</v>
      </c>
      <c r="N951" s="122">
        <f t="shared" si="214"/>
        <v>12728</v>
      </c>
      <c r="O951" s="71">
        <f t="shared" si="211"/>
        <v>12728</v>
      </c>
      <c r="P951" s="71">
        <f t="shared" si="212"/>
        <v>12728</v>
      </c>
    </row>
    <row r="952" spans="1:16" s="58" customFormat="1" ht="24" customHeight="1">
      <c r="A952" s="10"/>
      <c r="B952" s="9" t="s">
        <v>1494</v>
      </c>
      <c r="C952" s="12"/>
      <c r="D952" s="13"/>
      <c r="E952" s="122"/>
      <c r="F952" s="122"/>
      <c r="G952" s="206"/>
      <c r="H952" s="68"/>
      <c r="I952" s="134"/>
      <c r="J952" s="134"/>
      <c r="K952" s="12"/>
      <c r="L952" s="120"/>
      <c r="M952" s="122">
        <f t="shared" si="213"/>
        <v>0</v>
      </c>
      <c r="N952" s="122">
        <f t="shared" si="214"/>
        <v>0</v>
      </c>
      <c r="O952" s="71">
        <f t="shared" si="211"/>
        <v>0</v>
      </c>
      <c r="P952" s="71">
        <f t="shared" si="212"/>
        <v>0</v>
      </c>
    </row>
    <row r="953" spans="1:16" s="58" customFormat="1" ht="24" customHeight="1">
      <c r="A953" s="10">
        <v>1</v>
      </c>
      <c r="B953" s="11" t="s">
        <v>1495</v>
      </c>
      <c r="C953" s="12" t="s">
        <v>163</v>
      </c>
      <c r="D953" s="13"/>
      <c r="E953" s="122">
        <v>203216</v>
      </c>
      <c r="F953" s="122">
        <v>203216</v>
      </c>
      <c r="G953" s="206" t="s">
        <v>163</v>
      </c>
      <c r="H953" s="68"/>
      <c r="I953" s="134"/>
      <c r="J953" s="134"/>
      <c r="K953" s="12" t="s">
        <v>163</v>
      </c>
      <c r="L953" s="120"/>
      <c r="M953" s="122">
        <f t="shared" si="213"/>
        <v>203216</v>
      </c>
      <c r="N953" s="122">
        <f t="shared" si="214"/>
        <v>203216</v>
      </c>
      <c r="O953" s="71">
        <f t="shared" si="211"/>
        <v>203216</v>
      </c>
      <c r="P953" s="71">
        <f t="shared" si="212"/>
        <v>203216</v>
      </c>
    </row>
    <row r="954" spans="1:16" s="58" customFormat="1" ht="24" customHeight="1">
      <c r="A954" s="10">
        <v>2</v>
      </c>
      <c r="B954" s="11" t="s">
        <v>1496</v>
      </c>
      <c r="C954" s="12" t="s">
        <v>163</v>
      </c>
      <c r="D954" s="13"/>
      <c r="E954" s="122">
        <v>290095</v>
      </c>
      <c r="F954" s="122">
        <v>290095</v>
      </c>
      <c r="G954" s="206" t="s">
        <v>163</v>
      </c>
      <c r="H954" s="68"/>
      <c r="I954" s="134"/>
      <c r="J954" s="134"/>
      <c r="K954" s="12" t="s">
        <v>163</v>
      </c>
      <c r="L954" s="120"/>
      <c r="M954" s="122">
        <f t="shared" si="213"/>
        <v>290095</v>
      </c>
      <c r="N954" s="122">
        <f t="shared" si="214"/>
        <v>290095</v>
      </c>
      <c r="O954" s="71">
        <f t="shared" si="211"/>
        <v>290095</v>
      </c>
      <c r="P954" s="71">
        <f t="shared" si="212"/>
        <v>290095</v>
      </c>
    </row>
    <row r="955" spans="1:16" s="58" customFormat="1" ht="24" customHeight="1">
      <c r="A955" s="10">
        <v>3</v>
      </c>
      <c r="B955" s="11" t="s">
        <v>1497</v>
      </c>
      <c r="C955" s="12" t="s">
        <v>163</v>
      </c>
      <c r="D955" s="13"/>
      <c r="E955" s="122">
        <v>905034</v>
      </c>
      <c r="F955" s="122">
        <v>905034</v>
      </c>
      <c r="G955" s="206" t="s">
        <v>163</v>
      </c>
      <c r="H955" s="68"/>
      <c r="I955" s="134"/>
      <c r="J955" s="134"/>
      <c r="K955" s="12" t="s">
        <v>163</v>
      </c>
      <c r="L955" s="120"/>
      <c r="M955" s="122">
        <f t="shared" si="213"/>
        <v>905034</v>
      </c>
      <c r="N955" s="122">
        <f t="shared" si="214"/>
        <v>905034</v>
      </c>
      <c r="O955" s="71">
        <f t="shared" si="211"/>
        <v>905034</v>
      </c>
      <c r="P955" s="71">
        <f t="shared" si="212"/>
        <v>905034</v>
      </c>
    </row>
    <row r="956" spans="1:16" s="58" customFormat="1" ht="24" customHeight="1">
      <c r="A956" s="10">
        <v>4</v>
      </c>
      <c r="B956" s="11" t="s">
        <v>1498</v>
      </c>
      <c r="C956" s="12" t="s">
        <v>163</v>
      </c>
      <c r="D956" s="13"/>
      <c r="E956" s="122">
        <v>348837</v>
      </c>
      <c r="F956" s="122">
        <v>348837</v>
      </c>
      <c r="G956" s="206" t="s">
        <v>163</v>
      </c>
      <c r="H956" s="68"/>
      <c r="I956" s="134"/>
      <c r="J956" s="134"/>
      <c r="K956" s="12" t="s">
        <v>163</v>
      </c>
      <c r="L956" s="120"/>
      <c r="M956" s="122">
        <f t="shared" si="213"/>
        <v>348837</v>
      </c>
      <c r="N956" s="122">
        <f t="shared" si="214"/>
        <v>348837</v>
      </c>
      <c r="O956" s="71">
        <f t="shared" si="211"/>
        <v>348837</v>
      </c>
      <c r="P956" s="71">
        <f t="shared" si="212"/>
        <v>348837</v>
      </c>
    </row>
    <row r="957" spans="1:16" s="58" customFormat="1" ht="24" customHeight="1">
      <c r="A957" s="10">
        <v>5</v>
      </c>
      <c r="B957" s="11" t="s">
        <v>1499</v>
      </c>
      <c r="C957" s="12" t="s">
        <v>163</v>
      </c>
      <c r="D957" s="13"/>
      <c r="E957" s="122">
        <v>289075</v>
      </c>
      <c r="F957" s="122">
        <v>289075</v>
      </c>
      <c r="G957" s="206" t="s">
        <v>163</v>
      </c>
      <c r="H957" s="68"/>
      <c r="I957" s="134"/>
      <c r="J957" s="134"/>
      <c r="K957" s="12" t="s">
        <v>163</v>
      </c>
      <c r="L957" s="120"/>
      <c r="M957" s="122">
        <f t="shared" si="213"/>
        <v>289075</v>
      </c>
      <c r="N957" s="122">
        <f t="shared" si="214"/>
        <v>289075</v>
      </c>
      <c r="O957" s="71">
        <f t="shared" si="211"/>
        <v>289075</v>
      </c>
      <c r="P957" s="71">
        <f t="shared" si="212"/>
        <v>289075</v>
      </c>
    </row>
    <row r="958" spans="1:16" s="58" customFormat="1" ht="24" customHeight="1">
      <c r="A958" s="10">
        <v>6</v>
      </c>
      <c r="B958" s="11" t="s">
        <v>1500</v>
      </c>
      <c r="C958" s="12" t="s">
        <v>163</v>
      </c>
      <c r="D958" s="13"/>
      <c r="E958" s="122">
        <v>419715</v>
      </c>
      <c r="F958" s="122">
        <v>419715</v>
      </c>
      <c r="G958" s="206" t="s">
        <v>163</v>
      </c>
      <c r="H958" s="68"/>
      <c r="I958" s="134"/>
      <c r="J958" s="134"/>
      <c r="K958" s="12" t="s">
        <v>163</v>
      </c>
      <c r="L958" s="120"/>
      <c r="M958" s="122">
        <f t="shared" si="213"/>
        <v>419715</v>
      </c>
      <c r="N958" s="122">
        <f t="shared" si="214"/>
        <v>419715</v>
      </c>
      <c r="O958" s="71">
        <f t="shared" si="211"/>
        <v>419715</v>
      </c>
      <c r="P958" s="71">
        <f t="shared" si="212"/>
        <v>419715</v>
      </c>
    </row>
    <row r="959" spans="1:16" s="58" customFormat="1" ht="24" customHeight="1">
      <c r="A959" s="10">
        <v>7</v>
      </c>
      <c r="B959" s="11" t="s">
        <v>1501</v>
      </c>
      <c r="C959" s="12" t="s">
        <v>163</v>
      </c>
      <c r="D959" s="13"/>
      <c r="E959" s="122">
        <v>381155</v>
      </c>
      <c r="F959" s="122">
        <v>381155</v>
      </c>
      <c r="G959" s="206" t="s">
        <v>163</v>
      </c>
      <c r="H959" s="68"/>
      <c r="I959" s="134"/>
      <c r="J959" s="134"/>
      <c r="K959" s="12" t="s">
        <v>163</v>
      </c>
      <c r="L959" s="120"/>
      <c r="M959" s="122">
        <f t="shared" si="213"/>
        <v>381155</v>
      </c>
      <c r="N959" s="122">
        <f t="shared" si="214"/>
        <v>381155</v>
      </c>
      <c r="O959" s="71">
        <f t="shared" si="211"/>
        <v>381155</v>
      </c>
      <c r="P959" s="71">
        <f t="shared" si="212"/>
        <v>381155</v>
      </c>
    </row>
    <row r="960" spans="1:16" s="58" customFormat="1" ht="24" customHeight="1">
      <c r="A960" s="10">
        <v>8</v>
      </c>
      <c r="B960" s="11" t="s">
        <v>1502</v>
      </c>
      <c r="C960" s="12" t="s">
        <v>163</v>
      </c>
      <c r="D960" s="13"/>
      <c r="E960" s="122">
        <v>197263</v>
      </c>
      <c r="F960" s="122">
        <v>197263</v>
      </c>
      <c r="G960" s="206" t="s">
        <v>163</v>
      </c>
      <c r="H960" s="68"/>
      <c r="I960" s="134"/>
      <c r="J960" s="134"/>
      <c r="K960" s="12" t="s">
        <v>163</v>
      </c>
      <c r="L960" s="120"/>
      <c r="M960" s="122">
        <f t="shared" si="213"/>
        <v>197263</v>
      </c>
      <c r="N960" s="122">
        <f t="shared" si="214"/>
        <v>197263</v>
      </c>
      <c r="O960" s="71">
        <f t="shared" si="211"/>
        <v>197263</v>
      </c>
      <c r="P960" s="71">
        <f t="shared" si="212"/>
        <v>197263</v>
      </c>
    </row>
    <row r="961" spans="1:16" s="58" customFormat="1" ht="24" customHeight="1">
      <c r="A961" s="10">
        <v>9</v>
      </c>
      <c r="B961" s="11" t="s">
        <v>1503</v>
      </c>
      <c r="C961" s="12" t="s">
        <v>163</v>
      </c>
      <c r="D961" s="13"/>
      <c r="E961" s="122">
        <v>273518</v>
      </c>
      <c r="F961" s="122">
        <v>273518</v>
      </c>
      <c r="G961" s="206" t="s">
        <v>163</v>
      </c>
      <c r="H961" s="68"/>
      <c r="I961" s="134"/>
      <c r="J961" s="134"/>
      <c r="K961" s="12" t="s">
        <v>163</v>
      </c>
      <c r="L961" s="120"/>
      <c r="M961" s="122">
        <f t="shared" si="213"/>
        <v>273518</v>
      </c>
      <c r="N961" s="122">
        <f t="shared" si="214"/>
        <v>273518</v>
      </c>
      <c r="O961" s="71">
        <f t="shared" si="211"/>
        <v>273518</v>
      </c>
      <c r="P961" s="71">
        <f t="shared" si="212"/>
        <v>273518</v>
      </c>
    </row>
    <row r="962" spans="1:16" s="58" customFormat="1" ht="48.75" customHeight="1">
      <c r="A962" s="10"/>
      <c r="B962" s="237" t="s">
        <v>1569</v>
      </c>
      <c r="C962" s="238"/>
      <c r="D962" s="238"/>
      <c r="E962" s="238"/>
      <c r="F962" s="238"/>
      <c r="G962" s="238"/>
      <c r="H962" s="238"/>
      <c r="I962" s="238"/>
      <c r="J962" s="238"/>
      <c r="K962" s="238"/>
      <c r="L962" s="238"/>
      <c r="M962" s="238"/>
      <c r="N962" s="239"/>
      <c r="O962" s="71"/>
      <c r="P962" s="71"/>
    </row>
    <row r="963" spans="1:16" s="58" customFormat="1" ht="24" customHeight="1">
      <c r="A963" s="10">
        <v>1</v>
      </c>
      <c r="B963" s="11" t="s">
        <v>1570</v>
      </c>
      <c r="C963" s="12" t="s">
        <v>163</v>
      </c>
      <c r="D963" s="13"/>
      <c r="E963" s="122">
        <v>41090.909090909088</v>
      </c>
      <c r="F963" s="122">
        <v>41090.909090909088</v>
      </c>
      <c r="G963" s="206" t="s">
        <v>163</v>
      </c>
      <c r="H963" s="68"/>
      <c r="I963" s="134"/>
      <c r="J963" s="134"/>
      <c r="K963" s="12" t="s">
        <v>163</v>
      </c>
      <c r="L963" s="120"/>
      <c r="M963" s="122">
        <f>E963</f>
        <v>41090.909090909088</v>
      </c>
      <c r="N963" s="122">
        <f>F963</f>
        <v>41090.909090909088</v>
      </c>
      <c r="O963" s="71">
        <f t="shared" ref="O963:O979" si="215">E963</f>
        <v>41090.909090909088</v>
      </c>
      <c r="P963" s="71">
        <f t="shared" ref="P963:P979" si="216">M963</f>
        <v>41090.909090909088</v>
      </c>
    </row>
    <row r="964" spans="1:16" s="58" customFormat="1" ht="24" customHeight="1">
      <c r="A964" s="10">
        <v>2</v>
      </c>
      <c r="B964" s="11" t="s">
        <v>1571</v>
      </c>
      <c r="C964" s="12" t="s">
        <v>163</v>
      </c>
      <c r="D964" s="13"/>
      <c r="E964" s="122">
        <v>32525.454545454544</v>
      </c>
      <c r="F964" s="122">
        <v>32525.454545454544</v>
      </c>
      <c r="G964" s="206" t="s">
        <v>163</v>
      </c>
      <c r="H964" s="68"/>
      <c r="I964" s="134"/>
      <c r="J964" s="134"/>
      <c r="K964" s="12" t="s">
        <v>163</v>
      </c>
      <c r="L964" s="120"/>
      <c r="M964" s="122">
        <f t="shared" ref="M964:M1012" si="217">E964</f>
        <v>32525.454545454544</v>
      </c>
      <c r="N964" s="122">
        <f t="shared" ref="N964:N1012" si="218">F964</f>
        <v>32525.454545454544</v>
      </c>
      <c r="O964" s="71">
        <f t="shared" si="215"/>
        <v>32525.454545454544</v>
      </c>
      <c r="P964" s="71">
        <f t="shared" si="216"/>
        <v>32525.454545454544</v>
      </c>
    </row>
    <row r="965" spans="1:16" s="58" customFormat="1" ht="24" customHeight="1">
      <c r="A965" s="10">
        <v>3</v>
      </c>
      <c r="B965" s="11" t="s">
        <v>1572</v>
      </c>
      <c r="C965" s="12" t="s">
        <v>163</v>
      </c>
      <c r="D965" s="13"/>
      <c r="E965" s="122">
        <v>73454.545454545456</v>
      </c>
      <c r="F965" s="122">
        <v>73454.545454545456</v>
      </c>
      <c r="G965" s="206" t="s">
        <v>163</v>
      </c>
      <c r="H965" s="68"/>
      <c r="I965" s="134"/>
      <c r="J965" s="134"/>
      <c r="K965" s="12" t="s">
        <v>163</v>
      </c>
      <c r="L965" s="120"/>
      <c r="M965" s="122">
        <f t="shared" si="217"/>
        <v>73454.545454545456</v>
      </c>
      <c r="N965" s="122">
        <f t="shared" si="218"/>
        <v>73454.545454545456</v>
      </c>
      <c r="O965" s="71">
        <f t="shared" si="215"/>
        <v>73454.545454545456</v>
      </c>
      <c r="P965" s="71">
        <f t="shared" si="216"/>
        <v>73454.545454545456</v>
      </c>
    </row>
    <row r="966" spans="1:16" s="58" customFormat="1" ht="24" customHeight="1">
      <c r="A966" s="10">
        <v>4</v>
      </c>
      <c r="B966" s="11" t="s">
        <v>1573</v>
      </c>
      <c r="C966" s="12" t="s">
        <v>163</v>
      </c>
      <c r="D966" s="13"/>
      <c r="E966" s="122">
        <v>65050.909090909088</v>
      </c>
      <c r="F966" s="122">
        <v>65050.909090909088</v>
      </c>
      <c r="G966" s="206" t="s">
        <v>163</v>
      </c>
      <c r="H966" s="68"/>
      <c r="I966" s="134"/>
      <c r="J966" s="134"/>
      <c r="K966" s="12" t="s">
        <v>163</v>
      </c>
      <c r="L966" s="120"/>
      <c r="M966" s="122">
        <f t="shared" si="217"/>
        <v>65050.909090909088</v>
      </c>
      <c r="N966" s="122">
        <f t="shared" si="218"/>
        <v>65050.909090909088</v>
      </c>
      <c r="O966" s="71">
        <f t="shared" si="215"/>
        <v>65050.909090909088</v>
      </c>
      <c r="P966" s="71">
        <f t="shared" si="216"/>
        <v>65050.909090909088</v>
      </c>
    </row>
    <row r="967" spans="1:16" s="58" customFormat="1" ht="24" customHeight="1">
      <c r="A967" s="10">
        <v>5</v>
      </c>
      <c r="B967" s="11" t="s">
        <v>1574</v>
      </c>
      <c r="C967" s="12" t="s">
        <v>163</v>
      </c>
      <c r="D967" s="13"/>
      <c r="E967" s="122">
        <v>63272.727272727265</v>
      </c>
      <c r="F967" s="122">
        <v>63272.727272727265</v>
      </c>
      <c r="G967" s="206" t="s">
        <v>163</v>
      </c>
      <c r="H967" s="68"/>
      <c r="I967" s="134"/>
      <c r="J967" s="134"/>
      <c r="K967" s="12" t="s">
        <v>163</v>
      </c>
      <c r="L967" s="120"/>
      <c r="M967" s="122">
        <f t="shared" si="217"/>
        <v>63272.727272727265</v>
      </c>
      <c r="N967" s="122">
        <f t="shared" si="218"/>
        <v>63272.727272727265</v>
      </c>
      <c r="O967" s="71">
        <f t="shared" si="215"/>
        <v>63272.727272727265</v>
      </c>
      <c r="P967" s="71">
        <f t="shared" si="216"/>
        <v>63272.727272727265</v>
      </c>
    </row>
    <row r="968" spans="1:16" s="58" customFormat="1" ht="24" customHeight="1">
      <c r="A968" s="10">
        <v>6</v>
      </c>
      <c r="B968" s="11" t="s">
        <v>1575</v>
      </c>
      <c r="C968" s="12" t="s">
        <v>163</v>
      </c>
      <c r="D968" s="13"/>
      <c r="E968" s="122">
        <v>55151.818181818177</v>
      </c>
      <c r="F968" s="122">
        <v>55151.818181818177</v>
      </c>
      <c r="G968" s="206" t="s">
        <v>163</v>
      </c>
      <c r="H968" s="68"/>
      <c r="I968" s="134"/>
      <c r="J968" s="134"/>
      <c r="K968" s="12" t="s">
        <v>163</v>
      </c>
      <c r="L968" s="120"/>
      <c r="M968" s="122">
        <f t="shared" si="217"/>
        <v>55151.818181818177</v>
      </c>
      <c r="N968" s="122">
        <f t="shared" si="218"/>
        <v>55151.818181818177</v>
      </c>
      <c r="O968" s="71">
        <f t="shared" si="215"/>
        <v>55151.818181818177</v>
      </c>
      <c r="P968" s="71">
        <f t="shared" si="216"/>
        <v>55151.818181818177</v>
      </c>
    </row>
    <row r="969" spans="1:16" s="58" customFormat="1" ht="24" customHeight="1">
      <c r="A969" s="10">
        <v>7</v>
      </c>
      <c r="B969" s="11" t="s">
        <v>1576</v>
      </c>
      <c r="C969" s="12" t="s">
        <v>163</v>
      </c>
      <c r="D969" s="13"/>
      <c r="E969" s="122">
        <v>75636.363636363632</v>
      </c>
      <c r="F969" s="122">
        <v>75636.363636363632</v>
      </c>
      <c r="G969" s="206" t="s">
        <v>163</v>
      </c>
      <c r="H969" s="68"/>
      <c r="I969" s="134"/>
      <c r="J969" s="134"/>
      <c r="K969" s="12" t="s">
        <v>163</v>
      </c>
      <c r="L969" s="120"/>
      <c r="M969" s="122">
        <f t="shared" si="217"/>
        <v>75636.363636363632</v>
      </c>
      <c r="N969" s="122">
        <f t="shared" si="218"/>
        <v>75636.363636363632</v>
      </c>
      <c r="O969" s="71">
        <f t="shared" si="215"/>
        <v>75636.363636363632</v>
      </c>
      <c r="P969" s="71">
        <f t="shared" si="216"/>
        <v>75636.363636363632</v>
      </c>
    </row>
    <row r="970" spans="1:16" s="58" customFormat="1" ht="24" customHeight="1">
      <c r="A970" s="10">
        <v>8</v>
      </c>
      <c r="B970" s="11" t="s">
        <v>1577</v>
      </c>
      <c r="C970" s="12" t="s">
        <v>163</v>
      </c>
      <c r="D970" s="13"/>
      <c r="E970" s="122">
        <v>75252.727272727265</v>
      </c>
      <c r="F970" s="122">
        <v>75252.727272727265</v>
      </c>
      <c r="G970" s="206" t="s">
        <v>163</v>
      </c>
      <c r="H970" s="68"/>
      <c r="I970" s="134"/>
      <c r="J970" s="134"/>
      <c r="K970" s="12" t="s">
        <v>163</v>
      </c>
      <c r="L970" s="120"/>
      <c r="M970" s="122">
        <f t="shared" si="217"/>
        <v>75252.727272727265</v>
      </c>
      <c r="N970" s="122">
        <f t="shared" si="218"/>
        <v>75252.727272727265</v>
      </c>
      <c r="O970" s="71">
        <f t="shared" si="215"/>
        <v>75252.727272727265</v>
      </c>
      <c r="P970" s="71">
        <f t="shared" si="216"/>
        <v>75252.727272727265</v>
      </c>
    </row>
    <row r="971" spans="1:16" s="58" customFormat="1" ht="24" customHeight="1">
      <c r="A971" s="10">
        <v>9</v>
      </c>
      <c r="B971" s="11" t="s">
        <v>1578</v>
      </c>
      <c r="C971" s="12" t="s">
        <v>163</v>
      </c>
      <c r="D971" s="13"/>
      <c r="E971" s="122">
        <v>95999.999999999985</v>
      </c>
      <c r="F971" s="122">
        <v>95999.999999999985</v>
      </c>
      <c r="G971" s="206" t="s">
        <v>163</v>
      </c>
      <c r="H971" s="68"/>
      <c r="I971" s="134"/>
      <c r="J971" s="134"/>
      <c r="K971" s="12" t="s">
        <v>163</v>
      </c>
      <c r="L971" s="120"/>
      <c r="M971" s="122">
        <f t="shared" si="217"/>
        <v>95999.999999999985</v>
      </c>
      <c r="N971" s="122">
        <f t="shared" si="218"/>
        <v>95999.999999999985</v>
      </c>
      <c r="O971" s="71">
        <f t="shared" si="215"/>
        <v>95999.999999999985</v>
      </c>
      <c r="P971" s="71">
        <f t="shared" si="216"/>
        <v>95999.999999999985</v>
      </c>
    </row>
    <row r="972" spans="1:16" s="58" customFormat="1" ht="24" customHeight="1">
      <c r="A972" s="10">
        <v>10</v>
      </c>
      <c r="B972" s="11" t="s">
        <v>1579</v>
      </c>
      <c r="C972" s="12" t="s">
        <v>163</v>
      </c>
      <c r="D972" s="13"/>
      <c r="E972" s="122">
        <v>91211.818181818177</v>
      </c>
      <c r="F972" s="122">
        <v>91211.818181818177</v>
      </c>
      <c r="G972" s="206" t="s">
        <v>163</v>
      </c>
      <c r="H972" s="68"/>
      <c r="I972" s="134"/>
      <c r="J972" s="134"/>
      <c r="K972" s="12" t="s">
        <v>163</v>
      </c>
      <c r="L972" s="120"/>
      <c r="M972" s="122">
        <f t="shared" si="217"/>
        <v>91211.818181818177</v>
      </c>
      <c r="N972" s="122">
        <f t="shared" si="218"/>
        <v>91211.818181818177</v>
      </c>
      <c r="O972" s="71">
        <f t="shared" si="215"/>
        <v>91211.818181818177</v>
      </c>
      <c r="P972" s="71">
        <f t="shared" si="216"/>
        <v>91211.818181818177</v>
      </c>
    </row>
    <row r="973" spans="1:16" s="58" customFormat="1" ht="24" customHeight="1">
      <c r="A973" s="10">
        <v>11</v>
      </c>
      <c r="B973" s="11" t="s">
        <v>1580</v>
      </c>
      <c r="C973" s="12" t="s">
        <v>163</v>
      </c>
      <c r="D973" s="13"/>
      <c r="E973" s="122">
        <v>138545.45454545453</v>
      </c>
      <c r="F973" s="122">
        <v>138545.45454545453</v>
      </c>
      <c r="G973" s="206" t="s">
        <v>163</v>
      </c>
      <c r="H973" s="68"/>
      <c r="I973" s="134"/>
      <c r="J973" s="134"/>
      <c r="K973" s="12" t="s">
        <v>163</v>
      </c>
      <c r="L973" s="120"/>
      <c r="M973" s="122">
        <f t="shared" si="217"/>
        <v>138545.45454545453</v>
      </c>
      <c r="N973" s="122">
        <f t="shared" si="218"/>
        <v>138545.45454545453</v>
      </c>
      <c r="O973" s="71">
        <f t="shared" si="215"/>
        <v>138545.45454545453</v>
      </c>
      <c r="P973" s="71">
        <f t="shared" si="216"/>
        <v>138545.45454545453</v>
      </c>
    </row>
    <row r="974" spans="1:16" s="58" customFormat="1" ht="24" customHeight="1">
      <c r="A974" s="10">
        <v>12</v>
      </c>
      <c r="B974" s="11" t="s">
        <v>1581</v>
      </c>
      <c r="C974" s="12" t="s">
        <v>163</v>
      </c>
      <c r="D974" s="13"/>
      <c r="E974" s="122">
        <v>131818.18181818179</v>
      </c>
      <c r="F974" s="122">
        <v>131818.18181818179</v>
      </c>
      <c r="G974" s="206" t="s">
        <v>163</v>
      </c>
      <c r="H974" s="68"/>
      <c r="I974" s="134"/>
      <c r="J974" s="134"/>
      <c r="K974" s="12" t="s">
        <v>163</v>
      </c>
      <c r="L974" s="120"/>
      <c r="M974" s="122">
        <f t="shared" si="217"/>
        <v>131818.18181818179</v>
      </c>
      <c r="N974" s="122">
        <f t="shared" si="218"/>
        <v>131818.18181818179</v>
      </c>
      <c r="O974" s="71">
        <f t="shared" si="215"/>
        <v>131818.18181818179</v>
      </c>
      <c r="P974" s="71">
        <f t="shared" si="216"/>
        <v>131818.18181818179</v>
      </c>
    </row>
    <row r="975" spans="1:16" s="58" customFormat="1" ht="24" customHeight="1">
      <c r="A975" s="10">
        <v>13</v>
      </c>
      <c r="B975" s="11" t="s">
        <v>1596</v>
      </c>
      <c r="C975" s="12" t="s">
        <v>163</v>
      </c>
      <c r="D975" s="13"/>
      <c r="E975" s="122">
        <v>225454.54545454544</v>
      </c>
      <c r="F975" s="122">
        <v>225454.54545454544</v>
      </c>
      <c r="G975" s="206" t="s">
        <v>163</v>
      </c>
      <c r="H975" s="68"/>
      <c r="I975" s="134"/>
      <c r="J975" s="134"/>
      <c r="K975" s="12" t="s">
        <v>163</v>
      </c>
      <c r="L975" s="120"/>
      <c r="M975" s="122">
        <f t="shared" si="217"/>
        <v>225454.54545454544</v>
      </c>
      <c r="N975" s="122">
        <f t="shared" si="218"/>
        <v>225454.54545454544</v>
      </c>
      <c r="O975" s="71">
        <f t="shared" si="215"/>
        <v>225454.54545454544</v>
      </c>
      <c r="P975" s="71">
        <f t="shared" si="216"/>
        <v>225454.54545454544</v>
      </c>
    </row>
    <row r="976" spans="1:16" s="58" customFormat="1" ht="24" customHeight="1">
      <c r="A976" s="10">
        <v>14</v>
      </c>
      <c r="B976" s="11" t="s">
        <v>1582</v>
      </c>
      <c r="C976" s="12" t="s">
        <v>163</v>
      </c>
      <c r="D976" s="13"/>
      <c r="E976" s="122">
        <v>206181.81818181818</v>
      </c>
      <c r="F976" s="122">
        <v>206181.81818181818</v>
      </c>
      <c r="G976" s="206" t="s">
        <v>163</v>
      </c>
      <c r="H976" s="68"/>
      <c r="I976" s="134"/>
      <c r="J976" s="134"/>
      <c r="K976" s="12" t="s">
        <v>163</v>
      </c>
      <c r="L976" s="120"/>
      <c r="M976" s="122">
        <f t="shared" si="217"/>
        <v>206181.81818181818</v>
      </c>
      <c r="N976" s="122">
        <f t="shared" si="218"/>
        <v>206181.81818181818</v>
      </c>
      <c r="O976" s="71">
        <f t="shared" si="215"/>
        <v>206181.81818181818</v>
      </c>
      <c r="P976" s="71">
        <f t="shared" si="216"/>
        <v>206181.81818181818</v>
      </c>
    </row>
    <row r="977" spans="1:16" s="58" customFormat="1" ht="24" customHeight="1">
      <c r="A977" s="10">
        <v>15</v>
      </c>
      <c r="B977" s="11" t="s">
        <v>1583</v>
      </c>
      <c r="C977" s="12" t="s">
        <v>163</v>
      </c>
      <c r="D977" s="13"/>
      <c r="E977" s="122">
        <v>193636.36363636362</v>
      </c>
      <c r="F977" s="122">
        <v>193636.36363636362</v>
      </c>
      <c r="G977" s="206" t="s">
        <v>163</v>
      </c>
      <c r="H977" s="68"/>
      <c r="I977" s="134"/>
      <c r="J977" s="134"/>
      <c r="K977" s="12" t="s">
        <v>163</v>
      </c>
      <c r="L977" s="120"/>
      <c r="M977" s="122">
        <f t="shared" si="217"/>
        <v>193636.36363636362</v>
      </c>
      <c r="N977" s="122">
        <f t="shared" si="218"/>
        <v>193636.36363636362</v>
      </c>
      <c r="O977" s="71">
        <f t="shared" si="215"/>
        <v>193636.36363636362</v>
      </c>
      <c r="P977" s="71">
        <f t="shared" si="216"/>
        <v>193636.36363636362</v>
      </c>
    </row>
    <row r="978" spans="1:16" s="58" customFormat="1" ht="24" customHeight="1">
      <c r="A978" s="10">
        <v>16</v>
      </c>
      <c r="B978" s="11" t="s">
        <v>1584</v>
      </c>
      <c r="C978" s="12" t="s">
        <v>163</v>
      </c>
      <c r="D978" s="13"/>
      <c r="E978" s="122">
        <v>95999.999999999985</v>
      </c>
      <c r="F978" s="122">
        <v>95999.999999999985</v>
      </c>
      <c r="G978" s="206" t="s">
        <v>163</v>
      </c>
      <c r="H978" s="68"/>
      <c r="I978" s="134"/>
      <c r="J978" s="134"/>
      <c r="K978" s="12" t="s">
        <v>163</v>
      </c>
      <c r="L978" s="120"/>
      <c r="M978" s="122">
        <f t="shared" si="217"/>
        <v>95999.999999999985</v>
      </c>
      <c r="N978" s="122">
        <f t="shared" si="218"/>
        <v>95999.999999999985</v>
      </c>
      <c r="O978" s="71">
        <f t="shared" si="215"/>
        <v>95999.999999999985</v>
      </c>
      <c r="P978" s="71">
        <f t="shared" si="216"/>
        <v>95999.999999999985</v>
      </c>
    </row>
    <row r="979" spans="1:16" s="58" customFormat="1" ht="24" customHeight="1">
      <c r="A979" s="10">
        <v>17</v>
      </c>
      <c r="B979" s="11" t="s">
        <v>1585</v>
      </c>
      <c r="C979" s="12" t="s">
        <v>163</v>
      </c>
      <c r="D979" s="13"/>
      <c r="E979" s="122">
        <v>91211.818181818177</v>
      </c>
      <c r="F979" s="122">
        <v>91211.818181818177</v>
      </c>
      <c r="G979" s="206" t="s">
        <v>163</v>
      </c>
      <c r="H979" s="68"/>
      <c r="I979" s="134"/>
      <c r="J979" s="134"/>
      <c r="K979" s="12" t="s">
        <v>163</v>
      </c>
      <c r="L979" s="120"/>
      <c r="M979" s="122">
        <f t="shared" si="217"/>
        <v>91211.818181818177</v>
      </c>
      <c r="N979" s="122">
        <f t="shared" si="218"/>
        <v>91211.818181818177</v>
      </c>
      <c r="O979" s="71">
        <f t="shared" si="215"/>
        <v>91211.818181818177</v>
      </c>
      <c r="P979" s="71">
        <f t="shared" si="216"/>
        <v>91211.818181818177</v>
      </c>
    </row>
    <row r="980" spans="1:16" s="58" customFormat="1" ht="24" customHeight="1">
      <c r="A980" s="10">
        <v>18</v>
      </c>
      <c r="B980" s="11" t="s">
        <v>1586</v>
      </c>
      <c r="C980" s="12" t="s">
        <v>163</v>
      </c>
      <c r="D980" s="13"/>
      <c r="E980" s="122">
        <v>134545.45454545453</v>
      </c>
      <c r="F980" s="122">
        <v>134545.45454545453</v>
      </c>
      <c r="G980" s="206" t="s">
        <v>163</v>
      </c>
      <c r="H980" s="68"/>
      <c r="I980" s="134"/>
      <c r="J980" s="134"/>
      <c r="K980" s="12" t="s">
        <v>163</v>
      </c>
      <c r="L980" s="120"/>
      <c r="M980" s="122">
        <f t="shared" si="217"/>
        <v>134545.45454545453</v>
      </c>
      <c r="N980" s="122">
        <f t="shared" si="218"/>
        <v>134545.45454545453</v>
      </c>
      <c r="O980" s="71">
        <f t="shared" ref="O980:O1012" si="219">E980</f>
        <v>134545.45454545453</v>
      </c>
      <c r="P980" s="71">
        <f t="shared" ref="P980:P1012" si="220">M980</f>
        <v>134545.45454545453</v>
      </c>
    </row>
    <row r="981" spans="1:16" s="58" customFormat="1" ht="24" customHeight="1">
      <c r="A981" s="10">
        <v>19</v>
      </c>
      <c r="B981" s="11" t="s">
        <v>1587</v>
      </c>
      <c r="C981" s="12" t="s">
        <v>163</v>
      </c>
      <c r="D981" s="13"/>
      <c r="E981" s="122">
        <v>122909.0909090909</v>
      </c>
      <c r="F981" s="122">
        <v>122909.0909090909</v>
      </c>
      <c r="G981" s="206" t="s">
        <v>163</v>
      </c>
      <c r="H981" s="68"/>
      <c r="I981" s="134"/>
      <c r="J981" s="134"/>
      <c r="K981" s="12" t="s">
        <v>163</v>
      </c>
      <c r="L981" s="120"/>
      <c r="M981" s="122">
        <f t="shared" si="217"/>
        <v>122909.0909090909</v>
      </c>
      <c r="N981" s="122">
        <f t="shared" si="218"/>
        <v>122909.0909090909</v>
      </c>
      <c r="O981" s="71">
        <f t="shared" si="219"/>
        <v>122909.0909090909</v>
      </c>
      <c r="P981" s="71">
        <f t="shared" si="220"/>
        <v>122909.0909090909</v>
      </c>
    </row>
    <row r="982" spans="1:16" s="58" customFormat="1" ht="24" customHeight="1">
      <c r="A982" s="10">
        <v>20</v>
      </c>
      <c r="B982" s="11" t="s">
        <v>1588</v>
      </c>
      <c r="C982" s="12" t="s">
        <v>163</v>
      </c>
      <c r="D982" s="13"/>
      <c r="E982" s="122">
        <v>113232.72727272726</v>
      </c>
      <c r="F982" s="122">
        <v>113232.72727272726</v>
      </c>
      <c r="G982" s="206" t="s">
        <v>163</v>
      </c>
      <c r="H982" s="68"/>
      <c r="I982" s="134"/>
      <c r="J982" s="134"/>
      <c r="K982" s="12" t="s">
        <v>163</v>
      </c>
      <c r="L982" s="120"/>
      <c r="M982" s="122">
        <f t="shared" si="217"/>
        <v>113232.72727272726</v>
      </c>
      <c r="N982" s="122">
        <f t="shared" si="218"/>
        <v>113232.72727272726</v>
      </c>
      <c r="O982" s="71">
        <f t="shared" si="219"/>
        <v>113232.72727272726</v>
      </c>
      <c r="P982" s="71">
        <f t="shared" si="220"/>
        <v>113232.72727272726</v>
      </c>
    </row>
    <row r="983" spans="1:16" s="58" customFormat="1" ht="24" customHeight="1">
      <c r="A983" s="10">
        <v>21</v>
      </c>
      <c r="B983" s="11" t="s">
        <v>1589</v>
      </c>
      <c r="C983" s="12" t="s">
        <v>163</v>
      </c>
      <c r="D983" s="13"/>
      <c r="E983" s="122">
        <v>210909.09090909088</v>
      </c>
      <c r="F983" s="122">
        <v>210909.09090909088</v>
      </c>
      <c r="G983" s="206" t="s">
        <v>163</v>
      </c>
      <c r="H983" s="68"/>
      <c r="I983" s="134"/>
      <c r="J983" s="134"/>
      <c r="K983" s="12" t="s">
        <v>163</v>
      </c>
      <c r="L983" s="120"/>
      <c r="M983" s="122">
        <f t="shared" si="217"/>
        <v>210909.09090909088</v>
      </c>
      <c r="N983" s="122">
        <f t="shared" si="218"/>
        <v>210909.09090909088</v>
      </c>
      <c r="O983" s="71">
        <f t="shared" si="219"/>
        <v>210909.09090909088</v>
      </c>
      <c r="P983" s="71">
        <f t="shared" si="220"/>
        <v>210909.09090909088</v>
      </c>
    </row>
    <row r="984" spans="1:16" s="58" customFormat="1" ht="24" customHeight="1">
      <c r="A984" s="10">
        <v>22</v>
      </c>
      <c r="B984" s="11" t="s">
        <v>1590</v>
      </c>
      <c r="C984" s="12" t="s">
        <v>163</v>
      </c>
      <c r="D984" s="13"/>
      <c r="E984" s="122">
        <v>173818.18181818179</v>
      </c>
      <c r="F984" s="122">
        <v>173818.18181818179</v>
      </c>
      <c r="G984" s="206" t="s">
        <v>163</v>
      </c>
      <c r="H984" s="68"/>
      <c r="I984" s="134"/>
      <c r="J984" s="134"/>
      <c r="K984" s="12" t="s">
        <v>163</v>
      </c>
      <c r="L984" s="120"/>
      <c r="M984" s="122">
        <f t="shared" si="217"/>
        <v>173818.18181818179</v>
      </c>
      <c r="N984" s="122">
        <f t="shared" si="218"/>
        <v>173818.18181818179</v>
      </c>
      <c r="O984" s="71">
        <f t="shared" si="219"/>
        <v>173818.18181818179</v>
      </c>
      <c r="P984" s="71">
        <f t="shared" si="220"/>
        <v>173818.18181818179</v>
      </c>
    </row>
    <row r="985" spans="1:16" s="58" customFormat="1" ht="24" customHeight="1">
      <c r="A985" s="10">
        <v>23</v>
      </c>
      <c r="B985" s="11" t="s">
        <v>1591</v>
      </c>
      <c r="C985" s="12" t="s">
        <v>163</v>
      </c>
      <c r="D985" s="13"/>
      <c r="E985" s="122">
        <v>173130.90909090909</v>
      </c>
      <c r="F985" s="122">
        <v>173130.90909090909</v>
      </c>
      <c r="G985" s="206" t="s">
        <v>163</v>
      </c>
      <c r="H985" s="68"/>
      <c r="I985" s="134"/>
      <c r="J985" s="134"/>
      <c r="K985" s="12" t="s">
        <v>163</v>
      </c>
      <c r="L985" s="120"/>
      <c r="M985" s="122">
        <f t="shared" si="217"/>
        <v>173130.90909090909</v>
      </c>
      <c r="N985" s="122">
        <f t="shared" si="218"/>
        <v>173130.90909090909</v>
      </c>
      <c r="O985" s="71">
        <f t="shared" si="219"/>
        <v>173130.90909090909</v>
      </c>
      <c r="P985" s="71">
        <f t="shared" si="220"/>
        <v>173130.90909090909</v>
      </c>
    </row>
    <row r="986" spans="1:16" s="58" customFormat="1" ht="24" customHeight="1">
      <c r="A986" s="10">
        <v>24</v>
      </c>
      <c r="B986" s="11" t="s">
        <v>1592</v>
      </c>
      <c r="C986" s="12" t="s">
        <v>163</v>
      </c>
      <c r="D986" s="13"/>
      <c r="E986" s="122">
        <v>298181.81818181818</v>
      </c>
      <c r="F986" s="122">
        <v>298181.81818181818</v>
      </c>
      <c r="G986" s="206" t="s">
        <v>163</v>
      </c>
      <c r="H986" s="68"/>
      <c r="I986" s="134"/>
      <c r="J986" s="134"/>
      <c r="K986" s="12" t="s">
        <v>163</v>
      </c>
      <c r="L986" s="120"/>
      <c r="M986" s="122">
        <f t="shared" si="217"/>
        <v>298181.81818181818</v>
      </c>
      <c r="N986" s="122">
        <f t="shared" si="218"/>
        <v>298181.81818181818</v>
      </c>
      <c r="O986" s="71">
        <f t="shared" si="219"/>
        <v>298181.81818181818</v>
      </c>
      <c r="P986" s="71">
        <f t="shared" si="220"/>
        <v>298181.81818181818</v>
      </c>
    </row>
    <row r="987" spans="1:16" s="58" customFormat="1" ht="24" customHeight="1">
      <c r="A987" s="10">
        <v>25</v>
      </c>
      <c r="B987" s="11" t="s">
        <v>1593</v>
      </c>
      <c r="C987" s="12" t="s">
        <v>163</v>
      </c>
      <c r="D987" s="13"/>
      <c r="E987" s="122">
        <v>283636.36363636359</v>
      </c>
      <c r="F987" s="122">
        <v>283636.36363636359</v>
      </c>
      <c r="G987" s="206" t="s">
        <v>163</v>
      </c>
      <c r="H987" s="68"/>
      <c r="I987" s="134"/>
      <c r="J987" s="134"/>
      <c r="K987" s="12" t="s">
        <v>163</v>
      </c>
      <c r="L987" s="120"/>
      <c r="M987" s="122">
        <f t="shared" si="217"/>
        <v>283636.36363636359</v>
      </c>
      <c r="N987" s="122">
        <f t="shared" si="218"/>
        <v>283636.36363636359</v>
      </c>
      <c r="O987" s="71">
        <f t="shared" si="219"/>
        <v>283636.36363636359</v>
      </c>
      <c r="P987" s="71">
        <f t="shared" si="220"/>
        <v>283636.36363636359</v>
      </c>
    </row>
    <row r="988" spans="1:16" s="58" customFormat="1" ht="24" customHeight="1">
      <c r="A988" s="10">
        <v>26</v>
      </c>
      <c r="B988" s="11" t="s">
        <v>1594</v>
      </c>
      <c r="C988" s="12" t="s">
        <v>163</v>
      </c>
      <c r="D988" s="13"/>
      <c r="E988" s="122">
        <v>354545.45454545453</v>
      </c>
      <c r="F988" s="122">
        <v>354545.45454545453</v>
      </c>
      <c r="G988" s="206" t="s">
        <v>163</v>
      </c>
      <c r="H988" s="68"/>
      <c r="I988" s="134"/>
      <c r="J988" s="134"/>
      <c r="K988" s="12" t="s">
        <v>163</v>
      </c>
      <c r="L988" s="120"/>
      <c r="M988" s="122">
        <f t="shared" si="217"/>
        <v>354545.45454545453</v>
      </c>
      <c r="N988" s="122">
        <f t="shared" si="218"/>
        <v>354545.45454545453</v>
      </c>
      <c r="O988" s="71">
        <f t="shared" si="219"/>
        <v>354545.45454545453</v>
      </c>
      <c r="P988" s="71">
        <f t="shared" si="220"/>
        <v>354545.45454545453</v>
      </c>
    </row>
    <row r="989" spans="1:16" s="58" customFormat="1" ht="24" customHeight="1">
      <c r="A989" s="10">
        <v>27</v>
      </c>
      <c r="B989" s="11" t="s">
        <v>1595</v>
      </c>
      <c r="C989" s="12" t="s">
        <v>163</v>
      </c>
      <c r="D989" s="13"/>
      <c r="E989" s="122">
        <v>332727.27272727271</v>
      </c>
      <c r="F989" s="122">
        <v>332727.27272727271</v>
      </c>
      <c r="G989" s="206" t="s">
        <v>163</v>
      </c>
      <c r="H989" s="68"/>
      <c r="I989" s="134"/>
      <c r="J989" s="134"/>
      <c r="K989" s="12" t="s">
        <v>163</v>
      </c>
      <c r="L989" s="120"/>
      <c r="M989" s="122">
        <f t="shared" si="217"/>
        <v>332727.27272727271</v>
      </c>
      <c r="N989" s="122">
        <f t="shared" si="218"/>
        <v>332727.27272727271</v>
      </c>
      <c r="O989" s="71">
        <f t="shared" si="219"/>
        <v>332727.27272727271</v>
      </c>
      <c r="P989" s="71">
        <f t="shared" si="220"/>
        <v>332727.27272727271</v>
      </c>
    </row>
    <row r="990" spans="1:16" s="58" customFormat="1" ht="24" customHeight="1">
      <c r="A990" s="10">
        <v>28</v>
      </c>
      <c r="B990" s="11" t="s">
        <v>1597</v>
      </c>
      <c r="C990" s="12" t="s">
        <v>163</v>
      </c>
      <c r="D990" s="13"/>
      <c r="E990" s="122">
        <v>81818.181818181809</v>
      </c>
      <c r="F990" s="122">
        <v>81818.181818181809</v>
      </c>
      <c r="G990" s="206" t="s">
        <v>163</v>
      </c>
      <c r="H990" s="68"/>
      <c r="I990" s="134"/>
      <c r="J990" s="134"/>
      <c r="K990" s="12" t="s">
        <v>163</v>
      </c>
      <c r="L990" s="120"/>
      <c r="M990" s="122">
        <f t="shared" si="217"/>
        <v>81818.181818181809</v>
      </c>
      <c r="N990" s="122">
        <f t="shared" si="218"/>
        <v>81818.181818181809</v>
      </c>
      <c r="O990" s="71">
        <f t="shared" si="219"/>
        <v>81818.181818181809</v>
      </c>
      <c r="P990" s="71">
        <f t="shared" si="220"/>
        <v>81818.181818181809</v>
      </c>
    </row>
    <row r="991" spans="1:16" s="58" customFormat="1" ht="24" customHeight="1">
      <c r="A991" s="10">
        <v>29</v>
      </c>
      <c r="B991" s="11" t="s">
        <v>1598</v>
      </c>
      <c r="C991" s="12" t="s">
        <v>163</v>
      </c>
      <c r="D991" s="13"/>
      <c r="E991" s="122">
        <v>81454.545454545441</v>
      </c>
      <c r="F991" s="122">
        <v>81454.545454545441</v>
      </c>
      <c r="G991" s="206" t="s">
        <v>163</v>
      </c>
      <c r="H991" s="68"/>
      <c r="I991" s="134"/>
      <c r="J991" s="134"/>
      <c r="K991" s="12" t="s">
        <v>163</v>
      </c>
      <c r="L991" s="120"/>
      <c r="M991" s="122">
        <f t="shared" si="217"/>
        <v>81454.545454545441</v>
      </c>
      <c r="N991" s="122">
        <f t="shared" si="218"/>
        <v>81454.545454545441</v>
      </c>
      <c r="O991" s="71">
        <f t="shared" si="219"/>
        <v>81454.545454545441</v>
      </c>
      <c r="P991" s="71">
        <f t="shared" si="220"/>
        <v>81454.545454545441</v>
      </c>
    </row>
    <row r="992" spans="1:16" s="58" customFormat="1" ht="24" customHeight="1">
      <c r="A992" s="10">
        <v>30</v>
      </c>
      <c r="B992" s="11" t="s">
        <v>1599</v>
      </c>
      <c r="C992" s="12" t="s">
        <v>163</v>
      </c>
      <c r="D992" s="13"/>
      <c r="E992" s="122">
        <v>74040</v>
      </c>
      <c r="F992" s="122">
        <v>74040</v>
      </c>
      <c r="G992" s="206" t="s">
        <v>163</v>
      </c>
      <c r="H992" s="68"/>
      <c r="I992" s="134"/>
      <c r="J992" s="134"/>
      <c r="K992" s="12" t="s">
        <v>163</v>
      </c>
      <c r="L992" s="120"/>
      <c r="M992" s="122">
        <f t="shared" si="217"/>
        <v>74040</v>
      </c>
      <c r="N992" s="122">
        <f t="shared" si="218"/>
        <v>74040</v>
      </c>
      <c r="O992" s="71">
        <f t="shared" si="219"/>
        <v>74040</v>
      </c>
      <c r="P992" s="71">
        <f t="shared" si="220"/>
        <v>74040</v>
      </c>
    </row>
    <row r="993" spans="1:16" s="58" customFormat="1" ht="24" customHeight="1">
      <c r="A993" s="10">
        <v>31</v>
      </c>
      <c r="B993" s="11" t="s">
        <v>1600</v>
      </c>
      <c r="C993" s="12" t="s">
        <v>163</v>
      </c>
      <c r="D993" s="13"/>
      <c r="E993" s="122">
        <v>171636.36363636362</v>
      </c>
      <c r="F993" s="122">
        <v>171636.36363636362</v>
      </c>
      <c r="G993" s="206" t="s">
        <v>163</v>
      </c>
      <c r="H993" s="68"/>
      <c r="I993" s="134"/>
      <c r="J993" s="134"/>
      <c r="K993" s="12" t="s">
        <v>163</v>
      </c>
      <c r="L993" s="120"/>
      <c r="M993" s="122">
        <f t="shared" si="217"/>
        <v>171636.36363636362</v>
      </c>
      <c r="N993" s="122">
        <f t="shared" si="218"/>
        <v>171636.36363636362</v>
      </c>
      <c r="O993" s="71">
        <f t="shared" si="219"/>
        <v>171636.36363636362</v>
      </c>
      <c r="P993" s="71">
        <f t="shared" si="220"/>
        <v>171636.36363636362</v>
      </c>
    </row>
    <row r="994" spans="1:16" s="58" customFormat="1" ht="24" customHeight="1">
      <c r="A994" s="10">
        <v>32</v>
      </c>
      <c r="B994" s="11" t="s">
        <v>1601</v>
      </c>
      <c r="C994" s="12" t="s">
        <v>163</v>
      </c>
      <c r="D994" s="13"/>
      <c r="E994" s="122">
        <v>158080.90909090909</v>
      </c>
      <c r="F994" s="122">
        <v>158080.90909090909</v>
      </c>
      <c r="G994" s="206" t="s">
        <v>163</v>
      </c>
      <c r="H994" s="68"/>
      <c r="I994" s="134"/>
      <c r="J994" s="134"/>
      <c r="K994" s="12" t="s">
        <v>163</v>
      </c>
      <c r="L994" s="120"/>
      <c r="M994" s="122">
        <f t="shared" si="217"/>
        <v>158080.90909090909</v>
      </c>
      <c r="N994" s="122">
        <f t="shared" si="218"/>
        <v>158080.90909090909</v>
      </c>
      <c r="O994" s="71">
        <f t="shared" si="219"/>
        <v>158080.90909090909</v>
      </c>
      <c r="P994" s="71">
        <f t="shared" si="220"/>
        <v>158080.90909090909</v>
      </c>
    </row>
    <row r="995" spans="1:16" s="58" customFormat="1" ht="24" customHeight="1">
      <c r="A995" s="10">
        <v>33</v>
      </c>
      <c r="B995" s="11" t="s">
        <v>1602</v>
      </c>
      <c r="C995" s="12" t="s">
        <v>163</v>
      </c>
      <c r="D995" s="13"/>
      <c r="E995" s="122">
        <v>137454.54545454544</v>
      </c>
      <c r="F995" s="122">
        <v>137454.54545454544</v>
      </c>
      <c r="G995" s="206" t="s">
        <v>163</v>
      </c>
      <c r="H995" s="68"/>
      <c r="I995" s="134"/>
      <c r="J995" s="134"/>
      <c r="K995" s="12" t="s">
        <v>163</v>
      </c>
      <c r="L995" s="120"/>
      <c r="M995" s="122">
        <f t="shared" si="217"/>
        <v>137454.54545454544</v>
      </c>
      <c r="N995" s="122">
        <f t="shared" si="218"/>
        <v>137454.54545454544</v>
      </c>
      <c r="O995" s="71">
        <f t="shared" si="219"/>
        <v>137454.54545454544</v>
      </c>
      <c r="P995" s="71">
        <f t="shared" si="220"/>
        <v>137454.54545454544</v>
      </c>
    </row>
    <row r="996" spans="1:16" s="58" customFormat="1" ht="24" customHeight="1">
      <c r="A996" s="10">
        <v>34</v>
      </c>
      <c r="B996" s="11" t="s">
        <v>1603</v>
      </c>
      <c r="C996" s="12" t="s">
        <v>163</v>
      </c>
      <c r="D996" s="13"/>
      <c r="E996" s="122">
        <v>133130.90909090909</v>
      </c>
      <c r="F996" s="122">
        <v>133130.90909090909</v>
      </c>
      <c r="G996" s="206" t="s">
        <v>163</v>
      </c>
      <c r="H996" s="68"/>
      <c r="I996" s="134"/>
      <c r="J996" s="134"/>
      <c r="K996" s="12" t="s">
        <v>163</v>
      </c>
      <c r="L996" s="120"/>
      <c r="M996" s="122">
        <f t="shared" si="217"/>
        <v>133130.90909090909</v>
      </c>
      <c r="N996" s="122">
        <f t="shared" si="218"/>
        <v>133130.90909090909</v>
      </c>
      <c r="O996" s="71">
        <f t="shared" si="219"/>
        <v>133130.90909090909</v>
      </c>
      <c r="P996" s="71">
        <f t="shared" si="220"/>
        <v>133130.90909090909</v>
      </c>
    </row>
    <row r="997" spans="1:16" s="58" customFormat="1" ht="24" customHeight="1">
      <c r="A997" s="10">
        <v>35</v>
      </c>
      <c r="B997" s="11" t="s">
        <v>1604</v>
      </c>
      <c r="C997" s="12" t="s">
        <v>163</v>
      </c>
      <c r="D997" s="13"/>
      <c r="E997" s="122">
        <v>165818.18181818179</v>
      </c>
      <c r="F997" s="122">
        <v>165818.18181818179</v>
      </c>
      <c r="G997" s="206" t="s">
        <v>163</v>
      </c>
      <c r="H997" s="68"/>
      <c r="I997" s="134"/>
      <c r="J997" s="134"/>
      <c r="K997" s="12" t="s">
        <v>163</v>
      </c>
      <c r="L997" s="120"/>
      <c r="M997" s="122">
        <f t="shared" si="217"/>
        <v>165818.18181818179</v>
      </c>
      <c r="N997" s="122">
        <f t="shared" si="218"/>
        <v>165818.18181818179</v>
      </c>
      <c r="O997" s="71">
        <f t="shared" si="219"/>
        <v>165818.18181818179</v>
      </c>
      <c r="P997" s="71">
        <f t="shared" si="220"/>
        <v>165818.18181818179</v>
      </c>
    </row>
    <row r="998" spans="1:16" s="58" customFormat="1" ht="24" customHeight="1">
      <c r="A998" s="10">
        <v>36</v>
      </c>
      <c r="B998" s="11" t="s">
        <v>1605</v>
      </c>
      <c r="C998" s="12" t="s">
        <v>163</v>
      </c>
      <c r="D998" s="13"/>
      <c r="E998" s="122">
        <v>159393.63636363635</v>
      </c>
      <c r="F998" s="122">
        <v>159393.63636363635</v>
      </c>
      <c r="G998" s="206" t="s">
        <v>163</v>
      </c>
      <c r="H998" s="68"/>
      <c r="I998" s="134"/>
      <c r="J998" s="134"/>
      <c r="K998" s="12" t="s">
        <v>163</v>
      </c>
      <c r="L998" s="120"/>
      <c r="M998" s="122">
        <f t="shared" si="217"/>
        <v>159393.63636363635</v>
      </c>
      <c r="N998" s="122">
        <f t="shared" si="218"/>
        <v>159393.63636363635</v>
      </c>
      <c r="O998" s="71">
        <f t="shared" si="219"/>
        <v>159393.63636363635</v>
      </c>
      <c r="P998" s="71">
        <f t="shared" si="220"/>
        <v>159393.63636363635</v>
      </c>
    </row>
    <row r="999" spans="1:16" s="58" customFormat="1" ht="24" customHeight="1">
      <c r="A999" s="10">
        <v>37</v>
      </c>
      <c r="B999" s="11" t="s">
        <v>1606</v>
      </c>
      <c r="C999" s="12" t="s">
        <v>163</v>
      </c>
      <c r="D999" s="13"/>
      <c r="E999" s="122">
        <v>198545.45454545453</v>
      </c>
      <c r="F999" s="122">
        <v>198545.45454545453</v>
      </c>
      <c r="G999" s="206" t="s">
        <v>163</v>
      </c>
      <c r="H999" s="68"/>
      <c r="I999" s="134"/>
      <c r="J999" s="134"/>
      <c r="K999" s="12" t="s">
        <v>163</v>
      </c>
      <c r="L999" s="120"/>
      <c r="M999" s="122">
        <f t="shared" si="217"/>
        <v>198545.45454545453</v>
      </c>
      <c r="N999" s="122">
        <f t="shared" si="218"/>
        <v>198545.45454545453</v>
      </c>
      <c r="O999" s="71">
        <f t="shared" si="219"/>
        <v>198545.45454545453</v>
      </c>
      <c r="P999" s="71">
        <f t="shared" si="220"/>
        <v>198545.45454545453</v>
      </c>
    </row>
    <row r="1000" spans="1:16" s="58" customFormat="1" ht="24" customHeight="1">
      <c r="A1000" s="10">
        <v>38</v>
      </c>
      <c r="B1000" s="11" t="s">
        <v>1607</v>
      </c>
      <c r="C1000" s="12" t="s">
        <v>163</v>
      </c>
      <c r="D1000" s="13"/>
      <c r="E1000" s="122">
        <v>190403.63636363635</v>
      </c>
      <c r="F1000" s="122">
        <v>190403.63636363635</v>
      </c>
      <c r="G1000" s="206" t="s">
        <v>163</v>
      </c>
      <c r="H1000" s="68"/>
      <c r="I1000" s="134"/>
      <c r="J1000" s="134"/>
      <c r="K1000" s="12" t="s">
        <v>163</v>
      </c>
      <c r="L1000" s="120"/>
      <c r="M1000" s="122">
        <f t="shared" si="217"/>
        <v>190403.63636363635</v>
      </c>
      <c r="N1000" s="122">
        <f t="shared" si="218"/>
        <v>190403.63636363635</v>
      </c>
      <c r="O1000" s="71">
        <f t="shared" si="219"/>
        <v>190403.63636363635</v>
      </c>
      <c r="P1000" s="71">
        <f t="shared" si="220"/>
        <v>190403.63636363635</v>
      </c>
    </row>
    <row r="1001" spans="1:16" s="58" customFormat="1" ht="24" customHeight="1">
      <c r="A1001" s="10">
        <v>39</v>
      </c>
      <c r="B1001" s="11" t="s">
        <v>1608</v>
      </c>
      <c r="C1001" s="12" t="s">
        <v>163</v>
      </c>
      <c r="D1001" s="13"/>
      <c r="E1001" s="122">
        <v>123636.36363636363</v>
      </c>
      <c r="F1001" s="122">
        <v>123636.36363636363</v>
      </c>
      <c r="G1001" s="206" t="s">
        <v>163</v>
      </c>
      <c r="H1001" s="68"/>
      <c r="I1001" s="134"/>
      <c r="J1001" s="134"/>
      <c r="K1001" s="12" t="s">
        <v>163</v>
      </c>
      <c r="L1001" s="120"/>
      <c r="M1001" s="122">
        <f t="shared" si="217"/>
        <v>123636.36363636363</v>
      </c>
      <c r="N1001" s="122">
        <f t="shared" si="218"/>
        <v>123636.36363636363</v>
      </c>
      <c r="O1001" s="71">
        <f t="shared" si="219"/>
        <v>123636.36363636363</v>
      </c>
      <c r="P1001" s="71">
        <f t="shared" si="220"/>
        <v>123636.36363636363</v>
      </c>
    </row>
    <row r="1002" spans="1:16" s="58" customFormat="1" ht="24" customHeight="1">
      <c r="A1002" s="10">
        <v>40</v>
      </c>
      <c r="B1002" s="11" t="s">
        <v>1609</v>
      </c>
      <c r="C1002" s="12" t="s">
        <v>163</v>
      </c>
      <c r="D1002" s="13"/>
      <c r="E1002" s="122">
        <v>119272.72727272726</v>
      </c>
      <c r="F1002" s="122">
        <v>119272.72727272726</v>
      </c>
      <c r="G1002" s="206" t="s">
        <v>163</v>
      </c>
      <c r="H1002" s="68"/>
      <c r="I1002" s="134"/>
      <c r="J1002" s="134"/>
      <c r="K1002" s="12" t="s">
        <v>163</v>
      </c>
      <c r="L1002" s="120"/>
      <c r="M1002" s="122">
        <f t="shared" si="217"/>
        <v>119272.72727272726</v>
      </c>
      <c r="N1002" s="122">
        <f t="shared" si="218"/>
        <v>119272.72727272726</v>
      </c>
      <c r="O1002" s="71">
        <f t="shared" si="219"/>
        <v>119272.72727272726</v>
      </c>
      <c r="P1002" s="71">
        <f t="shared" si="220"/>
        <v>119272.72727272726</v>
      </c>
    </row>
    <row r="1003" spans="1:16" s="58" customFormat="1" ht="24" customHeight="1">
      <c r="A1003" s="10">
        <v>41</v>
      </c>
      <c r="B1003" s="11" t="s">
        <v>1610</v>
      </c>
      <c r="C1003" s="12" t="s">
        <v>163</v>
      </c>
      <c r="D1003" s="13"/>
      <c r="E1003" s="122">
        <v>320000</v>
      </c>
      <c r="F1003" s="122">
        <v>320000</v>
      </c>
      <c r="G1003" s="206" t="s">
        <v>163</v>
      </c>
      <c r="H1003" s="68"/>
      <c r="I1003" s="134"/>
      <c r="J1003" s="134"/>
      <c r="K1003" s="12" t="s">
        <v>163</v>
      </c>
      <c r="L1003" s="120"/>
      <c r="M1003" s="122">
        <f t="shared" si="217"/>
        <v>320000</v>
      </c>
      <c r="N1003" s="122">
        <f t="shared" si="218"/>
        <v>320000</v>
      </c>
      <c r="O1003" s="71">
        <f t="shared" si="219"/>
        <v>320000</v>
      </c>
      <c r="P1003" s="71">
        <f t="shared" si="220"/>
        <v>320000</v>
      </c>
    </row>
    <row r="1004" spans="1:16" s="58" customFormat="1" ht="24" customHeight="1">
      <c r="A1004" s="10">
        <v>42</v>
      </c>
      <c r="B1004" s="11" t="s">
        <v>1611</v>
      </c>
      <c r="C1004" s="12" t="s">
        <v>163</v>
      </c>
      <c r="D1004" s="13"/>
      <c r="E1004" s="122">
        <v>309818.18181818177</v>
      </c>
      <c r="F1004" s="122">
        <v>309818.18181818177</v>
      </c>
      <c r="G1004" s="206" t="s">
        <v>163</v>
      </c>
      <c r="H1004" s="68"/>
      <c r="I1004" s="134"/>
      <c r="J1004" s="134"/>
      <c r="K1004" s="12" t="s">
        <v>163</v>
      </c>
      <c r="L1004" s="120"/>
      <c r="M1004" s="122">
        <f t="shared" si="217"/>
        <v>309818.18181818177</v>
      </c>
      <c r="N1004" s="122">
        <f t="shared" si="218"/>
        <v>309818.18181818177</v>
      </c>
      <c r="O1004" s="71">
        <f t="shared" si="219"/>
        <v>309818.18181818177</v>
      </c>
      <c r="P1004" s="71">
        <f t="shared" si="220"/>
        <v>309818.18181818177</v>
      </c>
    </row>
    <row r="1005" spans="1:16" s="58" customFormat="1" ht="24" customHeight="1">
      <c r="A1005" s="10">
        <v>43</v>
      </c>
      <c r="B1005" s="11" t="s">
        <v>1613</v>
      </c>
      <c r="C1005" s="12" t="s">
        <v>163</v>
      </c>
      <c r="D1005" s="13"/>
      <c r="E1005" s="122">
        <v>141818.18181818179</v>
      </c>
      <c r="F1005" s="122">
        <v>141818.18181818179</v>
      </c>
      <c r="G1005" s="206" t="s">
        <v>163</v>
      </c>
      <c r="H1005" s="68"/>
      <c r="I1005" s="134"/>
      <c r="J1005" s="134"/>
      <c r="K1005" s="12" t="s">
        <v>163</v>
      </c>
      <c r="L1005" s="120"/>
      <c r="M1005" s="122">
        <f t="shared" si="217"/>
        <v>141818.18181818179</v>
      </c>
      <c r="N1005" s="122">
        <f t="shared" si="218"/>
        <v>141818.18181818179</v>
      </c>
      <c r="O1005" s="71">
        <f t="shared" si="219"/>
        <v>141818.18181818179</v>
      </c>
      <c r="P1005" s="71">
        <f t="shared" si="220"/>
        <v>141818.18181818179</v>
      </c>
    </row>
    <row r="1006" spans="1:16" s="58" customFormat="1" ht="24" customHeight="1">
      <c r="A1006" s="10">
        <v>44</v>
      </c>
      <c r="B1006" s="11" t="s">
        <v>1612</v>
      </c>
      <c r="C1006" s="12" t="s">
        <v>163</v>
      </c>
      <c r="D1006" s="13"/>
      <c r="E1006" s="122">
        <v>128484.54545454544</v>
      </c>
      <c r="F1006" s="122">
        <v>128484.54545454544</v>
      </c>
      <c r="G1006" s="206" t="s">
        <v>163</v>
      </c>
      <c r="H1006" s="68"/>
      <c r="I1006" s="134"/>
      <c r="J1006" s="134"/>
      <c r="K1006" s="12" t="s">
        <v>163</v>
      </c>
      <c r="L1006" s="120"/>
      <c r="M1006" s="122">
        <f t="shared" si="217"/>
        <v>128484.54545454544</v>
      </c>
      <c r="N1006" s="122">
        <f t="shared" si="218"/>
        <v>128484.54545454544</v>
      </c>
      <c r="O1006" s="71">
        <f t="shared" si="219"/>
        <v>128484.54545454544</v>
      </c>
      <c r="P1006" s="71">
        <f t="shared" si="220"/>
        <v>128484.54545454544</v>
      </c>
    </row>
    <row r="1007" spans="1:16" s="58" customFormat="1" ht="24" customHeight="1">
      <c r="A1007" s="10">
        <v>45</v>
      </c>
      <c r="B1007" s="11" t="s">
        <v>1614</v>
      </c>
      <c r="C1007" s="12" t="s">
        <v>163</v>
      </c>
      <c r="D1007" s="13"/>
      <c r="E1007" s="122">
        <v>126181.81818181818</v>
      </c>
      <c r="F1007" s="122">
        <v>126181.81818181818</v>
      </c>
      <c r="G1007" s="206" t="s">
        <v>163</v>
      </c>
      <c r="H1007" s="68"/>
      <c r="I1007" s="134"/>
      <c r="J1007" s="134"/>
      <c r="K1007" s="12" t="s">
        <v>163</v>
      </c>
      <c r="L1007" s="120"/>
      <c r="M1007" s="122">
        <f t="shared" si="217"/>
        <v>126181.81818181818</v>
      </c>
      <c r="N1007" s="122">
        <f t="shared" si="218"/>
        <v>126181.81818181818</v>
      </c>
      <c r="O1007" s="71">
        <f t="shared" si="219"/>
        <v>126181.81818181818</v>
      </c>
      <c r="P1007" s="71">
        <f t="shared" si="220"/>
        <v>126181.81818181818</v>
      </c>
    </row>
    <row r="1008" spans="1:16" s="58" customFormat="1" ht="24" customHeight="1">
      <c r="A1008" s="10">
        <v>46</v>
      </c>
      <c r="B1008" s="11" t="s">
        <v>1615</v>
      </c>
      <c r="C1008" s="12" t="s">
        <v>163</v>
      </c>
      <c r="D1008" s="13"/>
      <c r="E1008" s="122">
        <v>164363.63636363635</v>
      </c>
      <c r="F1008" s="122">
        <v>164363.63636363635</v>
      </c>
      <c r="G1008" s="206" t="s">
        <v>163</v>
      </c>
      <c r="H1008" s="68"/>
      <c r="I1008" s="134"/>
      <c r="J1008" s="134"/>
      <c r="K1008" s="12" t="s">
        <v>163</v>
      </c>
      <c r="L1008" s="120"/>
      <c r="M1008" s="122">
        <f t="shared" si="217"/>
        <v>164363.63636363635</v>
      </c>
      <c r="N1008" s="122">
        <f t="shared" si="218"/>
        <v>164363.63636363635</v>
      </c>
      <c r="O1008" s="71">
        <f t="shared" si="219"/>
        <v>164363.63636363635</v>
      </c>
      <c r="P1008" s="71">
        <f t="shared" si="220"/>
        <v>164363.63636363635</v>
      </c>
    </row>
    <row r="1009" spans="1:16" s="58" customFormat="1" ht="24" customHeight="1">
      <c r="A1009" s="10">
        <v>47</v>
      </c>
      <c r="B1009" s="11" t="s">
        <v>1616</v>
      </c>
      <c r="C1009" s="12" t="s">
        <v>163</v>
      </c>
      <c r="D1009" s="13"/>
      <c r="E1009" s="122">
        <v>157575.45454545453</v>
      </c>
      <c r="F1009" s="122">
        <v>157575.45454545453</v>
      </c>
      <c r="G1009" s="206" t="s">
        <v>163</v>
      </c>
      <c r="H1009" s="68"/>
      <c r="I1009" s="134"/>
      <c r="J1009" s="134"/>
      <c r="K1009" s="12" t="s">
        <v>163</v>
      </c>
      <c r="L1009" s="120"/>
      <c r="M1009" s="122">
        <f t="shared" si="217"/>
        <v>157575.45454545453</v>
      </c>
      <c r="N1009" s="122">
        <f t="shared" si="218"/>
        <v>157575.45454545453</v>
      </c>
      <c r="O1009" s="71">
        <f t="shared" si="219"/>
        <v>157575.45454545453</v>
      </c>
      <c r="P1009" s="71">
        <f t="shared" si="220"/>
        <v>157575.45454545453</v>
      </c>
    </row>
    <row r="1010" spans="1:16" s="58" customFormat="1" ht="24" customHeight="1">
      <c r="A1010" s="10">
        <v>48</v>
      </c>
      <c r="B1010" s="11" t="s">
        <v>1617</v>
      </c>
      <c r="C1010" s="12" t="s">
        <v>163</v>
      </c>
      <c r="D1010" s="13"/>
      <c r="E1010" s="122">
        <v>5909.090909090909</v>
      </c>
      <c r="F1010" s="122">
        <v>5909.090909090909</v>
      </c>
      <c r="G1010" s="206" t="s">
        <v>163</v>
      </c>
      <c r="H1010" s="68"/>
      <c r="I1010" s="134"/>
      <c r="J1010" s="134"/>
      <c r="K1010" s="12" t="s">
        <v>163</v>
      </c>
      <c r="L1010" s="120"/>
      <c r="M1010" s="122">
        <f t="shared" si="217"/>
        <v>5909.090909090909</v>
      </c>
      <c r="N1010" s="122">
        <f t="shared" si="218"/>
        <v>5909.090909090909</v>
      </c>
      <c r="O1010" s="71">
        <f t="shared" si="219"/>
        <v>5909.090909090909</v>
      </c>
      <c r="P1010" s="71">
        <f t="shared" si="220"/>
        <v>5909.090909090909</v>
      </c>
    </row>
    <row r="1011" spans="1:16" s="58" customFormat="1" ht="24" customHeight="1">
      <c r="A1011" s="10">
        <v>49</v>
      </c>
      <c r="B1011" s="11" t="s">
        <v>1618</v>
      </c>
      <c r="C1011" s="12" t="s">
        <v>163</v>
      </c>
      <c r="D1011" s="13"/>
      <c r="E1011" s="122">
        <v>7272.7272727272721</v>
      </c>
      <c r="F1011" s="122">
        <v>7272.7272727272721</v>
      </c>
      <c r="G1011" s="206" t="s">
        <v>163</v>
      </c>
      <c r="H1011" s="68"/>
      <c r="I1011" s="134"/>
      <c r="J1011" s="134"/>
      <c r="K1011" s="12" t="s">
        <v>163</v>
      </c>
      <c r="L1011" s="120"/>
      <c r="M1011" s="122">
        <f t="shared" si="217"/>
        <v>7272.7272727272721</v>
      </c>
      <c r="N1011" s="122">
        <f t="shared" si="218"/>
        <v>7272.7272727272721</v>
      </c>
      <c r="O1011" s="71">
        <f t="shared" si="219"/>
        <v>7272.7272727272721</v>
      </c>
      <c r="P1011" s="71">
        <f t="shared" si="220"/>
        <v>7272.7272727272721</v>
      </c>
    </row>
    <row r="1012" spans="1:16" s="58" customFormat="1" ht="24" customHeight="1">
      <c r="A1012" s="10">
        <v>50</v>
      </c>
      <c r="B1012" s="11" t="s">
        <v>1619</v>
      </c>
      <c r="C1012" s="12" t="s">
        <v>163</v>
      </c>
      <c r="D1012" s="13"/>
      <c r="E1012" s="122">
        <v>8181.8181818181811</v>
      </c>
      <c r="F1012" s="122">
        <v>8181.8181818181811</v>
      </c>
      <c r="G1012" s="206" t="s">
        <v>163</v>
      </c>
      <c r="H1012" s="68"/>
      <c r="I1012" s="134"/>
      <c r="J1012" s="134"/>
      <c r="K1012" s="12" t="s">
        <v>163</v>
      </c>
      <c r="L1012" s="120"/>
      <c r="M1012" s="122">
        <f t="shared" si="217"/>
        <v>8181.8181818181811</v>
      </c>
      <c r="N1012" s="122">
        <f t="shared" si="218"/>
        <v>8181.8181818181811</v>
      </c>
      <c r="O1012" s="71">
        <f t="shared" si="219"/>
        <v>8181.8181818181811</v>
      </c>
      <c r="P1012" s="71">
        <f t="shared" si="220"/>
        <v>8181.8181818181811</v>
      </c>
    </row>
    <row r="1013" spans="1:16" s="58" customFormat="1" ht="24" customHeight="1">
      <c r="A1013" s="10"/>
      <c r="B1013" s="237" t="s">
        <v>1755</v>
      </c>
      <c r="C1013" s="238"/>
      <c r="D1013" s="238"/>
      <c r="E1013" s="238"/>
      <c r="F1013" s="238"/>
      <c r="G1013" s="238"/>
      <c r="H1013" s="238"/>
      <c r="I1013" s="238"/>
      <c r="J1013" s="238"/>
      <c r="K1013" s="238"/>
      <c r="L1013" s="238"/>
      <c r="M1013" s="238"/>
      <c r="N1013" s="239"/>
      <c r="O1013" s="71">
        <f t="shared" ref="O1013:O1043" si="221">E1013</f>
        <v>0</v>
      </c>
      <c r="P1013" s="71">
        <f t="shared" ref="P1013:P1043" si="222">M1013</f>
        <v>0</v>
      </c>
    </row>
    <row r="1014" spans="1:16" s="58" customFormat="1" ht="24" customHeight="1">
      <c r="A1014" s="10">
        <v>1</v>
      </c>
      <c r="B1014" s="11" t="s">
        <v>1701</v>
      </c>
      <c r="C1014" s="12" t="s">
        <v>163</v>
      </c>
      <c r="D1014" s="13"/>
      <c r="E1014" s="134">
        <v>5875</v>
      </c>
      <c r="F1014" s="134">
        <v>5875</v>
      </c>
      <c r="G1014" s="206" t="s">
        <v>163</v>
      </c>
      <c r="H1014" s="68"/>
      <c r="I1014" s="134"/>
      <c r="J1014" s="134"/>
      <c r="K1014" s="12" t="s">
        <v>163</v>
      </c>
      <c r="L1014" s="120"/>
      <c r="M1014" s="122">
        <f>E1014</f>
        <v>5875</v>
      </c>
      <c r="N1014" s="122">
        <f>F1014</f>
        <v>5875</v>
      </c>
      <c r="O1014" s="71">
        <f t="shared" si="221"/>
        <v>5875</v>
      </c>
      <c r="P1014" s="71">
        <f t="shared" si="222"/>
        <v>5875</v>
      </c>
    </row>
    <row r="1015" spans="1:16" s="58" customFormat="1" ht="24" customHeight="1">
      <c r="A1015" s="10">
        <v>2</v>
      </c>
      <c r="B1015" s="11" t="s">
        <v>1702</v>
      </c>
      <c r="C1015" s="12" t="s">
        <v>163</v>
      </c>
      <c r="D1015" s="13"/>
      <c r="E1015" s="134">
        <v>218750</v>
      </c>
      <c r="F1015" s="134">
        <v>218750</v>
      </c>
      <c r="G1015" s="206" t="s">
        <v>163</v>
      </c>
      <c r="H1015" s="68"/>
      <c r="I1015" s="134"/>
      <c r="J1015" s="134"/>
      <c r="K1015" s="12" t="s">
        <v>163</v>
      </c>
      <c r="L1015" s="120"/>
      <c r="M1015" s="122">
        <f t="shared" ref="M1015:M1039" si="223">E1015</f>
        <v>218750</v>
      </c>
      <c r="N1015" s="122">
        <f t="shared" ref="N1015:N1039" si="224">F1015</f>
        <v>218750</v>
      </c>
      <c r="O1015" s="71">
        <f t="shared" si="221"/>
        <v>218750</v>
      </c>
      <c r="P1015" s="71">
        <f t="shared" si="222"/>
        <v>218750</v>
      </c>
    </row>
    <row r="1016" spans="1:16" s="58" customFormat="1" ht="24" customHeight="1">
      <c r="A1016" s="10">
        <f>A1015+1</f>
        <v>3</v>
      </c>
      <c r="B1016" s="11" t="s">
        <v>1703</v>
      </c>
      <c r="C1016" s="12" t="s">
        <v>163</v>
      </c>
      <c r="D1016" s="13"/>
      <c r="E1016" s="134">
        <v>210000</v>
      </c>
      <c r="F1016" s="134">
        <v>210000</v>
      </c>
      <c r="G1016" s="206" t="s">
        <v>163</v>
      </c>
      <c r="H1016" s="68"/>
      <c r="I1016" s="134"/>
      <c r="J1016" s="134"/>
      <c r="K1016" s="12" t="s">
        <v>163</v>
      </c>
      <c r="L1016" s="120"/>
      <c r="M1016" s="122">
        <f t="shared" si="223"/>
        <v>210000</v>
      </c>
      <c r="N1016" s="122">
        <f t="shared" si="224"/>
        <v>210000</v>
      </c>
      <c r="O1016" s="71">
        <f t="shared" si="221"/>
        <v>210000</v>
      </c>
      <c r="P1016" s="71">
        <f t="shared" si="222"/>
        <v>210000</v>
      </c>
    </row>
    <row r="1017" spans="1:16" s="58" customFormat="1" ht="24" customHeight="1">
      <c r="A1017" s="10">
        <f t="shared" ref="A1017:A1039" si="225">A1016+1</f>
        <v>4</v>
      </c>
      <c r="B1017" s="11" t="s">
        <v>1704</v>
      </c>
      <c r="C1017" s="12" t="s">
        <v>163</v>
      </c>
      <c r="D1017" s="13"/>
      <c r="E1017" s="134">
        <v>166667</v>
      </c>
      <c r="F1017" s="134">
        <v>166667</v>
      </c>
      <c r="G1017" s="206" t="s">
        <v>163</v>
      </c>
      <c r="H1017" s="68"/>
      <c r="I1017" s="134"/>
      <c r="J1017" s="134"/>
      <c r="K1017" s="12" t="s">
        <v>163</v>
      </c>
      <c r="L1017" s="120"/>
      <c r="M1017" s="122">
        <f t="shared" si="223"/>
        <v>166667</v>
      </c>
      <c r="N1017" s="122">
        <f t="shared" si="224"/>
        <v>166667</v>
      </c>
      <c r="O1017" s="71">
        <f t="shared" si="221"/>
        <v>166667</v>
      </c>
      <c r="P1017" s="71">
        <f t="shared" si="222"/>
        <v>166667</v>
      </c>
    </row>
    <row r="1018" spans="1:16" s="58" customFormat="1" ht="24" customHeight="1">
      <c r="A1018" s="10">
        <f t="shared" si="225"/>
        <v>5</v>
      </c>
      <c r="B1018" s="11" t="s">
        <v>1705</v>
      </c>
      <c r="C1018" s="12" t="s">
        <v>163</v>
      </c>
      <c r="D1018" s="13"/>
      <c r="E1018" s="134">
        <v>153846</v>
      </c>
      <c r="F1018" s="134">
        <v>153846</v>
      </c>
      <c r="G1018" s="206" t="s">
        <v>163</v>
      </c>
      <c r="H1018" s="68"/>
      <c r="I1018" s="134"/>
      <c r="J1018" s="134"/>
      <c r="K1018" s="12" t="s">
        <v>163</v>
      </c>
      <c r="L1018" s="120"/>
      <c r="M1018" s="122">
        <f t="shared" si="223"/>
        <v>153846</v>
      </c>
      <c r="N1018" s="122">
        <f t="shared" si="224"/>
        <v>153846</v>
      </c>
      <c r="O1018" s="71">
        <f t="shared" si="221"/>
        <v>153846</v>
      </c>
      <c r="P1018" s="71">
        <f t="shared" si="222"/>
        <v>153846</v>
      </c>
    </row>
    <row r="1019" spans="1:16" s="58" customFormat="1" ht="24" customHeight="1">
      <c r="A1019" s="10">
        <f t="shared" si="225"/>
        <v>6</v>
      </c>
      <c r="B1019" s="11" t="s">
        <v>1706</v>
      </c>
      <c r="C1019" s="12" t="s">
        <v>163</v>
      </c>
      <c r="D1019" s="13"/>
      <c r="E1019" s="134">
        <v>109091</v>
      </c>
      <c r="F1019" s="134">
        <v>109091</v>
      </c>
      <c r="G1019" s="206" t="s">
        <v>163</v>
      </c>
      <c r="H1019" s="68"/>
      <c r="I1019" s="134"/>
      <c r="J1019" s="134"/>
      <c r="K1019" s="12" t="s">
        <v>163</v>
      </c>
      <c r="L1019" s="120"/>
      <c r="M1019" s="122">
        <f t="shared" si="223"/>
        <v>109091</v>
      </c>
      <c r="N1019" s="122">
        <f t="shared" si="224"/>
        <v>109091</v>
      </c>
      <c r="O1019" s="71">
        <f t="shared" si="221"/>
        <v>109091</v>
      </c>
      <c r="P1019" s="71">
        <f t="shared" si="222"/>
        <v>109091</v>
      </c>
    </row>
    <row r="1020" spans="1:16" s="58" customFormat="1" ht="24" customHeight="1">
      <c r="A1020" s="10">
        <f t="shared" si="225"/>
        <v>7</v>
      </c>
      <c r="B1020" s="11" t="s">
        <v>1708</v>
      </c>
      <c r="C1020" s="12" t="s">
        <v>163</v>
      </c>
      <c r="D1020" s="13"/>
      <c r="E1020" s="134">
        <v>145833</v>
      </c>
      <c r="F1020" s="134">
        <v>145833</v>
      </c>
      <c r="G1020" s="206" t="s">
        <v>163</v>
      </c>
      <c r="H1020" s="68"/>
      <c r="I1020" s="134"/>
      <c r="J1020" s="134"/>
      <c r="K1020" s="12" t="s">
        <v>163</v>
      </c>
      <c r="L1020" s="120"/>
      <c r="M1020" s="122">
        <f t="shared" si="223"/>
        <v>145833</v>
      </c>
      <c r="N1020" s="122">
        <f t="shared" si="224"/>
        <v>145833</v>
      </c>
      <c r="O1020" s="71">
        <f t="shared" si="221"/>
        <v>145833</v>
      </c>
      <c r="P1020" s="71">
        <f t="shared" si="222"/>
        <v>145833</v>
      </c>
    </row>
    <row r="1021" spans="1:16" s="58" customFormat="1" ht="24" customHeight="1">
      <c r="A1021" s="10">
        <f t="shared" si="225"/>
        <v>8</v>
      </c>
      <c r="B1021" s="11" t="s">
        <v>1709</v>
      </c>
      <c r="C1021" s="12" t="s">
        <v>163</v>
      </c>
      <c r="D1021" s="13"/>
      <c r="E1021" s="134">
        <v>137255</v>
      </c>
      <c r="F1021" s="134">
        <v>137255</v>
      </c>
      <c r="G1021" s="206" t="s">
        <v>163</v>
      </c>
      <c r="H1021" s="68"/>
      <c r="I1021" s="134"/>
      <c r="J1021" s="134"/>
      <c r="K1021" s="12" t="s">
        <v>163</v>
      </c>
      <c r="L1021" s="120"/>
      <c r="M1021" s="122">
        <f t="shared" si="223"/>
        <v>137255</v>
      </c>
      <c r="N1021" s="122">
        <f t="shared" si="224"/>
        <v>137255</v>
      </c>
      <c r="O1021" s="71">
        <f t="shared" si="221"/>
        <v>137255</v>
      </c>
      <c r="P1021" s="71">
        <f t="shared" si="222"/>
        <v>137255</v>
      </c>
    </row>
    <row r="1022" spans="1:16" s="58" customFormat="1" ht="24" customHeight="1">
      <c r="A1022" s="10">
        <f t="shared" si="225"/>
        <v>9</v>
      </c>
      <c r="B1022" s="11" t="s">
        <v>1707</v>
      </c>
      <c r="C1022" s="12" t="s">
        <v>163</v>
      </c>
      <c r="D1022" s="13"/>
      <c r="E1022" s="134">
        <v>95455</v>
      </c>
      <c r="F1022" s="134">
        <v>95455</v>
      </c>
      <c r="G1022" s="206" t="s">
        <v>163</v>
      </c>
      <c r="H1022" s="68"/>
      <c r="I1022" s="134"/>
      <c r="J1022" s="134"/>
      <c r="K1022" s="12" t="s">
        <v>163</v>
      </c>
      <c r="L1022" s="120"/>
      <c r="M1022" s="122">
        <f t="shared" si="223"/>
        <v>95455</v>
      </c>
      <c r="N1022" s="122">
        <f t="shared" si="224"/>
        <v>95455</v>
      </c>
      <c r="O1022" s="71">
        <f t="shared" si="221"/>
        <v>95455</v>
      </c>
      <c r="P1022" s="71">
        <f t="shared" si="222"/>
        <v>95455</v>
      </c>
    </row>
    <row r="1023" spans="1:16" s="58" customFormat="1" ht="24" customHeight="1">
      <c r="A1023" s="10">
        <f t="shared" si="225"/>
        <v>10</v>
      </c>
      <c r="B1023" s="11" t="s">
        <v>1710</v>
      </c>
      <c r="C1023" s="12" t="s">
        <v>163</v>
      </c>
      <c r="D1023" s="13"/>
      <c r="E1023" s="134">
        <v>99359</v>
      </c>
      <c r="F1023" s="134">
        <v>99359</v>
      </c>
      <c r="G1023" s="206" t="s">
        <v>163</v>
      </c>
      <c r="H1023" s="68"/>
      <c r="I1023" s="134"/>
      <c r="J1023" s="134"/>
      <c r="K1023" s="12" t="s">
        <v>163</v>
      </c>
      <c r="L1023" s="120"/>
      <c r="M1023" s="122">
        <f t="shared" si="223"/>
        <v>99359</v>
      </c>
      <c r="N1023" s="122">
        <f t="shared" si="224"/>
        <v>99359</v>
      </c>
      <c r="O1023" s="71">
        <f t="shared" si="221"/>
        <v>99359</v>
      </c>
      <c r="P1023" s="71">
        <f t="shared" si="222"/>
        <v>99359</v>
      </c>
    </row>
    <row r="1024" spans="1:16" s="58" customFormat="1" ht="24" customHeight="1">
      <c r="A1024" s="10">
        <f t="shared" si="225"/>
        <v>11</v>
      </c>
      <c r="B1024" s="11" t="s">
        <v>1711</v>
      </c>
      <c r="C1024" s="12" t="s">
        <v>163</v>
      </c>
      <c r="D1024" s="13"/>
      <c r="E1024" s="134">
        <v>86111</v>
      </c>
      <c r="F1024" s="134">
        <v>86111</v>
      </c>
      <c r="G1024" s="206" t="s">
        <v>163</v>
      </c>
      <c r="H1024" s="68"/>
      <c r="I1024" s="134"/>
      <c r="J1024" s="134"/>
      <c r="K1024" s="12" t="s">
        <v>163</v>
      </c>
      <c r="L1024" s="120"/>
      <c r="M1024" s="122">
        <f t="shared" si="223"/>
        <v>86111</v>
      </c>
      <c r="N1024" s="122">
        <f t="shared" si="224"/>
        <v>86111</v>
      </c>
      <c r="O1024" s="71">
        <f t="shared" si="221"/>
        <v>86111</v>
      </c>
      <c r="P1024" s="71">
        <f t="shared" si="222"/>
        <v>86111</v>
      </c>
    </row>
    <row r="1025" spans="1:16" s="58" customFormat="1" ht="24" customHeight="1">
      <c r="A1025" s="10">
        <f t="shared" si="225"/>
        <v>12</v>
      </c>
      <c r="B1025" s="11" t="s">
        <v>1712</v>
      </c>
      <c r="C1025" s="12" t="s">
        <v>163</v>
      </c>
      <c r="D1025" s="13"/>
      <c r="E1025" s="134">
        <v>62000</v>
      </c>
      <c r="F1025" s="134">
        <v>62000</v>
      </c>
      <c r="G1025" s="206" t="s">
        <v>163</v>
      </c>
      <c r="H1025" s="68"/>
      <c r="I1025" s="134"/>
      <c r="J1025" s="134"/>
      <c r="K1025" s="12" t="s">
        <v>163</v>
      </c>
      <c r="L1025" s="120"/>
      <c r="M1025" s="122">
        <f t="shared" si="223"/>
        <v>62000</v>
      </c>
      <c r="N1025" s="122">
        <f t="shared" si="224"/>
        <v>62000</v>
      </c>
      <c r="O1025" s="71">
        <f t="shared" si="221"/>
        <v>62000</v>
      </c>
      <c r="P1025" s="71">
        <f t="shared" si="222"/>
        <v>62000</v>
      </c>
    </row>
    <row r="1026" spans="1:16" s="58" customFormat="1" ht="24" customHeight="1">
      <c r="A1026" s="10">
        <f t="shared" si="225"/>
        <v>13</v>
      </c>
      <c r="B1026" s="11" t="s">
        <v>1713</v>
      </c>
      <c r="C1026" s="12" t="s">
        <v>163</v>
      </c>
      <c r="D1026" s="13"/>
      <c r="E1026" s="134">
        <v>61538</v>
      </c>
      <c r="F1026" s="134">
        <v>61538</v>
      </c>
      <c r="G1026" s="206" t="s">
        <v>163</v>
      </c>
      <c r="H1026" s="68"/>
      <c r="I1026" s="134"/>
      <c r="J1026" s="134"/>
      <c r="K1026" s="12" t="s">
        <v>163</v>
      </c>
      <c r="L1026" s="120"/>
      <c r="M1026" s="122">
        <f t="shared" si="223"/>
        <v>61538</v>
      </c>
      <c r="N1026" s="122">
        <f t="shared" si="224"/>
        <v>61538</v>
      </c>
      <c r="O1026" s="71">
        <f t="shared" si="221"/>
        <v>61538</v>
      </c>
      <c r="P1026" s="71">
        <f t="shared" si="222"/>
        <v>61538</v>
      </c>
    </row>
    <row r="1027" spans="1:16" s="58" customFormat="1" ht="24" customHeight="1">
      <c r="A1027" s="10">
        <f t="shared" si="225"/>
        <v>14</v>
      </c>
      <c r="B1027" s="11" t="s">
        <v>1717</v>
      </c>
      <c r="C1027" s="12" t="s">
        <v>163</v>
      </c>
      <c r="D1027" s="13"/>
      <c r="E1027" s="134">
        <v>52459</v>
      </c>
      <c r="F1027" s="134">
        <v>52459</v>
      </c>
      <c r="G1027" s="206" t="s">
        <v>163</v>
      </c>
      <c r="H1027" s="68"/>
      <c r="I1027" s="134"/>
      <c r="J1027" s="134"/>
      <c r="K1027" s="12" t="s">
        <v>163</v>
      </c>
      <c r="L1027" s="120"/>
      <c r="M1027" s="122">
        <f t="shared" si="223"/>
        <v>52459</v>
      </c>
      <c r="N1027" s="122">
        <f t="shared" si="224"/>
        <v>52459</v>
      </c>
      <c r="O1027" s="71">
        <f t="shared" si="221"/>
        <v>52459</v>
      </c>
      <c r="P1027" s="71">
        <f t="shared" si="222"/>
        <v>52459</v>
      </c>
    </row>
    <row r="1028" spans="1:16" s="58" customFormat="1" ht="24" customHeight="1">
      <c r="A1028" s="10">
        <f t="shared" si="225"/>
        <v>15</v>
      </c>
      <c r="B1028" s="11" t="s">
        <v>1718</v>
      </c>
      <c r="C1028" s="12" t="s">
        <v>163</v>
      </c>
      <c r="D1028" s="13"/>
      <c r="E1028" s="134">
        <v>36923</v>
      </c>
      <c r="F1028" s="134">
        <v>36923</v>
      </c>
      <c r="G1028" s="206" t="s">
        <v>163</v>
      </c>
      <c r="H1028" s="68"/>
      <c r="I1028" s="134"/>
      <c r="J1028" s="134"/>
      <c r="K1028" s="12" t="s">
        <v>163</v>
      </c>
      <c r="L1028" s="120"/>
      <c r="M1028" s="122">
        <f t="shared" si="223"/>
        <v>36923</v>
      </c>
      <c r="N1028" s="122">
        <f t="shared" si="224"/>
        <v>36923</v>
      </c>
      <c r="O1028" s="71">
        <f t="shared" si="221"/>
        <v>36923</v>
      </c>
      <c r="P1028" s="71">
        <f t="shared" si="222"/>
        <v>36923</v>
      </c>
    </row>
    <row r="1029" spans="1:16" s="58" customFormat="1" ht="24" customHeight="1">
      <c r="A1029" s="10">
        <f t="shared" si="225"/>
        <v>16</v>
      </c>
      <c r="B1029" s="11" t="s">
        <v>1714</v>
      </c>
      <c r="C1029" s="12" t="s">
        <v>163</v>
      </c>
      <c r="D1029" s="13"/>
      <c r="E1029" s="134">
        <v>144444</v>
      </c>
      <c r="F1029" s="134">
        <v>144444</v>
      </c>
      <c r="G1029" s="206" t="s">
        <v>163</v>
      </c>
      <c r="H1029" s="68"/>
      <c r="I1029" s="134"/>
      <c r="J1029" s="134"/>
      <c r="K1029" s="12" t="s">
        <v>163</v>
      </c>
      <c r="L1029" s="120"/>
      <c r="M1029" s="122">
        <f t="shared" si="223"/>
        <v>144444</v>
      </c>
      <c r="N1029" s="122">
        <f t="shared" si="224"/>
        <v>144444</v>
      </c>
      <c r="O1029" s="71">
        <f t="shared" si="221"/>
        <v>144444</v>
      </c>
      <c r="P1029" s="71">
        <f t="shared" si="222"/>
        <v>144444</v>
      </c>
    </row>
    <row r="1030" spans="1:16" s="58" customFormat="1" ht="24" customHeight="1">
      <c r="A1030" s="10">
        <f t="shared" si="225"/>
        <v>17</v>
      </c>
      <c r="B1030" s="11" t="s">
        <v>1719</v>
      </c>
      <c r="C1030" s="12" t="s">
        <v>163</v>
      </c>
      <c r="D1030" s="13"/>
      <c r="E1030" s="134">
        <v>133333</v>
      </c>
      <c r="F1030" s="134">
        <v>133333</v>
      </c>
      <c r="G1030" s="206" t="s">
        <v>163</v>
      </c>
      <c r="H1030" s="68"/>
      <c r="I1030" s="134"/>
      <c r="J1030" s="134"/>
      <c r="K1030" s="12" t="s">
        <v>163</v>
      </c>
      <c r="L1030" s="120"/>
      <c r="M1030" s="122">
        <f t="shared" si="223"/>
        <v>133333</v>
      </c>
      <c r="N1030" s="122">
        <f t="shared" si="224"/>
        <v>133333</v>
      </c>
      <c r="O1030" s="71">
        <f t="shared" si="221"/>
        <v>133333</v>
      </c>
      <c r="P1030" s="71">
        <f t="shared" si="222"/>
        <v>133333</v>
      </c>
    </row>
    <row r="1031" spans="1:16" s="58" customFormat="1" ht="24" customHeight="1">
      <c r="A1031" s="10">
        <f t="shared" si="225"/>
        <v>18</v>
      </c>
      <c r="B1031" s="11" t="s">
        <v>1720</v>
      </c>
      <c r="C1031" s="12" t="s">
        <v>163</v>
      </c>
      <c r="D1031" s="13"/>
      <c r="E1031" s="134">
        <v>90435</v>
      </c>
      <c r="F1031" s="134">
        <v>90435</v>
      </c>
      <c r="G1031" s="206" t="s">
        <v>163</v>
      </c>
      <c r="H1031" s="68"/>
      <c r="I1031" s="134"/>
      <c r="J1031" s="134"/>
      <c r="K1031" s="12" t="s">
        <v>163</v>
      </c>
      <c r="L1031" s="120"/>
      <c r="M1031" s="122">
        <f t="shared" si="223"/>
        <v>90435</v>
      </c>
      <c r="N1031" s="122">
        <f t="shared" si="224"/>
        <v>90435</v>
      </c>
      <c r="O1031" s="71">
        <f t="shared" si="221"/>
        <v>90435</v>
      </c>
      <c r="P1031" s="71">
        <f t="shared" si="222"/>
        <v>90435</v>
      </c>
    </row>
    <row r="1032" spans="1:16" s="58" customFormat="1" ht="24" customHeight="1">
      <c r="A1032" s="10">
        <f t="shared" si="225"/>
        <v>19</v>
      </c>
      <c r="B1032" s="11" t="s">
        <v>1715</v>
      </c>
      <c r="C1032" s="12" t="s">
        <v>163</v>
      </c>
      <c r="D1032" s="13"/>
      <c r="E1032" s="134">
        <v>116667</v>
      </c>
      <c r="F1032" s="134">
        <v>116667</v>
      </c>
      <c r="G1032" s="206" t="s">
        <v>163</v>
      </c>
      <c r="H1032" s="68"/>
      <c r="I1032" s="134"/>
      <c r="J1032" s="134"/>
      <c r="K1032" s="12" t="s">
        <v>163</v>
      </c>
      <c r="L1032" s="120"/>
      <c r="M1032" s="122">
        <f t="shared" si="223"/>
        <v>116667</v>
      </c>
      <c r="N1032" s="122">
        <f t="shared" si="224"/>
        <v>116667</v>
      </c>
      <c r="O1032" s="71">
        <f t="shared" si="221"/>
        <v>116667</v>
      </c>
      <c r="P1032" s="71">
        <f t="shared" si="222"/>
        <v>116667</v>
      </c>
    </row>
    <row r="1033" spans="1:16" s="58" customFormat="1" ht="24" customHeight="1">
      <c r="A1033" s="10">
        <f t="shared" si="225"/>
        <v>20</v>
      </c>
      <c r="B1033" s="11" t="s">
        <v>1721</v>
      </c>
      <c r="C1033" s="12" t="s">
        <v>163</v>
      </c>
      <c r="D1033" s="13"/>
      <c r="E1033" s="134">
        <v>93333</v>
      </c>
      <c r="F1033" s="134">
        <v>93333</v>
      </c>
      <c r="G1033" s="206" t="s">
        <v>163</v>
      </c>
      <c r="H1033" s="68"/>
      <c r="I1033" s="134"/>
      <c r="J1033" s="134"/>
      <c r="K1033" s="12" t="s">
        <v>163</v>
      </c>
      <c r="L1033" s="120"/>
      <c r="M1033" s="122">
        <f t="shared" si="223"/>
        <v>93333</v>
      </c>
      <c r="N1033" s="122">
        <f t="shared" si="224"/>
        <v>93333</v>
      </c>
      <c r="O1033" s="71">
        <f t="shared" si="221"/>
        <v>93333</v>
      </c>
      <c r="P1033" s="71">
        <f t="shared" si="222"/>
        <v>93333</v>
      </c>
    </row>
    <row r="1034" spans="1:16" s="58" customFormat="1" ht="24" customHeight="1">
      <c r="A1034" s="10">
        <f t="shared" si="225"/>
        <v>21</v>
      </c>
      <c r="B1034" s="11" t="s">
        <v>1722</v>
      </c>
      <c r="C1034" s="12" t="s">
        <v>163</v>
      </c>
      <c r="D1034" s="13"/>
      <c r="E1034" s="134">
        <v>67200</v>
      </c>
      <c r="F1034" s="134">
        <v>67200</v>
      </c>
      <c r="G1034" s="206" t="s">
        <v>163</v>
      </c>
      <c r="H1034" s="68"/>
      <c r="I1034" s="134"/>
      <c r="J1034" s="134"/>
      <c r="K1034" s="12" t="s">
        <v>163</v>
      </c>
      <c r="L1034" s="120"/>
      <c r="M1034" s="122">
        <f t="shared" si="223"/>
        <v>67200</v>
      </c>
      <c r="N1034" s="122">
        <f t="shared" si="224"/>
        <v>67200</v>
      </c>
      <c r="O1034" s="71">
        <f t="shared" si="221"/>
        <v>67200</v>
      </c>
      <c r="P1034" s="71">
        <f t="shared" si="222"/>
        <v>67200</v>
      </c>
    </row>
    <row r="1035" spans="1:16" s="58" customFormat="1" ht="24" customHeight="1">
      <c r="A1035" s="10">
        <f t="shared" si="225"/>
        <v>22</v>
      </c>
      <c r="B1035" s="11" t="s">
        <v>1723</v>
      </c>
      <c r="C1035" s="12" t="s">
        <v>163</v>
      </c>
      <c r="D1035" s="13"/>
      <c r="E1035" s="134">
        <v>118387</v>
      </c>
      <c r="F1035" s="134">
        <v>118387</v>
      </c>
      <c r="G1035" s="206" t="s">
        <v>163</v>
      </c>
      <c r="H1035" s="68"/>
      <c r="I1035" s="134"/>
      <c r="J1035" s="134"/>
      <c r="K1035" s="12" t="s">
        <v>163</v>
      </c>
      <c r="L1035" s="120"/>
      <c r="M1035" s="122">
        <f t="shared" si="223"/>
        <v>118387</v>
      </c>
      <c r="N1035" s="122">
        <f t="shared" si="224"/>
        <v>118387</v>
      </c>
      <c r="O1035" s="71">
        <f t="shared" si="221"/>
        <v>118387</v>
      </c>
      <c r="P1035" s="71">
        <f t="shared" si="222"/>
        <v>118387</v>
      </c>
    </row>
    <row r="1036" spans="1:16" s="58" customFormat="1" ht="24" customHeight="1">
      <c r="A1036" s="10">
        <f t="shared" si="225"/>
        <v>23</v>
      </c>
      <c r="B1036" s="11" t="s">
        <v>1724</v>
      </c>
      <c r="C1036" s="12" t="s">
        <v>163</v>
      </c>
      <c r="D1036" s="13"/>
      <c r="E1036" s="134">
        <v>84615</v>
      </c>
      <c r="F1036" s="134">
        <v>84615</v>
      </c>
      <c r="G1036" s="206" t="s">
        <v>163</v>
      </c>
      <c r="H1036" s="68"/>
      <c r="I1036" s="134"/>
      <c r="J1036" s="134"/>
      <c r="K1036" s="12" t="s">
        <v>163</v>
      </c>
      <c r="L1036" s="120"/>
      <c r="M1036" s="122">
        <f t="shared" si="223"/>
        <v>84615</v>
      </c>
      <c r="N1036" s="122">
        <f t="shared" si="224"/>
        <v>84615</v>
      </c>
      <c r="O1036" s="71">
        <f t="shared" si="221"/>
        <v>84615</v>
      </c>
      <c r="P1036" s="71">
        <f t="shared" si="222"/>
        <v>84615</v>
      </c>
    </row>
    <row r="1037" spans="1:16" s="58" customFormat="1" ht="24" customHeight="1">
      <c r="A1037" s="10">
        <f t="shared" si="225"/>
        <v>24</v>
      </c>
      <c r="B1037" s="11" t="s">
        <v>1726</v>
      </c>
      <c r="C1037" s="12" t="s">
        <v>163</v>
      </c>
      <c r="D1037" s="13"/>
      <c r="E1037" s="134">
        <v>78629</v>
      </c>
      <c r="F1037" s="134">
        <v>78629</v>
      </c>
      <c r="G1037" s="206" t="s">
        <v>163</v>
      </c>
      <c r="H1037" s="68"/>
      <c r="I1037" s="134"/>
      <c r="J1037" s="134"/>
      <c r="K1037" s="12" t="s">
        <v>163</v>
      </c>
      <c r="L1037" s="120"/>
      <c r="M1037" s="122">
        <f t="shared" si="223"/>
        <v>78629</v>
      </c>
      <c r="N1037" s="122">
        <f t="shared" si="224"/>
        <v>78629</v>
      </c>
      <c r="O1037" s="71">
        <f t="shared" si="221"/>
        <v>78629</v>
      </c>
      <c r="P1037" s="71">
        <f t="shared" si="222"/>
        <v>78629</v>
      </c>
    </row>
    <row r="1038" spans="1:16" s="58" customFormat="1" ht="24" customHeight="1">
      <c r="A1038" s="10">
        <f t="shared" si="225"/>
        <v>25</v>
      </c>
      <c r="B1038" s="11" t="s">
        <v>1725</v>
      </c>
      <c r="C1038" s="12" t="s">
        <v>163</v>
      </c>
      <c r="D1038" s="13"/>
      <c r="E1038" s="134">
        <v>78000</v>
      </c>
      <c r="F1038" s="134">
        <v>78000</v>
      </c>
      <c r="G1038" s="206" t="s">
        <v>163</v>
      </c>
      <c r="H1038" s="68"/>
      <c r="I1038" s="134"/>
      <c r="J1038" s="134"/>
      <c r="K1038" s="12" t="s">
        <v>163</v>
      </c>
      <c r="L1038" s="120"/>
      <c r="M1038" s="122">
        <f t="shared" si="223"/>
        <v>78000</v>
      </c>
      <c r="N1038" s="122">
        <f t="shared" si="224"/>
        <v>78000</v>
      </c>
      <c r="O1038" s="71">
        <f t="shared" si="221"/>
        <v>78000</v>
      </c>
      <c r="P1038" s="71">
        <f t="shared" si="222"/>
        <v>78000</v>
      </c>
    </row>
    <row r="1039" spans="1:16" s="58" customFormat="1" ht="24" customHeight="1">
      <c r="A1039" s="10">
        <f t="shared" si="225"/>
        <v>26</v>
      </c>
      <c r="B1039" s="11" t="s">
        <v>1716</v>
      </c>
      <c r="C1039" s="12" t="s">
        <v>163</v>
      </c>
      <c r="D1039" s="13"/>
      <c r="E1039" s="134">
        <v>149180</v>
      </c>
      <c r="F1039" s="134">
        <v>149180</v>
      </c>
      <c r="G1039" s="206" t="s">
        <v>163</v>
      </c>
      <c r="H1039" s="68"/>
      <c r="I1039" s="134"/>
      <c r="J1039" s="134"/>
      <c r="K1039" s="12" t="s">
        <v>163</v>
      </c>
      <c r="L1039" s="120"/>
      <c r="M1039" s="122">
        <f t="shared" si="223"/>
        <v>149180</v>
      </c>
      <c r="N1039" s="122">
        <f t="shared" si="224"/>
        <v>149180</v>
      </c>
      <c r="O1039" s="71">
        <f t="shared" si="221"/>
        <v>149180</v>
      </c>
      <c r="P1039" s="71">
        <f t="shared" si="222"/>
        <v>149180</v>
      </c>
    </row>
    <row r="1040" spans="1:16" s="58" customFormat="1" ht="24" customHeight="1">
      <c r="A1040" s="10"/>
      <c r="B1040" s="237" t="s">
        <v>1772</v>
      </c>
      <c r="C1040" s="238"/>
      <c r="D1040" s="238"/>
      <c r="E1040" s="238"/>
      <c r="F1040" s="238"/>
      <c r="G1040" s="238"/>
      <c r="H1040" s="238"/>
      <c r="I1040" s="238"/>
      <c r="J1040" s="238"/>
      <c r="K1040" s="238"/>
      <c r="L1040" s="238"/>
      <c r="M1040" s="238"/>
      <c r="N1040" s="239"/>
      <c r="O1040" s="71">
        <f t="shared" si="221"/>
        <v>0</v>
      </c>
      <c r="P1040" s="71">
        <f t="shared" si="222"/>
        <v>0</v>
      </c>
    </row>
    <row r="1041" spans="1:16" s="58" customFormat="1" ht="24" customHeight="1">
      <c r="A1041" s="10">
        <v>1</v>
      </c>
      <c r="B1041" s="11" t="s">
        <v>1843</v>
      </c>
      <c r="C1041" s="12" t="s">
        <v>163</v>
      </c>
      <c r="D1041" s="13"/>
      <c r="E1041" s="134"/>
      <c r="F1041" s="134"/>
      <c r="G1041" s="12" t="s">
        <v>163</v>
      </c>
      <c r="H1041" s="68"/>
      <c r="I1041" s="134">
        <v>38666</v>
      </c>
      <c r="J1041" s="134">
        <f>I1041</f>
        <v>38666</v>
      </c>
      <c r="K1041" s="12" t="s">
        <v>163</v>
      </c>
      <c r="L1041" s="120"/>
      <c r="M1041" s="122">
        <f>I1041</f>
        <v>38666</v>
      </c>
      <c r="N1041" s="122">
        <f>J1041</f>
        <v>38666</v>
      </c>
      <c r="O1041" s="71">
        <f t="shared" si="221"/>
        <v>0</v>
      </c>
      <c r="P1041" s="71">
        <f t="shared" si="222"/>
        <v>38666</v>
      </c>
    </row>
    <row r="1042" spans="1:16" s="58" customFormat="1" ht="24" customHeight="1">
      <c r="A1042" s="10">
        <v>2</v>
      </c>
      <c r="B1042" s="11" t="s">
        <v>1844</v>
      </c>
      <c r="C1042" s="12" t="s">
        <v>163</v>
      </c>
      <c r="D1042" s="13"/>
      <c r="E1042" s="134"/>
      <c r="F1042" s="134"/>
      <c r="G1042" s="12" t="s">
        <v>163</v>
      </c>
      <c r="H1042" s="68"/>
      <c r="I1042" s="134">
        <v>37098</v>
      </c>
      <c r="J1042" s="134">
        <f t="shared" ref="J1042:J1073" si="226">I1042</f>
        <v>37098</v>
      </c>
      <c r="K1042" s="12" t="s">
        <v>163</v>
      </c>
      <c r="L1042" s="120"/>
      <c r="M1042" s="122">
        <f t="shared" ref="M1042:M1073" si="227">I1042</f>
        <v>37098</v>
      </c>
      <c r="N1042" s="122">
        <f t="shared" ref="N1042:N1073" si="228">J1042</f>
        <v>37098</v>
      </c>
      <c r="O1042" s="71">
        <f t="shared" si="221"/>
        <v>0</v>
      </c>
      <c r="P1042" s="71">
        <f t="shared" si="222"/>
        <v>37098</v>
      </c>
    </row>
    <row r="1043" spans="1:16" s="58" customFormat="1" ht="24" customHeight="1">
      <c r="A1043" s="10">
        <v>3</v>
      </c>
      <c r="B1043" s="11" t="s">
        <v>1845</v>
      </c>
      <c r="C1043" s="12" t="s">
        <v>163</v>
      </c>
      <c r="D1043" s="13"/>
      <c r="E1043" s="134"/>
      <c r="F1043" s="134"/>
      <c r="G1043" s="12" t="s">
        <v>163</v>
      </c>
      <c r="H1043" s="68"/>
      <c r="I1043" s="134">
        <v>67200</v>
      </c>
      <c r="J1043" s="134">
        <f t="shared" si="226"/>
        <v>67200</v>
      </c>
      <c r="K1043" s="12" t="s">
        <v>163</v>
      </c>
      <c r="L1043" s="120"/>
      <c r="M1043" s="122">
        <f t="shared" si="227"/>
        <v>67200</v>
      </c>
      <c r="N1043" s="122">
        <f t="shared" si="228"/>
        <v>67200</v>
      </c>
      <c r="O1043" s="71">
        <f t="shared" si="221"/>
        <v>0</v>
      </c>
      <c r="P1043" s="71">
        <f t="shared" si="222"/>
        <v>67200</v>
      </c>
    </row>
    <row r="1044" spans="1:16" s="58" customFormat="1" ht="24" customHeight="1">
      <c r="A1044" s="10">
        <v>4</v>
      </c>
      <c r="B1044" s="11" t="s">
        <v>1846</v>
      </c>
      <c r="C1044" s="12" t="s">
        <v>163</v>
      </c>
      <c r="D1044" s="13"/>
      <c r="E1044" s="134"/>
      <c r="F1044" s="134"/>
      <c r="G1044" s="12" t="s">
        <v>163</v>
      </c>
      <c r="H1044" s="68"/>
      <c r="I1044" s="134">
        <v>64301</v>
      </c>
      <c r="J1044" s="134">
        <f t="shared" si="226"/>
        <v>64301</v>
      </c>
      <c r="K1044" s="12" t="s">
        <v>163</v>
      </c>
      <c r="L1044" s="120"/>
      <c r="M1044" s="122">
        <f t="shared" si="227"/>
        <v>64301</v>
      </c>
      <c r="N1044" s="122">
        <f t="shared" si="228"/>
        <v>64301</v>
      </c>
      <c r="O1044" s="71"/>
      <c r="P1044" s="71"/>
    </row>
    <row r="1045" spans="1:16" s="58" customFormat="1" ht="24" customHeight="1">
      <c r="A1045" s="10">
        <v>5</v>
      </c>
      <c r="B1045" s="11" t="s">
        <v>1847</v>
      </c>
      <c r="C1045" s="12" t="s">
        <v>163</v>
      </c>
      <c r="D1045" s="13"/>
      <c r="E1045" s="134"/>
      <c r="F1045" s="134"/>
      <c r="G1045" s="12" t="s">
        <v>163</v>
      </c>
      <c r="H1045" s="68"/>
      <c r="I1045" s="134">
        <v>109333</v>
      </c>
      <c r="J1045" s="134">
        <f t="shared" si="226"/>
        <v>109333</v>
      </c>
      <c r="K1045" s="12" t="s">
        <v>163</v>
      </c>
      <c r="L1045" s="120"/>
      <c r="M1045" s="122">
        <f t="shared" si="227"/>
        <v>109333</v>
      </c>
      <c r="N1045" s="122">
        <f t="shared" si="228"/>
        <v>109333</v>
      </c>
      <c r="O1045" s="71">
        <f t="shared" ref="O1045:O1067" si="229">E1045</f>
        <v>0</v>
      </c>
      <c r="P1045" s="71">
        <f t="shared" ref="P1045:P1067" si="230">M1045</f>
        <v>109333</v>
      </c>
    </row>
    <row r="1046" spans="1:16" s="58" customFormat="1" ht="24" customHeight="1">
      <c r="A1046" s="10">
        <v>6</v>
      </c>
      <c r="B1046" s="11" t="s">
        <v>1848</v>
      </c>
      <c r="C1046" s="12" t="s">
        <v>163</v>
      </c>
      <c r="D1046" s="13"/>
      <c r="E1046" s="134"/>
      <c r="F1046" s="134"/>
      <c r="G1046" s="12" t="s">
        <v>163</v>
      </c>
      <c r="H1046" s="68"/>
      <c r="I1046" s="134">
        <v>110000</v>
      </c>
      <c r="J1046" s="134">
        <f t="shared" si="226"/>
        <v>110000</v>
      </c>
      <c r="K1046" s="12" t="s">
        <v>163</v>
      </c>
      <c r="L1046" s="120"/>
      <c r="M1046" s="122">
        <f t="shared" si="227"/>
        <v>110000</v>
      </c>
      <c r="N1046" s="122">
        <f t="shared" si="228"/>
        <v>110000</v>
      </c>
      <c r="O1046" s="71">
        <f t="shared" si="229"/>
        <v>0</v>
      </c>
      <c r="P1046" s="71">
        <f t="shared" si="230"/>
        <v>110000</v>
      </c>
    </row>
    <row r="1047" spans="1:16" s="58" customFormat="1" ht="24" customHeight="1">
      <c r="A1047" s="10">
        <v>7</v>
      </c>
      <c r="B1047" s="11" t="s">
        <v>1849</v>
      </c>
      <c r="C1047" s="12" t="s">
        <v>163</v>
      </c>
      <c r="D1047" s="13"/>
      <c r="E1047" s="134"/>
      <c r="F1047" s="134"/>
      <c r="G1047" s="12" t="s">
        <v>163</v>
      </c>
      <c r="H1047" s="68"/>
      <c r="I1047" s="134">
        <v>109391</v>
      </c>
      <c r="J1047" s="134">
        <f t="shared" si="226"/>
        <v>109391</v>
      </c>
      <c r="K1047" s="12" t="s">
        <v>163</v>
      </c>
      <c r="L1047" s="120"/>
      <c r="M1047" s="122">
        <f t="shared" si="227"/>
        <v>109391</v>
      </c>
      <c r="N1047" s="122">
        <f t="shared" si="228"/>
        <v>109391</v>
      </c>
      <c r="O1047" s="71">
        <f t="shared" si="229"/>
        <v>0</v>
      </c>
      <c r="P1047" s="71">
        <f t="shared" si="230"/>
        <v>109391</v>
      </c>
    </row>
    <row r="1048" spans="1:16" s="58" customFormat="1" ht="24" customHeight="1">
      <c r="A1048" s="10">
        <v>8</v>
      </c>
      <c r="B1048" s="11" t="s">
        <v>1840</v>
      </c>
      <c r="C1048" s="12" t="s">
        <v>163</v>
      </c>
      <c r="D1048" s="13"/>
      <c r="E1048" s="134"/>
      <c r="F1048" s="134"/>
      <c r="G1048" s="12" t="s">
        <v>163</v>
      </c>
      <c r="H1048" s="68"/>
      <c r="I1048" s="134">
        <v>158666</v>
      </c>
      <c r="J1048" s="134">
        <f t="shared" si="226"/>
        <v>158666</v>
      </c>
      <c r="K1048" s="12" t="s">
        <v>163</v>
      </c>
      <c r="L1048" s="120"/>
      <c r="M1048" s="122">
        <f t="shared" si="227"/>
        <v>158666</v>
      </c>
      <c r="N1048" s="122">
        <f t="shared" si="228"/>
        <v>158666</v>
      </c>
      <c r="O1048" s="71">
        <f t="shared" si="229"/>
        <v>0</v>
      </c>
      <c r="P1048" s="71">
        <f t="shared" si="230"/>
        <v>158666</v>
      </c>
    </row>
    <row r="1049" spans="1:16" s="58" customFormat="1" ht="24" customHeight="1">
      <c r="A1049" s="10">
        <v>9</v>
      </c>
      <c r="B1049" s="11" t="s">
        <v>1841</v>
      </c>
      <c r="C1049" s="12" t="s">
        <v>163</v>
      </c>
      <c r="D1049" s="13"/>
      <c r="E1049" s="134"/>
      <c r="F1049" s="134"/>
      <c r="G1049" s="12" t="s">
        <v>163</v>
      </c>
      <c r="H1049" s="68"/>
      <c r="I1049" s="134">
        <v>182000</v>
      </c>
      <c r="J1049" s="134">
        <f t="shared" si="226"/>
        <v>182000</v>
      </c>
      <c r="K1049" s="12" t="s">
        <v>163</v>
      </c>
      <c r="L1049" s="120"/>
      <c r="M1049" s="122">
        <f t="shared" si="227"/>
        <v>182000</v>
      </c>
      <c r="N1049" s="122">
        <f t="shared" si="228"/>
        <v>182000</v>
      </c>
      <c r="O1049" s="71">
        <f t="shared" si="229"/>
        <v>0</v>
      </c>
      <c r="P1049" s="71">
        <f t="shared" si="230"/>
        <v>182000</v>
      </c>
    </row>
    <row r="1050" spans="1:16" s="58" customFormat="1" ht="24" customHeight="1">
      <c r="A1050" s="10">
        <v>10</v>
      </c>
      <c r="B1050" s="11" t="s">
        <v>1842</v>
      </c>
      <c r="C1050" s="12" t="s">
        <v>163</v>
      </c>
      <c r="D1050" s="13"/>
      <c r="E1050" s="134"/>
      <c r="F1050" s="134"/>
      <c r="G1050" s="12" t="s">
        <v>163</v>
      </c>
      <c r="H1050" s="68"/>
      <c r="I1050" s="134">
        <v>180390</v>
      </c>
      <c r="J1050" s="134">
        <f t="shared" si="226"/>
        <v>180390</v>
      </c>
      <c r="K1050" s="12" t="s">
        <v>163</v>
      </c>
      <c r="L1050" s="120"/>
      <c r="M1050" s="122">
        <f t="shared" si="227"/>
        <v>180390</v>
      </c>
      <c r="N1050" s="122">
        <f t="shared" si="228"/>
        <v>180390</v>
      </c>
      <c r="O1050" s="71">
        <f t="shared" si="229"/>
        <v>0</v>
      </c>
      <c r="P1050" s="71">
        <f t="shared" si="230"/>
        <v>180390</v>
      </c>
    </row>
    <row r="1051" spans="1:16" s="58" customFormat="1" ht="24" customHeight="1">
      <c r="A1051" s="10">
        <v>11</v>
      </c>
      <c r="B1051" s="11" t="s">
        <v>1853</v>
      </c>
      <c r="C1051" s="12" t="s">
        <v>163</v>
      </c>
      <c r="D1051" s="13"/>
      <c r="E1051" s="134"/>
      <c r="F1051" s="134"/>
      <c r="G1051" s="12" t="s">
        <v>163</v>
      </c>
      <c r="H1051" s="68"/>
      <c r="I1051" s="134">
        <v>213333</v>
      </c>
      <c r="J1051" s="134">
        <f t="shared" si="226"/>
        <v>213333</v>
      </c>
      <c r="K1051" s="12" t="s">
        <v>163</v>
      </c>
      <c r="L1051" s="120"/>
      <c r="M1051" s="122">
        <f t="shared" si="227"/>
        <v>213333</v>
      </c>
      <c r="N1051" s="122">
        <f t="shared" si="228"/>
        <v>213333</v>
      </c>
      <c r="O1051" s="71"/>
      <c r="P1051" s="71"/>
    </row>
    <row r="1052" spans="1:16" s="58" customFormat="1" ht="24" customHeight="1">
      <c r="A1052" s="10">
        <v>12</v>
      </c>
      <c r="B1052" s="11" t="s">
        <v>1854</v>
      </c>
      <c r="C1052" s="12" t="s">
        <v>163</v>
      </c>
      <c r="D1052" s="13"/>
      <c r="E1052" s="134"/>
      <c r="F1052" s="134"/>
      <c r="G1052" s="12" t="s">
        <v>163</v>
      </c>
      <c r="H1052" s="68"/>
      <c r="I1052" s="134">
        <v>213000</v>
      </c>
      <c r="J1052" s="134">
        <f t="shared" si="226"/>
        <v>213000</v>
      </c>
      <c r="K1052" s="12" t="s">
        <v>163</v>
      </c>
      <c r="L1052" s="120"/>
      <c r="M1052" s="122">
        <f t="shared" si="227"/>
        <v>213000</v>
      </c>
      <c r="N1052" s="122">
        <f t="shared" si="228"/>
        <v>213000</v>
      </c>
      <c r="O1052" s="71"/>
      <c r="P1052" s="71"/>
    </row>
    <row r="1053" spans="1:16" s="58" customFormat="1" ht="24" customHeight="1">
      <c r="A1053" s="10">
        <v>13</v>
      </c>
      <c r="B1053" s="11" t="s">
        <v>1855</v>
      </c>
      <c r="C1053" s="12" t="s">
        <v>163</v>
      </c>
      <c r="D1053" s="13"/>
      <c r="E1053" s="134"/>
      <c r="F1053" s="134"/>
      <c r="G1053" s="12" t="s">
        <v>163</v>
      </c>
      <c r="H1053" s="68"/>
      <c r="I1053" s="134">
        <v>86857</v>
      </c>
      <c r="J1053" s="134">
        <f t="shared" si="226"/>
        <v>86857</v>
      </c>
      <c r="K1053" s="12" t="s">
        <v>163</v>
      </c>
      <c r="L1053" s="120"/>
      <c r="M1053" s="122">
        <f t="shared" si="227"/>
        <v>86857</v>
      </c>
      <c r="N1053" s="122">
        <f t="shared" si="228"/>
        <v>86857</v>
      </c>
      <c r="O1053" s="71"/>
      <c r="P1053" s="71"/>
    </row>
    <row r="1054" spans="1:16" s="58" customFormat="1" ht="24" customHeight="1">
      <c r="A1054" s="10">
        <v>14</v>
      </c>
      <c r="B1054" s="11" t="s">
        <v>1856</v>
      </c>
      <c r="C1054" s="12" t="s">
        <v>163</v>
      </c>
      <c r="D1054" s="13"/>
      <c r="E1054" s="134"/>
      <c r="F1054" s="134"/>
      <c r="G1054" s="12" t="s">
        <v>163</v>
      </c>
      <c r="H1054" s="68"/>
      <c r="I1054" s="134">
        <v>86298</v>
      </c>
      <c r="J1054" s="134">
        <f t="shared" si="226"/>
        <v>86298</v>
      </c>
      <c r="K1054" s="12" t="s">
        <v>163</v>
      </c>
      <c r="L1054" s="120"/>
      <c r="M1054" s="122">
        <f t="shared" si="227"/>
        <v>86298</v>
      </c>
      <c r="N1054" s="122">
        <f t="shared" si="228"/>
        <v>86298</v>
      </c>
      <c r="O1054" s="71"/>
      <c r="P1054" s="71"/>
    </row>
    <row r="1055" spans="1:16" s="58" customFormat="1" ht="24" customHeight="1">
      <c r="A1055" s="10">
        <v>15</v>
      </c>
      <c r="B1055" s="11" t="s">
        <v>1859</v>
      </c>
      <c r="C1055" s="12" t="s">
        <v>163</v>
      </c>
      <c r="D1055" s="13"/>
      <c r="E1055" s="134"/>
      <c r="F1055" s="134"/>
      <c r="G1055" s="12" t="s">
        <v>163</v>
      </c>
      <c r="H1055" s="68"/>
      <c r="I1055" s="134">
        <v>150666</v>
      </c>
      <c r="J1055" s="134">
        <f t="shared" si="226"/>
        <v>150666</v>
      </c>
      <c r="K1055" s="12" t="s">
        <v>163</v>
      </c>
      <c r="L1055" s="120"/>
      <c r="M1055" s="122">
        <f t="shared" si="227"/>
        <v>150666</v>
      </c>
      <c r="N1055" s="122">
        <f t="shared" si="228"/>
        <v>150666</v>
      </c>
      <c r="O1055" s="71"/>
      <c r="P1055" s="71"/>
    </row>
    <row r="1056" spans="1:16" s="58" customFormat="1" ht="24" customHeight="1">
      <c r="A1056" s="10">
        <v>16</v>
      </c>
      <c r="B1056" s="11" t="s">
        <v>1857</v>
      </c>
      <c r="C1056" s="12" t="s">
        <v>163</v>
      </c>
      <c r="D1056" s="13"/>
      <c r="E1056" s="134"/>
      <c r="F1056" s="134"/>
      <c r="G1056" s="12" t="s">
        <v>163</v>
      </c>
      <c r="H1056" s="68"/>
      <c r="I1056" s="134">
        <v>147428</v>
      </c>
      <c r="J1056" s="134">
        <f t="shared" si="226"/>
        <v>147428</v>
      </c>
      <c r="K1056" s="12" t="s">
        <v>163</v>
      </c>
      <c r="L1056" s="120"/>
      <c r="M1056" s="122">
        <f t="shared" si="227"/>
        <v>147428</v>
      </c>
      <c r="N1056" s="122">
        <f t="shared" si="228"/>
        <v>147428</v>
      </c>
      <c r="O1056" s="71"/>
      <c r="P1056" s="71"/>
    </row>
    <row r="1057" spans="1:16" s="58" customFormat="1" ht="24" customHeight="1">
      <c r="A1057" s="10">
        <v>17</v>
      </c>
      <c r="B1057" s="11" t="s">
        <v>1858</v>
      </c>
      <c r="C1057" s="12" t="s">
        <v>163</v>
      </c>
      <c r="D1057" s="13"/>
      <c r="E1057" s="134"/>
      <c r="F1057" s="134"/>
      <c r="G1057" s="12" t="s">
        <v>163</v>
      </c>
      <c r="H1057" s="68"/>
      <c r="I1057" s="134">
        <v>146500</v>
      </c>
      <c r="J1057" s="134">
        <f t="shared" si="226"/>
        <v>146500</v>
      </c>
      <c r="K1057" s="12" t="s">
        <v>163</v>
      </c>
      <c r="L1057" s="120"/>
      <c r="M1057" s="122">
        <f t="shared" si="227"/>
        <v>146500</v>
      </c>
      <c r="N1057" s="122">
        <f t="shared" si="228"/>
        <v>146500</v>
      </c>
      <c r="O1057" s="71"/>
      <c r="P1057" s="71"/>
    </row>
    <row r="1058" spans="1:16" s="58" customFormat="1" ht="24" customHeight="1">
      <c r="A1058" s="10">
        <v>18</v>
      </c>
      <c r="B1058" s="11" t="s">
        <v>1850</v>
      </c>
      <c r="C1058" s="12" t="s">
        <v>163</v>
      </c>
      <c r="D1058" s="13"/>
      <c r="E1058" s="134"/>
      <c r="F1058" s="134"/>
      <c r="G1058" s="12" t="s">
        <v>163</v>
      </c>
      <c r="H1058" s="68"/>
      <c r="I1058" s="134">
        <v>204000</v>
      </c>
      <c r="J1058" s="134">
        <f t="shared" si="226"/>
        <v>204000</v>
      </c>
      <c r="K1058" s="12" t="s">
        <v>163</v>
      </c>
      <c r="L1058" s="120"/>
      <c r="M1058" s="122">
        <f t="shared" si="227"/>
        <v>204000</v>
      </c>
      <c r="N1058" s="122">
        <f t="shared" si="228"/>
        <v>204000</v>
      </c>
      <c r="O1058" s="71">
        <f t="shared" si="229"/>
        <v>0</v>
      </c>
      <c r="P1058" s="71">
        <f t="shared" si="230"/>
        <v>204000</v>
      </c>
    </row>
    <row r="1059" spans="1:16" s="58" customFormat="1" ht="24" customHeight="1">
      <c r="A1059" s="10">
        <v>19</v>
      </c>
      <c r="B1059" s="11" t="s">
        <v>1851</v>
      </c>
      <c r="C1059" s="12" t="s">
        <v>163</v>
      </c>
      <c r="D1059" s="13"/>
      <c r="E1059" s="134"/>
      <c r="F1059" s="134"/>
      <c r="G1059" s="12" t="s">
        <v>163</v>
      </c>
      <c r="H1059" s="68"/>
      <c r="I1059" s="134">
        <v>221666</v>
      </c>
      <c r="J1059" s="134">
        <f t="shared" si="226"/>
        <v>221666</v>
      </c>
      <c r="K1059" s="12" t="s">
        <v>163</v>
      </c>
      <c r="L1059" s="120"/>
      <c r="M1059" s="122">
        <f t="shared" si="227"/>
        <v>221666</v>
      </c>
      <c r="N1059" s="122">
        <f t="shared" si="228"/>
        <v>221666</v>
      </c>
      <c r="O1059" s="71">
        <f t="shared" si="229"/>
        <v>0</v>
      </c>
      <c r="P1059" s="71">
        <f t="shared" si="230"/>
        <v>221666</v>
      </c>
    </row>
    <row r="1060" spans="1:16" s="58" customFormat="1" ht="24" customHeight="1">
      <c r="A1060" s="10">
        <v>20</v>
      </c>
      <c r="B1060" s="11" t="s">
        <v>1852</v>
      </c>
      <c r="C1060" s="12" t="s">
        <v>163</v>
      </c>
      <c r="D1060" s="13"/>
      <c r="E1060" s="134"/>
      <c r="F1060" s="134"/>
      <c r="G1060" s="12" t="s">
        <v>163</v>
      </c>
      <c r="H1060" s="68"/>
      <c r="I1060" s="134">
        <v>216672</v>
      </c>
      <c r="J1060" s="134">
        <f t="shared" si="226"/>
        <v>216672</v>
      </c>
      <c r="K1060" s="12" t="s">
        <v>163</v>
      </c>
      <c r="L1060" s="120"/>
      <c r="M1060" s="122">
        <f t="shared" si="227"/>
        <v>216672</v>
      </c>
      <c r="N1060" s="122">
        <f t="shared" si="228"/>
        <v>216672</v>
      </c>
      <c r="O1060" s="71">
        <f t="shared" si="229"/>
        <v>0</v>
      </c>
      <c r="P1060" s="71">
        <f t="shared" si="230"/>
        <v>216672</v>
      </c>
    </row>
    <row r="1061" spans="1:16" s="58" customFormat="1" ht="24" customHeight="1">
      <c r="A1061" s="10">
        <v>21</v>
      </c>
      <c r="B1061" s="11" t="s">
        <v>1860</v>
      </c>
      <c r="C1061" s="12" t="s">
        <v>163</v>
      </c>
      <c r="D1061" s="13"/>
      <c r="E1061" s="134"/>
      <c r="F1061" s="134"/>
      <c r="G1061" s="12" t="s">
        <v>163</v>
      </c>
      <c r="H1061" s="68"/>
      <c r="I1061" s="134">
        <v>277333</v>
      </c>
      <c r="J1061" s="134">
        <f t="shared" si="226"/>
        <v>277333</v>
      </c>
      <c r="K1061" s="12" t="s">
        <v>163</v>
      </c>
      <c r="L1061" s="120"/>
      <c r="M1061" s="122">
        <f t="shared" si="227"/>
        <v>277333</v>
      </c>
      <c r="N1061" s="122">
        <f t="shared" si="228"/>
        <v>277333</v>
      </c>
      <c r="O1061" s="71">
        <f t="shared" si="229"/>
        <v>0</v>
      </c>
      <c r="P1061" s="71">
        <f t="shared" si="230"/>
        <v>277333</v>
      </c>
    </row>
    <row r="1062" spans="1:16" s="58" customFormat="1" ht="24" customHeight="1">
      <c r="A1062" s="10">
        <v>22</v>
      </c>
      <c r="B1062" s="11" t="s">
        <v>1861</v>
      </c>
      <c r="C1062" s="12" t="s">
        <v>163</v>
      </c>
      <c r="D1062" s="13"/>
      <c r="E1062" s="134"/>
      <c r="F1062" s="134"/>
      <c r="G1062" s="12" t="s">
        <v>163</v>
      </c>
      <c r="H1062" s="68"/>
      <c r="I1062" s="134">
        <v>298666</v>
      </c>
      <c r="J1062" s="134">
        <f t="shared" si="226"/>
        <v>298666</v>
      </c>
      <c r="K1062" s="12" t="s">
        <v>163</v>
      </c>
      <c r="L1062" s="120"/>
      <c r="M1062" s="122">
        <f t="shared" si="227"/>
        <v>298666</v>
      </c>
      <c r="N1062" s="122">
        <f t="shared" si="228"/>
        <v>298666</v>
      </c>
      <c r="O1062" s="71">
        <f t="shared" si="229"/>
        <v>0</v>
      </c>
      <c r="P1062" s="71">
        <f t="shared" si="230"/>
        <v>298666</v>
      </c>
    </row>
    <row r="1063" spans="1:16" s="58" customFormat="1" ht="24" customHeight="1">
      <c r="A1063" s="10">
        <v>23</v>
      </c>
      <c r="B1063" s="11" t="s">
        <v>1863</v>
      </c>
      <c r="C1063" s="12" t="s">
        <v>163</v>
      </c>
      <c r="D1063" s="13"/>
      <c r="E1063" s="134"/>
      <c r="F1063" s="134"/>
      <c r="G1063" s="12" t="s">
        <v>163</v>
      </c>
      <c r="H1063" s="68"/>
      <c r="I1063" s="134">
        <v>277333</v>
      </c>
      <c r="J1063" s="134">
        <f t="shared" si="226"/>
        <v>277333</v>
      </c>
      <c r="K1063" s="12" t="s">
        <v>163</v>
      </c>
      <c r="L1063" s="120"/>
      <c r="M1063" s="122">
        <f t="shared" si="227"/>
        <v>277333</v>
      </c>
      <c r="N1063" s="122">
        <f t="shared" si="228"/>
        <v>277333</v>
      </c>
      <c r="O1063" s="71">
        <f t="shared" si="229"/>
        <v>0</v>
      </c>
      <c r="P1063" s="71">
        <f t="shared" si="230"/>
        <v>277333</v>
      </c>
    </row>
    <row r="1064" spans="1:16" s="58" customFormat="1" ht="24" customHeight="1">
      <c r="A1064" s="10">
        <v>24</v>
      </c>
      <c r="B1064" s="11" t="s">
        <v>1862</v>
      </c>
      <c r="C1064" s="12" t="s">
        <v>163</v>
      </c>
      <c r="D1064" s="13"/>
      <c r="E1064" s="134"/>
      <c r="F1064" s="134"/>
      <c r="G1064" s="12" t="s">
        <v>163</v>
      </c>
      <c r="H1064" s="68"/>
      <c r="I1064" s="134">
        <v>354545</v>
      </c>
      <c r="J1064" s="134">
        <f t="shared" si="226"/>
        <v>354545</v>
      </c>
      <c r="K1064" s="12" t="s">
        <v>163</v>
      </c>
      <c r="L1064" s="120"/>
      <c r="M1064" s="122">
        <f t="shared" si="227"/>
        <v>354545</v>
      </c>
      <c r="N1064" s="122">
        <f t="shared" si="228"/>
        <v>354545</v>
      </c>
      <c r="O1064" s="71">
        <f t="shared" si="229"/>
        <v>0</v>
      </c>
      <c r="P1064" s="71">
        <f t="shared" si="230"/>
        <v>354545</v>
      </c>
    </row>
    <row r="1065" spans="1:16" s="58" customFormat="1" ht="24" customHeight="1">
      <c r="A1065" s="10">
        <v>25</v>
      </c>
      <c r="B1065" s="11" t="s">
        <v>1864</v>
      </c>
      <c r="C1065" s="12" t="s">
        <v>163</v>
      </c>
      <c r="D1065" s="13"/>
      <c r="E1065" s="134"/>
      <c r="F1065" s="134"/>
      <c r="G1065" s="12" t="s">
        <v>163</v>
      </c>
      <c r="H1065" s="68"/>
      <c r="I1065" s="134">
        <v>111666</v>
      </c>
      <c r="J1065" s="134">
        <f t="shared" si="226"/>
        <v>111666</v>
      </c>
      <c r="K1065" s="12" t="s">
        <v>163</v>
      </c>
      <c r="L1065" s="120"/>
      <c r="M1065" s="122">
        <f t="shared" si="227"/>
        <v>111666</v>
      </c>
      <c r="N1065" s="122">
        <f t="shared" si="228"/>
        <v>111666</v>
      </c>
      <c r="O1065" s="71">
        <f t="shared" si="229"/>
        <v>0</v>
      </c>
      <c r="P1065" s="71">
        <f t="shared" si="230"/>
        <v>111666</v>
      </c>
    </row>
    <row r="1066" spans="1:16" s="58" customFormat="1" ht="24" customHeight="1">
      <c r="A1066" s="10">
        <v>26</v>
      </c>
      <c r="B1066" s="11" t="s">
        <v>1865</v>
      </c>
      <c r="C1066" s="12" t="s">
        <v>163</v>
      </c>
      <c r="D1066" s="13"/>
      <c r="E1066" s="134"/>
      <c r="F1066" s="134"/>
      <c r="G1066" s="12" t="s">
        <v>163</v>
      </c>
      <c r="H1066" s="68"/>
      <c r="I1066" s="134">
        <v>115473</v>
      </c>
      <c r="J1066" s="134">
        <f t="shared" si="226"/>
        <v>115473</v>
      </c>
      <c r="K1066" s="12" t="s">
        <v>163</v>
      </c>
      <c r="L1066" s="120"/>
      <c r="M1066" s="122">
        <f t="shared" si="227"/>
        <v>115473</v>
      </c>
      <c r="N1066" s="122">
        <f t="shared" si="228"/>
        <v>115473</v>
      </c>
      <c r="O1066" s="71">
        <f t="shared" si="229"/>
        <v>0</v>
      </c>
      <c r="P1066" s="71">
        <f t="shared" si="230"/>
        <v>115473</v>
      </c>
    </row>
    <row r="1067" spans="1:16" s="58" customFormat="1" ht="24" customHeight="1">
      <c r="A1067" s="10">
        <v>27</v>
      </c>
      <c r="B1067" s="11" t="s">
        <v>1866</v>
      </c>
      <c r="C1067" s="12" t="s">
        <v>163</v>
      </c>
      <c r="D1067" s="13"/>
      <c r="E1067" s="134"/>
      <c r="F1067" s="134"/>
      <c r="G1067" s="12" t="s">
        <v>163</v>
      </c>
      <c r="H1067" s="68"/>
      <c r="I1067" s="134">
        <v>170333</v>
      </c>
      <c r="J1067" s="134">
        <f t="shared" si="226"/>
        <v>170333</v>
      </c>
      <c r="K1067" s="12" t="s">
        <v>163</v>
      </c>
      <c r="L1067" s="120"/>
      <c r="M1067" s="122">
        <f t="shared" si="227"/>
        <v>170333</v>
      </c>
      <c r="N1067" s="122">
        <f t="shared" si="228"/>
        <v>170333</v>
      </c>
      <c r="O1067" s="71">
        <f t="shared" si="229"/>
        <v>0</v>
      </c>
      <c r="P1067" s="71">
        <f t="shared" si="230"/>
        <v>170333</v>
      </c>
    </row>
    <row r="1068" spans="1:16" s="58" customFormat="1" ht="24" customHeight="1">
      <c r="A1068" s="10">
        <v>28</v>
      </c>
      <c r="B1068" s="11" t="s">
        <v>1867</v>
      </c>
      <c r="C1068" s="12" t="s">
        <v>163</v>
      </c>
      <c r="D1068" s="13"/>
      <c r="E1068" s="134"/>
      <c r="F1068" s="134"/>
      <c r="G1068" s="12" t="s">
        <v>163</v>
      </c>
      <c r="H1068" s="68"/>
      <c r="I1068" s="134">
        <v>171897</v>
      </c>
      <c r="J1068" s="134">
        <f t="shared" si="226"/>
        <v>171897</v>
      </c>
      <c r="K1068" s="12" t="s">
        <v>163</v>
      </c>
      <c r="L1068" s="120"/>
      <c r="M1068" s="122">
        <f t="shared" si="227"/>
        <v>171897</v>
      </c>
      <c r="N1068" s="122">
        <f t="shared" si="228"/>
        <v>171897</v>
      </c>
      <c r="O1068" s="71">
        <f t="shared" ref="O1068:O1073" si="231">E1068</f>
        <v>0</v>
      </c>
      <c r="P1068" s="71">
        <f t="shared" ref="P1068:P1073" si="232">M1068</f>
        <v>171897</v>
      </c>
    </row>
    <row r="1069" spans="1:16" s="58" customFormat="1" ht="24" customHeight="1">
      <c r="A1069" s="10">
        <v>29</v>
      </c>
      <c r="B1069" s="11" t="s">
        <v>1868</v>
      </c>
      <c r="C1069" s="12" t="s">
        <v>163</v>
      </c>
      <c r="D1069" s="13"/>
      <c r="E1069" s="134"/>
      <c r="F1069" s="134"/>
      <c r="G1069" s="12" t="s">
        <v>163</v>
      </c>
      <c r="H1069" s="68"/>
      <c r="I1069" s="134">
        <v>131000</v>
      </c>
      <c r="J1069" s="134">
        <f t="shared" si="226"/>
        <v>131000</v>
      </c>
      <c r="K1069" s="12" t="s">
        <v>163</v>
      </c>
      <c r="L1069" s="120"/>
      <c r="M1069" s="122">
        <f t="shared" si="227"/>
        <v>131000</v>
      </c>
      <c r="N1069" s="122">
        <f t="shared" si="228"/>
        <v>131000</v>
      </c>
      <c r="O1069" s="71">
        <f t="shared" si="231"/>
        <v>0</v>
      </c>
      <c r="P1069" s="71">
        <f t="shared" si="232"/>
        <v>131000</v>
      </c>
    </row>
    <row r="1070" spans="1:16" s="58" customFormat="1" ht="24" customHeight="1">
      <c r="A1070" s="10">
        <v>30</v>
      </c>
      <c r="B1070" s="11" t="s">
        <v>1869</v>
      </c>
      <c r="C1070" s="12" t="s">
        <v>163</v>
      </c>
      <c r="D1070" s="13"/>
      <c r="E1070" s="134"/>
      <c r="F1070" s="134"/>
      <c r="G1070" s="12" t="s">
        <v>163</v>
      </c>
      <c r="H1070" s="68"/>
      <c r="I1070" s="134">
        <v>134000</v>
      </c>
      <c r="J1070" s="134">
        <f t="shared" si="226"/>
        <v>134000</v>
      </c>
      <c r="K1070" s="12" t="s">
        <v>163</v>
      </c>
      <c r="L1070" s="120"/>
      <c r="M1070" s="122">
        <f t="shared" si="227"/>
        <v>134000</v>
      </c>
      <c r="N1070" s="122">
        <f t="shared" si="228"/>
        <v>134000</v>
      </c>
      <c r="O1070" s="71">
        <f t="shared" si="231"/>
        <v>0</v>
      </c>
      <c r="P1070" s="71">
        <f t="shared" si="232"/>
        <v>134000</v>
      </c>
    </row>
    <row r="1071" spans="1:16" s="58" customFormat="1" ht="24" customHeight="1">
      <c r="A1071" s="10">
        <v>31</v>
      </c>
      <c r="B1071" s="222" t="s">
        <v>1870</v>
      </c>
      <c r="C1071" s="12" t="s">
        <v>163</v>
      </c>
      <c r="D1071" s="13"/>
      <c r="E1071" s="134"/>
      <c r="F1071" s="134"/>
      <c r="G1071" s="12" t="s">
        <v>163</v>
      </c>
      <c r="H1071" s="68"/>
      <c r="I1071" s="134">
        <v>6625</v>
      </c>
      <c r="J1071" s="134">
        <f t="shared" si="226"/>
        <v>6625</v>
      </c>
      <c r="K1071" s="12" t="s">
        <v>163</v>
      </c>
      <c r="L1071" s="120"/>
      <c r="M1071" s="122">
        <f t="shared" si="227"/>
        <v>6625</v>
      </c>
      <c r="N1071" s="122">
        <f t="shared" si="228"/>
        <v>6625</v>
      </c>
      <c r="O1071" s="71">
        <f t="shared" si="231"/>
        <v>0</v>
      </c>
      <c r="P1071" s="71">
        <f t="shared" si="232"/>
        <v>6625</v>
      </c>
    </row>
    <row r="1072" spans="1:16" s="58" customFormat="1" ht="24" customHeight="1">
      <c r="A1072" s="10">
        <v>32</v>
      </c>
      <c r="B1072" s="222" t="s">
        <v>1871</v>
      </c>
      <c r="C1072" s="12" t="s">
        <v>163</v>
      </c>
      <c r="D1072" s="13"/>
      <c r="E1072" s="134"/>
      <c r="F1072" s="134"/>
      <c r="G1072" s="12" t="s">
        <v>163</v>
      </c>
      <c r="H1072" s="68"/>
      <c r="I1072" s="134">
        <v>7625</v>
      </c>
      <c r="J1072" s="134">
        <f t="shared" si="226"/>
        <v>7625</v>
      </c>
      <c r="K1072" s="12" t="s">
        <v>163</v>
      </c>
      <c r="L1072" s="120"/>
      <c r="M1072" s="122">
        <f t="shared" si="227"/>
        <v>7625</v>
      </c>
      <c r="N1072" s="122">
        <f t="shared" si="228"/>
        <v>7625</v>
      </c>
      <c r="O1072" s="71">
        <f t="shared" si="231"/>
        <v>0</v>
      </c>
      <c r="P1072" s="71">
        <f t="shared" si="232"/>
        <v>7625</v>
      </c>
    </row>
    <row r="1073" spans="1:16" s="58" customFormat="1" ht="24" customHeight="1">
      <c r="A1073" s="10">
        <v>33</v>
      </c>
      <c r="B1073" s="222" t="s">
        <v>1872</v>
      </c>
      <c r="C1073" s="12" t="s">
        <v>163</v>
      </c>
      <c r="D1073" s="13"/>
      <c r="E1073" s="134"/>
      <c r="F1073" s="134"/>
      <c r="G1073" s="12" t="s">
        <v>163</v>
      </c>
      <c r="H1073" s="68"/>
      <c r="I1073" s="134">
        <v>9125</v>
      </c>
      <c r="J1073" s="134">
        <f t="shared" si="226"/>
        <v>9125</v>
      </c>
      <c r="K1073" s="12" t="s">
        <v>163</v>
      </c>
      <c r="L1073" s="120"/>
      <c r="M1073" s="122">
        <f t="shared" si="227"/>
        <v>9125</v>
      </c>
      <c r="N1073" s="122">
        <f t="shared" si="228"/>
        <v>9125</v>
      </c>
      <c r="O1073" s="71">
        <f t="shared" si="231"/>
        <v>0</v>
      </c>
      <c r="P1073" s="71">
        <f t="shared" si="232"/>
        <v>9125</v>
      </c>
    </row>
    <row r="1074" spans="1:16" s="58" customFormat="1" ht="41.25" customHeight="1">
      <c r="A1074" s="10"/>
      <c r="B1074" s="237" t="s">
        <v>1773</v>
      </c>
      <c r="C1074" s="238"/>
      <c r="D1074" s="238"/>
      <c r="E1074" s="238"/>
      <c r="F1074" s="238"/>
      <c r="G1074" s="238"/>
      <c r="H1074" s="238"/>
      <c r="I1074" s="238"/>
      <c r="J1074" s="238"/>
      <c r="K1074" s="238"/>
      <c r="L1074" s="238"/>
      <c r="M1074" s="238"/>
      <c r="N1074" s="239"/>
      <c r="O1074" s="71"/>
      <c r="P1074" s="71"/>
    </row>
    <row r="1075" spans="1:16" s="58" customFormat="1" ht="24" customHeight="1">
      <c r="A1075" s="10">
        <v>1</v>
      </c>
      <c r="B1075" s="11" t="s">
        <v>1774</v>
      </c>
      <c r="C1075" s="12" t="s">
        <v>163</v>
      </c>
      <c r="D1075" s="13"/>
      <c r="E1075" s="134"/>
      <c r="F1075" s="134"/>
      <c r="G1075" s="12" t="s">
        <v>163</v>
      </c>
      <c r="H1075" s="68">
        <v>63200</v>
      </c>
      <c r="I1075" s="134"/>
      <c r="J1075" s="134"/>
      <c r="K1075" s="12" t="s">
        <v>163</v>
      </c>
      <c r="L1075" s="120"/>
      <c r="M1075" s="122">
        <f>H1075</f>
        <v>63200</v>
      </c>
      <c r="N1075" s="122"/>
      <c r="O1075" s="71">
        <f>E1075</f>
        <v>0</v>
      </c>
      <c r="P1075" s="71">
        <f>M1075</f>
        <v>63200</v>
      </c>
    </row>
    <row r="1076" spans="1:16" s="58" customFormat="1" ht="24" customHeight="1">
      <c r="A1076" s="10">
        <v>2</v>
      </c>
      <c r="B1076" s="11" t="s">
        <v>1775</v>
      </c>
      <c r="C1076" s="12" t="s">
        <v>163</v>
      </c>
      <c r="D1076" s="13"/>
      <c r="E1076" s="134"/>
      <c r="F1076" s="134"/>
      <c r="G1076" s="12" t="s">
        <v>163</v>
      </c>
      <c r="H1076" s="68">
        <v>34600</v>
      </c>
      <c r="I1076" s="134"/>
      <c r="J1076" s="134"/>
      <c r="K1076" s="12" t="s">
        <v>163</v>
      </c>
      <c r="L1076" s="120"/>
      <c r="M1076" s="122">
        <f>H1076</f>
        <v>34600</v>
      </c>
      <c r="N1076" s="122"/>
      <c r="O1076" s="71">
        <f>E1076</f>
        <v>0</v>
      </c>
      <c r="P1076" s="71">
        <f>M1076</f>
        <v>34600</v>
      </c>
    </row>
    <row r="1077" spans="1:16" s="58" customFormat="1" ht="24" customHeight="1">
      <c r="A1077" s="10">
        <v>3</v>
      </c>
      <c r="B1077" s="11" t="s">
        <v>1776</v>
      </c>
      <c r="C1077" s="12" t="s">
        <v>163</v>
      </c>
      <c r="D1077" s="13"/>
      <c r="E1077" s="134"/>
      <c r="F1077" s="134"/>
      <c r="G1077" s="12" t="s">
        <v>163</v>
      </c>
      <c r="H1077" s="68">
        <v>87900</v>
      </c>
      <c r="I1077" s="134"/>
      <c r="J1077" s="134"/>
      <c r="K1077" s="12" t="s">
        <v>163</v>
      </c>
      <c r="L1077" s="120"/>
      <c r="M1077" s="122">
        <f>H1077</f>
        <v>87900</v>
      </c>
      <c r="N1077" s="122"/>
      <c r="O1077" s="71">
        <f>E1077</f>
        <v>0</v>
      </c>
      <c r="P1077" s="71">
        <f>M1077</f>
        <v>87900</v>
      </c>
    </row>
    <row r="1078" spans="1:16" s="58" customFormat="1" ht="24" customHeight="1">
      <c r="A1078" s="10">
        <v>4</v>
      </c>
      <c r="B1078" s="11" t="s">
        <v>1777</v>
      </c>
      <c r="C1078" s="12" t="s">
        <v>163</v>
      </c>
      <c r="D1078" s="13"/>
      <c r="E1078" s="134"/>
      <c r="F1078" s="134"/>
      <c r="G1078" s="12" t="s">
        <v>163</v>
      </c>
      <c r="H1078" s="68">
        <v>72000</v>
      </c>
      <c r="I1078" s="134"/>
      <c r="J1078" s="134"/>
      <c r="K1078" s="12" t="s">
        <v>163</v>
      </c>
      <c r="L1078" s="120"/>
      <c r="M1078" s="122">
        <f>H1078</f>
        <v>72000</v>
      </c>
      <c r="N1078" s="122"/>
      <c r="O1078" s="71">
        <f>E1078</f>
        <v>0</v>
      </c>
      <c r="P1078" s="71">
        <f>M1078</f>
        <v>72000</v>
      </c>
    </row>
    <row r="1079" spans="1:16" s="58" customFormat="1" ht="24" customHeight="1">
      <c r="A1079" s="10">
        <v>5</v>
      </c>
      <c r="B1079" s="11" t="s">
        <v>1778</v>
      </c>
      <c r="C1079" s="12" t="s">
        <v>163</v>
      </c>
      <c r="D1079" s="13"/>
      <c r="E1079" s="134"/>
      <c r="F1079" s="134"/>
      <c r="G1079" s="12" t="s">
        <v>163</v>
      </c>
      <c r="H1079" s="68">
        <v>129200</v>
      </c>
      <c r="I1079" s="134"/>
      <c r="J1079" s="134"/>
      <c r="K1079" s="12" t="s">
        <v>163</v>
      </c>
      <c r="L1079" s="120"/>
      <c r="M1079" s="122">
        <f>H1079</f>
        <v>129200</v>
      </c>
      <c r="N1079" s="122"/>
      <c r="O1079" s="71">
        <f>E1079</f>
        <v>0</v>
      </c>
      <c r="P1079" s="71">
        <f>M1079</f>
        <v>129200</v>
      </c>
    </row>
    <row r="1080" spans="1:16" s="58" customFormat="1" ht="33">
      <c r="A1080" s="10"/>
      <c r="B1080" s="9" t="s">
        <v>1899</v>
      </c>
      <c r="C1080" s="12"/>
      <c r="D1080" s="13"/>
      <c r="E1080" s="134"/>
      <c r="F1080" s="134"/>
      <c r="G1080" s="12"/>
      <c r="H1080" s="68"/>
      <c r="I1080" s="134"/>
      <c r="J1080" s="134"/>
      <c r="K1080" s="12"/>
      <c r="L1080" s="120"/>
      <c r="M1080" s="122"/>
      <c r="N1080" s="122"/>
      <c r="O1080" s="71"/>
      <c r="P1080" s="71"/>
    </row>
    <row r="1081" spans="1:16" s="58" customFormat="1" ht="24" customHeight="1">
      <c r="A1081" s="10">
        <v>1</v>
      </c>
      <c r="B1081" s="11" t="s">
        <v>1900</v>
      </c>
      <c r="C1081" s="12" t="s">
        <v>163</v>
      </c>
      <c r="D1081" s="13"/>
      <c r="E1081" s="134"/>
      <c r="F1081" s="134"/>
      <c r="G1081" s="12" t="s">
        <v>163</v>
      </c>
      <c r="H1081" s="13"/>
      <c r="I1081" s="13">
        <v>23636.363636363636</v>
      </c>
      <c r="J1081" s="134"/>
      <c r="K1081" s="12" t="s">
        <v>163</v>
      </c>
      <c r="L1081" s="120"/>
      <c r="M1081" s="120">
        <f>I1081</f>
        <v>23636.363636363636</v>
      </c>
      <c r="N1081" s="122"/>
      <c r="O1081" s="71">
        <f t="shared" ref="O1081:O1121" si="233">E1081</f>
        <v>0</v>
      </c>
      <c r="P1081" s="71">
        <f t="shared" ref="P1081:P1121" si="234">M1081</f>
        <v>23636.363636363636</v>
      </c>
    </row>
    <row r="1082" spans="1:16" s="58" customFormat="1" ht="24" customHeight="1">
      <c r="A1082" s="10">
        <f>A1081+1</f>
        <v>2</v>
      </c>
      <c r="B1082" s="11" t="s">
        <v>1901</v>
      </c>
      <c r="C1082" s="12" t="s">
        <v>163</v>
      </c>
      <c r="D1082" s="13"/>
      <c r="E1082" s="134"/>
      <c r="F1082" s="134"/>
      <c r="G1082" s="12" t="s">
        <v>163</v>
      </c>
      <c r="H1082" s="13"/>
      <c r="I1082" s="13">
        <v>29999.999999999996</v>
      </c>
      <c r="J1082" s="134"/>
      <c r="K1082" s="12" t="s">
        <v>163</v>
      </c>
      <c r="L1082" s="120"/>
      <c r="M1082" s="120">
        <f t="shared" ref="M1082:M1118" si="235">I1082</f>
        <v>29999.999999999996</v>
      </c>
      <c r="N1082" s="122"/>
      <c r="O1082" s="71">
        <f t="shared" si="233"/>
        <v>0</v>
      </c>
      <c r="P1082" s="71">
        <f t="shared" si="234"/>
        <v>29999.999999999996</v>
      </c>
    </row>
    <row r="1083" spans="1:16" s="58" customFormat="1" ht="24" customHeight="1">
      <c r="A1083" s="10">
        <f>A1082+1</f>
        <v>3</v>
      </c>
      <c r="B1083" s="11" t="s">
        <v>1902</v>
      </c>
      <c r="C1083" s="12" t="s">
        <v>163</v>
      </c>
      <c r="D1083" s="13"/>
      <c r="E1083" s="134"/>
      <c r="F1083" s="134"/>
      <c r="G1083" s="12" t="s">
        <v>163</v>
      </c>
      <c r="H1083" s="13"/>
      <c r="I1083" s="13">
        <v>43636.363636363632</v>
      </c>
      <c r="J1083" s="134"/>
      <c r="K1083" s="12" t="s">
        <v>163</v>
      </c>
      <c r="L1083" s="120"/>
      <c r="M1083" s="120">
        <f t="shared" si="235"/>
        <v>43636.363636363632</v>
      </c>
      <c r="N1083" s="122"/>
      <c r="O1083" s="71">
        <f t="shared" si="233"/>
        <v>0</v>
      </c>
      <c r="P1083" s="71">
        <f t="shared" si="234"/>
        <v>43636.363636363632</v>
      </c>
    </row>
    <row r="1084" spans="1:16" s="58" customFormat="1" ht="24" customHeight="1">
      <c r="A1084" s="10">
        <f>A1083+1</f>
        <v>4</v>
      </c>
      <c r="B1084" s="11" t="s">
        <v>1903</v>
      </c>
      <c r="C1084" s="12" t="s">
        <v>163</v>
      </c>
      <c r="D1084" s="13"/>
      <c r="E1084" s="134"/>
      <c r="F1084" s="134"/>
      <c r="G1084" s="12" t="s">
        <v>163</v>
      </c>
      <c r="H1084" s="13"/>
      <c r="I1084" s="13">
        <v>44545.454545454544</v>
      </c>
      <c r="J1084" s="134"/>
      <c r="K1084" s="12" t="s">
        <v>163</v>
      </c>
      <c r="L1084" s="120"/>
      <c r="M1084" s="120">
        <f t="shared" si="235"/>
        <v>44545.454545454544</v>
      </c>
      <c r="N1084" s="122"/>
      <c r="O1084" s="71">
        <f t="shared" si="233"/>
        <v>0</v>
      </c>
      <c r="P1084" s="71">
        <f t="shared" si="234"/>
        <v>44545.454545454544</v>
      </c>
    </row>
    <row r="1085" spans="1:16" s="58" customFormat="1" ht="24" customHeight="1">
      <c r="A1085" s="10">
        <f>A1084+1</f>
        <v>5</v>
      </c>
      <c r="B1085" s="11" t="s">
        <v>1904</v>
      </c>
      <c r="C1085" s="12" t="s">
        <v>163</v>
      </c>
      <c r="D1085" s="13"/>
      <c r="E1085" s="134"/>
      <c r="F1085" s="134"/>
      <c r="G1085" s="12" t="s">
        <v>163</v>
      </c>
      <c r="H1085" s="13"/>
      <c r="I1085" s="13">
        <v>105454.54545454544</v>
      </c>
      <c r="J1085" s="134"/>
      <c r="K1085" s="12" t="s">
        <v>163</v>
      </c>
      <c r="L1085" s="120"/>
      <c r="M1085" s="120">
        <f t="shared" si="235"/>
        <v>105454.54545454544</v>
      </c>
      <c r="N1085" s="122"/>
      <c r="O1085" s="71">
        <f t="shared" si="233"/>
        <v>0</v>
      </c>
      <c r="P1085" s="71">
        <f t="shared" si="234"/>
        <v>105454.54545454544</v>
      </c>
    </row>
    <row r="1086" spans="1:16" s="58" customFormat="1" ht="24" customHeight="1">
      <c r="A1086" s="10">
        <f t="shared" ref="A1086:A1118" si="236">A1085+1</f>
        <v>6</v>
      </c>
      <c r="B1086" s="11" t="s">
        <v>1905</v>
      </c>
      <c r="C1086" s="12" t="s">
        <v>163</v>
      </c>
      <c r="D1086" s="13"/>
      <c r="E1086" s="134"/>
      <c r="F1086" s="134"/>
      <c r="G1086" s="12" t="s">
        <v>163</v>
      </c>
      <c r="H1086" s="13"/>
      <c r="I1086" s="13">
        <v>145454.54545454544</v>
      </c>
      <c r="J1086" s="134"/>
      <c r="K1086" s="12" t="s">
        <v>163</v>
      </c>
      <c r="L1086" s="120"/>
      <c r="M1086" s="120">
        <f t="shared" si="235"/>
        <v>145454.54545454544</v>
      </c>
      <c r="N1086" s="122"/>
      <c r="O1086" s="71">
        <f t="shared" si="233"/>
        <v>0</v>
      </c>
      <c r="P1086" s="71">
        <f t="shared" si="234"/>
        <v>145454.54545454544</v>
      </c>
    </row>
    <row r="1087" spans="1:16" s="58" customFormat="1" ht="24" customHeight="1">
      <c r="A1087" s="10">
        <f t="shared" si="236"/>
        <v>7</v>
      </c>
      <c r="B1087" s="11" t="s">
        <v>1906</v>
      </c>
      <c r="C1087" s="12" t="s">
        <v>163</v>
      </c>
      <c r="D1087" s="13"/>
      <c r="E1087" s="134"/>
      <c r="F1087" s="134"/>
      <c r="G1087" s="12" t="s">
        <v>163</v>
      </c>
      <c r="H1087" s="13"/>
      <c r="I1087" s="13">
        <v>66363.636363636353</v>
      </c>
      <c r="J1087" s="134"/>
      <c r="K1087" s="12" t="s">
        <v>163</v>
      </c>
      <c r="L1087" s="120"/>
      <c r="M1087" s="120">
        <f t="shared" si="235"/>
        <v>66363.636363636353</v>
      </c>
      <c r="N1087" s="122"/>
      <c r="O1087" s="71">
        <f t="shared" si="233"/>
        <v>0</v>
      </c>
      <c r="P1087" s="71">
        <f t="shared" si="234"/>
        <v>66363.636363636353</v>
      </c>
    </row>
    <row r="1088" spans="1:16" s="58" customFormat="1" ht="24" customHeight="1">
      <c r="A1088" s="10">
        <f t="shared" si="236"/>
        <v>8</v>
      </c>
      <c r="B1088" s="11" t="s">
        <v>1907</v>
      </c>
      <c r="C1088" s="12" t="s">
        <v>163</v>
      </c>
      <c r="D1088" s="13"/>
      <c r="E1088" s="134"/>
      <c r="F1088" s="134"/>
      <c r="G1088" s="12" t="s">
        <v>163</v>
      </c>
      <c r="H1088" s="13"/>
      <c r="I1088" s="13">
        <v>126363.63636363635</v>
      </c>
      <c r="J1088" s="134"/>
      <c r="K1088" s="12" t="s">
        <v>163</v>
      </c>
      <c r="L1088" s="120"/>
      <c r="M1088" s="120">
        <f t="shared" si="235"/>
        <v>126363.63636363635</v>
      </c>
      <c r="N1088" s="122"/>
      <c r="O1088" s="71">
        <f t="shared" si="233"/>
        <v>0</v>
      </c>
      <c r="P1088" s="71">
        <f t="shared" si="234"/>
        <v>126363.63636363635</v>
      </c>
    </row>
    <row r="1089" spans="1:16" s="58" customFormat="1" ht="24" customHeight="1">
      <c r="A1089" s="10">
        <f t="shared" si="236"/>
        <v>9</v>
      </c>
      <c r="B1089" s="11" t="s">
        <v>1908</v>
      </c>
      <c r="C1089" s="12" t="s">
        <v>163</v>
      </c>
      <c r="D1089" s="13"/>
      <c r="E1089" s="134"/>
      <c r="F1089" s="134"/>
      <c r="G1089" s="12" t="s">
        <v>163</v>
      </c>
      <c r="H1089" s="13"/>
      <c r="I1089" s="13">
        <v>149090.90909090909</v>
      </c>
      <c r="J1089" s="134"/>
      <c r="K1089" s="12" t="s">
        <v>163</v>
      </c>
      <c r="L1089" s="120"/>
      <c r="M1089" s="120">
        <f t="shared" si="235"/>
        <v>149090.90909090909</v>
      </c>
      <c r="N1089" s="122"/>
      <c r="O1089" s="71">
        <f t="shared" si="233"/>
        <v>0</v>
      </c>
      <c r="P1089" s="71">
        <f t="shared" si="234"/>
        <v>149090.90909090909</v>
      </c>
    </row>
    <row r="1090" spans="1:16" s="58" customFormat="1" ht="24" customHeight="1">
      <c r="A1090" s="10">
        <f t="shared" si="236"/>
        <v>10</v>
      </c>
      <c r="B1090" s="11" t="s">
        <v>1909</v>
      </c>
      <c r="C1090" s="12" t="s">
        <v>163</v>
      </c>
      <c r="D1090" s="13"/>
      <c r="E1090" s="134"/>
      <c r="F1090" s="134"/>
      <c r="G1090" s="12" t="s">
        <v>163</v>
      </c>
      <c r="H1090" s="13"/>
      <c r="I1090" s="13">
        <v>167272.72727272726</v>
      </c>
      <c r="J1090" s="134"/>
      <c r="K1090" s="12" t="s">
        <v>163</v>
      </c>
      <c r="L1090" s="120"/>
      <c r="M1090" s="120">
        <f t="shared" si="235"/>
        <v>167272.72727272726</v>
      </c>
      <c r="N1090" s="122"/>
      <c r="O1090" s="71">
        <f t="shared" si="233"/>
        <v>0</v>
      </c>
      <c r="P1090" s="71">
        <f t="shared" si="234"/>
        <v>167272.72727272726</v>
      </c>
    </row>
    <row r="1091" spans="1:16" s="58" customFormat="1" ht="24" customHeight="1">
      <c r="A1091" s="10">
        <f t="shared" si="236"/>
        <v>11</v>
      </c>
      <c r="B1091" s="11" t="s">
        <v>1910</v>
      </c>
      <c r="C1091" s="12" t="s">
        <v>163</v>
      </c>
      <c r="D1091" s="13"/>
      <c r="E1091" s="134"/>
      <c r="F1091" s="134"/>
      <c r="G1091" s="12" t="s">
        <v>163</v>
      </c>
      <c r="H1091" s="13"/>
      <c r="I1091" s="13">
        <v>219999.99999999997</v>
      </c>
      <c r="J1091" s="134"/>
      <c r="K1091" s="12" t="s">
        <v>163</v>
      </c>
      <c r="L1091" s="120"/>
      <c r="M1091" s="120">
        <f t="shared" si="235"/>
        <v>219999.99999999997</v>
      </c>
      <c r="N1091" s="122"/>
      <c r="O1091" s="71">
        <f t="shared" si="233"/>
        <v>0</v>
      </c>
      <c r="P1091" s="71">
        <f t="shared" si="234"/>
        <v>219999.99999999997</v>
      </c>
    </row>
    <row r="1092" spans="1:16" s="58" customFormat="1" ht="24" customHeight="1">
      <c r="A1092" s="10">
        <f t="shared" si="236"/>
        <v>12</v>
      </c>
      <c r="B1092" s="11" t="s">
        <v>1911</v>
      </c>
      <c r="C1092" s="12" t="s">
        <v>163</v>
      </c>
      <c r="D1092" s="13"/>
      <c r="E1092" s="134"/>
      <c r="F1092" s="134"/>
      <c r="G1092" s="12" t="s">
        <v>163</v>
      </c>
      <c r="H1092" s="13"/>
      <c r="I1092" s="13">
        <v>50909.090909090904</v>
      </c>
      <c r="J1092" s="134"/>
      <c r="K1092" s="12" t="s">
        <v>163</v>
      </c>
      <c r="L1092" s="120"/>
      <c r="M1092" s="120">
        <f t="shared" si="235"/>
        <v>50909.090909090904</v>
      </c>
      <c r="N1092" s="122"/>
      <c r="O1092" s="71">
        <f t="shared" si="233"/>
        <v>0</v>
      </c>
      <c r="P1092" s="71">
        <f t="shared" si="234"/>
        <v>50909.090909090904</v>
      </c>
    </row>
    <row r="1093" spans="1:16" s="58" customFormat="1" ht="24" customHeight="1">
      <c r="A1093" s="10">
        <f t="shared" si="236"/>
        <v>13</v>
      </c>
      <c r="B1093" s="11" t="s">
        <v>1912</v>
      </c>
      <c r="C1093" s="12" t="s">
        <v>163</v>
      </c>
      <c r="D1093" s="13"/>
      <c r="E1093" s="134"/>
      <c r="F1093" s="134"/>
      <c r="G1093" s="12" t="s">
        <v>163</v>
      </c>
      <c r="H1093" s="13"/>
      <c r="I1093" s="13">
        <v>64545.454545454537</v>
      </c>
      <c r="J1093" s="134"/>
      <c r="K1093" s="12" t="s">
        <v>163</v>
      </c>
      <c r="L1093" s="120"/>
      <c r="M1093" s="120">
        <f t="shared" si="235"/>
        <v>64545.454545454537</v>
      </c>
      <c r="N1093" s="122"/>
      <c r="O1093" s="71">
        <f t="shared" si="233"/>
        <v>0</v>
      </c>
      <c r="P1093" s="71">
        <f t="shared" si="234"/>
        <v>64545.454545454537</v>
      </c>
    </row>
    <row r="1094" spans="1:16" s="58" customFormat="1" ht="24" customHeight="1">
      <c r="A1094" s="10">
        <f t="shared" si="236"/>
        <v>14</v>
      </c>
      <c r="B1094" s="11" t="s">
        <v>1913</v>
      </c>
      <c r="C1094" s="12" t="s">
        <v>163</v>
      </c>
      <c r="D1094" s="13"/>
      <c r="E1094" s="134"/>
      <c r="F1094" s="134"/>
      <c r="G1094" s="12" t="s">
        <v>163</v>
      </c>
      <c r="H1094" s="13"/>
      <c r="I1094" s="13">
        <v>81818.181818181809</v>
      </c>
      <c r="J1094" s="134"/>
      <c r="K1094" s="12" t="s">
        <v>163</v>
      </c>
      <c r="L1094" s="120"/>
      <c r="M1094" s="120">
        <f t="shared" si="235"/>
        <v>81818.181818181809</v>
      </c>
      <c r="N1094" s="122"/>
      <c r="O1094" s="71">
        <f t="shared" si="233"/>
        <v>0</v>
      </c>
      <c r="P1094" s="71">
        <f t="shared" si="234"/>
        <v>81818.181818181809</v>
      </c>
    </row>
    <row r="1095" spans="1:16" s="58" customFormat="1" ht="24" customHeight="1">
      <c r="A1095" s="10">
        <f t="shared" si="236"/>
        <v>15</v>
      </c>
      <c r="B1095" s="11" t="s">
        <v>1914</v>
      </c>
      <c r="C1095" s="12" t="s">
        <v>163</v>
      </c>
      <c r="D1095" s="13"/>
      <c r="E1095" s="134"/>
      <c r="F1095" s="134"/>
      <c r="G1095" s="12" t="s">
        <v>163</v>
      </c>
      <c r="H1095" s="13"/>
      <c r="I1095" s="13">
        <v>103636.36363636363</v>
      </c>
      <c r="J1095" s="134"/>
      <c r="K1095" s="12" t="s">
        <v>163</v>
      </c>
      <c r="L1095" s="120"/>
      <c r="M1095" s="120">
        <f t="shared" si="235"/>
        <v>103636.36363636363</v>
      </c>
      <c r="N1095" s="122"/>
      <c r="O1095" s="71">
        <f t="shared" si="233"/>
        <v>0</v>
      </c>
      <c r="P1095" s="71">
        <f t="shared" si="234"/>
        <v>103636.36363636363</v>
      </c>
    </row>
    <row r="1096" spans="1:16" s="58" customFormat="1" ht="24" customHeight="1">
      <c r="A1096" s="10">
        <f t="shared" si="236"/>
        <v>16</v>
      </c>
      <c r="B1096" s="11" t="s">
        <v>1915</v>
      </c>
      <c r="C1096" s="12" t="s">
        <v>163</v>
      </c>
      <c r="D1096" s="13"/>
      <c r="E1096" s="134"/>
      <c r="F1096" s="134"/>
      <c r="G1096" s="12" t="s">
        <v>163</v>
      </c>
      <c r="H1096" s="13"/>
      <c r="I1096" s="13">
        <v>31818.181818181816</v>
      </c>
      <c r="J1096" s="134"/>
      <c r="K1096" s="12" t="s">
        <v>163</v>
      </c>
      <c r="L1096" s="120"/>
      <c r="M1096" s="120">
        <f t="shared" si="235"/>
        <v>31818.181818181816</v>
      </c>
      <c r="N1096" s="122"/>
      <c r="O1096" s="71">
        <f t="shared" si="233"/>
        <v>0</v>
      </c>
      <c r="P1096" s="71">
        <f t="shared" si="234"/>
        <v>31818.181818181816</v>
      </c>
    </row>
    <row r="1097" spans="1:16" s="58" customFormat="1" ht="24" customHeight="1">
      <c r="A1097" s="10">
        <f t="shared" si="236"/>
        <v>17</v>
      </c>
      <c r="B1097" s="11" t="s">
        <v>1916</v>
      </c>
      <c r="C1097" s="12" t="s">
        <v>163</v>
      </c>
      <c r="D1097" s="13"/>
      <c r="E1097" s="134"/>
      <c r="F1097" s="134"/>
      <c r="G1097" s="12" t="s">
        <v>163</v>
      </c>
      <c r="H1097" s="13"/>
      <c r="I1097" s="13">
        <v>105454.54545454544</v>
      </c>
      <c r="J1097" s="134"/>
      <c r="K1097" s="12" t="s">
        <v>163</v>
      </c>
      <c r="L1097" s="120"/>
      <c r="M1097" s="120">
        <f t="shared" si="235"/>
        <v>105454.54545454544</v>
      </c>
      <c r="N1097" s="122"/>
      <c r="O1097" s="71">
        <f t="shared" si="233"/>
        <v>0</v>
      </c>
      <c r="P1097" s="71">
        <f t="shared" si="234"/>
        <v>105454.54545454544</v>
      </c>
    </row>
    <row r="1098" spans="1:16" s="58" customFormat="1" ht="24" customHeight="1">
      <c r="A1098" s="10">
        <f t="shared" si="236"/>
        <v>18</v>
      </c>
      <c r="B1098" s="11" t="s">
        <v>1917</v>
      </c>
      <c r="C1098" s="12" t="s">
        <v>163</v>
      </c>
      <c r="D1098" s="13"/>
      <c r="E1098" s="134"/>
      <c r="F1098" s="134"/>
      <c r="G1098" s="12" t="s">
        <v>163</v>
      </c>
      <c r="H1098" s="13"/>
      <c r="I1098" s="13">
        <v>69090.909090909088</v>
      </c>
      <c r="J1098" s="134"/>
      <c r="K1098" s="12" t="s">
        <v>163</v>
      </c>
      <c r="L1098" s="120"/>
      <c r="M1098" s="120">
        <f t="shared" si="235"/>
        <v>69090.909090909088</v>
      </c>
      <c r="N1098" s="122"/>
      <c r="O1098" s="71">
        <f t="shared" si="233"/>
        <v>0</v>
      </c>
      <c r="P1098" s="71">
        <f t="shared" si="234"/>
        <v>69090.909090909088</v>
      </c>
    </row>
    <row r="1099" spans="1:16" s="58" customFormat="1" ht="24" customHeight="1">
      <c r="A1099" s="10">
        <f t="shared" si="236"/>
        <v>19</v>
      </c>
      <c r="B1099" s="11" t="s">
        <v>1922</v>
      </c>
      <c r="C1099" s="12" t="s">
        <v>163</v>
      </c>
      <c r="D1099" s="13"/>
      <c r="E1099" s="134"/>
      <c r="F1099" s="134"/>
      <c r="G1099" s="12" t="s">
        <v>163</v>
      </c>
      <c r="H1099" s="13"/>
      <c r="I1099" s="13">
        <v>3927.272727272727</v>
      </c>
      <c r="J1099" s="134"/>
      <c r="K1099" s="12" t="s">
        <v>163</v>
      </c>
      <c r="L1099" s="120"/>
      <c r="M1099" s="120">
        <f t="shared" si="235"/>
        <v>3927.272727272727</v>
      </c>
      <c r="N1099" s="122"/>
      <c r="O1099" s="71">
        <f t="shared" si="233"/>
        <v>0</v>
      </c>
      <c r="P1099" s="71">
        <f t="shared" si="234"/>
        <v>3927.272727272727</v>
      </c>
    </row>
    <row r="1100" spans="1:16" s="58" customFormat="1" ht="24" customHeight="1">
      <c r="A1100" s="10">
        <f t="shared" si="236"/>
        <v>20</v>
      </c>
      <c r="B1100" s="11" t="s">
        <v>1923</v>
      </c>
      <c r="C1100" s="12" t="s">
        <v>163</v>
      </c>
      <c r="D1100" s="13"/>
      <c r="E1100" s="134"/>
      <c r="F1100" s="134"/>
      <c r="G1100" s="12" t="s">
        <v>163</v>
      </c>
      <c r="H1100" s="13"/>
      <c r="I1100" s="13">
        <v>5745.454545454545</v>
      </c>
      <c r="J1100" s="134"/>
      <c r="K1100" s="12" t="s">
        <v>163</v>
      </c>
      <c r="L1100" s="120"/>
      <c r="M1100" s="120">
        <f t="shared" si="235"/>
        <v>5745.454545454545</v>
      </c>
      <c r="N1100" s="122"/>
      <c r="O1100" s="71">
        <f t="shared" si="233"/>
        <v>0</v>
      </c>
      <c r="P1100" s="71">
        <f t="shared" si="234"/>
        <v>5745.454545454545</v>
      </c>
    </row>
    <row r="1101" spans="1:16" s="58" customFormat="1" ht="24" customHeight="1">
      <c r="A1101" s="10">
        <f t="shared" si="236"/>
        <v>21</v>
      </c>
      <c r="B1101" s="11" t="s">
        <v>1918</v>
      </c>
      <c r="C1101" s="12" t="s">
        <v>163</v>
      </c>
      <c r="D1101" s="13"/>
      <c r="E1101" s="134"/>
      <c r="F1101" s="134"/>
      <c r="G1101" s="12" t="s">
        <v>163</v>
      </c>
      <c r="H1101" s="13"/>
      <c r="I1101" s="13">
        <v>6181.8181818181811</v>
      </c>
      <c r="J1101" s="134"/>
      <c r="K1101" s="12" t="s">
        <v>163</v>
      </c>
      <c r="L1101" s="120"/>
      <c r="M1101" s="120">
        <f t="shared" si="235"/>
        <v>6181.8181818181811</v>
      </c>
      <c r="N1101" s="122"/>
      <c r="O1101" s="71">
        <f t="shared" si="233"/>
        <v>0</v>
      </c>
      <c r="P1101" s="71">
        <f t="shared" si="234"/>
        <v>6181.8181818181811</v>
      </c>
    </row>
    <row r="1102" spans="1:16" s="58" customFormat="1" ht="24" customHeight="1">
      <c r="A1102" s="10">
        <f t="shared" si="236"/>
        <v>22</v>
      </c>
      <c r="B1102" s="11" t="s">
        <v>1919</v>
      </c>
      <c r="C1102" s="12" t="s">
        <v>163</v>
      </c>
      <c r="D1102" s="13"/>
      <c r="E1102" s="134"/>
      <c r="F1102" s="134"/>
      <c r="G1102" s="12" t="s">
        <v>163</v>
      </c>
      <c r="H1102" s="13"/>
      <c r="I1102" s="13">
        <v>6363.6363636363631</v>
      </c>
      <c r="J1102" s="134"/>
      <c r="K1102" s="12" t="s">
        <v>163</v>
      </c>
      <c r="L1102" s="120"/>
      <c r="M1102" s="120">
        <f t="shared" si="235"/>
        <v>6363.6363636363631</v>
      </c>
      <c r="N1102" s="122"/>
      <c r="O1102" s="71">
        <f t="shared" si="233"/>
        <v>0</v>
      </c>
      <c r="P1102" s="71">
        <f t="shared" si="234"/>
        <v>6363.6363636363631</v>
      </c>
    </row>
    <row r="1103" spans="1:16" s="58" customFormat="1" ht="24" customHeight="1">
      <c r="A1103" s="10">
        <f t="shared" si="236"/>
        <v>23</v>
      </c>
      <c r="B1103" s="11" t="s">
        <v>1920</v>
      </c>
      <c r="C1103" s="12" t="s">
        <v>163</v>
      </c>
      <c r="D1103" s="13"/>
      <c r="E1103" s="134"/>
      <c r="F1103" s="134"/>
      <c r="G1103" s="12" t="s">
        <v>163</v>
      </c>
      <c r="H1103" s="13"/>
      <c r="I1103" s="13">
        <v>6545.454545454545</v>
      </c>
      <c r="J1103" s="134"/>
      <c r="K1103" s="12" t="s">
        <v>163</v>
      </c>
      <c r="L1103" s="120"/>
      <c r="M1103" s="120">
        <f t="shared" si="235"/>
        <v>6545.454545454545</v>
      </c>
      <c r="N1103" s="122"/>
      <c r="O1103" s="71">
        <f t="shared" si="233"/>
        <v>0</v>
      </c>
      <c r="P1103" s="71">
        <f t="shared" si="234"/>
        <v>6545.454545454545</v>
      </c>
    </row>
    <row r="1104" spans="1:16" s="58" customFormat="1" ht="24" customHeight="1">
      <c r="A1104" s="10">
        <f t="shared" si="236"/>
        <v>24</v>
      </c>
      <c r="B1104" s="11" t="s">
        <v>1921</v>
      </c>
      <c r="C1104" s="12" t="s">
        <v>163</v>
      </c>
      <c r="D1104" s="13"/>
      <c r="E1104" s="134"/>
      <c r="F1104" s="134"/>
      <c r="G1104" s="12" t="s">
        <v>163</v>
      </c>
      <c r="H1104" s="13"/>
      <c r="I1104" s="13">
        <v>4363.6363636363631</v>
      </c>
      <c r="J1104" s="134"/>
      <c r="K1104" s="12" t="s">
        <v>163</v>
      </c>
      <c r="L1104" s="120"/>
      <c r="M1104" s="120">
        <f t="shared" si="235"/>
        <v>4363.6363636363631</v>
      </c>
      <c r="N1104" s="122"/>
      <c r="O1104" s="71">
        <f t="shared" si="233"/>
        <v>0</v>
      </c>
      <c r="P1104" s="71">
        <f t="shared" si="234"/>
        <v>4363.6363636363631</v>
      </c>
    </row>
    <row r="1105" spans="1:16" s="58" customFormat="1" ht="24" customHeight="1">
      <c r="A1105" s="10">
        <f t="shared" si="236"/>
        <v>25</v>
      </c>
      <c r="B1105" s="11" t="s">
        <v>1924</v>
      </c>
      <c r="C1105" s="12" t="s">
        <v>163</v>
      </c>
      <c r="D1105" s="13"/>
      <c r="E1105" s="134"/>
      <c r="F1105" s="134"/>
      <c r="G1105" s="12" t="s">
        <v>163</v>
      </c>
      <c r="H1105" s="13"/>
      <c r="I1105" s="13">
        <v>6981.8181818181811</v>
      </c>
      <c r="J1105" s="134"/>
      <c r="K1105" s="12" t="s">
        <v>163</v>
      </c>
      <c r="L1105" s="120"/>
      <c r="M1105" s="120">
        <f t="shared" si="235"/>
        <v>6981.8181818181811</v>
      </c>
      <c r="N1105" s="122"/>
      <c r="O1105" s="71">
        <f t="shared" si="233"/>
        <v>0</v>
      </c>
      <c r="P1105" s="71">
        <f t="shared" si="234"/>
        <v>6981.8181818181811</v>
      </c>
    </row>
    <row r="1106" spans="1:16" s="58" customFormat="1" ht="24" customHeight="1">
      <c r="A1106" s="10">
        <f t="shared" si="236"/>
        <v>26</v>
      </c>
      <c r="B1106" s="11" t="s">
        <v>1925</v>
      </c>
      <c r="C1106" s="12" t="s">
        <v>163</v>
      </c>
      <c r="D1106" s="13"/>
      <c r="E1106" s="134"/>
      <c r="F1106" s="134"/>
      <c r="G1106" s="12" t="s">
        <v>163</v>
      </c>
      <c r="H1106" s="13"/>
      <c r="I1106" s="13">
        <v>7345.454545454545</v>
      </c>
      <c r="J1106" s="134"/>
      <c r="K1106" s="12" t="s">
        <v>163</v>
      </c>
      <c r="L1106" s="120"/>
      <c r="M1106" s="120">
        <f t="shared" si="235"/>
        <v>7345.454545454545</v>
      </c>
      <c r="N1106" s="122"/>
      <c r="O1106" s="71">
        <f t="shared" si="233"/>
        <v>0</v>
      </c>
      <c r="P1106" s="71">
        <f t="shared" si="234"/>
        <v>7345.454545454545</v>
      </c>
    </row>
    <row r="1107" spans="1:16" s="58" customFormat="1" ht="24" customHeight="1">
      <c r="A1107" s="10">
        <f t="shared" si="236"/>
        <v>27</v>
      </c>
      <c r="B1107" s="11" t="s">
        <v>1926</v>
      </c>
      <c r="C1107" s="12" t="s">
        <v>163</v>
      </c>
      <c r="D1107" s="13"/>
      <c r="E1107" s="134"/>
      <c r="F1107" s="134"/>
      <c r="G1107" s="12" t="s">
        <v>163</v>
      </c>
      <c r="H1107" s="13"/>
      <c r="I1107" s="13">
        <v>7527.272727272727</v>
      </c>
      <c r="J1107" s="134"/>
      <c r="K1107" s="12" t="s">
        <v>163</v>
      </c>
      <c r="L1107" s="120"/>
      <c r="M1107" s="120">
        <f t="shared" si="235"/>
        <v>7527.272727272727</v>
      </c>
      <c r="N1107" s="122"/>
      <c r="O1107" s="71">
        <f t="shared" si="233"/>
        <v>0</v>
      </c>
      <c r="P1107" s="71">
        <f t="shared" si="234"/>
        <v>7527.272727272727</v>
      </c>
    </row>
    <row r="1108" spans="1:16" s="58" customFormat="1" ht="24" customHeight="1">
      <c r="A1108" s="10">
        <f t="shared" si="236"/>
        <v>28</v>
      </c>
      <c r="B1108" s="11" t="s">
        <v>1927</v>
      </c>
      <c r="C1108" s="12" t="s">
        <v>163</v>
      </c>
      <c r="D1108" s="13"/>
      <c r="E1108" s="134"/>
      <c r="F1108" s="134"/>
      <c r="G1108" s="12" t="s">
        <v>163</v>
      </c>
      <c r="H1108" s="13"/>
      <c r="I1108" s="13">
        <v>7709.0909090909081</v>
      </c>
      <c r="J1108" s="134"/>
      <c r="K1108" s="12" t="s">
        <v>163</v>
      </c>
      <c r="L1108" s="120"/>
      <c r="M1108" s="120">
        <f t="shared" si="235"/>
        <v>7709.0909090909081</v>
      </c>
      <c r="N1108" s="122"/>
      <c r="O1108" s="71">
        <f t="shared" si="233"/>
        <v>0</v>
      </c>
      <c r="P1108" s="71">
        <f t="shared" si="234"/>
        <v>7709.0909090909081</v>
      </c>
    </row>
    <row r="1109" spans="1:16" s="58" customFormat="1" ht="24" customHeight="1">
      <c r="A1109" s="10">
        <f t="shared" si="236"/>
        <v>29</v>
      </c>
      <c r="B1109" s="11" t="s">
        <v>1928</v>
      </c>
      <c r="C1109" s="12" t="s">
        <v>163</v>
      </c>
      <c r="D1109" s="13"/>
      <c r="E1109" s="134"/>
      <c r="F1109" s="134"/>
      <c r="G1109" s="12" t="s">
        <v>163</v>
      </c>
      <c r="H1109" s="13"/>
      <c r="I1109" s="13">
        <v>8909.0909090909081</v>
      </c>
      <c r="J1109" s="134"/>
      <c r="K1109" s="12" t="s">
        <v>163</v>
      </c>
      <c r="L1109" s="120"/>
      <c r="M1109" s="120">
        <f t="shared" si="235"/>
        <v>8909.0909090909081</v>
      </c>
      <c r="N1109" s="122"/>
      <c r="O1109" s="71">
        <f t="shared" si="233"/>
        <v>0</v>
      </c>
      <c r="P1109" s="71">
        <f t="shared" si="234"/>
        <v>8909.0909090909081</v>
      </c>
    </row>
    <row r="1110" spans="1:16" s="58" customFormat="1" ht="24" customHeight="1">
      <c r="A1110" s="10">
        <f t="shared" si="236"/>
        <v>30</v>
      </c>
      <c r="B1110" s="11" t="s">
        <v>1929</v>
      </c>
      <c r="C1110" s="12" t="s">
        <v>1938</v>
      </c>
      <c r="D1110" s="13"/>
      <c r="E1110" s="134"/>
      <c r="F1110" s="134"/>
      <c r="G1110" s="12" t="s">
        <v>1938</v>
      </c>
      <c r="H1110" s="13"/>
      <c r="I1110" s="13">
        <v>130909.0909090909</v>
      </c>
      <c r="J1110" s="134"/>
      <c r="K1110" s="12" t="s">
        <v>1073</v>
      </c>
      <c r="L1110" s="120"/>
      <c r="M1110" s="120">
        <f t="shared" si="235"/>
        <v>130909.0909090909</v>
      </c>
      <c r="N1110" s="122"/>
      <c r="O1110" s="71">
        <f t="shared" si="233"/>
        <v>0</v>
      </c>
      <c r="P1110" s="71">
        <f t="shared" si="234"/>
        <v>130909.0909090909</v>
      </c>
    </row>
    <row r="1111" spans="1:16" s="58" customFormat="1" ht="24" customHeight="1">
      <c r="A1111" s="10">
        <f t="shared" si="236"/>
        <v>31</v>
      </c>
      <c r="B1111" s="11" t="s">
        <v>1930</v>
      </c>
      <c r="C1111" s="12" t="s">
        <v>1938</v>
      </c>
      <c r="D1111" s="13"/>
      <c r="E1111" s="134"/>
      <c r="F1111" s="134"/>
      <c r="G1111" s="12" t="s">
        <v>1938</v>
      </c>
      <c r="H1111" s="13"/>
      <c r="I1111" s="13">
        <v>119999.99999999999</v>
      </c>
      <c r="J1111" s="134"/>
      <c r="K1111" s="12" t="s">
        <v>1073</v>
      </c>
      <c r="L1111" s="120"/>
      <c r="M1111" s="120">
        <f t="shared" si="235"/>
        <v>119999.99999999999</v>
      </c>
      <c r="N1111" s="122"/>
      <c r="O1111" s="71">
        <f t="shared" si="233"/>
        <v>0</v>
      </c>
      <c r="P1111" s="71">
        <f t="shared" si="234"/>
        <v>119999.99999999999</v>
      </c>
    </row>
    <row r="1112" spans="1:16" s="58" customFormat="1" ht="24" customHeight="1">
      <c r="A1112" s="10">
        <f t="shared" si="236"/>
        <v>32</v>
      </c>
      <c r="B1112" s="11" t="s">
        <v>1931</v>
      </c>
      <c r="C1112" s="12" t="s">
        <v>1938</v>
      </c>
      <c r="D1112" s="13"/>
      <c r="E1112" s="134"/>
      <c r="F1112" s="134"/>
      <c r="G1112" s="12" t="s">
        <v>1938</v>
      </c>
      <c r="H1112" s="13"/>
      <c r="I1112" s="13">
        <v>132727.27272727271</v>
      </c>
      <c r="J1112" s="134"/>
      <c r="K1112" s="12" t="s">
        <v>1073</v>
      </c>
      <c r="L1112" s="120"/>
      <c r="M1112" s="120">
        <f t="shared" si="235"/>
        <v>132727.27272727271</v>
      </c>
      <c r="N1112" s="122"/>
      <c r="O1112" s="71">
        <f t="shared" si="233"/>
        <v>0</v>
      </c>
      <c r="P1112" s="71">
        <f t="shared" si="234"/>
        <v>132727.27272727271</v>
      </c>
    </row>
    <row r="1113" spans="1:16" s="58" customFormat="1" ht="24" customHeight="1">
      <c r="A1113" s="10">
        <f t="shared" si="236"/>
        <v>33</v>
      </c>
      <c r="B1113" s="11" t="s">
        <v>1932</v>
      </c>
      <c r="C1113" s="12" t="s">
        <v>1938</v>
      </c>
      <c r="D1113" s="13"/>
      <c r="E1113" s="134"/>
      <c r="F1113" s="134"/>
      <c r="G1113" s="12" t="s">
        <v>1938</v>
      </c>
      <c r="H1113" s="13"/>
      <c r="I1113" s="13">
        <v>127272.72727272726</v>
      </c>
      <c r="J1113" s="134"/>
      <c r="K1113" s="12" t="s">
        <v>1073</v>
      </c>
      <c r="L1113" s="120"/>
      <c r="M1113" s="120">
        <f t="shared" si="235"/>
        <v>127272.72727272726</v>
      </c>
      <c r="N1113" s="122"/>
      <c r="O1113" s="71">
        <f t="shared" si="233"/>
        <v>0</v>
      </c>
      <c r="P1113" s="71">
        <f t="shared" si="234"/>
        <v>127272.72727272726</v>
      </c>
    </row>
    <row r="1114" spans="1:16" s="58" customFormat="1" ht="24" customHeight="1">
      <c r="A1114" s="10">
        <f t="shared" si="236"/>
        <v>34</v>
      </c>
      <c r="B1114" s="11" t="s">
        <v>1933</v>
      </c>
      <c r="C1114" s="12" t="s">
        <v>1938</v>
      </c>
      <c r="D1114" s="13"/>
      <c r="E1114" s="134"/>
      <c r="F1114" s="134"/>
      <c r="G1114" s="12" t="s">
        <v>1938</v>
      </c>
      <c r="H1114" s="13"/>
      <c r="I1114" s="13">
        <v>86363.636363636353</v>
      </c>
      <c r="J1114" s="134"/>
      <c r="K1114" s="12" t="s">
        <v>1073</v>
      </c>
      <c r="L1114" s="120"/>
      <c r="M1114" s="120">
        <f t="shared" si="235"/>
        <v>86363.636363636353</v>
      </c>
      <c r="N1114" s="122"/>
      <c r="O1114" s="71">
        <f t="shared" si="233"/>
        <v>0</v>
      </c>
      <c r="P1114" s="71">
        <f t="shared" si="234"/>
        <v>86363.636363636353</v>
      </c>
    </row>
    <row r="1115" spans="1:16" s="58" customFormat="1" ht="24" customHeight="1">
      <c r="A1115" s="10">
        <f t="shared" si="236"/>
        <v>35</v>
      </c>
      <c r="B1115" s="11" t="s">
        <v>1934</v>
      </c>
      <c r="C1115" s="12" t="s">
        <v>1938</v>
      </c>
      <c r="D1115" s="13"/>
      <c r="E1115" s="134"/>
      <c r="F1115" s="134"/>
      <c r="G1115" s="12" t="s">
        <v>1938</v>
      </c>
      <c r="H1115" s="13"/>
      <c r="I1115" s="13">
        <v>89090.909090909088</v>
      </c>
      <c r="J1115" s="134"/>
      <c r="K1115" s="12" t="s">
        <v>1073</v>
      </c>
      <c r="L1115" s="120"/>
      <c r="M1115" s="120">
        <f t="shared" si="235"/>
        <v>89090.909090909088</v>
      </c>
      <c r="N1115" s="122"/>
      <c r="O1115" s="71">
        <f t="shared" si="233"/>
        <v>0</v>
      </c>
      <c r="P1115" s="71">
        <f t="shared" si="234"/>
        <v>89090.909090909088</v>
      </c>
    </row>
    <row r="1116" spans="1:16" s="58" customFormat="1" ht="24" customHeight="1">
      <c r="A1116" s="10">
        <f t="shared" si="236"/>
        <v>36</v>
      </c>
      <c r="B1116" s="11" t="s">
        <v>1935</v>
      </c>
      <c r="C1116" s="12" t="s">
        <v>1938</v>
      </c>
      <c r="D1116" s="13"/>
      <c r="E1116" s="134"/>
      <c r="F1116" s="134"/>
      <c r="G1116" s="12" t="s">
        <v>1938</v>
      </c>
      <c r="H1116" s="13"/>
      <c r="I1116" s="13">
        <v>133636.36363636362</v>
      </c>
      <c r="J1116" s="134"/>
      <c r="K1116" s="12" t="s">
        <v>1073</v>
      </c>
      <c r="L1116" s="120"/>
      <c r="M1116" s="120">
        <f t="shared" si="235"/>
        <v>133636.36363636362</v>
      </c>
      <c r="N1116" s="122"/>
      <c r="O1116" s="71">
        <f t="shared" si="233"/>
        <v>0</v>
      </c>
      <c r="P1116" s="71">
        <f t="shared" si="234"/>
        <v>133636.36363636362</v>
      </c>
    </row>
    <row r="1117" spans="1:16" s="58" customFormat="1" ht="24" customHeight="1">
      <c r="A1117" s="10">
        <f t="shared" si="236"/>
        <v>37</v>
      </c>
      <c r="B1117" s="11" t="s">
        <v>1936</v>
      </c>
      <c r="C1117" s="12" t="s">
        <v>1938</v>
      </c>
      <c r="D1117" s="13"/>
      <c r="E1117" s="134"/>
      <c r="F1117" s="134"/>
      <c r="G1117" s="12" t="s">
        <v>1938</v>
      </c>
      <c r="H1117" s="13"/>
      <c r="I1117" s="13">
        <v>133636.36363636362</v>
      </c>
      <c r="J1117" s="134"/>
      <c r="K1117" s="12" t="s">
        <v>1073</v>
      </c>
      <c r="L1117" s="120"/>
      <c r="M1117" s="120">
        <f t="shared" si="235"/>
        <v>133636.36363636362</v>
      </c>
      <c r="N1117" s="122"/>
      <c r="O1117" s="71">
        <f t="shared" si="233"/>
        <v>0</v>
      </c>
      <c r="P1117" s="71">
        <f t="shared" si="234"/>
        <v>133636.36363636362</v>
      </c>
    </row>
    <row r="1118" spans="1:16" s="58" customFormat="1" ht="24" customHeight="1">
      <c r="A1118" s="10">
        <f t="shared" si="236"/>
        <v>38</v>
      </c>
      <c r="B1118" s="11" t="s">
        <v>1937</v>
      </c>
      <c r="C1118" s="12" t="s">
        <v>1938</v>
      </c>
      <c r="D1118" s="13"/>
      <c r="E1118" s="134"/>
      <c r="F1118" s="134"/>
      <c r="G1118" s="12" t="s">
        <v>1938</v>
      </c>
      <c r="H1118" s="13"/>
      <c r="I1118" s="13">
        <v>142727.27272727271</v>
      </c>
      <c r="J1118" s="134"/>
      <c r="K1118" s="12" t="s">
        <v>1073</v>
      </c>
      <c r="L1118" s="120"/>
      <c r="M1118" s="120">
        <f t="shared" si="235"/>
        <v>142727.27272727271</v>
      </c>
      <c r="N1118" s="122"/>
      <c r="O1118" s="71">
        <f t="shared" si="233"/>
        <v>0</v>
      </c>
      <c r="P1118" s="71">
        <f t="shared" si="234"/>
        <v>142727.27272727271</v>
      </c>
    </row>
    <row r="1119" spans="1:16" s="58" customFormat="1" ht="24" customHeight="1">
      <c r="A1119" s="17" t="s">
        <v>476</v>
      </c>
      <c r="B1119" s="252" t="s">
        <v>477</v>
      </c>
      <c r="C1119" s="252"/>
      <c r="D1119" s="252"/>
      <c r="E1119" s="252"/>
      <c r="F1119" s="252"/>
      <c r="G1119" s="127"/>
      <c r="H1119" s="127"/>
      <c r="I1119" s="127"/>
      <c r="J1119" s="127"/>
      <c r="K1119" s="12"/>
      <c r="L1119" s="120"/>
      <c r="M1119" s="120"/>
      <c r="N1119" s="120"/>
      <c r="O1119" s="71">
        <f t="shared" si="233"/>
        <v>0</v>
      </c>
      <c r="P1119" s="71">
        <f t="shared" si="234"/>
        <v>0</v>
      </c>
    </row>
    <row r="1120" spans="1:16" s="58" customFormat="1" ht="24" customHeight="1">
      <c r="A1120" s="17"/>
      <c r="B1120" s="240" t="s">
        <v>478</v>
      </c>
      <c r="C1120" s="241"/>
      <c r="D1120" s="241"/>
      <c r="E1120" s="241"/>
      <c r="F1120" s="241"/>
      <c r="G1120" s="241"/>
      <c r="H1120" s="241"/>
      <c r="I1120" s="241"/>
      <c r="J1120" s="241"/>
      <c r="K1120" s="241"/>
      <c r="L1120" s="241"/>
      <c r="M1120" s="241"/>
      <c r="N1120" s="242"/>
      <c r="O1120" s="71">
        <f t="shared" si="233"/>
        <v>0</v>
      </c>
      <c r="P1120" s="71">
        <f t="shared" si="234"/>
        <v>0</v>
      </c>
    </row>
    <row r="1121" spans="1:16" s="58" customFormat="1" ht="24" customHeight="1">
      <c r="A1121" s="10"/>
      <c r="B1121" s="9" t="s">
        <v>479</v>
      </c>
      <c r="C1121" s="15"/>
      <c r="D1121" s="13"/>
      <c r="E1121" s="18"/>
      <c r="F1121" s="13"/>
      <c r="G1121" s="127"/>
      <c r="H1121" s="127"/>
      <c r="I1121" s="127"/>
      <c r="J1121" s="127"/>
      <c r="K1121" s="25"/>
      <c r="L1121" s="120"/>
      <c r="M1121" s="122"/>
      <c r="N1121" s="120"/>
      <c r="O1121" s="71">
        <f t="shared" si="233"/>
        <v>0</v>
      </c>
      <c r="P1121" s="71">
        <f t="shared" si="234"/>
        <v>0</v>
      </c>
    </row>
    <row r="1122" spans="1:16" s="58" customFormat="1" ht="24" customHeight="1">
      <c r="A1122" s="10">
        <v>1</v>
      </c>
      <c r="B1122" s="11" t="s">
        <v>480</v>
      </c>
      <c r="C1122" s="12" t="s">
        <v>90</v>
      </c>
      <c r="D1122" s="13"/>
      <c r="E1122" s="13">
        <v>6200</v>
      </c>
      <c r="F1122" s="13">
        <v>6200</v>
      </c>
      <c r="G1122" s="127"/>
      <c r="H1122" s="127"/>
      <c r="I1122" s="127"/>
      <c r="J1122" s="127"/>
      <c r="K1122" s="25" t="str">
        <f>C1122</f>
        <v>đ/m</v>
      </c>
      <c r="L1122" s="120"/>
      <c r="M1122" s="122">
        <f>E1122</f>
        <v>6200</v>
      </c>
      <c r="N1122" s="122">
        <f>F1122</f>
        <v>6200</v>
      </c>
      <c r="O1122" s="71">
        <f t="shared" ref="O1122:O1136" si="237">E1122</f>
        <v>6200</v>
      </c>
      <c r="P1122" s="71">
        <f t="shared" ref="P1122:P1136" si="238">M1122</f>
        <v>6200</v>
      </c>
    </row>
    <row r="1123" spans="1:16" s="58" customFormat="1" ht="24" customHeight="1">
      <c r="A1123" s="10">
        <f t="shared" ref="A1123:A1136" si="239">+A1122+1</f>
        <v>2</v>
      </c>
      <c r="B1123" s="11" t="s">
        <v>481</v>
      </c>
      <c r="C1123" s="12" t="s">
        <v>90</v>
      </c>
      <c r="D1123" s="13"/>
      <c r="E1123" s="13">
        <v>8800</v>
      </c>
      <c r="F1123" s="13">
        <v>8800</v>
      </c>
      <c r="G1123" s="127"/>
      <c r="H1123" s="127"/>
      <c r="I1123" s="127"/>
      <c r="J1123" s="127"/>
      <c r="K1123" s="25" t="str">
        <f t="shared" ref="K1123:K1136" si="240">C1123</f>
        <v>đ/m</v>
      </c>
      <c r="L1123" s="120"/>
      <c r="M1123" s="122">
        <f t="shared" ref="M1123:M1136" si="241">E1123</f>
        <v>8800</v>
      </c>
      <c r="N1123" s="122">
        <f t="shared" ref="N1123:N1136" si="242">F1123</f>
        <v>8800</v>
      </c>
      <c r="O1123" s="71">
        <f t="shared" si="237"/>
        <v>8800</v>
      </c>
      <c r="P1123" s="71">
        <f t="shared" si="238"/>
        <v>8800</v>
      </c>
    </row>
    <row r="1124" spans="1:16" s="58" customFormat="1" ht="24" customHeight="1">
      <c r="A1124" s="10">
        <f t="shared" si="239"/>
        <v>3</v>
      </c>
      <c r="B1124" s="11" t="s">
        <v>482</v>
      </c>
      <c r="C1124" s="12" t="s">
        <v>90</v>
      </c>
      <c r="D1124" s="13"/>
      <c r="E1124" s="13">
        <v>12300</v>
      </c>
      <c r="F1124" s="13">
        <v>12300</v>
      </c>
      <c r="G1124" s="127"/>
      <c r="H1124" s="127"/>
      <c r="I1124" s="127"/>
      <c r="J1124" s="127"/>
      <c r="K1124" s="25" t="str">
        <f t="shared" si="240"/>
        <v>đ/m</v>
      </c>
      <c r="L1124" s="120"/>
      <c r="M1124" s="122">
        <f t="shared" si="241"/>
        <v>12300</v>
      </c>
      <c r="N1124" s="122">
        <f t="shared" si="242"/>
        <v>12300</v>
      </c>
      <c r="O1124" s="71">
        <f t="shared" si="237"/>
        <v>12300</v>
      </c>
      <c r="P1124" s="71">
        <f t="shared" si="238"/>
        <v>12300</v>
      </c>
    </row>
    <row r="1125" spans="1:16" s="58" customFormat="1" ht="24" customHeight="1">
      <c r="A1125" s="10">
        <f t="shared" si="239"/>
        <v>4</v>
      </c>
      <c r="B1125" s="11" t="s">
        <v>483</v>
      </c>
      <c r="C1125" s="12" t="s">
        <v>90</v>
      </c>
      <c r="D1125" s="13"/>
      <c r="E1125" s="13">
        <v>16400</v>
      </c>
      <c r="F1125" s="13">
        <v>16400</v>
      </c>
      <c r="G1125" s="127"/>
      <c r="H1125" s="127"/>
      <c r="I1125" s="127"/>
      <c r="J1125" s="127"/>
      <c r="K1125" s="25" t="str">
        <f t="shared" si="240"/>
        <v>đ/m</v>
      </c>
      <c r="L1125" s="120"/>
      <c r="M1125" s="122">
        <f t="shared" si="241"/>
        <v>16400</v>
      </c>
      <c r="N1125" s="122">
        <f t="shared" si="242"/>
        <v>16400</v>
      </c>
      <c r="O1125" s="71">
        <f t="shared" si="237"/>
        <v>16400</v>
      </c>
      <c r="P1125" s="71">
        <f t="shared" si="238"/>
        <v>16400</v>
      </c>
    </row>
    <row r="1126" spans="1:16" s="58" customFormat="1" ht="24" customHeight="1">
      <c r="A1126" s="10">
        <f t="shared" si="239"/>
        <v>5</v>
      </c>
      <c r="B1126" s="11" t="s">
        <v>484</v>
      </c>
      <c r="C1126" s="12" t="s">
        <v>90</v>
      </c>
      <c r="D1126" s="13"/>
      <c r="E1126" s="13">
        <v>21400</v>
      </c>
      <c r="F1126" s="13">
        <v>21400</v>
      </c>
      <c r="G1126" s="127"/>
      <c r="H1126" s="127"/>
      <c r="I1126" s="127"/>
      <c r="J1126" s="127"/>
      <c r="K1126" s="25" t="str">
        <f t="shared" si="240"/>
        <v>đ/m</v>
      </c>
      <c r="L1126" s="120"/>
      <c r="M1126" s="122">
        <f t="shared" si="241"/>
        <v>21400</v>
      </c>
      <c r="N1126" s="122">
        <f t="shared" si="242"/>
        <v>21400</v>
      </c>
      <c r="O1126" s="71">
        <f t="shared" si="237"/>
        <v>21400</v>
      </c>
      <c r="P1126" s="71">
        <f t="shared" si="238"/>
        <v>21400</v>
      </c>
    </row>
    <row r="1127" spans="1:16" s="58" customFormat="1" ht="24" customHeight="1">
      <c r="A1127" s="10">
        <f t="shared" si="239"/>
        <v>6</v>
      </c>
      <c r="B1127" s="11" t="s">
        <v>485</v>
      </c>
      <c r="C1127" s="12" t="s">
        <v>90</v>
      </c>
      <c r="D1127" s="13"/>
      <c r="E1127" s="13">
        <v>26800</v>
      </c>
      <c r="F1127" s="13">
        <v>26800</v>
      </c>
      <c r="G1127" s="127"/>
      <c r="H1127" s="127"/>
      <c r="I1127" s="127"/>
      <c r="J1127" s="127"/>
      <c r="K1127" s="25" t="str">
        <f t="shared" si="240"/>
        <v>đ/m</v>
      </c>
      <c r="L1127" s="120"/>
      <c r="M1127" s="122">
        <f t="shared" si="241"/>
        <v>26800</v>
      </c>
      <c r="N1127" s="122">
        <f t="shared" si="242"/>
        <v>26800</v>
      </c>
      <c r="O1127" s="71">
        <f t="shared" si="237"/>
        <v>26800</v>
      </c>
      <c r="P1127" s="71">
        <f t="shared" si="238"/>
        <v>26800</v>
      </c>
    </row>
    <row r="1128" spans="1:16" s="58" customFormat="1" ht="24" customHeight="1">
      <c r="A1128" s="10">
        <f t="shared" si="239"/>
        <v>7</v>
      </c>
      <c r="B1128" s="11" t="s">
        <v>486</v>
      </c>
      <c r="C1128" s="12" t="s">
        <v>90</v>
      </c>
      <c r="D1128" s="13"/>
      <c r="E1128" s="13">
        <v>31200</v>
      </c>
      <c r="F1128" s="13">
        <v>31200</v>
      </c>
      <c r="G1128" s="127"/>
      <c r="H1128" s="127"/>
      <c r="I1128" s="127"/>
      <c r="J1128" s="127"/>
      <c r="K1128" s="25" t="str">
        <f t="shared" si="240"/>
        <v>đ/m</v>
      </c>
      <c r="L1128" s="120"/>
      <c r="M1128" s="122">
        <f t="shared" si="241"/>
        <v>31200</v>
      </c>
      <c r="N1128" s="122">
        <f t="shared" si="242"/>
        <v>31200</v>
      </c>
      <c r="O1128" s="71">
        <f t="shared" si="237"/>
        <v>31200</v>
      </c>
      <c r="P1128" s="71">
        <f t="shared" si="238"/>
        <v>31200</v>
      </c>
    </row>
    <row r="1129" spans="1:16" s="58" customFormat="1" ht="24" customHeight="1">
      <c r="A1129" s="10">
        <f t="shared" si="239"/>
        <v>8</v>
      </c>
      <c r="B1129" s="11" t="s">
        <v>487</v>
      </c>
      <c r="C1129" s="12" t="s">
        <v>90</v>
      </c>
      <c r="D1129" s="13"/>
      <c r="E1129" s="13">
        <v>40700</v>
      </c>
      <c r="F1129" s="13">
        <v>40700</v>
      </c>
      <c r="G1129" s="127"/>
      <c r="H1129" s="127"/>
      <c r="I1129" s="127"/>
      <c r="J1129" s="127"/>
      <c r="K1129" s="25" t="str">
        <f t="shared" si="240"/>
        <v>đ/m</v>
      </c>
      <c r="L1129" s="120"/>
      <c r="M1129" s="122">
        <f t="shared" si="241"/>
        <v>40700</v>
      </c>
      <c r="N1129" s="122">
        <f t="shared" si="242"/>
        <v>40700</v>
      </c>
      <c r="O1129" s="71">
        <f t="shared" si="237"/>
        <v>40700</v>
      </c>
      <c r="P1129" s="71">
        <f t="shared" si="238"/>
        <v>40700</v>
      </c>
    </row>
    <row r="1130" spans="1:16" s="58" customFormat="1" ht="24" customHeight="1">
      <c r="A1130" s="10">
        <f t="shared" si="239"/>
        <v>9</v>
      </c>
      <c r="B1130" s="11" t="s">
        <v>488</v>
      </c>
      <c r="C1130" s="12" t="s">
        <v>90</v>
      </c>
      <c r="D1130" s="13"/>
      <c r="E1130" s="13">
        <v>41000</v>
      </c>
      <c r="F1130" s="13">
        <v>41000</v>
      </c>
      <c r="G1130" s="127"/>
      <c r="H1130" s="127"/>
      <c r="I1130" s="127"/>
      <c r="J1130" s="127"/>
      <c r="K1130" s="25" t="str">
        <f t="shared" si="240"/>
        <v>đ/m</v>
      </c>
      <c r="L1130" s="120"/>
      <c r="M1130" s="122">
        <f t="shared" si="241"/>
        <v>41000</v>
      </c>
      <c r="N1130" s="122">
        <f t="shared" si="242"/>
        <v>41000</v>
      </c>
      <c r="O1130" s="71">
        <f t="shared" si="237"/>
        <v>41000</v>
      </c>
      <c r="P1130" s="71">
        <f t="shared" si="238"/>
        <v>41000</v>
      </c>
    </row>
    <row r="1131" spans="1:16" s="58" customFormat="1" ht="24" customHeight="1">
      <c r="A1131" s="10">
        <f t="shared" si="239"/>
        <v>10</v>
      </c>
      <c r="B1131" s="11" t="s">
        <v>489</v>
      </c>
      <c r="C1131" s="12" t="s">
        <v>90</v>
      </c>
      <c r="D1131" s="13"/>
      <c r="E1131" s="13">
        <v>48800</v>
      </c>
      <c r="F1131" s="13">
        <v>48800</v>
      </c>
      <c r="G1131" s="127"/>
      <c r="H1131" s="127"/>
      <c r="I1131" s="127"/>
      <c r="J1131" s="127"/>
      <c r="K1131" s="25" t="str">
        <f t="shared" si="240"/>
        <v>đ/m</v>
      </c>
      <c r="L1131" s="120"/>
      <c r="M1131" s="122">
        <f t="shared" si="241"/>
        <v>48800</v>
      </c>
      <c r="N1131" s="122">
        <f t="shared" si="242"/>
        <v>48800</v>
      </c>
      <c r="O1131" s="71">
        <f t="shared" si="237"/>
        <v>48800</v>
      </c>
      <c r="P1131" s="71">
        <f t="shared" si="238"/>
        <v>48800</v>
      </c>
    </row>
    <row r="1132" spans="1:16" s="58" customFormat="1" ht="24" customHeight="1">
      <c r="A1132" s="10">
        <f t="shared" si="239"/>
        <v>11</v>
      </c>
      <c r="B1132" s="11" t="s">
        <v>490</v>
      </c>
      <c r="C1132" s="12" t="s">
        <v>90</v>
      </c>
      <c r="D1132" s="13"/>
      <c r="E1132" s="13">
        <v>70600</v>
      </c>
      <c r="F1132" s="13">
        <v>70600</v>
      </c>
      <c r="G1132" s="127"/>
      <c r="H1132" s="127"/>
      <c r="I1132" s="127"/>
      <c r="J1132" s="127"/>
      <c r="K1132" s="25" t="str">
        <f t="shared" si="240"/>
        <v>đ/m</v>
      </c>
      <c r="L1132" s="120"/>
      <c r="M1132" s="122">
        <f t="shared" si="241"/>
        <v>70600</v>
      </c>
      <c r="N1132" s="122">
        <f t="shared" si="242"/>
        <v>70600</v>
      </c>
      <c r="O1132" s="71">
        <f t="shared" si="237"/>
        <v>70600</v>
      </c>
      <c r="P1132" s="71">
        <f t="shared" si="238"/>
        <v>70600</v>
      </c>
    </row>
    <row r="1133" spans="1:16" s="58" customFormat="1" ht="24" customHeight="1">
      <c r="A1133" s="10">
        <f t="shared" si="239"/>
        <v>12</v>
      </c>
      <c r="B1133" s="11" t="s">
        <v>491</v>
      </c>
      <c r="C1133" s="12" t="s">
        <v>90</v>
      </c>
      <c r="D1133" s="13"/>
      <c r="E1133" s="13">
        <v>103700</v>
      </c>
      <c r="F1133" s="13">
        <v>103700</v>
      </c>
      <c r="G1133" s="127"/>
      <c r="H1133" s="127"/>
      <c r="I1133" s="127"/>
      <c r="J1133" s="127"/>
      <c r="K1133" s="25" t="str">
        <f t="shared" si="240"/>
        <v>đ/m</v>
      </c>
      <c r="L1133" s="120"/>
      <c r="M1133" s="122">
        <f t="shared" si="241"/>
        <v>103700</v>
      </c>
      <c r="N1133" s="122">
        <f t="shared" si="242"/>
        <v>103700</v>
      </c>
      <c r="O1133" s="71">
        <f t="shared" si="237"/>
        <v>103700</v>
      </c>
      <c r="P1133" s="71">
        <f t="shared" si="238"/>
        <v>103700</v>
      </c>
    </row>
    <row r="1134" spans="1:16" s="58" customFormat="1" ht="24" customHeight="1">
      <c r="A1134" s="10">
        <f t="shared" si="239"/>
        <v>13</v>
      </c>
      <c r="B1134" s="11" t="s">
        <v>492</v>
      </c>
      <c r="C1134" s="12" t="s">
        <v>90</v>
      </c>
      <c r="D1134" s="13"/>
      <c r="E1134" s="13">
        <v>92000</v>
      </c>
      <c r="F1134" s="13">
        <v>92000</v>
      </c>
      <c r="G1134" s="127"/>
      <c r="H1134" s="127"/>
      <c r="I1134" s="127"/>
      <c r="J1134" s="127"/>
      <c r="K1134" s="25" t="str">
        <f t="shared" si="240"/>
        <v>đ/m</v>
      </c>
      <c r="L1134" s="120"/>
      <c r="M1134" s="122">
        <f t="shared" si="241"/>
        <v>92000</v>
      </c>
      <c r="N1134" s="122">
        <f t="shared" si="242"/>
        <v>92000</v>
      </c>
      <c r="O1134" s="71">
        <f t="shared" si="237"/>
        <v>92000</v>
      </c>
      <c r="P1134" s="71">
        <f t="shared" si="238"/>
        <v>92000</v>
      </c>
    </row>
    <row r="1135" spans="1:16" s="58" customFormat="1" ht="24" customHeight="1">
      <c r="A1135" s="10">
        <f t="shared" si="239"/>
        <v>14</v>
      </c>
      <c r="B1135" s="11" t="s">
        <v>493</v>
      </c>
      <c r="C1135" s="12" t="s">
        <v>90</v>
      </c>
      <c r="D1135" s="13"/>
      <c r="E1135" s="13">
        <v>141100</v>
      </c>
      <c r="F1135" s="13">
        <v>141100</v>
      </c>
      <c r="G1135" s="127"/>
      <c r="H1135" s="127"/>
      <c r="I1135" s="127"/>
      <c r="J1135" s="127"/>
      <c r="K1135" s="25" t="str">
        <f t="shared" si="240"/>
        <v>đ/m</v>
      </c>
      <c r="L1135" s="120"/>
      <c r="M1135" s="122">
        <f t="shared" si="241"/>
        <v>141100</v>
      </c>
      <c r="N1135" s="122">
        <f t="shared" si="242"/>
        <v>141100</v>
      </c>
      <c r="O1135" s="71">
        <f t="shared" si="237"/>
        <v>141100</v>
      </c>
      <c r="P1135" s="71">
        <f t="shared" si="238"/>
        <v>141100</v>
      </c>
    </row>
    <row r="1136" spans="1:16" s="58" customFormat="1" ht="24" customHeight="1">
      <c r="A1136" s="10">
        <f t="shared" si="239"/>
        <v>15</v>
      </c>
      <c r="B1136" s="11" t="s">
        <v>494</v>
      </c>
      <c r="C1136" s="12" t="s">
        <v>90</v>
      </c>
      <c r="D1136" s="13"/>
      <c r="E1136" s="13">
        <v>135800</v>
      </c>
      <c r="F1136" s="13">
        <v>135800</v>
      </c>
      <c r="G1136" s="127"/>
      <c r="H1136" s="127"/>
      <c r="I1136" s="127"/>
      <c r="J1136" s="127"/>
      <c r="K1136" s="25" t="str">
        <f t="shared" si="240"/>
        <v>đ/m</v>
      </c>
      <c r="L1136" s="120"/>
      <c r="M1136" s="122">
        <f t="shared" si="241"/>
        <v>135800</v>
      </c>
      <c r="N1136" s="122">
        <f t="shared" si="242"/>
        <v>135800</v>
      </c>
      <c r="O1136" s="71">
        <f t="shared" si="237"/>
        <v>135800</v>
      </c>
      <c r="P1136" s="71">
        <f t="shared" si="238"/>
        <v>135800</v>
      </c>
    </row>
    <row r="1137" spans="1:16" s="58" customFormat="1" ht="24" customHeight="1">
      <c r="A1137" s="10"/>
      <c r="B1137" s="9" t="s">
        <v>495</v>
      </c>
      <c r="C1137" s="15"/>
      <c r="D1137" s="13"/>
      <c r="E1137" s="18"/>
      <c r="F1137" s="13"/>
      <c r="G1137" s="127"/>
      <c r="H1137" s="127"/>
      <c r="I1137" s="127"/>
      <c r="J1137" s="127"/>
      <c r="K1137" s="116"/>
      <c r="L1137" s="120"/>
      <c r="M1137" s="120"/>
      <c r="N1137" s="120"/>
      <c r="O1137" s="69"/>
      <c r="P1137" s="69"/>
    </row>
    <row r="1138" spans="1:16" s="58" customFormat="1" ht="24" customHeight="1">
      <c r="A1138" s="10">
        <f>+A1136+1</f>
        <v>16</v>
      </c>
      <c r="B1138" s="11" t="s">
        <v>496</v>
      </c>
      <c r="C1138" s="12" t="s">
        <v>84</v>
      </c>
      <c r="D1138" s="13"/>
      <c r="E1138" s="13">
        <f>5500/1.1</f>
        <v>5000</v>
      </c>
      <c r="F1138" s="13">
        <f>5500/1.1</f>
        <v>5000</v>
      </c>
      <c r="G1138" s="127"/>
      <c r="H1138" s="127"/>
      <c r="I1138" s="127"/>
      <c r="J1138" s="127"/>
      <c r="K1138" s="25" t="str">
        <f t="shared" ref="K1138:K1160" si="243">C1138</f>
        <v>đ/cái</v>
      </c>
      <c r="L1138" s="120"/>
      <c r="M1138" s="122">
        <f>E1138</f>
        <v>5000</v>
      </c>
      <c r="N1138" s="122">
        <f>F1138</f>
        <v>5000</v>
      </c>
      <c r="O1138" s="71">
        <f t="shared" ref="O1138:O1161" si="244">E1138</f>
        <v>5000</v>
      </c>
      <c r="P1138" s="71">
        <f t="shared" ref="P1138:P1161" si="245">M1138</f>
        <v>5000</v>
      </c>
    </row>
    <row r="1139" spans="1:16" s="58" customFormat="1" ht="24" customHeight="1">
      <c r="A1139" s="10">
        <f t="shared" ref="A1139:A1161" si="246">+A1138+1</f>
        <v>17</v>
      </c>
      <c r="B1139" s="11" t="s">
        <v>497</v>
      </c>
      <c r="C1139" s="12" t="s">
        <v>84</v>
      </c>
      <c r="D1139" s="13"/>
      <c r="E1139" s="13">
        <f>8690/1.1</f>
        <v>7899.9999999999991</v>
      </c>
      <c r="F1139" s="13">
        <f>8690/1.1</f>
        <v>7899.9999999999991</v>
      </c>
      <c r="G1139" s="127"/>
      <c r="H1139" s="127"/>
      <c r="I1139" s="127"/>
      <c r="J1139" s="127"/>
      <c r="K1139" s="25" t="str">
        <f t="shared" si="243"/>
        <v>đ/cái</v>
      </c>
      <c r="L1139" s="120"/>
      <c r="M1139" s="122">
        <f t="shared" ref="M1139:M1160" si="247">E1139</f>
        <v>7899.9999999999991</v>
      </c>
      <c r="N1139" s="122">
        <f t="shared" ref="N1139:N1160" si="248">F1139</f>
        <v>7899.9999999999991</v>
      </c>
      <c r="O1139" s="71">
        <f t="shared" si="244"/>
        <v>7899.9999999999991</v>
      </c>
      <c r="P1139" s="71">
        <f t="shared" si="245"/>
        <v>7899.9999999999991</v>
      </c>
    </row>
    <row r="1140" spans="1:16" s="58" customFormat="1" ht="24" customHeight="1">
      <c r="A1140" s="10">
        <f t="shared" si="246"/>
        <v>18</v>
      </c>
      <c r="B1140" s="11" t="s">
        <v>498</v>
      </c>
      <c r="C1140" s="12" t="s">
        <v>84</v>
      </c>
      <c r="D1140" s="13"/>
      <c r="E1140" s="13">
        <f>13420/1.1</f>
        <v>12199.999999999998</v>
      </c>
      <c r="F1140" s="13">
        <f>13420/1.1</f>
        <v>12199.999999999998</v>
      </c>
      <c r="G1140" s="127"/>
      <c r="H1140" s="127"/>
      <c r="I1140" s="127"/>
      <c r="J1140" s="127"/>
      <c r="K1140" s="25" t="str">
        <f t="shared" si="243"/>
        <v>đ/cái</v>
      </c>
      <c r="L1140" s="120"/>
      <c r="M1140" s="122">
        <f t="shared" si="247"/>
        <v>12199.999999999998</v>
      </c>
      <c r="N1140" s="122">
        <f t="shared" si="248"/>
        <v>12199.999999999998</v>
      </c>
      <c r="O1140" s="71">
        <f t="shared" si="244"/>
        <v>12199.999999999998</v>
      </c>
      <c r="P1140" s="71">
        <f t="shared" si="245"/>
        <v>12199.999999999998</v>
      </c>
    </row>
    <row r="1141" spans="1:16" s="58" customFormat="1" ht="24" customHeight="1">
      <c r="A1141" s="10">
        <f t="shared" si="246"/>
        <v>19</v>
      </c>
      <c r="B1141" s="11" t="s">
        <v>499</v>
      </c>
      <c r="C1141" s="12" t="s">
        <v>84</v>
      </c>
      <c r="D1141" s="13"/>
      <c r="E1141" s="13">
        <f>26620/1.1</f>
        <v>24199.999999999996</v>
      </c>
      <c r="F1141" s="13">
        <f>26620/1.1</f>
        <v>24199.999999999996</v>
      </c>
      <c r="G1141" s="127"/>
      <c r="H1141" s="127"/>
      <c r="I1141" s="127"/>
      <c r="J1141" s="127"/>
      <c r="K1141" s="25" t="str">
        <f t="shared" si="243"/>
        <v>đ/cái</v>
      </c>
      <c r="L1141" s="120"/>
      <c r="M1141" s="122">
        <f t="shared" si="247"/>
        <v>24199.999999999996</v>
      </c>
      <c r="N1141" s="122">
        <f t="shared" si="248"/>
        <v>24199.999999999996</v>
      </c>
      <c r="O1141" s="71">
        <f t="shared" si="244"/>
        <v>24199.999999999996</v>
      </c>
      <c r="P1141" s="71">
        <f t="shared" si="245"/>
        <v>24199.999999999996</v>
      </c>
    </row>
    <row r="1142" spans="1:16" s="58" customFormat="1" ht="24" customHeight="1">
      <c r="A1142" s="10">
        <f t="shared" si="246"/>
        <v>20</v>
      </c>
      <c r="B1142" s="11" t="s">
        <v>500</v>
      </c>
      <c r="C1142" s="12" t="s">
        <v>84</v>
      </c>
      <c r="D1142" s="13"/>
      <c r="E1142" s="13">
        <f>27280/1.1</f>
        <v>24799.999999999996</v>
      </c>
      <c r="F1142" s="13">
        <f>27280/1.1</f>
        <v>24799.999999999996</v>
      </c>
      <c r="G1142" s="127"/>
      <c r="H1142" s="127"/>
      <c r="I1142" s="127"/>
      <c r="J1142" s="127"/>
      <c r="K1142" s="25" t="str">
        <f t="shared" si="243"/>
        <v>đ/cái</v>
      </c>
      <c r="L1142" s="120"/>
      <c r="M1142" s="122">
        <f t="shared" si="247"/>
        <v>24799.999999999996</v>
      </c>
      <c r="N1142" s="122">
        <f t="shared" si="248"/>
        <v>24799.999999999996</v>
      </c>
      <c r="O1142" s="71">
        <f t="shared" si="244"/>
        <v>24799.999999999996</v>
      </c>
      <c r="P1142" s="71">
        <f t="shared" si="245"/>
        <v>24799.999999999996</v>
      </c>
    </row>
    <row r="1143" spans="1:16" s="58" customFormat="1" ht="24" customHeight="1">
      <c r="A1143" s="10">
        <f t="shared" si="246"/>
        <v>21</v>
      </c>
      <c r="B1143" s="11" t="s">
        <v>501</v>
      </c>
      <c r="C1143" s="12" t="s">
        <v>84</v>
      </c>
      <c r="D1143" s="13"/>
      <c r="E1143" s="13">
        <f>57640/1.1</f>
        <v>52399.999999999993</v>
      </c>
      <c r="F1143" s="13">
        <f>57640/1.1</f>
        <v>52399.999999999993</v>
      </c>
      <c r="G1143" s="127"/>
      <c r="H1143" s="127"/>
      <c r="I1143" s="127"/>
      <c r="J1143" s="127"/>
      <c r="K1143" s="25" t="str">
        <f t="shared" si="243"/>
        <v>đ/cái</v>
      </c>
      <c r="L1143" s="120"/>
      <c r="M1143" s="122">
        <f t="shared" si="247"/>
        <v>52399.999999999993</v>
      </c>
      <c r="N1143" s="122">
        <f t="shared" si="248"/>
        <v>52399.999999999993</v>
      </c>
      <c r="O1143" s="71">
        <f t="shared" si="244"/>
        <v>52399.999999999993</v>
      </c>
      <c r="P1143" s="71">
        <f t="shared" si="245"/>
        <v>52399.999999999993</v>
      </c>
    </row>
    <row r="1144" spans="1:16" s="58" customFormat="1" ht="24" customHeight="1">
      <c r="A1144" s="10">
        <f t="shared" si="246"/>
        <v>22</v>
      </c>
      <c r="B1144" s="11" t="s">
        <v>502</v>
      </c>
      <c r="C1144" s="12" t="s">
        <v>84</v>
      </c>
      <c r="D1144" s="13"/>
      <c r="E1144" s="13">
        <f>223850/1.1</f>
        <v>203499.99999999997</v>
      </c>
      <c r="F1144" s="13">
        <f>223850/1.1</f>
        <v>203499.99999999997</v>
      </c>
      <c r="G1144" s="127"/>
      <c r="H1144" s="127"/>
      <c r="I1144" s="127"/>
      <c r="J1144" s="127"/>
      <c r="K1144" s="25" t="str">
        <f t="shared" si="243"/>
        <v>đ/cái</v>
      </c>
      <c r="L1144" s="120"/>
      <c r="M1144" s="122">
        <f t="shared" si="247"/>
        <v>203499.99999999997</v>
      </c>
      <c r="N1144" s="122">
        <f t="shared" si="248"/>
        <v>203499.99999999997</v>
      </c>
      <c r="O1144" s="71">
        <f t="shared" si="244"/>
        <v>203499.99999999997</v>
      </c>
      <c r="P1144" s="71">
        <f t="shared" si="245"/>
        <v>203499.99999999997</v>
      </c>
    </row>
    <row r="1145" spans="1:16" s="58" customFormat="1" ht="24" customHeight="1">
      <c r="A1145" s="10">
        <f t="shared" si="246"/>
        <v>23</v>
      </c>
      <c r="B1145" s="11" t="s">
        <v>503</v>
      </c>
      <c r="C1145" s="12" t="s">
        <v>84</v>
      </c>
      <c r="D1145" s="13"/>
      <c r="E1145" s="13">
        <f>3300/1.1</f>
        <v>2999.9999999999995</v>
      </c>
      <c r="F1145" s="13">
        <f>3300/1.1</f>
        <v>2999.9999999999995</v>
      </c>
      <c r="G1145" s="127"/>
      <c r="H1145" s="127"/>
      <c r="I1145" s="127"/>
      <c r="J1145" s="127"/>
      <c r="K1145" s="25" t="str">
        <f t="shared" si="243"/>
        <v>đ/cái</v>
      </c>
      <c r="L1145" s="120"/>
      <c r="M1145" s="122">
        <f t="shared" si="247"/>
        <v>2999.9999999999995</v>
      </c>
      <c r="N1145" s="122">
        <f t="shared" si="248"/>
        <v>2999.9999999999995</v>
      </c>
      <c r="O1145" s="71">
        <f t="shared" si="244"/>
        <v>2999.9999999999995</v>
      </c>
      <c r="P1145" s="71">
        <f t="shared" si="245"/>
        <v>2999.9999999999995</v>
      </c>
    </row>
    <row r="1146" spans="1:16" s="58" customFormat="1" ht="24" customHeight="1">
      <c r="A1146" s="10">
        <f t="shared" si="246"/>
        <v>24</v>
      </c>
      <c r="B1146" s="11" t="s">
        <v>504</v>
      </c>
      <c r="C1146" s="12" t="s">
        <v>84</v>
      </c>
      <c r="D1146" s="13"/>
      <c r="E1146" s="13">
        <f>5060/1.1</f>
        <v>4600</v>
      </c>
      <c r="F1146" s="13">
        <f>5060/1.1</f>
        <v>4600</v>
      </c>
      <c r="G1146" s="127"/>
      <c r="H1146" s="127"/>
      <c r="I1146" s="127"/>
      <c r="J1146" s="127"/>
      <c r="K1146" s="25" t="str">
        <f t="shared" si="243"/>
        <v>đ/cái</v>
      </c>
      <c r="L1146" s="120"/>
      <c r="M1146" s="122">
        <f t="shared" si="247"/>
        <v>4600</v>
      </c>
      <c r="N1146" s="122">
        <f t="shared" si="248"/>
        <v>4600</v>
      </c>
      <c r="O1146" s="71">
        <f t="shared" si="244"/>
        <v>4600</v>
      </c>
      <c r="P1146" s="71">
        <f t="shared" si="245"/>
        <v>4600</v>
      </c>
    </row>
    <row r="1147" spans="1:16" s="58" customFormat="1" ht="24" customHeight="1">
      <c r="A1147" s="10">
        <f t="shared" si="246"/>
        <v>25</v>
      </c>
      <c r="B1147" s="11" t="s">
        <v>505</v>
      </c>
      <c r="C1147" s="12" t="s">
        <v>84</v>
      </c>
      <c r="D1147" s="13"/>
      <c r="E1147" s="13">
        <f>8140/1.1</f>
        <v>7399.9999999999991</v>
      </c>
      <c r="F1147" s="13">
        <f>8140/1.1</f>
        <v>7399.9999999999991</v>
      </c>
      <c r="G1147" s="127"/>
      <c r="H1147" s="127"/>
      <c r="I1147" s="127"/>
      <c r="J1147" s="127"/>
      <c r="K1147" s="25" t="str">
        <f t="shared" si="243"/>
        <v>đ/cái</v>
      </c>
      <c r="L1147" s="120"/>
      <c r="M1147" s="122">
        <f t="shared" si="247"/>
        <v>7399.9999999999991</v>
      </c>
      <c r="N1147" s="122">
        <f t="shared" si="248"/>
        <v>7399.9999999999991</v>
      </c>
      <c r="O1147" s="71">
        <f t="shared" si="244"/>
        <v>7399.9999999999991</v>
      </c>
      <c r="P1147" s="71">
        <f t="shared" si="245"/>
        <v>7399.9999999999991</v>
      </c>
    </row>
    <row r="1148" spans="1:16" s="58" customFormat="1" ht="24" customHeight="1">
      <c r="A1148" s="10">
        <f t="shared" si="246"/>
        <v>26</v>
      </c>
      <c r="B1148" s="11" t="s">
        <v>506</v>
      </c>
      <c r="C1148" s="12" t="s">
        <v>84</v>
      </c>
      <c r="D1148" s="13"/>
      <c r="E1148" s="13">
        <f>10780/1.1</f>
        <v>9800</v>
      </c>
      <c r="F1148" s="13">
        <f>10780/1.1</f>
        <v>9800</v>
      </c>
      <c r="G1148" s="127"/>
      <c r="H1148" s="127"/>
      <c r="I1148" s="127"/>
      <c r="J1148" s="127"/>
      <c r="K1148" s="25" t="str">
        <f t="shared" si="243"/>
        <v>đ/cái</v>
      </c>
      <c r="L1148" s="120"/>
      <c r="M1148" s="122">
        <f t="shared" si="247"/>
        <v>9800</v>
      </c>
      <c r="N1148" s="122">
        <f t="shared" si="248"/>
        <v>9800</v>
      </c>
      <c r="O1148" s="71">
        <f t="shared" si="244"/>
        <v>9800</v>
      </c>
      <c r="P1148" s="71">
        <f t="shared" si="245"/>
        <v>9800</v>
      </c>
    </row>
    <row r="1149" spans="1:16" s="58" customFormat="1" ht="24" customHeight="1">
      <c r="A1149" s="10">
        <f t="shared" si="246"/>
        <v>27</v>
      </c>
      <c r="B1149" s="11" t="s">
        <v>507</v>
      </c>
      <c r="C1149" s="12" t="s">
        <v>84</v>
      </c>
      <c r="D1149" s="13"/>
      <c r="E1149" s="13">
        <f>15950/1.1</f>
        <v>14499.999999999998</v>
      </c>
      <c r="F1149" s="13">
        <f>15950/1.1</f>
        <v>14499.999999999998</v>
      </c>
      <c r="G1149" s="127"/>
      <c r="H1149" s="127"/>
      <c r="I1149" s="127"/>
      <c r="J1149" s="127"/>
      <c r="K1149" s="25" t="str">
        <f t="shared" si="243"/>
        <v>đ/cái</v>
      </c>
      <c r="L1149" s="120"/>
      <c r="M1149" s="122">
        <f t="shared" si="247"/>
        <v>14499.999999999998</v>
      </c>
      <c r="N1149" s="122">
        <f t="shared" si="248"/>
        <v>14499.999999999998</v>
      </c>
      <c r="O1149" s="71">
        <f t="shared" si="244"/>
        <v>14499.999999999998</v>
      </c>
      <c r="P1149" s="71">
        <f t="shared" si="245"/>
        <v>14499.999999999998</v>
      </c>
    </row>
    <row r="1150" spans="1:16" s="58" customFormat="1" ht="24" customHeight="1">
      <c r="A1150" s="10">
        <f t="shared" si="246"/>
        <v>28</v>
      </c>
      <c r="B1150" s="11" t="s">
        <v>508</v>
      </c>
      <c r="C1150" s="12" t="s">
        <v>84</v>
      </c>
      <c r="D1150" s="13"/>
      <c r="E1150" s="13">
        <f>27170/1.1</f>
        <v>24699.999999999996</v>
      </c>
      <c r="F1150" s="13">
        <f>27170/1.1</f>
        <v>24699.999999999996</v>
      </c>
      <c r="G1150" s="127"/>
      <c r="H1150" s="127"/>
      <c r="I1150" s="127"/>
      <c r="J1150" s="127"/>
      <c r="K1150" s="25" t="str">
        <f t="shared" si="243"/>
        <v>đ/cái</v>
      </c>
      <c r="L1150" s="120"/>
      <c r="M1150" s="122">
        <f t="shared" si="247"/>
        <v>24699.999999999996</v>
      </c>
      <c r="N1150" s="122">
        <f t="shared" si="248"/>
        <v>24699.999999999996</v>
      </c>
      <c r="O1150" s="71">
        <f t="shared" si="244"/>
        <v>24699.999999999996</v>
      </c>
      <c r="P1150" s="71">
        <f t="shared" si="245"/>
        <v>24699.999999999996</v>
      </c>
    </row>
    <row r="1151" spans="1:16" s="58" customFormat="1" ht="24" customHeight="1">
      <c r="A1151" s="10">
        <f t="shared" si="246"/>
        <v>29</v>
      </c>
      <c r="B1151" s="11" t="s">
        <v>509</v>
      </c>
      <c r="C1151" s="12" t="s">
        <v>84</v>
      </c>
      <c r="D1151" s="13"/>
      <c r="E1151" s="13">
        <f>51700/1.1</f>
        <v>46999.999999999993</v>
      </c>
      <c r="F1151" s="13">
        <f>51700/1.1</f>
        <v>46999.999999999993</v>
      </c>
      <c r="G1151" s="127"/>
      <c r="H1151" s="127"/>
      <c r="I1151" s="127"/>
      <c r="J1151" s="127"/>
      <c r="K1151" s="25" t="str">
        <f t="shared" si="243"/>
        <v>đ/cái</v>
      </c>
      <c r="L1151" s="120"/>
      <c r="M1151" s="122">
        <f t="shared" si="247"/>
        <v>46999.999999999993</v>
      </c>
      <c r="N1151" s="122">
        <f t="shared" si="248"/>
        <v>46999.999999999993</v>
      </c>
      <c r="O1151" s="71">
        <f t="shared" si="244"/>
        <v>46999.999999999993</v>
      </c>
      <c r="P1151" s="71">
        <f t="shared" si="245"/>
        <v>46999.999999999993</v>
      </c>
    </row>
    <row r="1152" spans="1:16" s="58" customFormat="1" ht="20.45" customHeight="1">
      <c r="A1152" s="10">
        <f t="shared" si="246"/>
        <v>30</v>
      </c>
      <c r="B1152" s="11" t="s">
        <v>510</v>
      </c>
      <c r="C1152" s="12" t="s">
        <v>84</v>
      </c>
      <c r="D1152" s="13"/>
      <c r="E1152" s="13">
        <f>68420/1.1</f>
        <v>62199.999999999993</v>
      </c>
      <c r="F1152" s="13">
        <f>68420/1.1</f>
        <v>62199.999999999993</v>
      </c>
      <c r="G1152" s="127"/>
      <c r="H1152" s="127"/>
      <c r="I1152" s="127"/>
      <c r="J1152" s="127"/>
      <c r="K1152" s="25" t="str">
        <f t="shared" si="243"/>
        <v>đ/cái</v>
      </c>
      <c r="L1152" s="120"/>
      <c r="M1152" s="122">
        <f t="shared" si="247"/>
        <v>62199.999999999993</v>
      </c>
      <c r="N1152" s="122">
        <f t="shared" si="248"/>
        <v>62199.999999999993</v>
      </c>
      <c r="O1152" s="71">
        <f t="shared" si="244"/>
        <v>62199.999999999993</v>
      </c>
      <c r="P1152" s="71">
        <f t="shared" si="245"/>
        <v>62199.999999999993</v>
      </c>
    </row>
    <row r="1153" spans="1:16" s="58" customFormat="1" ht="20.45" customHeight="1">
      <c r="A1153" s="10">
        <f t="shared" si="246"/>
        <v>31</v>
      </c>
      <c r="B1153" s="11" t="s">
        <v>511</v>
      </c>
      <c r="C1153" s="12" t="s">
        <v>84</v>
      </c>
      <c r="D1153" s="13"/>
      <c r="E1153" s="13">
        <f>139590/1.1</f>
        <v>126899.99999999999</v>
      </c>
      <c r="F1153" s="13">
        <f>139590/1.1</f>
        <v>126899.99999999999</v>
      </c>
      <c r="G1153" s="127"/>
      <c r="H1153" s="127"/>
      <c r="I1153" s="127"/>
      <c r="J1153" s="127"/>
      <c r="K1153" s="25" t="str">
        <f t="shared" si="243"/>
        <v>đ/cái</v>
      </c>
      <c r="L1153" s="120"/>
      <c r="M1153" s="122">
        <f t="shared" si="247"/>
        <v>126899.99999999999</v>
      </c>
      <c r="N1153" s="122">
        <f t="shared" si="248"/>
        <v>126899.99999999999</v>
      </c>
      <c r="O1153" s="71">
        <f t="shared" si="244"/>
        <v>126899.99999999999</v>
      </c>
      <c r="P1153" s="71">
        <f t="shared" si="245"/>
        <v>126899.99999999999</v>
      </c>
    </row>
    <row r="1154" spans="1:16" s="58" customFormat="1" ht="20.45" customHeight="1">
      <c r="A1154" s="10">
        <f t="shared" si="246"/>
        <v>32</v>
      </c>
      <c r="B1154" s="11" t="s">
        <v>512</v>
      </c>
      <c r="C1154" s="12" t="s">
        <v>84</v>
      </c>
      <c r="D1154" s="13"/>
      <c r="E1154" s="13">
        <f>505010/1.1</f>
        <v>459099.99999999994</v>
      </c>
      <c r="F1154" s="13">
        <f>505010/1.1</f>
        <v>459099.99999999994</v>
      </c>
      <c r="G1154" s="127"/>
      <c r="H1154" s="127"/>
      <c r="I1154" s="127"/>
      <c r="J1154" s="127"/>
      <c r="K1154" s="25" t="str">
        <f t="shared" si="243"/>
        <v>đ/cái</v>
      </c>
      <c r="L1154" s="120"/>
      <c r="M1154" s="122">
        <f t="shared" si="247"/>
        <v>459099.99999999994</v>
      </c>
      <c r="N1154" s="122">
        <f t="shared" si="248"/>
        <v>459099.99999999994</v>
      </c>
      <c r="O1154" s="71">
        <f t="shared" si="244"/>
        <v>459099.99999999994</v>
      </c>
      <c r="P1154" s="71">
        <f t="shared" si="245"/>
        <v>459099.99999999994</v>
      </c>
    </row>
    <row r="1155" spans="1:16" s="58" customFormat="1" ht="20.45" customHeight="1">
      <c r="A1155" s="10">
        <f t="shared" si="246"/>
        <v>33</v>
      </c>
      <c r="B1155" s="33" t="s">
        <v>1141</v>
      </c>
      <c r="C1155" s="12" t="s">
        <v>84</v>
      </c>
      <c r="D1155" s="13"/>
      <c r="E1155" s="13">
        <f>6820/1.1</f>
        <v>6199.9999999999991</v>
      </c>
      <c r="F1155" s="13">
        <f>6820/1.1</f>
        <v>6199.9999999999991</v>
      </c>
      <c r="G1155" s="127"/>
      <c r="H1155" s="127"/>
      <c r="I1155" s="127"/>
      <c r="J1155" s="127"/>
      <c r="K1155" s="25" t="str">
        <f t="shared" si="243"/>
        <v>đ/cái</v>
      </c>
      <c r="L1155" s="120"/>
      <c r="M1155" s="122">
        <f t="shared" si="247"/>
        <v>6199.9999999999991</v>
      </c>
      <c r="N1155" s="122">
        <f t="shared" si="248"/>
        <v>6199.9999999999991</v>
      </c>
      <c r="O1155" s="71">
        <f t="shared" si="244"/>
        <v>6199.9999999999991</v>
      </c>
      <c r="P1155" s="71">
        <f t="shared" si="245"/>
        <v>6199.9999999999991</v>
      </c>
    </row>
    <row r="1156" spans="1:16" s="58" customFormat="1" ht="20.45" customHeight="1">
      <c r="A1156" s="10">
        <f t="shared" si="246"/>
        <v>34</v>
      </c>
      <c r="B1156" s="33" t="s">
        <v>1142</v>
      </c>
      <c r="C1156" s="12" t="s">
        <v>84</v>
      </c>
      <c r="D1156" s="13"/>
      <c r="E1156" s="13">
        <f>10560/1.1</f>
        <v>9600</v>
      </c>
      <c r="F1156" s="13">
        <f>10560/1.1</f>
        <v>9600</v>
      </c>
      <c r="G1156" s="127"/>
      <c r="H1156" s="127"/>
      <c r="I1156" s="127"/>
      <c r="J1156" s="127"/>
      <c r="K1156" s="25" t="str">
        <f t="shared" si="243"/>
        <v>đ/cái</v>
      </c>
      <c r="L1156" s="120"/>
      <c r="M1156" s="122">
        <f t="shared" si="247"/>
        <v>9600</v>
      </c>
      <c r="N1156" s="122">
        <f t="shared" si="248"/>
        <v>9600</v>
      </c>
      <c r="O1156" s="71">
        <f t="shared" si="244"/>
        <v>9600</v>
      </c>
      <c r="P1156" s="71">
        <f t="shared" si="245"/>
        <v>9600</v>
      </c>
    </row>
    <row r="1157" spans="1:16" s="58" customFormat="1" ht="20.45" customHeight="1">
      <c r="A1157" s="10">
        <f t="shared" si="246"/>
        <v>35</v>
      </c>
      <c r="B1157" s="33" t="s">
        <v>1143</v>
      </c>
      <c r="C1157" s="12" t="s">
        <v>84</v>
      </c>
      <c r="D1157" s="13"/>
      <c r="E1157" s="13">
        <f>16170/1.1</f>
        <v>14699.999999999998</v>
      </c>
      <c r="F1157" s="13">
        <f>16170/1.1</f>
        <v>14699.999999999998</v>
      </c>
      <c r="G1157" s="127"/>
      <c r="H1157" s="127"/>
      <c r="I1157" s="127"/>
      <c r="J1157" s="127"/>
      <c r="K1157" s="25" t="str">
        <f t="shared" si="243"/>
        <v>đ/cái</v>
      </c>
      <c r="L1157" s="120"/>
      <c r="M1157" s="122">
        <f t="shared" si="247"/>
        <v>14699.999999999998</v>
      </c>
      <c r="N1157" s="122">
        <f t="shared" si="248"/>
        <v>14699.999999999998</v>
      </c>
      <c r="O1157" s="71">
        <f t="shared" si="244"/>
        <v>14699.999999999998</v>
      </c>
      <c r="P1157" s="71">
        <f t="shared" si="245"/>
        <v>14699.999999999998</v>
      </c>
    </row>
    <row r="1158" spans="1:16" s="58" customFormat="1" ht="20.45" customHeight="1">
      <c r="A1158" s="10">
        <f t="shared" si="246"/>
        <v>36</v>
      </c>
      <c r="B1158" s="33" t="s">
        <v>1144</v>
      </c>
      <c r="C1158" s="12" t="s">
        <v>84</v>
      </c>
      <c r="D1158" s="13"/>
      <c r="E1158" s="13">
        <f>32890/1.1</f>
        <v>29899.999999999996</v>
      </c>
      <c r="F1158" s="13">
        <f>32890/1.1</f>
        <v>29899.999999999996</v>
      </c>
      <c r="G1158" s="127"/>
      <c r="H1158" s="127"/>
      <c r="I1158" s="127"/>
      <c r="J1158" s="127"/>
      <c r="K1158" s="25" t="str">
        <f t="shared" si="243"/>
        <v>đ/cái</v>
      </c>
      <c r="L1158" s="120"/>
      <c r="M1158" s="122">
        <f t="shared" si="247"/>
        <v>29899.999999999996</v>
      </c>
      <c r="N1158" s="122">
        <f t="shared" si="248"/>
        <v>29899.999999999996</v>
      </c>
      <c r="O1158" s="71">
        <f t="shared" si="244"/>
        <v>29899.999999999996</v>
      </c>
      <c r="P1158" s="71">
        <f t="shared" si="245"/>
        <v>29899.999999999996</v>
      </c>
    </row>
    <row r="1159" spans="1:16" s="58" customFormat="1" ht="20.45" customHeight="1">
      <c r="A1159" s="10">
        <f t="shared" si="246"/>
        <v>37</v>
      </c>
      <c r="B1159" s="33" t="s">
        <v>1145</v>
      </c>
      <c r="C1159" s="12" t="s">
        <v>84</v>
      </c>
      <c r="D1159" s="13"/>
      <c r="E1159" s="13">
        <f>36960/1.1</f>
        <v>33600</v>
      </c>
      <c r="F1159" s="13">
        <f>36960/1.1</f>
        <v>33600</v>
      </c>
      <c r="G1159" s="127"/>
      <c r="H1159" s="127"/>
      <c r="I1159" s="127"/>
      <c r="J1159" s="127"/>
      <c r="K1159" s="25" t="str">
        <f t="shared" si="243"/>
        <v>đ/cái</v>
      </c>
      <c r="L1159" s="120"/>
      <c r="M1159" s="122">
        <f t="shared" si="247"/>
        <v>33600</v>
      </c>
      <c r="N1159" s="122">
        <f t="shared" si="248"/>
        <v>33600</v>
      </c>
      <c r="O1159" s="71">
        <f t="shared" si="244"/>
        <v>33600</v>
      </c>
      <c r="P1159" s="71">
        <f t="shared" si="245"/>
        <v>33600</v>
      </c>
    </row>
    <row r="1160" spans="1:16" s="58" customFormat="1" ht="20.45" customHeight="1">
      <c r="A1160" s="10">
        <f t="shared" si="246"/>
        <v>38</v>
      </c>
      <c r="B1160" s="33" t="s">
        <v>1146</v>
      </c>
      <c r="C1160" s="12" t="s">
        <v>84</v>
      </c>
      <c r="D1160" s="13"/>
      <c r="E1160" s="13">
        <f>77220/1.1</f>
        <v>70200</v>
      </c>
      <c r="F1160" s="13">
        <f>77220/1.1</f>
        <v>70200</v>
      </c>
      <c r="G1160" s="127"/>
      <c r="H1160" s="127"/>
      <c r="I1160" s="127"/>
      <c r="J1160" s="127"/>
      <c r="K1160" s="25" t="str">
        <f t="shared" si="243"/>
        <v>đ/cái</v>
      </c>
      <c r="L1160" s="120"/>
      <c r="M1160" s="122">
        <f t="shared" si="247"/>
        <v>70200</v>
      </c>
      <c r="N1160" s="122">
        <f t="shared" si="248"/>
        <v>70200</v>
      </c>
      <c r="O1160" s="71">
        <f t="shared" si="244"/>
        <v>70200</v>
      </c>
      <c r="P1160" s="71">
        <f t="shared" si="245"/>
        <v>70200</v>
      </c>
    </row>
    <row r="1161" spans="1:16" s="58" customFormat="1" ht="20.45" customHeight="1">
      <c r="A1161" s="10">
        <f t="shared" si="246"/>
        <v>39</v>
      </c>
      <c r="B1161" s="33" t="s">
        <v>1147</v>
      </c>
      <c r="C1161" s="12" t="s">
        <v>84</v>
      </c>
      <c r="D1161" s="13"/>
      <c r="E1161" s="13">
        <f>308880/1.1</f>
        <v>280800</v>
      </c>
      <c r="F1161" s="13">
        <f>308880/1.1</f>
        <v>280800</v>
      </c>
      <c r="G1161" s="127"/>
      <c r="H1161" s="127"/>
      <c r="I1161" s="127"/>
      <c r="J1161" s="127"/>
      <c r="K1161" s="25" t="str">
        <f>C1161</f>
        <v>đ/cái</v>
      </c>
      <c r="L1161" s="120"/>
      <c r="M1161" s="122">
        <f>E1161</f>
        <v>280800</v>
      </c>
      <c r="N1161" s="122">
        <f>F1161</f>
        <v>280800</v>
      </c>
      <c r="O1161" s="71">
        <f t="shared" si="244"/>
        <v>280800</v>
      </c>
      <c r="P1161" s="71">
        <f t="shared" si="245"/>
        <v>280800</v>
      </c>
    </row>
    <row r="1162" spans="1:16" s="58" customFormat="1" ht="29.25" customHeight="1">
      <c r="A1162" s="10"/>
      <c r="B1162" s="9" t="s">
        <v>513</v>
      </c>
      <c r="C1162" s="15"/>
      <c r="D1162" s="13"/>
      <c r="E1162" s="13"/>
      <c r="F1162" s="13"/>
      <c r="G1162" s="127"/>
      <c r="H1162" s="127"/>
      <c r="I1162" s="127"/>
      <c r="J1162" s="127"/>
      <c r="K1162" s="116"/>
      <c r="L1162" s="120"/>
      <c r="M1162" s="120"/>
      <c r="N1162" s="120"/>
      <c r="O1162" s="69"/>
      <c r="P1162" s="69"/>
    </row>
    <row r="1163" spans="1:16" s="58" customFormat="1" ht="21.95" customHeight="1">
      <c r="A1163" s="10">
        <f>+A1161+1</f>
        <v>40</v>
      </c>
      <c r="B1163" s="11" t="s">
        <v>514</v>
      </c>
      <c r="C1163" s="10" t="s">
        <v>84</v>
      </c>
      <c r="D1163" s="13"/>
      <c r="E1163" s="13">
        <f>25300/1.1</f>
        <v>22999.999999999996</v>
      </c>
      <c r="F1163" s="13">
        <f>25300/1.1</f>
        <v>22999.999999999996</v>
      </c>
      <c r="G1163" s="127"/>
      <c r="H1163" s="127"/>
      <c r="I1163" s="127"/>
      <c r="J1163" s="127"/>
      <c r="K1163" s="25" t="str">
        <f t="shared" ref="K1163:K1185" si="249">C1163</f>
        <v>đ/cái</v>
      </c>
      <c r="L1163" s="120"/>
      <c r="M1163" s="122">
        <f t="shared" ref="M1163:M1185" si="250">E1163</f>
        <v>22999.999999999996</v>
      </c>
      <c r="N1163" s="122">
        <f t="shared" ref="N1163:N1185" si="251">F1163</f>
        <v>22999.999999999996</v>
      </c>
      <c r="O1163" s="71">
        <f t="shared" ref="O1163:O1185" si="252">E1163</f>
        <v>22999.999999999996</v>
      </c>
      <c r="P1163" s="71">
        <f t="shared" ref="P1163:P1185" si="253">M1163</f>
        <v>22999.999999999996</v>
      </c>
    </row>
    <row r="1164" spans="1:16" s="58" customFormat="1" ht="21.95" customHeight="1">
      <c r="A1164" s="10">
        <f t="shared" ref="A1164:A1185" si="254">+A1163+1</f>
        <v>41</v>
      </c>
      <c r="B1164" s="11" t="s">
        <v>515</v>
      </c>
      <c r="C1164" s="10" t="s">
        <v>84</v>
      </c>
      <c r="D1164" s="13"/>
      <c r="E1164" s="13">
        <f>27280/1.1</f>
        <v>24799.999999999996</v>
      </c>
      <c r="F1164" s="13">
        <f>27280/1.1</f>
        <v>24799.999999999996</v>
      </c>
      <c r="G1164" s="127"/>
      <c r="H1164" s="127"/>
      <c r="I1164" s="127"/>
      <c r="J1164" s="127"/>
      <c r="K1164" s="25" t="str">
        <f t="shared" si="249"/>
        <v>đ/cái</v>
      </c>
      <c r="L1164" s="120"/>
      <c r="M1164" s="122">
        <f t="shared" si="250"/>
        <v>24799.999999999996</v>
      </c>
      <c r="N1164" s="122">
        <f t="shared" si="251"/>
        <v>24799.999999999996</v>
      </c>
      <c r="O1164" s="71">
        <f t="shared" si="252"/>
        <v>24799.999999999996</v>
      </c>
      <c r="P1164" s="71">
        <f t="shared" si="253"/>
        <v>24799.999999999996</v>
      </c>
    </row>
    <row r="1165" spans="1:16" s="58" customFormat="1" ht="21.95" customHeight="1">
      <c r="A1165" s="10">
        <f t="shared" si="254"/>
        <v>42</v>
      </c>
      <c r="B1165" s="11" t="s">
        <v>516</v>
      </c>
      <c r="C1165" s="10" t="s">
        <v>84</v>
      </c>
      <c r="D1165" s="13"/>
      <c r="E1165" s="13">
        <f>55990/1.1</f>
        <v>50899.999999999993</v>
      </c>
      <c r="F1165" s="13">
        <f>55990/1.1</f>
        <v>50899.999999999993</v>
      </c>
      <c r="G1165" s="127"/>
      <c r="H1165" s="127"/>
      <c r="I1165" s="127"/>
      <c r="J1165" s="127"/>
      <c r="K1165" s="25" t="str">
        <f t="shared" si="249"/>
        <v>đ/cái</v>
      </c>
      <c r="L1165" s="120"/>
      <c r="M1165" s="122">
        <f t="shared" si="250"/>
        <v>50899.999999999993</v>
      </c>
      <c r="N1165" s="122">
        <f t="shared" si="251"/>
        <v>50899.999999999993</v>
      </c>
      <c r="O1165" s="71">
        <f t="shared" si="252"/>
        <v>50899.999999999993</v>
      </c>
      <c r="P1165" s="71">
        <f t="shared" si="253"/>
        <v>50899.999999999993</v>
      </c>
    </row>
    <row r="1166" spans="1:16" s="58" customFormat="1" ht="21.95" customHeight="1">
      <c r="A1166" s="10">
        <f t="shared" si="254"/>
        <v>43</v>
      </c>
      <c r="B1166" s="11" t="s">
        <v>517</v>
      </c>
      <c r="C1166" s="10" t="s">
        <v>84</v>
      </c>
      <c r="D1166" s="13"/>
      <c r="E1166" s="13">
        <f>93720/1.1</f>
        <v>85200</v>
      </c>
      <c r="F1166" s="13">
        <f>93720/1.1</f>
        <v>85200</v>
      </c>
      <c r="G1166" s="127"/>
      <c r="H1166" s="127"/>
      <c r="I1166" s="127"/>
      <c r="J1166" s="127"/>
      <c r="K1166" s="25" t="str">
        <f t="shared" si="249"/>
        <v>đ/cái</v>
      </c>
      <c r="L1166" s="120"/>
      <c r="M1166" s="122">
        <f t="shared" si="250"/>
        <v>85200</v>
      </c>
      <c r="N1166" s="122">
        <f t="shared" si="251"/>
        <v>85200</v>
      </c>
      <c r="O1166" s="71">
        <f t="shared" si="252"/>
        <v>85200</v>
      </c>
      <c r="P1166" s="71">
        <f t="shared" si="253"/>
        <v>85200</v>
      </c>
    </row>
    <row r="1167" spans="1:16" s="58" customFormat="1" ht="21.95" customHeight="1">
      <c r="A1167" s="10">
        <f t="shared" si="254"/>
        <v>44</v>
      </c>
      <c r="B1167" s="11" t="s">
        <v>518</v>
      </c>
      <c r="C1167" s="10" t="s">
        <v>84</v>
      </c>
      <c r="D1167" s="13"/>
      <c r="E1167" s="13">
        <f>142340/1.1</f>
        <v>129399.99999999999</v>
      </c>
      <c r="F1167" s="13">
        <f>142340/1.1</f>
        <v>129399.99999999999</v>
      </c>
      <c r="G1167" s="127"/>
      <c r="H1167" s="127"/>
      <c r="I1167" s="127"/>
      <c r="J1167" s="127"/>
      <c r="K1167" s="25" t="str">
        <f t="shared" si="249"/>
        <v>đ/cái</v>
      </c>
      <c r="L1167" s="120"/>
      <c r="M1167" s="122">
        <f t="shared" si="250"/>
        <v>129399.99999999999</v>
      </c>
      <c r="N1167" s="122">
        <f t="shared" si="251"/>
        <v>129399.99999999999</v>
      </c>
      <c r="O1167" s="71">
        <f t="shared" si="252"/>
        <v>129399.99999999999</v>
      </c>
      <c r="P1167" s="71">
        <f t="shared" si="253"/>
        <v>129399.99999999999</v>
      </c>
    </row>
    <row r="1168" spans="1:16" s="58" customFormat="1" ht="21.95" customHeight="1">
      <c r="A1168" s="10">
        <f t="shared" si="254"/>
        <v>45</v>
      </c>
      <c r="B1168" s="11" t="s">
        <v>519</v>
      </c>
      <c r="C1168" s="10" t="s">
        <v>84</v>
      </c>
      <c r="D1168" s="13"/>
      <c r="E1168" s="13">
        <f>307120/1.1</f>
        <v>279200</v>
      </c>
      <c r="F1168" s="13">
        <f>307120/1.1</f>
        <v>279200</v>
      </c>
      <c r="G1168" s="127"/>
      <c r="H1168" s="127"/>
      <c r="I1168" s="127"/>
      <c r="J1168" s="127"/>
      <c r="K1168" s="25" t="str">
        <f t="shared" si="249"/>
        <v>đ/cái</v>
      </c>
      <c r="L1168" s="120"/>
      <c r="M1168" s="122">
        <f t="shared" si="250"/>
        <v>279200</v>
      </c>
      <c r="N1168" s="122">
        <f t="shared" si="251"/>
        <v>279200</v>
      </c>
      <c r="O1168" s="71">
        <f t="shared" si="252"/>
        <v>279200</v>
      </c>
      <c r="P1168" s="71">
        <f t="shared" si="253"/>
        <v>279200</v>
      </c>
    </row>
    <row r="1169" spans="1:16" s="58" customFormat="1" ht="21.95" customHeight="1">
      <c r="A1169" s="10">
        <f t="shared" si="254"/>
        <v>46</v>
      </c>
      <c r="B1169" s="11" t="s">
        <v>520</v>
      </c>
      <c r="C1169" s="10" t="s">
        <v>84</v>
      </c>
      <c r="D1169" s="13"/>
      <c r="E1169" s="13">
        <f>20350/1.1</f>
        <v>18500</v>
      </c>
      <c r="F1169" s="13">
        <f>20350/1.1</f>
        <v>18500</v>
      </c>
      <c r="G1169" s="127"/>
      <c r="H1169" s="127"/>
      <c r="I1169" s="127"/>
      <c r="J1169" s="127"/>
      <c r="K1169" s="25" t="str">
        <f t="shared" si="249"/>
        <v>đ/cái</v>
      </c>
      <c r="L1169" s="120"/>
      <c r="M1169" s="122">
        <f t="shared" si="250"/>
        <v>18500</v>
      </c>
      <c r="N1169" s="122">
        <f t="shared" si="251"/>
        <v>18500</v>
      </c>
      <c r="O1169" s="71">
        <f t="shared" si="252"/>
        <v>18500</v>
      </c>
      <c r="P1169" s="71">
        <f t="shared" si="253"/>
        <v>18500</v>
      </c>
    </row>
    <row r="1170" spans="1:16" s="58" customFormat="1" ht="21.95" customHeight="1">
      <c r="A1170" s="10">
        <f t="shared" si="254"/>
        <v>47</v>
      </c>
      <c r="B1170" s="11" t="s">
        <v>521</v>
      </c>
      <c r="C1170" s="10" t="s">
        <v>84</v>
      </c>
      <c r="D1170" s="13"/>
      <c r="E1170" s="13">
        <f>36850/1.1</f>
        <v>33500</v>
      </c>
      <c r="F1170" s="13">
        <f>36850/1.1</f>
        <v>33500</v>
      </c>
      <c r="G1170" s="127"/>
      <c r="H1170" s="127"/>
      <c r="I1170" s="127"/>
      <c r="J1170" s="127"/>
      <c r="K1170" s="25" t="str">
        <f t="shared" si="249"/>
        <v>đ/cái</v>
      </c>
      <c r="L1170" s="120"/>
      <c r="M1170" s="122">
        <f t="shared" si="250"/>
        <v>33500</v>
      </c>
      <c r="N1170" s="122">
        <f t="shared" si="251"/>
        <v>33500</v>
      </c>
      <c r="O1170" s="71">
        <f t="shared" si="252"/>
        <v>33500</v>
      </c>
      <c r="P1170" s="71">
        <f t="shared" si="253"/>
        <v>33500</v>
      </c>
    </row>
    <row r="1171" spans="1:16" s="58" customFormat="1" ht="21.95" customHeight="1">
      <c r="A1171" s="10">
        <f t="shared" si="254"/>
        <v>48</v>
      </c>
      <c r="B1171" s="11" t="s">
        <v>522</v>
      </c>
      <c r="C1171" s="10" t="s">
        <v>84</v>
      </c>
      <c r="D1171" s="13"/>
      <c r="E1171" s="13">
        <f>40480/1.1</f>
        <v>36800</v>
      </c>
      <c r="F1171" s="13">
        <f>40480/1.1</f>
        <v>36800</v>
      </c>
      <c r="G1171" s="127"/>
      <c r="H1171" s="127"/>
      <c r="I1171" s="127"/>
      <c r="J1171" s="127"/>
      <c r="K1171" s="25" t="str">
        <f t="shared" si="249"/>
        <v>đ/cái</v>
      </c>
      <c r="L1171" s="120"/>
      <c r="M1171" s="122">
        <f t="shared" si="250"/>
        <v>36800</v>
      </c>
      <c r="N1171" s="122">
        <f t="shared" si="251"/>
        <v>36800</v>
      </c>
      <c r="O1171" s="71">
        <f t="shared" si="252"/>
        <v>36800</v>
      </c>
      <c r="P1171" s="71">
        <f t="shared" si="253"/>
        <v>36800</v>
      </c>
    </row>
    <row r="1172" spans="1:16" s="58" customFormat="1" ht="21.95" customHeight="1">
      <c r="A1172" s="10">
        <f t="shared" si="254"/>
        <v>49</v>
      </c>
      <c r="B1172" s="11" t="s">
        <v>523</v>
      </c>
      <c r="C1172" s="10" t="s">
        <v>84</v>
      </c>
      <c r="D1172" s="13"/>
      <c r="E1172" s="13">
        <f>68420/1.1</f>
        <v>62199.999999999993</v>
      </c>
      <c r="F1172" s="13">
        <f>68420/1.1</f>
        <v>62199.999999999993</v>
      </c>
      <c r="G1172" s="127"/>
      <c r="H1172" s="127"/>
      <c r="I1172" s="127"/>
      <c r="J1172" s="127"/>
      <c r="K1172" s="25" t="str">
        <f t="shared" si="249"/>
        <v>đ/cái</v>
      </c>
      <c r="L1172" s="120"/>
      <c r="M1172" s="122">
        <f t="shared" si="250"/>
        <v>62199.999999999993</v>
      </c>
      <c r="N1172" s="122">
        <f t="shared" si="251"/>
        <v>62199.999999999993</v>
      </c>
      <c r="O1172" s="71">
        <f t="shared" si="252"/>
        <v>62199.999999999993</v>
      </c>
      <c r="P1172" s="71">
        <f t="shared" si="253"/>
        <v>62199.999999999993</v>
      </c>
    </row>
    <row r="1173" spans="1:16" s="58" customFormat="1" ht="21.95" customHeight="1">
      <c r="A1173" s="10">
        <f t="shared" si="254"/>
        <v>50</v>
      </c>
      <c r="B1173" s="11" t="s">
        <v>524</v>
      </c>
      <c r="C1173" s="10" t="s">
        <v>84</v>
      </c>
      <c r="D1173" s="13"/>
      <c r="E1173" s="13">
        <f>113080/1.1</f>
        <v>102799.99999999999</v>
      </c>
      <c r="F1173" s="13">
        <f>113080/1.1</f>
        <v>102799.99999999999</v>
      </c>
      <c r="G1173" s="127"/>
      <c r="H1173" s="127"/>
      <c r="I1173" s="127"/>
      <c r="J1173" s="127"/>
      <c r="K1173" s="25" t="str">
        <f t="shared" si="249"/>
        <v>đ/cái</v>
      </c>
      <c r="L1173" s="120"/>
      <c r="M1173" s="122">
        <f t="shared" si="250"/>
        <v>102799.99999999999</v>
      </c>
      <c r="N1173" s="122">
        <f t="shared" si="251"/>
        <v>102799.99999999999</v>
      </c>
      <c r="O1173" s="71">
        <f t="shared" si="252"/>
        <v>102799.99999999999</v>
      </c>
      <c r="P1173" s="71">
        <f t="shared" si="253"/>
        <v>102799.99999999999</v>
      </c>
    </row>
    <row r="1174" spans="1:16" s="58" customFormat="1" ht="21.95" customHeight="1">
      <c r="A1174" s="10">
        <f t="shared" si="254"/>
        <v>51</v>
      </c>
      <c r="B1174" s="11" t="s">
        <v>525</v>
      </c>
      <c r="C1174" s="10" t="s">
        <v>84</v>
      </c>
      <c r="D1174" s="13"/>
      <c r="E1174" s="13">
        <f>246840/1.1</f>
        <v>224399.99999999997</v>
      </c>
      <c r="F1174" s="13">
        <f>246840/1.1</f>
        <v>224399.99999999997</v>
      </c>
      <c r="G1174" s="127"/>
      <c r="H1174" s="127"/>
      <c r="I1174" s="127"/>
      <c r="J1174" s="127"/>
      <c r="K1174" s="25" t="str">
        <f t="shared" si="249"/>
        <v>đ/cái</v>
      </c>
      <c r="L1174" s="120"/>
      <c r="M1174" s="122">
        <f t="shared" si="250"/>
        <v>224399.99999999997</v>
      </c>
      <c r="N1174" s="122">
        <f t="shared" si="251"/>
        <v>224399.99999999997</v>
      </c>
      <c r="O1174" s="71">
        <f t="shared" si="252"/>
        <v>224399.99999999997</v>
      </c>
      <c r="P1174" s="71">
        <f t="shared" si="253"/>
        <v>224399.99999999997</v>
      </c>
    </row>
    <row r="1175" spans="1:16" s="58" customFormat="1" ht="21.95" customHeight="1">
      <c r="A1175" s="10">
        <f t="shared" si="254"/>
        <v>52</v>
      </c>
      <c r="B1175" s="11" t="s">
        <v>526</v>
      </c>
      <c r="C1175" s="10" t="s">
        <v>84</v>
      </c>
      <c r="D1175" s="13"/>
      <c r="E1175" s="13">
        <f>475530/1.1</f>
        <v>432299.99999999994</v>
      </c>
      <c r="F1175" s="13">
        <f>475530/1.1</f>
        <v>432299.99999999994</v>
      </c>
      <c r="G1175" s="127"/>
      <c r="H1175" s="127"/>
      <c r="I1175" s="127"/>
      <c r="J1175" s="127"/>
      <c r="K1175" s="25" t="str">
        <f t="shared" si="249"/>
        <v>đ/cái</v>
      </c>
      <c r="L1175" s="120"/>
      <c r="M1175" s="122">
        <f t="shared" si="250"/>
        <v>432299.99999999994</v>
      </c>
      <c r="N1175" s="122">
        <f t="shared" si="251"/>
        <v>432299.99999999994</v>
      </c>
      <c r="O1175" s="71">
        <f t="shared" si="252"/>
        <v>432299.99999999994</v>
      </c>
      <c r="P1175" s="71">
        <f t="shared" si="253"/>
        <v>432299.99999999994</v>
      </c>
    </row>
    <row r="1176" spans="1:16" s="58" customFormat="1" ht="21.95" customHeight="1">
      <c r="A1176" s="10">
        <f t="shared" si="254"/>
        <v>53</v>
      </c>
      <c r="B1176" s="11" t="s">
        <v>527</v>
      </c>
      <c r="C1176" s="10" t="s">
        <v>84</v>
      </c>
      <c r="D1176" s="13"/>
      <c r="E1176" s="13">
        <f>1090980/1.1</f>
        <v>991799.99999999988</v>
      </c>
      <c r="F1176" s="13">
        <f>1090980/1.1</f>
        <v>991799.99999999988</v>
      </c>
      <c r="G1176" s="127"/>
      <c r="H1176" s="127"/>
      <c r="I1176" s="127"/>
      <c r="J1176" s="127"/>
      <c r="K1176" s="25" t="str">
        <f t="shared" si="249"/>
        <v>đ/cái</v>
      </c>
      <c r="L1176" s="120"/>
      <c r="M1176" s="122">
        <f t="shared" si="250"/>
        <v>991799.99999999988</v>
      </c>
      <c r="N1176" s="122">
        <f t="shared" si="251"/>
        <v>991799.99999999988</v>
      </c>
      <c r="O1176" s="71">
        <f t="shared" si="252"/>
        <v>991799.99999999988</v>
      </c>
      <c r="P1176" s="71">
        <f t="shared" si="253"/>
        <v>991799.99999999988</v>
      </c>
    </row>
    <row r="1177" spans="1:16" s="58" customFormat="1" ht="21.95" customHeight="1">
      <c r="A1177" s="10">
        <f t="shared" si="254"/>
        <v>54</v>
      </c>
      <c r="B1177" s="33" t="s">
        <v>1148</v>
      </c>
      <c r="C1177" s="10" t="s">
        <v>84</v>
      </c>
      <c r="D1177" s="13"/>
      <c r="E1177" s="13">
        <f>12320/1.1</f>
        <v>11200</v>
      </c>
      <c r="F1177" s="13">
        <f>12320/1.1</f>
        <v>11200</v>
      </c>
      <c r="G1177" s="127"/>
      <c r="H1177" s="127"/>
      <c r="I1177" s="127"/>
      <c r="J1177" s="127"/>
      <c r="K1177" s="25" t="str">
        <f t="shared" si="249"/>
        <v>đ/cái</v>
      </c>
      <c r="L1177" s="120"/>
      <c r="M1177" s="122">
        <f t="shared" si="250"/>
        <v>11200</v>
      </c>
      <c r="N1177" s="122">
        <f t="shared" si="251"/>
        <v>11200</v>
      </c>
      <c r="O1177" s="71">
        <f t="shared" si="252"/>
        <v>11200</v>
      </c>
      <c r="P1177" s="71">
        <f t="shared" si="253"/>
        <v>11200</v>
      </c>
    </row>
    <row r="1178" spans="1:16" s="58" customFormat="1" ht="21.95" customHeight="1">
      <c r="A1178" s="10">
        <f t="shared" si="254"/>
        <v>55</v>
      </c>
      <c r="B1178" s="33" t="s">
        <v>1149</v>
      </c>
      <c r="C1178" s="10" t="s">
        <v>84</v>
      </c>
      <c r="D1178" s="13"/>
      <c r="E1178" s="13">
        <f>26510/1.1</f>
        <v>24099.999999999996</v>
      </c>
      <c r="F1178" s="13">
        <f>26510/1.1</f>
        <v>24099.999999999996</v>
      </c>
      <c r="G1178" s="127"/>
      <c r="H1178" s="127"/>
      <c r="I1178" s="127"/>
      <c r="J1178" s="127"/>
      <c r="K1178" s="25" t="str">
        <f t="shared" si="249"/>
        <v>đ/cái</v>
      </c>
      <c r="L1178" s="120"/>
      <c r="M1178" s="122">
        <f t="shared" si="250"/>
        <v>24099.999999999996</v>
      </c>
      <c r="N1178" s="122">
        <f t="shared" si="251"/>
        <v>24099.999999999996</v>
      </c>
      <c r="O1178" s="71">
        <f t="shared" si="252"/>
        <v>24099.999999999996</v>
      </c>
      <c r="P1178" s="71">
        <f t="shared" si="253"/>
        <v>24099.999999999996</v>
      </c>
    </row>
    <row r="1179" spans="1:16" s="58" customFormat="1" ht="21.95" customHeight="1">
      <c r="A1179" s="10">
        <f t="shared" si="254"/>
        <v>56</v>
      </c>
      <c r="B1179" s="33" t="s">
        <v>1150</v>
      </c>
      <c r="C1179" s="10" t="s">
        <v>84</v>
      </c>
      <c r="D1179" s="13"/>
      <c r="E1179" s="13">
        <f>32780/1.1</f>
        <v>29799.999999999996</v>
      </c>
      <c r="F1179" s="13">
        <f>32780/1.1</f>
        <v>29799.999999999996</v>
      </c>
      <c r="G1179" s="127"/>
      <c r="H1179" s="127"/>
      <c r="I1179" s="127"/>
      <c r="J1179" s="127"/>
      <c r="K1179" s="25" t="str">
        <f t="shared" si="249"/>
        <v>đ/cái</v>
      </c>
      <c r="L1179" s="120"/>
      <c r="M1179" s="122">
        <f t="shared" si="250"/>
        <v>29799.999999999996</v>
      </c>
      <c r="N1179" s="122">
        <f t="shared" si="251"/>
        <v>29799.999999999996</v>
      </c>
      <c r="O1179" s="71">
        <f t="shared" si="252"/>
        <v>29799.999999999996</v>
      </c>
      <c r="P1179" s="71">
        <f t="shared" si="253"/>
        <v>29799.999999999996</v>
      </c>
    </row>
    <row r="1180" spans="1:16" s="58" customFormat="1" ht="21.95" customHeight="1">
      <c r="A1180" s="10">
        <f t="shared" si="254"/>
        <v>57</v>
      </c>
      <c r="B1180" s="33" t="s">
        <v>1151</v>
      </c>
      <c r="C1180" s="10" t="s">
        <v>84</v>
      </c>
      <c r="D1180" s="13"/>
      <c r="E1180" s="13">
        <f>36960/1.1</f>
        <v>33600</v>
      </c>
      <c r="F1180" s="13">
        <f>36960/1.1</f>
        <v>33600</v>
      </c>
      <c r="G1180" s="127"/>
      <c r="H1180" s="127"/>
      <c r="I1180" s="127"/>
      <c r="J1180" s="127"/>
      <c r="K1180" s="25" t="str">
        <f t="shared" si="249"/>
        <v>đ/cái</v>
      </c>
      <c r="L1180" s="120"/>
      <c r="M1180" s="122">
        <f t="shared" si="250"/>
        <v>33600</v>
      </c>
      <c r="N1180" s="122">
        <f t="shared" si="251"/>
        <v>33600</v>
      </c>
      <c r="O1180" s="71">
        <f t="shared" si="252"/>
        <v>33600</v>
      </c>
      <c r="P1180" s="71">
        <f t="shared" si="253"/>
        <v>33600</v>
      </c>
    </row>
    <row r="1181" spans="1:16" s="58" customFormat="1" ht="21.95" customHeight="1">
      <c r="A1181" s="10">
        <f t="shared" si="254"/>
        <v>58</v>
      </c>
      <c r="B1181" s="33" t="s">
        <v>1152</v>
      </c>
      <c r="C1181" s="10" t="s">
        <v>84</v>
      </c>
      <c r="D1181" s="13"/>
      <c r="E1181" s="13">
        <f>62700/1.1</f>
        <v>56999.999999999993</v>
      </c>
      <c r="F1181" s="13">
        <f>62700/1.1</f>
        <v>56999.999999999993</v>
      </c>
      <c r="G1181" s="127"/>
      <c r="H1181" s="127"/>
      <c r="I1181" s="127"/>
      <c r="J1181" s="127"/>
      <c r="K1181" s="25" t="str">
        <f t="shared" si="249"/>
        <v>đ/cái</v>
      </c>
      <c r="L1181" s="120"/>
      <c r="M1181" s="122">
        <f t="shared" si="250"/>
        <v>56999.999999999993</v>
      </c>
      <c r="N1181" s="122">
        <f t="shared" si="251"/>
        <v>56999.999999999993</v>
      </c>
      <c r="O1181" s="71">
        <f t="shared" si="252"/>
        <v>56999.999999999993</v>
      </c>
      <c r="P1181" s="71">
        <f t="shared" si="253"/>
        <v>56999.999999999993</v>
      </c>
    </row>
    <row r="1182" spans="1:16" s="58" customFormat="1" ht="21.95" customHeight="1">
      <c r="A1182" s="10">
        <f t="shared" si="254"/>
        <v>59</v>
      </c>
      <c r="B1182" s="33" t="s">
        <v>1153</v>
      </c>
      <c r="C1182" s="10" t="s">
        <v>84</v>
      </c>
      <c r="D1182" s="13"/>
      <c r="E1182" s="13">
        <f>127710/1.1</f>
        <v>116099.99999999999</v>
      </c>
      <c r="F1182" s="13">
        <f>127710/1.1</f>
        <v>116099.99999999999</v>
      </c>
      <c r="G1182" s="127"/>
      <c r="H1182" s="127"/>
      <c r="I1182" s="127"/>
      <c r="J1182" s="127"/>
      <c r="K1182" s="25" t="str">
        <f t="shared" si="249"/>
        <v>đ/cái</v>
      </c>
      <c r="L1182" s="120"/>
      <c r="M1182" s="122">
        <f t="shared" si="250"/>
        <v>116099.99999999999</v>
      </c>
      <c r="N1182" s="122">
        <f t="shared" si="251"/>
        <v>116099.99999999999</v>
      </c>
      <c r="O1182" s="71">
        <f t="shared" si="252"/>
        <v>116099.99999999999</v>
      </c>
      <c r="P1182" s="71">
        <f t="shared" si="253"/>
        <v>116099.99999999999</v>
      </c>
    </row>
    <row r="1183" spans="1:16" s="58" customFormat="1" ht="21.95" customHeight="1">
      <c r="A1183" s="10">
        <f t="shared" si="254"/>
        <v>60</v>
      </c>
      <c r="B1183" s="33" t="s">
        <v>1154</v>
      </c>
      <c r="C1183" s="10" t="s">
        <v>84</v>
      </c>
      <c r="D1183" s="13"/>
      <c r="E1183" s="13">
        <f>162360/1.1</f>
        <v>147600</v>
      </c>
      <c r="F1183" s="13">
        <f>162360/1.1</f>
        <v>147600</v>
      </c>
      <c r="G1183" s="127"/>
      <c r="H1183" s="127"/>
      <c r="I1183" s="127"/>
      <c r="J1183" s="127"/>
      <c r="K1183" s="25" t="str">
        <f t="shared" si="249"/>
        <v>đ/cái</v>
      </c>
      <c r="L1183" s="120"/>
      <c r="M1183" s="122">
        <f t="shared" si="250"/>
        <v>147600</v>
      </c>
      <c r="N1183" s="122">
        <f t="shared" si="251"/>
        <v>147600</v>
      </c>
      <c r="O1183" s="71">
        <f t="shared" si="252"/>
        <v>147600</v>
      </c>
      <c r="P1183" s="71">
        <f t="shared" si="253"/>
        <v>147600</v>
      </c>
    </row>
    <row r="1184" spans="1:16" s="58" customFormat="1" ht="21.95" customHeight="1">
      <c r="A1184" s="10">
        <f t="shared" si="254"/>
        <v>61</v>
      </c>
      <c r="B1184" s="33" t="s">
        <v>1155</v>
      </c>
      <c r="C1184" s="10" t="s">
        <v>84</v>
      </c>
      <c r="D1184" s="13"/>
      <c r="E1184" s="13">
        <f>429000/1.1</f>
        <v>389999.99999999994</v>
      </c>
      <c r="F1184" s="13">
        <f>429000/1.1</f>
        <v>389999.99999999994</v>
      </c>
      <c r="G1184" s="127"/>
      <c r="H1184" s="127"/>
      <c r="I1184" s="127"/>
      <c r="J1184" s="127"/>
      <c r="K1184" s="25" t="str">
        <f t="shared" si="249"/>
        <v>đ/cái</v>
      </c>
      <c r="L1184" s="120"/>
      <c r="M1184" s="122">
        <f t="shared" si="250"/>
        <v>389999.99999999994</v>
      </c>
      <c r="N1184" s="122">
        <f t="shared" si="251"/>
        <v>389999.99999999994</v>
      </c>
      <c r="O1184" s="71">
        <f t="shared" si="252"/>
        <v>389999.99999999994</v>
      </c>
      <c r="P1184" s="71">
        <f t="shared" si="253"/>
        <v>389999.99999999994</v>
      </c>
    </row>
    <row r="1185" spans="1:16" s="58" customFormat="1" ht="21.95" customHeight="1">
      <c r="A1185" s="10">
        <f t="shared" si="254"/>
        <v>62</v>
      </c>
      <c r="B1185" s="11" t="s">
        <v>528</v>
      </c>
      <c r="C1185" s="10" t="s">
        <v>463</v>
      </c>
      <c r="D1185" s="13"/>
      <c r="E1185" s="13">
        <f>115830/1.1</f>
        <v>105299.99999999999</v>
      </c>
      <c r="F1185" s="13">
        <f>115830/1.1</f>
        <v>105299.99999999999</v>
      </c>
      <c r="G1185" s="127"/>
      <c r="H1185" s="127"/>
      <c r="I1185" s="127"/>
      <c r="J1185" s="127"/>
      <c r="K1185" s="25" t="str">
        <f t="shared" si="249"/>
        <v>đ/lon</v>
      </c>
      <c r="L1185" s="120"/>
      <c r="M1185" s="122">
        <f t="shared" si="250"/>
        <v>105299.99999999999</v>
      </c>
      <c r="N1185" s="122">
        <f t="shared" si="251"/>
        <v>105299.99999999999</v>
      </c>
      <c r="O1185" s="71">
        <f t="shared" si="252"/>
        <v>105299.99999999999</v>
      </c>
      <c r="P1185" s="71">
        <f t="shared" si="253"/>
        <v>105299.99999999999</v>
      </c>
    </row>
    <row r="1186" spans="1:16" s="58" customFormat="1" ht="30.75" customHeight="1">
      <c r="A1186" s="10"/>
      <c r="B1186" s="240" t="s">
        <v>1210</v>
      </c>
      <c r="C1186" s="241"/>
      <c r="D1186" s="241"/>
      <c r="E1186" s="241"/>
      <c r="F1186" s="241"/>
      <c r="G1186" s="241"/>
      <c r="H1186" s="241"/>
      <c r="I1186" s="241"/>
      <c r="J1186" s="241"/>
      <c r="K1186" s="241"/>
      <c r="L1186" s="241"/>
      <c r="M1186" s="241"/>
      <c r="N1186" s="242"/>
      <c r="O1186" s="69"/>
      <c r="P1186" s="69"/>
    </row>
    <row r="1187" spans="1:16" s="58" customFormat="1" ht="25.5" customHeight="1">
      <c r="A1187" s="10"/>
      <c r="B1187" s="9" t="s">
        <v>529</v>
      </c>
      <c r="C1187" s="36"/>
      <c r="D1187" s="21"/>
      <c r="E1187" s="21"/>
      <c r="F1187" s="21"/>
      <c r="G1187" s="127"/>
      <c r="H1187" s="127"/>
      <c r="I1187" s="127"/>
      <c r="J1187" s="127"/>
      <c r="K1187" s="116"/>
      <c r="L1187" s="120"/>
      <c r="M1187" s="120"/>
      <c r="N1187" s="120"/>
      <c r="O1187" s="69"/>
      <c r="P1187" s="69"/>
    </row>
    <row r="1188" spans="1:16" s="58" customFormat="1" ht="21.95" customHeight="1">
      <c r="A1188" s="10">
        <v>1</v>
      </c>
      <c r="B1188" s="11" t="s">
        <v>530</v>
      </c>
      <c r="C1188" s="10" t="s">
        <v>90</v>
      </c>
      <c r="D1188" s="13"/>
      <c r="E1188" s="13">
        <v>6200</v>
      </c>
      <c r="F1188" s="13">
        <v>6200</v>
      </c>
      <c r="G1188" s="127"/>
      <c r="H1188" s="127"/>
      <c r="I1188" s="127"/>
      <c r="J1188" s="127"/>
      <c r="K1188" s="25" t="str">
        <f t="shared" ref="K1188:K1198" si="255">C1188</f>
        <v>đ/m</v>
      </c>
      <c r="L1188" s="120"/>
      <c r="M1188" s="122">
        <f t="shared" ref="M1188:M1198" si="256">E1188</f>
        <v>6200</v>
      </c>
      <c r="N1188" s="122">
        <f t="shared" ref="N1188:N1198" si="257">F1188</f>
        <v>6200</v>
      </c>
      <c r="O1188" s="71">
        <f t="shared" ref="O1188:O1198" si="258">E1188</f>
        <v>6200</v>
      </c>
      <c r="P1188" s="71">
        <f t="shared" ref="P1188:P1198" si="259">M1188</f>
        <v>6200</v>
      </c>
    </row>
    <row r="1189" spans="1:16" s="58" customFormat="1" ht="21.95" customHeight="1">
      <c r="A1189" s="10">
        <f t="shared" ref="A1189:A1198" si="260">+A1188+1</f>
        <v>2</v>
      </c>
      <c r="B1189" s="11" t="s">
        <v>531</v>
      </c>
      <c r="C1189" s="10" t="s">
        <v>90</v>
      </c>
      <c r="D1189" s="13"/>
      <c r="E1189" s="13">
        <v>8800</v>
      </c>
      <c r="F1189" s="13">
        <v>8800</v>
      </c>
      <c r="G1189" s="127"/>
      <c r="H1189" s="127"/>
      <c r="I1189" s="127"/>
      <c r="J1189" s="127"/>
      <c r="K1189" s="25" t="str">
        <f t="shared" si="255"/>
        <v>đ/m</v>
      </c>
      <c r="L1189" s="120"/>
      <c r="M1189" s="122">
        <f t="shared" si="256"/>
        <v>8800</v>
      </c>
      <c r="N1189" s="122">
        <f t="shared" si="257"/>
        <v>8800</v>
      </c>
      <c r="O1189" s="71">
        <f t="shared" si="258"/>
        <v>8800</v>
      </c>
      <c r="P1189" s="71">
        <f t="shared" si="259"/>
        <v>8800</v>
      </c>
    </row>
    <row r="1190" spans="1:16" s="58" customFormat="1" ht="21.95" customHeight="1">
      <c r="A1190" s="10">
        <f t="shared" si="260"/>
        <v>3</v>
      </c>
      <c r="B1190" s="11" t="s">
        <v>532</v>
      </c>
      <c r="C1190" s="10" t="s">
        <v>90</v>
      </c>
      <c r="D1190" s="13"/>
      <c r="E1190" s="13">
        <v>12300</v>
      </c>
      <c r="F1190" s="13">
        <v>12300</v>
      </c>
      <c r="G1190" s="127"/>
      <c r="H1190" s="127"/>
      <c r="I1190" s="127"/>
      <c r="J1190" s="127"/>
      <c r="K1190" s="25" t="s">
        <v>1301</v>
      </c>
      <c r="L1190" s="120"/>
      <c r="M1190" s="122">
        <f t="shared" si="256"/>
        <v>12300</v>
      </c>
      <c r="N1190" s="122">
        <f t="shared" si="257"/>
        <v>12300</v>
      </c>
      <c r="O1190" s="71">
        <f t="shared" si="258"/>
        <v>12300</v>
      </c>
      <c r="P1190" s="71">
        <f t="shared" si="259"/>
        <v>12300</v>
      </c>
    </row>
    <row r="1191" spans="1:16" s="58" customFormat="1" ht="21.95" customHeight="1">
      <c r="A1191" s="10">
        <f t="shared" si="260"/>
        <v>4</v>
      </c>
      <c r="B1191" s="11" t="s">
        <v>533</v>
      </c>
      <c r="C1191" s="10" t="s">
        <v>90</v>
      </c>
      <c r="D1191" s="13"/>
      <c r="E1191" s="13">
        <v>16400</v>
      </c>
      <c r="F1191" s="13">
        <v>16400</v>
      </c>
      <c r="G1191" s="127"/>
      <c r="H1191" s="127"/>
      <c r="I1191" s="127"/>
      <c r="J1191" s="127"/>
      <c r="K1191" s="25" t="str">
        <f t="shared" si="255"/>
        <v>đ/m</v>
      </c>
      <c r="L1191" s="120"/>
      <c r="M1191" s="122">
        <f t="shared" si="256"/>
        <v>16400</v>
      </c>
      <c r="N1191" s="122">
        <f t="shared" si="257"/>
        <v>16400</v>
      </c>
      <c r="O1191" s="71">
        <f t="shared" si="258"/>
        <v>16400</v>
      </c>
      <c r="P1191" s="71">
        <f t="shared" si="259"/>
        <v>16400</v>
      </c>
    </row>
    <row r="1192" spans="1:16" s="58" customFormat="1" ht="21.95" customHeight="1">
      <c r="A1192" s="10">
        <f t="shared" si="260"/>
        <v>5</v>
      </c>
      <c r="B1192" s="11" t="s">
        <v>534</v>
      </c>
      <c r="C1192" s="10" t="s">
        <v>90</v>
      </c>
      <c r="D1192" s="13"/>
      <c r="E1192" s="13">
        <v>21400</v>
      </c>
      <c r="F1192" s="13">
        <v>21400</v>
      </c>
      <c r="G1192" s="127"/>
      <c r="H1192" s="127"/>
      <c r="I1192" s="127"/>
      <c r="J1192" s="127"/>
      <c r="K1192" s="25" t="str">
        <f t="shared" si="255"/>
        <v>đ/m</v>
      </c>
      <c r="L1192" s="120"/>
      <c r="M1192" s="122">
        <f t="shared" si="256"/>
        <v>21400</v>
      </c>
      <c r="N1192" s="122">
        <f t="shared" si="257"/>
        <v>21400</v>
      </c>
      <c r="O1192" s="71">
        <f t="shared" si="258"/>
        <v>21400</v>
      </c>
      <c r="P1192" s="71">
        <f t="shared" si="259"/>
        <v>21400</v>
      </c>
    </row>
    <row r="1193" spans="1:16" s="58" customFormat="1" ht="21.95" customHeight="1">
      <c r="A1193" s="10">
        <f t="shared" si="260"/>
        <v>6</v>
      </c>
      <c r="B1193" s="11" t="s">
        <v>535</v>
      </c>
      <c r="C1193" s="10" t="s">
        <v>90</v>
      </c>
      <c r="D1193" s="13"/>
      <c r="E1193" s="13">
        <v>22600</v>
      </c>
      <c r="F1193" s="13">
        <v>22600</v>
      </c>
      <c r="G1193" s="127"/>
      <c r="H1193" s="127"/>
      <c r="I1193" s="127"/>
      <c r="J1193" s="127"/>
      <c r="K1193" s="25" t="str">
        <f t="shared" si="255"/>
        <v>đ/m</v>
      </c>
      <c r="L1193" s="120"/>
      <c r="M1193" s="122">
        <f t="shared" si="256"/>
        <v>22600</v>
      </c>
      <c r="N1193" s="122">
        <f t="shared" si="257"/>
        <v>22600</v>
      </c>
      <c r="O1193" s="71">
        <f t="shared" si="258"/>
        <v>22600</v>
      </c>
      <c r="P1193" s="71">
        <f t="shared" si="259"/>
        <v>22600</v>
      </c>
    </row>
    <row r="1194" spans="1:16" s="58" customFormat="1" ht="21.95" customHeight="1">
      <c r="A1194" s="10">
        <f t="shared" si="260"/>
        <v>7</v>
      </c>
      <c r="B1194" s="11" t="s">
        <v>536</v>
      </c>
      <c r="C1194" s="10" t="s">
        <v>90</v>
      </c>
      <c r="D1194" s="13"/>
      <c r="E1194" s="13">
        <v>48800</v>
      </c>
      <c r="F1194" s="13">
        <v>48800</v>
      </c>
      <c r="G1194" s="127"/>
      <c r="H1194" s="127"/>
      <c r="I1194" s="127"/>
      <c r="J1194" s="127"/>
      <c r="K1194" s="25" t="str">
        <f t="shared" si="255"/>
        <v>đ/m</v>
      </c>
      <c r="L1194" s="120"/>
      <c r="M1194" s="122">
        <f t="shared" si="256"/>
        <v>48800</v>
      </c>
      <c r="N1194" s="122">
        <f t="shared" si="257"/>
        <v>48800</v>
      </c>
      <c r="O1194" s="71">
        <f t="shared" si="258"/>
        <v>48800</v>
      </c>
      <c r="P1194" s="71">
        <f t="shared" si="259"/>
        <v>48800</v>
      </c>
    </row>
    <row r="1195" spans="1:16" s="58" customFormat="1" ht="21.95" customHeight="1">
      <c r="A1195" s="10">
        <f t="shared" si="260"/>
        <v>8</v>
      </c>
      <c r="B1195" s="11" t="s">
        <v>537</v>
      </c>
      <c r="C1195" s="10" t="s">
        <v>90</v>
      </c>
      <c r="D1195" s="13"/>
      <c r="E1195" s="13">
        <v>81000</v>
      </c>
      <c r="F1195" s="13">
        <v>81000</v>
      </c>
      <c r="G1195" s="127"/>
      <c r="H1195" s="127"/>
      <c r="I1195" s="127"/>
      <c r="J1195" s="127"/>
      <c r="K1195" s="25" t="str">
        <f t="shared" si="255"/>
        <v>đ/m</v>
      </c>
      <c r="L1195" s="120"/>
      <c r="M1195" s="122">
        <f t="shared" si="256"/>
        <v>81000</v>
      </c>
      <c r="N1195" s="122">
        <f t="shared" si="257"/>
        <v>81000</v>
      </c>
      <c r="O1195" s="71">
        <f t="shared" si="258"/>
        <v>81000</v>
      </c>
      <c r="P1195" s="71">
        <f t="shared" si="259"/>
        <v>81000</v>
      </c>
    </row>
    <row r="1196" spans="1:16" s="58" customFormat="1" ht="21.95" customHeight="1">
      <c r="A1196" s="10">
        <f t="shared" si="260"/>
        <v>9</v>
      </c>
      <c r="B1196" s="11" t="s">
        <v>538</v>
      </c>
      <c r="C1196" s="10" t="s">
        <v>90</v>
      </c>
      <c r="D1196" s="13"/>
      <c r="E1196" s="13">
        <v>103700</v>
      </c>
      <c r="F1196" s="13">
        <v>103700</v>
      </c>
      <c r="G1196" s="127"/>
      <c r="H1196" s="127"/>
      <c r="I1196" s="127"/>
      <c r="J1196" s="127"/>
      <c r="K1196" s="25" t="str">
        <f t="shared" si="255"/>
        <v>đ/m</v>
      </c>
      <c r="L1196" s="120"/>
      <c r="M1196" s="122">
        <f t="shared" si="256"/>
        <v>103700</v>
      </c>
      <c r="N1196" s="122">
        <f t="shared" si="257"/>
        <v>103700</v>
      </c>
      <c r="O1196" s="71">
        <f t="shared" si="258"/>
        <v>103700</v>
      </c>
      <c r="P1196" s="71">
        <f t="shared" si="259"/>
        <v>103700</v>
      </c>
    </row>
    <row r="1197" spans="1:16" s="58" customFormat="1" ht="21.95" customHeight="1">
      <c r="A1197" s="10">
        <f t="shared" si="260"/>
        <v>10</v>
      </c>
      <c r="B1197" s="11" t="s">
        <v>539</v>
      </c>
      <c r="C1197" s="10" t="s">
        <v>90</v>
      </c>
      <c r="D1197" s="13"/>
      <c r="E1197" s="13">
        <v>135800</v>
      </c>
      <c r="F1197" s="13">
        <v>135800</v>
      </c>
      <c r="G1197" s="127"/>
      <c r="H1197" s="127"/>
      <c r="I1197" s="127"/>
      <c r="J1197" s="127"/>
      <c r="K1197" s="25" t="str">
        <f t="shared" si="255"/>
        <v>đ/m</v>
      </c>
      <c r="L1197" s="120"/>
      <c r="M1197" s="122">
        <f t="shared" si="256"/>
        <v>135800</v>
      </c>
      <c r="N1197" s="122">
        <f t="shared" si="257"/>
        <v>135800</v>
      </c>
      <c r="O1197" s="71">
        <f t="shared" si="258"/>
        <v>135800</v>
      </c>
      <c r="P1197" s="71">
        <f t="shared" si="259"/>
        <v>135800</v>
      </c>
    </row>
    <row r="1198" spans="1:16" s="58" customFormat="1" ht="21.95" customHeight="1">
      <c r="A1198" s="10">
        <f t="shared" si="260"/>
        <v>11</v>
      </c>
      <c r="B1198" s="11" t="s">
        <v>540</v>
      </c>
      <c r="C1198" s="10" t="s">
        <v>90</v>
      </c>
      <c r="D1198" s="13"/>
      <c r="E1198" s="13">
        <v>210200</v>
      </c>
      <c r="F1198" s="13">
        <v>210200</v>
      </c>
      <c r="G1198" s="127"/>
      <c r="H1198" s="127"/>
      <c r="I1198" s="127"/>
      <c r="J1198" s="127"/>
      <c r="K1198" s="25" t="str">
        <f t="shared" si="255"/>
        <v>đ/m</v>
      </c>
      <c r="L1198" s="120"/>
      <c r="M1198" s="122">
        <f t="shared" si="256"/>
        <v>210200</v>
      </c>
      <c r="N1198" s="122">
        <f t="shared" si="257"/>
        <v>210200</v>
      </c>
      <c r="O1198" s="71">
        <f t="shared" si="258"/>
        <v>210200</v>
      </c>
      <c r="P1198" s="71">
        <f t="shared" si="259"/>
        <v>210200</v>
      </c>
    </row>
    <row r="1199" spans="1:16" s="58" customFormat="1" ht="21.95" customHeight="1">
      <c r="A1199" s="10"/>
      <c r="B1199" s="9" t="s">
        <v>541</v>
      </c>
      <c r="C1199" s="15"/>
      <c r="D1199" s="20"/>
      <c r="E1199" s="13"/>
      <c r="F1199" s="13"/>
      <c r="G1199" s="127"/>
      <c r="H1199" s="127"/>
      <c r="I1199" s="127"/>
      <c r="J1199" s="127"/>
      <c r="K1199" s="116"/>
      <c r="L1199" s="120"/>
      <c r="M1199" s="120"/>
      <c r="N1199" s="120"/>
      <c r="O1199" s="69"/>
      <c r="P1199" s="69"/>
    </row>
    <row r="1200" spans="1:16" s="58" customFormat="1" ht="21.95" customHeight="1">
      <c r="A1200" s="10">
        <f>+A1198+1</f>
        <v>12</v>
      </c>
      <c r="B1200" s="33" t="s">
        <v>542</v>
      </c>
      <c r="C1200" s="10" t="s">
        <v>90</v>
      </c>
      <c r="D1200" s="13"/>
      <c r="E1200" s="13">
        <v>21400</v>
      </c>
      <c r="F1200" s="13">
        <v>21400</v>
      </c>
      <c r="G1200" s="127"/>
      <c r="H1200" s="127"/>
      <c r="I1200" s="127"/>
      <c r="J1200" s="127"/>
      <c r="K1200" s="25" t="str">
        <f t="shared" ref="K1200:K1208" si="261">C1200</f>
        <v>đ/m</v>
      </c>
      <c r="L1200" s="120"/>
      <c r="M1200" s="122">
        <f t="shared" ref="M1200:M1208" si="262">E1200</f>
        <v>21400</v>
      </c>
      <c r="N1200" s="122">
        <f t="shared" ref="N1200:N1208" si="263">F1200</f>
        <v>21400</v>
      </c>
      <c r="O1200" s="71">
        <f t="shared" ref="O1200:O1208" si="264">E1200</f>
        <v>21400</v>
      </c>
      <c r="P1200" s="71">
        <f t="shared" ref="P1200:P1208" si="265">M1200</f>
        <v>21400</v>
      </c>
    </row>
    <row r="1201" spans="1:16" s="58" customFormat="1" ht="21.95" customHeight="1">
      <c r="A1201" s="10">
        <f t="shared" ref="A1201:A1208" si="266">+A1200+1</f>
        <v>13</v>
      </c>
      <c r="B1201" s="33" t="s">
        <v>543</v>
      </c>
      <c r="C1201" s="10" t="s">
        <v>90</v>
      </c>
      <c r="D1201" s="13"/>
      <c r="E1201" s="13">
        <v>24800</v>
      </c>
      <c r="F1201" s="13">
        <v>24800</v>
      </c>
      <c r="G1201" s="127"/>
      <c r="H1201" s="127"/>
      <c r="I1201" s="127"/>
      <c r="J1201" s="127"/>
      <c r="K1201" s="25" t="str">
        <f t="shared" si="261"/>
        <v>đ/m</v>
      </c>
      <c r="L1201" s="120"/>
      <c r="M1201" s="122">
        <f t="shared" si="262"/>
        <v>24800</v>
      </c>
      <c r="N1201" s="122">
        <f t="shared" si="263"/>
        <v>24800</v>
      </c>
      <c r="O1201" s="71">
        <f t="shared" si="264"/>
        <v>24800</v>
      </c>
      <c r="P1201" s="71">
        <f t="shared" si="265"/>
        <v>24800</v>
      </c>
    </row>
    <row r="1202" spans="1:16" s="58" customFormat="1" ht="21.95" customHeight="1">
      <c r="A1202" s="10">
        <f t="shared" si="266"/>
        <v>14</v>
      </c>
      <c r="B1202" s="33" t="s">
        <v>544</v>
      </c>
      <c r="C1202" s="10" t="s">
        <v>90</v>
      </c>
      <c r="D1202" s="13"/>
      <c r="E1202" s="13">
        <v>34500</v>
      </c>
      <c r="F1202" s="13">
        <v>34500</v>
      </c>
      <c r="G1202" s="127"/>
      <c r="H1202" s="127"/>
      <c r="I1202" s="127"/>
      <c r="J1202" s="127"/>
      <c r="K1202" s="25" t="str">
        <f t="shared" si="261"/>
        <v>đ/m</v>
      </c>
      <c r="L1202" s="120"/>
      <c r="M1202" s="122">
        <f t="shared" si="262"/>
        <v>34500</v>
      </c>
      <c r="N1202" s="122">
        <f t="shared" si="263"/>
        <v>34500</v>
      </c>
      <c r="O1202" s="71">
        <f t="shared" si="264"/>
        <v>34500</v>
      </c>
      <c r="P1202" s="71">
        <f t="shared" si="265"/>
        <v>34500</v>
      </c>
    </row>
    <row r="1203" spans="1:16" s="58" customFormat="1" ht="21.95" customHeight="1">
      <c r="A1203" s="10">
        <f t="shared" si="266"/>
        <v>15</v>
      </c>
      <c r="B1203" s="33" t="s">
        <v>545</v>
      </c>
      <c r="C1203" s="10" t="s">
        <v>90</v>
      </c>
      <c r="D1203" s="13"/>
      <c r="E1203" s="13">
        <v>50200</v>
      </c>
      <c r="F1203" s="13">
        <v>50200</v>
      </c>
      <c r="G1203" s="127"/>
      <c r="H1203" s="127"/>
      <c r="I1203" s="127"/>
      <c r="J1203" s="127"/>
      <c r="K1203" s="25" t="str">
        <f t="shared" si="261"/>
        <v>đ/m</v>
      </c>
      <c r="L1203" s="120"/>
      <c r="M1203" s="122">
        <f t="shared" si="262"/>
        <v>50200</v>
      </c>
      <c r="N1203" s="122">
        <f t="shared" si="263"/>
        <v>50200</v>
      </c>
      <c r="O1203" s="71">
        <f t="shared" si="264"/>
        <v>50200</v>
      </c>
      <c r="P1203" s="71">
        <f t="shared" si="265"/>
        <v>50200</v>
      </c>
    </row>
    <row r="1204" spans="1:16" s="58" customFormat="1" ht="21.95" customHeight="1">
      <c r="A1204" s="10">
        <f t="shared" si="266"/>
        <v>16</v>
      </c>
      <c r="B1204" s="33" t="s">
        <v>546</v>
      </c>
      <c r="C1204" s="10" t="s">
        <v>90</v>
      </c>
      <c r="D1204" s="13"/>
      <c r="E1204" s="13">
        <v>72100</v>
      </c>
      <c r="F1204" s="13">
        <v>72100</v>
      </c>
      <c r="G1204" s="127"/>
      <c r="H1204" s="127"/>
      <c r="I1204" s="127"/>
      <c r="J1204" s="127"/>
      <c r="K1204" s="25" t="str">
        <f t="shared" si="261"/>
        <v>đ/m</v>
      </c>
      <c r="L1204" s="120"/>
      <c r="M1204" s="122">
        <f t="shared" si="262"/>
        <v>72100</v>
      </c>
      <c r="N1204" s="122">
        <f t="shared" si="263"/>
        <v>72100</v>
      </c>
      <c r="O1204" s="71">
        <f t="shared" si="264"/>
        <v>72100</v>
      </c>
      <c r="P1204" s="71">
        <f t="shared" si="265"/>
        <v>72100</v>
      </c>
    </row>
    <row r="1205" spans="1:16" s="58" customFormat="1" ht="21.95" customHeight="1">
      <c r="A1205" s="10">
        <f t="shared" si="266"/>
        <v>17</v>
      </c>
      <c r="B1205" s="33" t="s">
        <v>547</v>
      </c>
      <c r="C1205" s="10" t="s">
        <v>90</v>
      </c>
      <c r="D1205" s="13"/>
      <c r="E1205" s="13">
        <v>116300</v>
      </c>
      <c r="F1205" s="13">
        <v>116300</v>
      </c>
      <c r="G1205" s="127"/>
      <c r="H1205" s="127"/>
      <c r="I1205" s="127"/>
      <c r="J1205" s="127"/>
      <c r="K1205" s="25" t="str">
        <f t="shared" si="261"/>
        <v>đ/m</v>
      </c>
      <c r="L1205" s="120"/>
      <c r="M1205" s="122">
        <f t="shared" si="262"/>
        <v>116300</v>
      </c>
      <c r="N1205" s="122">
        <f t="shared" si="263"/>
        <v>116300</v>
      </c>
      <c r="O1205" s="71">
        <f t="shared" si="264"/>
        <v>116300</v>
      </c>
      <c r="P1205" s="71">
        <f t="shared" si="265"/>
        <v>116300</v>
      </c>
    </row>
    <row r="1206" spans="1:16" s="58" customFormat="1" ht="21.95" customHeight="1">
      <c r="A1206" s="10">
        <f t="shared" si="266"/>
        <v>18</v>
      </c>
      <c r="B1206" s="33" t="s">
        <v>548</v>
      </c>
      <c r="C1206" s="10" t="s">
        <v>90</v>
      </c>
      <c r="D1206" s="13"/>
      <c r="E1206" s="13">
        <v>129000</v>
      </c>
      <c r="F1206" s="13">
        <v>129000</v>
      </c>
      <c r="G1206" s="127"/>
      <c r="H1206" s="127"/>
      <c r="I1206" s="127"/>
      <c r="J1206" s="127"/>
      <c r="K1206" s="25" t="str">
        <f t="shared" si="261"/>
        <v>đ/m</v>
      </c>
      <c r="L1206" s="120"/>
      <c r="M1206" s="122">
        <f t="shared" si="262"/>
        <v>129000</v>
      </c>
      <c r="N1206" s="122">
        <f t="shared" si="263"/>
        <v>129000</v>
      </c>
      <c r="O1206" s="71">
        <f t="shared" si="264"/>
        <v>129000</v>
      </c>
      <c r="P1206" s="71">
        <f t="shared" si="265"/>
        <v>129000</v>
      </c>
    </row>
    <row r="1207" spans="1:16" s="58" customFormat="1" ht="21.95" customHeight="1">
      <c r="A1207" s="10">
        <f t="shared" si="266"/>
        <v>19</v>
      </c>
      <c r="B1207" s="33" t="s">
        <v>549</v>
      </c>
      <c r="C1207" s="10" t="s">
        <v>90</v>
      </c>
      <c r="D1207" s="13"/>
      <c r="E1207" s="13">
        <v>240000</v>
      </c>
      <c r="F1207" s="13">
        <v>240000</v>
      </c>
      <c r="G1207" s="127"/>
      <c r="H1207" s="127"/>
      <c r="I1207" s="127"/>
      <c r="J1207" s="127"/>
      <c r="K1207" s="25" t="str">
        <f t="shared" si="261"/>
        <v>đ/m</v>
      </c>
      <c r="L1207" s="120"/>
      <c r="M1207" s="122">
        <f t="shared" si="262"/>
        <v>240000</v>
      </c>
      <c r="N1207" s="122">
        <f t="shared" si="263"/>
        <v>240000</v>
      </c>
      <c r="O1207" s="71">
        <f t="shared" si="264"/>
        <v>240000</v>
      </c>
      <c r="P1207" s="71">
        <f t="shared" si="265"/>
        <v>240000</v>
      </c>
    </row>
    <row r="1208" spans="1:16" s="58" customFormat="1" ht="21.95" customHeight="1">
      <c r="A1208" s="10">
        <f t="shared" si="266"/>
        <v>20</v>
      </c>
      <c r="B1208" s="33" t="s">
        <v>550</v>
      </c>
      <c r="C1208" s="10" t="s">
        <v>90</v>
      </c>
      <c r="D1208" s="13"/>
      <c r="E1208" s="13">
        <v>235300</v>
      </c>
      <c r="F1208" s="13">
        <v>235300</v>
      </c>
      <c r="G1208" s="127"/>
      <c r="H1208" s="127"/>
      <c r="I1208" s="127"/>
      <c r="J1208" s="127"/>
      <c r="K1208" s="25" t="str">
        <f t="shared" si="261"/>
        <v>đ/m</v>
      </c>
      <c r="L1208" s="120"/>
      <c r="M1208" s="122">
        <f t="shared" si="262"/>
        <v>235300</v>
      </c>
      <c r="N1208" s="122">
        <f t="shared" si="263"/>
        <v>235300</v>
      </c>
      <c r="O1208" s="71">
        <f t="shared" si="264"/>
        <v>235300</v>
      </c>
      <c r="P1208" s="71">
        <f t="shared" si="265"/>
        <v>235300</v>
      </c>
    </row>
    <row r="1209" spans="1:16" s="58" customFormat="1" ht="25.5" customHeight="1">
      <c r="A1209" s="10"/>
      <c r="B1209" s="9" t="s">
        <v>551</v>
      </c>
      <c r="C1209" s="15"/>
      <c r="D1209" s="20"/>
      <c r="E1209" s="13"/>
      <c r="F1209" s="13"/>
      <c r="G1209" s="127"/>
      <c r="H1209" s="127"/>
      <c r="I1209" s="127"/>
      <c r="J1209" s="127"/>
      <c r="K1209" s="116"/>
      <c r="L1209" s="120"/>
      <c r="M1209" s="120"/>
      <c r="N1209" s="120"/>
      <c r="O1209" s="69"/>
      <c r="P1209" s="69"/>
    </row>
    <row r="1210" spans="1:16" s="58" customFormat="1" ht="21" customHeight="1">
      <c r="A1210" s="10">
        <f>+A1208+1</f>
        <v>21</v>
      </c>
      <c r="B1210" s="33" t="s">
        <v>552</v>
      </c>
      <c r="C1210" s="10" t="s">
        <v>90</v>
      </c>
      <c r="D1210" s="13"/>
      <c r="E1210" s="13">
        <v>151200</v>
      </c>
      <c r="F1210" s="13">
        <v>151200</v>
      </c>
      <c r="G1210" s="127"/>
      <c r="H1210" s="127"/>
      <c r="I1210" s="127"/>
      <c r="J1210" s="127"/>
      <c r="K1210" s="25" t="str">
        <f>C1210</f>
        <v>đ/m</v>
      </c>
      <c r="L1210" s="120"/>
      <c r="M1210" s="122">
        <f>E1210</f>
        <v>151200</v>
      </c>
      <c r="N1210" s="122">
        <f>F1210</f>
        <v>151200</v>
      </c>
      <c r="O1210" s="71">
        <f>E1210</f>
        <v>151200</v>
      </c>
      <c r="P1210" s="71">
        <f>M1210</f>
        <v>151200</v>
      </c>
    </row>
    <row r="1211" spans="1:16" s="58" customFormat="1" ht="21" customHeight="1">
      <c r="A1211" s="10">
        <f>+A1210+1</f>
        <v>22</v>
      </c>
      <c r="B1211" s="33" t="s">
        <v>553</v>
      </c>
      <c r="C1211" s="10" t="s">
        <v>90</v>
      </c>
      <c r="D1211" s="13"/>
      <c r="E1211" s="13">
        <v>319300</v>
      </c>
      <c r="F1211" s="13">
        <v>319300</v>
      </c>
      <c r="G1211" s="127"/>
      <c r="H1211" s="127"/>
      <c r="I1211" s="127"/>
      <c r="J1211" s="127"/>
      <c r="K1211" s="25" t="str">
        <f>C1211</f>
        <v>đ/m</v>
      </c>
      <c r="L1211" s="120"/>
      <c r="M1211" s="122">
        <f>E1211</f>
        <v>319300</v>
      </c>
      <c r="N1211" s="122">
        <f>F1211</f>
        <v>319300</v>
      </c>
      <c r="O1211" s="71">
        <f>E1211</f>
        <v>319300</v>
      </c>
      <c r="P1211" s="71">
        <f>M1211</f>
        <v>319300</v>
      </c>
    </row>
    <row r="1212" spans="1:16" s="58" customFormat="1" ht="25.5" customHeight="1">
      <c r="A1212" s="10"/>
      <c r="B1212" s="9" t="s">
        <v>554</v>
      </c>
      <c r="C1212" s="15"/>
      <c r="D1212" s="20"/>
      <c r="E1212" s="13"/>
      <c r="F1212" s="13"/>
      <c r="G1212" s="127"/>
      <c r="H1212" s="127"/>
      <c r="I1212" s="127"/>
      <c r="J1212" s="127"/>
      <c r="K1212" s="116"/>
      <c r="L1212" s="120"/>
      <c r="M1212" s="120"/>
      <c r="N1212" s="120"/>
      <c r="O1212" s="69"/>
      <c r="P1212" s="69"/>
    </row>
    <row r="1213" spans="1:16" s="58" customFormat="1" ht="21" customHeight="1">
      <c r="A1213" s="10">
        <f>+A1211+1</f>
        <v>23</v>
      </c>
      <c r="B1213" s="33" t="s">
        <v>555</v>
      </c>
      <c r="C1213" s="10" t="s">
        <v>90</v>
      </c>
      <c r="D1213" s="13"/>
      <c r="E1213" s="13">
        <v>408000</v>
      </c>
      <c r="F1213" s="13">
        <v>408000</v>
      </c>
      <c r="G1213" s="127"/>
      <c r="H1213" s="127"/>
      <c r="I1213" s="127"/>
      <c r="J1213" s="127"/>
      <c r="K1213" s="25" t="str">
        <f>C1213</f>
        <v>đ/m</v>
      </c>
      <c r="L1213" s="120"/>
      <c r="M1213" s="122">
        <f>E1213</f>
        <v>408000</v>
      </c>
      <c r="N1213" s="122">
        <f>F1213</f>
        <v>408000</v>
      </c>
      <c r="O1213" s="71">
        <f>E1213</f>
        <v>408000</v>
      </c>
      <c r="P1213" s="71">
        <f>M1213</f>
        <v>408000</v>
      </c>
    </row>
    <row r="1214" spans="1:16" s="58" customFormat="1" ht="21" customHeight="1">
      <c r="A1214" s="10">
        <f>+A1213+1</f>
        <v>24</v>
      </c>
      <c r="B1214" s="33" t="s">
        <v>556</v>
      </c>
      <c r="C1214" s="10" t="s">
        <v>90</v>
      </c>
      <c r="D1214" s="13"/>
      <c r="E1214" s="13">
        <v>475700</v>
      </c>
      <c r="F1214" s="13">
        <v>475700</v>
      </c>
      <c r="G1214" s="127"/>
      <c r="H1214" s="127"/>
      <c r="I1214" s="127"/>
      <c r="J1214" s="127"/>
      <c r="K1214" s="25" t="str">
        <f>C1214</f>
        <v>đ/m</v>
      </c>
      <c r="L1214" s="120"/>
      <c r="M1214" s="122">
        <f>E1214</f>
        <v>475700</v>
      </c>
      <c r="N1214" s="122">
        <f>F1214</f>
        <v>475700</v>
      </c>
      <c r="O1214" s="71">
        <f>E1214</f>
        <v>475700</v>
      </c>
      <c r="P1214" s="71">
        <f>M1214</f>
        <v>475700</v>
      </c>
    </row>
    <row r="1215" spans="1:16" s="58" customFormat="1" ht="24.75" customHeight="1">
      <c r="A1215" s="10"/>
      <c r="B1215" s="9" t="s">
        <v>557</v>
      </c>
      <c r="C1215" s="15"/>
      <c r="D1215" s="20"/>
      <c r="E1215" s="13"/>
      <c r="F1215" s="13"/>
      <c r="G1215" s="127"/>
      <c r="H1215" s="127"/>
      <c r="I1215" s="127"/>
      <c r="J1215" s="127"/>
      <c r="K1215" s="116"/>
      <c r="L1215" s="120"/>
      <c r="M1215" s="120"/>
      <c r="N1215" s="120"/>
      <c r="O1215" s="69"/>
      <c r="P1215" s="69"/>
    </row>
    <row r="1216" spans="1:16" s="58" customFormat="1" ht="21.95" customHeight="1">
      <c r="A1216" s="10">
        <f>+A1214+1</f>
        <v>25</v>
      </c>
      <c r="B1216" s="11" t="s">
        <v>558</v>
      </c>
      <c r="C1216" s="10" t="s">
        <v>84</v>
      </c>
      <c r="D1216" s="13"/>
      <c r="E1216" s="13">
        <v>1600</v>
      </c>
      <c r="F1216" s="13">
        <v>1600</v>
      </c>
      <c r="G1216" s="127"/>
      <c r="H1216" s="127"/>
      <c r="I1216" s="127"/>
      <c r="J1216" s="127"/>
      <c r="K1216" s="25" t="str">
        <f t="shared" ref="K1216:K1253" si="267">C1216</f>
        <v>đ/cái</v>
      </c>
      <c r="L1216" s="120"/>
      <c r="M1216" s="122">
        <f t="shared" ref="M1216:M1253" si="268">E1216</f>
        <v>1600</v>
      </c>
      <c r="N1216" s="122">
        <f t="shared" ref="N1216:N1253" si="269">F1216</f>
        <v>1600</v>
      </c>
      <c r="O1216" s="71">
        <f t="shared" ref="O1216:O1253" si="270">E1216</f>
        <v>1600</v>
      </c>
      <c r="P1216" s="71">
        <f t="shared" ref="P1216:P1253" si="271">M1216</f>
        <v>1600</v>
      </c>
    </row>
    <row r="1217" spans="1:16" s="58" customFormat="1" ht="21.95" customHeight="1">
      <c r="A1217" s="10">
        <f t="shared" ref="A1217:A1253" si="272">+A1216+1</f>
        <v>26</v>
      </c>
      <c r="B1217" s="11" t="s">
        <v>559</v>
      </c>
      <c r="C1217" s="10" t="s">
        <v>84</v>
      </c>
      <c r="D1217" s="13"/>
      <c r="E1217" s="13">
        <v>2200</v>
      </c>
      <c r="F1217" s="13">
        <v>2200</v>
      </c>
      <c r="G1217" s="127"/>
      <c r="H1217" s="127"/>
      <c r="I1217" s="127"/>
      <c r="J1217" s="127"/>
      <c r="K1217" s="25" t="str">
        <f t="shared" si="267"/>
        <v>đ/cái</v>
      </c>
      <c r="L1217" s="120"/>
      <c r="M1217" s="122">
        <f t="shared" si="268"/>
        <v>2200</v>
      </c>
      <c r="N1217" s="122">
        <f t="shared" si="269"/>
        <v>2200</v>
      </c>
      <c r="O1217" s="71">
        <f t="shared" si="270"/>
        <v>2200</v>
      </c>
      <c r="P1217" s="71">
        <f t="shared" si="271"/>
        <v>2200</v>
      </c>
    </row>
    <row r="1218" spans="1:16" s="58" customFormat="1" ht="21.95" customHeight="1">
      <c r="A1218" s="10">
        <f t="shared" si="272"/>
        <v>27</v>
      </c>
      <c r="B1218" s="11" t="s">
        <v>560</v>
      </c>
      <c r="C1218" s="10" t="s">
        <v>84</v>
      </c>
      <c r="D1218" s="13"/>
      <c r="E1218" s="13">
        <v>3700</v>
      </c>
      <c r="F1218" s="13">
        <v>3700</v>
      </c>
      <c r="G1218" s="127"/>
      <c r="H1218" s="127"/>
      <c r="I1218" s="127"/>
      <c r="J1218" s="127"/>
      <c r="K1218" s="25" t="str">
        <f t="shared" si="267"/>
        <v>đ/cái</v>
      </c>
      <c r="L1218" s="120"/>
      <c r="M1218" s="122">
        <f t="shared" si="268"/>
        <v>3700</v>
      </c>
      <c r="N1218" s="122">
        <f t="shared" si="269"/>
        <v>3700</v>
      </c>
      <c r="O1218" s="71">
        <f t="shared" si="270"/>
        <v>3700</v>
      </c>
      <c r="P1218" s="71">
        <f t="shared" si="271"/>
        <v>3700</v>
      </c>
    </row>
    <row r="1219" spans="1:16" s="58" customFormat="1" ht="21.95" customHeight="1">
      <c r="A1219" s="10">
        <f t="shared" si="272"/>
        <v>28</v>
      </c>
      <c r="B1219" s="11" t="s">
        <v>561</v>
      </c>
      <c r="C1219" s="10" t="s">
        <v>84</v>
      </c>
      <c r="D1219" s="13"/>
      <c r="E1219" s="13">
        <v>5100</v>
      </c>
      <c r="F1219" s="13">
        <v>5100</v>
      </c>
      <c r="G1219" s="127"/>
      <c r="H1219" s="127"/>
      <c r="I1219" s="127"/>
      <c r="J1219" s="127"/>
      <c r="K1219" s="25" t="str">
        <f t="shared" si="267"/>
        <v>đ/cái</v>
      </c>
      <c r="L1219" s="120"/>
      <c r="M1219" s="122">
        <f t="shared" si="268"/>
        <v>5100</v>
      </c>
      <c r="N1219" s="122">
        <f t="shared" si="269"/>
        <v>5100</v>
      </c>
      <c r="O1219" s="71">
        <f t="shared" si="270"/>
        <v>5100</v>
      </c>
      <c r="P1219" s="71">
        <f t="shared" si="271"/>
        <v>5100</v>
      </c>
    </row>
    <row r="1220" spans="1:16" s="58" customFormat="1" ht="21.95" customHeight="1">
      <c r="A1220" s="10">
        <f t="shared" si="272"/>
        <v>29</v>
      </c>
      <c r="B1220" s="11" t="s">
        <v>562</v>
      </c>
      <c r="C1220" s="10" t="s">
        <v>84</v>
      </c>
      <c r="D1220" s="13"/>
      <c r="E1220" s="13">
        <v>7900</v>
      </c>
      <c r="F1220" s="13">
        <v>7900</v>
      </c>
      <c r="G1220" s="127"/>
      <c r="H1220" s="127"/>
      <c r="I1220" s="127"/>
      <c r="J1220" s="127"/>
      <c r="K1220" s="25" t="str">
        <f t="shared" si="267"/>
        <v>đ/cái</v>
      </c>
      <c r="L1220" s="120"/>
      <c r="M1220" s="122">
        <f t="shared" si="268"/>
        <v>7900</v>
      </c>
      <c r="N1220" s="122">
        <f t="shared" si="269"/>
        <v>7900</v>
      </c>
      <c r="O1220" s="71">
        <f t="shared" si="270"/>
        <v>7900</v>
      </c>
      <c r="P1220" s="71">
        <f t="shared" si="271"/>
        <v>7900</v>
      </c>
    </row>
    <row r="1221" spans="1:16" s="58" customFormat="1" ht="21" customHeight="1">
      <c r="A1221" s="10">
        <f t="shared" si="272"/>
        <v>30</v>
      </c>
      <c r="B1221" s="11" t="s">
        <v>563</v>
      </c>
      <c r="C1221" s="10" t="s">
        <v>84</v>
      </c>
      <c r="D1221" s="13"/>
      <c r="E1221" s="13">
        <v>12200</v>
      </c>
      <c r="F1221" s="13">
        <v>12200</v>
      </c>
      <c r="G1221" s="127"/>
      <c r="H1221" s="127"/>
      <c r="I1221" s="127"/>
      <c r="J1221" s="127"/>
      <c r="K1221" s="25" t="str">
        <f t="shared" si="267"/>
        <v>đ/cái</v>
      </c>
      <c r="L1221" s="120"/>
      <c r="M1221" s="122">
        <f t="shared" si="268"/>
        <v>12200</v>
      </c>
      <c r="N1221" s="122">
        <f t="shared" si="269"/>
        <v>12200</v>
      </c>
      <c r="O1221" s="71">
        <f t="shared" si="270"/>
        <v>12200</v>
      </c>
      <c r="P1221" s="71">
        <f t="shared" si="271"/>
        <v>12200</v>
      </c>
    </row>
    <row r="1222" spans="1:16" s="58" customFormat="1" ht="21" customHeight="1">
      <c r="A1222" s="10">
        <f t="shared" si="272"/>
        <v>31</v>
      </c>
      <c r="B1222" s="11" t="s">
        <v>564</v>
      </c>
      <c r="C1222" s="10" t="s">
        <v>84</v>
      </c>
      <c r="D1222" s="13"/>
      <c r="E1222" s="13">
        <v>15800</v>
      </c>
      <c r="F1222" s="13">
        <v>15800</v>
      </c>
      <c r="G1222" s="127"/>
      <c r="H1222" s="127"/>
      <c r="I1222" s="127"/>
      <c r="J1222" s="127"/>
      <c r="K1222" s="25" t="str">
        <f t="shared" si="267"/>
        <v>đ/cái</v>
      </c>
      <c r="L1222" s="120"/>
      <c r="M1222" s="122">
        <f t="shared" si="268"/>
        <v>15800</v>
      </c>
      <c r="N1222" s="122">
        <f t="shared" si="269"/>
        <v>15800</v>
      </c>
      <c r="O1222" s="71">
        <f t="shared" si="270"/>
        <v>15800</v>
      </c>
      <c r="P1222" s="71">
        <f t="shared" si="271"/>
        <v>15800</v>
      </c>
    </row>
    <row r="1223" spans="1:16" s="58" customFormat="1" ht="21" customHeight="1">
      <c r="A1223" s="10">
        <f t="shared" si="272"/>
        <v>32</v>
      </c>
      <c r="B1223" s="11" t="s">
        <v>565</v>
      </c>
      <c r="C1223" s="10" t="s">
        <v>84</v>
      </c>
      <c r="D1223" s="13"/>
      <c r="E1223" s="13">
        <v>25000</v>
      </c>
      <c r="F1223" s="13">
        <v>25000</v>
      </c>
      <c r="G1223" s="127"/>
      <c r="H1223" s="127"/>
      <c r="I1223" s="127"/>
      <c r="J1223" s="127"/>
      <c r="K1223" s="25" t="str">
        <f t="shared" si="267"/>
        <v>đ/cái</v>
      </c>
      <c r="L1223" s="120"/>
      <c r="M1223" s="122">
        <f t="shared" si="268"/>
        <v>25000</v>
      </c>
      <c r="N1223" s="122">
        <f t="shared" si="269"/>
        <v>25000</v>
      </c>
      <c r="O1223" s="71">
        <f t="shared" si="270"/>
        <v>25000</v>
      </c>
      <c r="P1223" s="71">
        <f t="shared" si="271"/>
        <v>25000</v>
      </c>
    </row>
    <row r="1224" spans="1:16" s="58" customFormat="1" ht="21" customHeight="1">
      <c r="A1224" s="10">
        <f t="shared" si="272"/>
        <v>33</v>
      </c>
      <c r="B1224" s="11" t="s">
        <v>566</v>
      </c>
      <c r="C1224" s="10" t="s">
        <v>84</v>
      </c>
      <c r="D1224" s="13"/>
      <c r="E1224" s="13">
        <v>51300</v>
      </c>
      <c r="F1224" s="13">
        <v>50600</v>
      </c>
      <c r="G1224" s="127"/>
      <c r="H1224" s="127"/>
      <c r="I1224" s="127"/>
      <c r="J1224" s="127"/>
      <c r="K1224" s="25" t="str">
        <f t="shared" si="267"/>
        <v>đ/cái</v>
      </c>
      <c r="L1224" s="120"/>
      <c r="M1224" s="122">
        <f t="shared" si="268"/>
        <v>51300</v>
      </c>
      <c r="N1224" s="122">
        <f t="shared" si="269"/>
        <v>50600</v>
      </c>
      <c r="O1224" s="71">
        <f t="shared" si="270"/>
        <v>51300</v>
      </c>
      <c r="P1224" s="71">
        <f t="shared" si="271"/>
        <v>51300</v>
      </c>
    </row>
    <row r="1225" spans="1:16" s="58" customFormat="1" ht="21" customHeight="1">
      <c r="A1225" s="10">
        <f t="shared" si="272"/>
        <v>34</v>
      </c>
      <c r="B1225" s="11" t="s">
        <v>567</v>
      </c>
      <c r="C1225" s="10" t="s">
        <v>84</v>
      </c>
      <c r="D1225" s="13"/>
      <c r="E1225" s="13">
        <v>52800</v>
      </c>
      <c r="F1225" s="13">
        <v>52800</v>
      </c>
      <c r="G1225" s="127"/>
      <c r="H1225" s="127"/>
      <c r="I1225" s="127"/>
      <c r="J1225" s="127"/>
      <c r="K1225" s="25" t="str">
        <f t="shared" si="267"/>
        <v>đ/cái</v>
      </c>
      <c r="L1225" s="120"/>
      <c r="M1225" s="122">
        <f t="shared" si="268"/>
        <v>52800</v>
      </c>
      <c r="N1225" s="122">
        <f t="shared" si="269"/>
        <v>52800</v>
      </c>
      <c r="O1225" s="71">
        <f t="shared" si="270"/>
        <v>52800</v>
      </c>
      <c r="P1225" s="71">
        <f t="shared" si="271"/>
        <v>52800</v>
      </c>
    </row>
    <row r="1226" spans="1:16" s="58" customFormat="1" ht="21" customHeight="1">
      <c r="A1226" s="10">
        <f t="shared" si="272"/>
        <v>35</v>
      </c>
      <c r="B1226" s="11" t="s">
        <v>568</v>
      </c>
      <c r="C1226" s="10" t="s">
        <v>84</v>
      </c>
      <c r="D1226" s="13"/>
      <c r="E1226" s="13">
        <v>83200</v>
      </c>
      <c r="F1226" s="13">
        <v>83200</v>
      </c>
      <c r="G1226" s="127"/>
      <c r="H1226" s="127"/>
      <c r="I1226" s="127"/>
      <c r="J1226" s="127"/>
      <c r="K1226" s="25" t="str">
        <f t="shared" si="267"/>
        <v>đ/cái</v>
      </c>
      <c r="L1226" s="120"/>
      <c r="M1226" s="122">
        <f t="shared" si="268"/>
        <v>83200</v>
      </c>
      <c r="N1226" s="122">
        <f t="shared" si="269"/>
        <v>83200</v>
      </c>
      <c r="O1226" s="71">
        <f t="shared" si="270"/>
        <v>83200</v>
      </c>
      <c r="P1226" s="71">
        <f t="shared" si="271"/>
        <v>83200</v>
      </c>
    </row>
    <row r="1227" spans="1:16" s="58" customFormat="1" ht="21" customHeight="1">
      <c r="A1227" s="10">
        <f t="shared" si="272"/>
        <v>36</v>
      </c>
      <c r="B1227" s="11" t="s">
        <v>569</v>
      </c>
      <c r="C1227" s="10" t="s">
        <v>84</v>
      </c>
      <c r="D1227" s="13"/>
      <c r="E1227" s="13">
        <v>145400</v>
      </c>
      <c r="F1227" s="13">
        <v>115800</v>
      </c>
      <c r="G1227" s="127"/>
      <c r="H1227" s="127"/>
      <c r="I1227" s="127"/>
      <c r="J1227" s="127"/>
      <c r="K1227" s="25" t="str">
        <f t="shared" si="267"/>
        <v>đ/cái</v>
      </c>
      <c r="L1227" s="120"/>
      <c r="M1227" s="122">
        <f t="shared" si="268"/>
        <v>145400</v>
      </c>
      <c r="N1227" s="122">
        <f t="shared" si="269"/>
        <v>115800</v>
      </c>
      <c r="O1227" s="71">
        <f t="shared" si="270"/>
        <v>145400</v>
      </c>
      <c r="P1227" s="71">
        <f t="shared" si="271"/>
        <v>145400</v>
      </c>
    </row>
    <row r="1228" spans="1:16" s="58" customFormat="1" ht="21" customHeight="1">
      <c r="A1228" s="10">
        <f t="shared" si="272"/>
        <v>37</v>
      </c>
      <c r="B1228" s="11" t="s">
        <v>570</v>
      </c>
      <c r="C1228" s="10" t="s">
        <v>84</v>
      </c>
      <c r="D1228" s="13"/>
      <c r="E1228" s="13">
        <v>132600</v>
      </c>
      <c r="F1228" s="13">
        <v>132600</v>
      </c>
      <c r="G1228" s="127"/>
      <c r="H1228" s="127"/>
      <c r="I1228" s="127"/>
      <c r="J1228" s="127"/>
      <c r="K1228" s="25" t="str">
        <f t="shared" si="267"/>
        <v>đ/cái</v>
      </c>
      <c r="L1228" s="120"/>
      <c r="M1228" s="122">
        <f t="shared" si="268"/>
        <v>132600</v>
      </c>
      <c r="N1228" s="122">
        <f t="shared" si="269"/>
        <v>132600</v>
      </c>
      <c r="O1228" s="71">
        <f t="shared" si="270"/>
        <v>132600</v>
      </c>
      <c r="P1228" s="71">
        <f t="shared" si="271"/>
        <v>132600</v>
      </c>
    </row>
    <row r="1229" spans="1:16" s="58" customFormat="1" ht="21" customHeight="1">
      <c r="A1229" s="10">
        <f t="shared" si="272"/>
        <v>38</v>
      </c>
      <c r="B1229" s="11" t="s">
        <v>1156</v>
      </c>
      <c r="C1229" s="10" t="s">
        <v>84</v>
      </c>
      <c r="D1229" s="13"/>
      <c r="E1229" s="13">
        <v>1900</v>
      </c>
      <c r="F1229" s="13">
        <v>1900</v>
      </c>
      <c r="G1229" s="127"/>
      <c r="H1229" s="127"/>
      <c r="I1229" s="127"/>
      <c r="J1229" s="127"/>
      <c r="K1229" s="25" t="str">
        <f t="shared" si="267"/>
        <v>đ/cái</v>
      </c>
      <c r="L1229" s="120"/>
      <c r="M1229" s="122">
        <f t="shared" si="268"/>
        <v>1900</v>
      </c>
      <c r="N1229" s="122">
        <f t="shared" si="269"/>
        <v>1900</v>
      </c>
      <c r="O1229" s="71">
        <f t="shared" si="270"/>
        <v>1900</v>
      </c>
      <c r="P1229" s="71">
        <f t="shared" si="271"/>
        <v>1900</v>
      </c>
    </row>
    <row r="1230" spans="1:16" s="58" customFormat="1" ht="21" customHeight="1">
      <c r="A1230" s="10">
        <f t="shared" si="272"/>
        <v>39</v>
      </c>
      <c r="B1230" s="11" t="s">
        <v>1157</v>
      </c>
      <c r="C1230" s="10" t="s">
        <v>84</v>
      </c>
      <c r="D1230" s="13"/>
      <c r="E1230" s="13">
        <v>2800</v>
      </c>
      <c r="F1230" s="13">
        <v>2800</v>
      </c>
      <c r="G1230" s="127"/>
      <c r="H1230" s="127"/>
      <c r="I1230" s="127"/>
      <c r="J1230" s="127"/>
      <c r="K1230" s="25" t="str">
        <f t="shared" si="267"/>
        <v>đ/cái</v>
      </c>
      <c r="L1230" s="120"/>
      <c r="M1230" s="122">
        <f t="shared" si="268"/>
        <v>2800</v>
      </c>
      <c r="N1230" s="122">
        <f t="shared" si="269"/>
        <v>2800</v>
      </c>
      <c r="O1230" s="71">
        <f t="shared" si="270"/>
        <v>2800</v>
      </c>
      <c r="P1230" s="71">
        <f t="shared" si="271"/>
        <v>2800</v>
      </c>
    </row>
    <row r="1231" spans="1:16" s="58" customFormat="1" ht="21" customHeight="1">
      <c r="A1231" s="10">
        <f t="shared" si="272"/>
        <v>40</v>
      </c>
      <c r="B1231" s="11" t="s">
        <v>1158</v>
      </c>
      <c r="C1231" s="10" t="s">
        <v>84</v>
      </c>
      <c r="D1231" s="13"/>
      <c r="E1231" s="13">
        <v>4500</v>
      </c>
      <c r="F1231" s="13">
        <v>4500</v>
      </c>
      <c r="G1231" s="127"/>
      <c r="H1231" s="127"/>
      <c r="I1231" s="127"/>
      <c r="J1231" s="127"/>
      <c r="K1231" s="25" t="str">
        <f t="shared" si="267"/>
        <v>đ/cái</v>
      </c>
      <c r="L1231" s="120"/>
      <c r="M1231" s="122">
        <f t="shared" si="268"/>
        <v>4500</v>
      </c>
      <c r="N1231" s="122">
        <f t="shared" si="269"/>
        <v>4500</v>
      </c>
      <c r="O1231" s="71">
        <f t="shared" si="270"/>
        <v>4500</v>
      </c>
      <c r="P1231" s="71">
        <f t="shared" si="271"/>
        <v>4500</v>
      </c>
    </row>
    <row r="1232" spans="1:16" s="58" customFormat="1" ht="21" customHeight="1">
      <c r="A1232" s="10">
        <f t="shared" si="272"/>
        <v>41</v>
      </c>
      <c r="B1232" s="11" t="s">
        <v>1159</v>
      </c>
      <c r="C1232" s="10" t="s">
        <v>84</v>
      </c>
      <c r="D1232" s="13"/>
      <c r="E1232" s="13">
        <v>6300</v>
      </c>
      <c r="F1232" s="13">
        <v>6300</v>
      </c>
      <c r="G1232" s="127"/>
      <c r="H1232" s="127"/>
      <c r="I1232" s="127"/>
      <c r="J1232" s="127"/>
      <c r="K1232" s="25" t="str">
        <f t="shared" si="267"/>
        <v>đ/cái</v>
      </c>
      <c r="L1232" s="120"/>
      <c r="M1232" s="122">
        <f t="shared" si="268"/>
        <v>6300</v>
      </c>
      <c r="N1232" s="122">
        <f t="shared" si="269"/>
        <v>6300</v>
      </c>
      <c r="O1232" s="71">
        <f t="shared" si="270"/>
        <v>6300</v>
      </c>
      <c r="P1232" s="71">
        <f t="shared" si="271"/>
        <v>6300</v>
      </c>
    </row>
    <row r="1233" spans="1:16" s="58" customFormat="1" ht="21" customHeight="1">
      <c r="A1233" s="10">
        <f t="shared" si="272"/>
        <v>42</v>
      </c>
      <c r="B1233" s="11" t="s">
        <v>1160</v>
      </c>
      <c r="C1233" s="10" t="s">
        <v>84</v>
      </c>
      <c r="D1233" s="13"/>
      <c r="E1233" s="13">
        <v>9600</v>
      </c>
      <c r="F1233" s="13">
        <v>9600</v>
      </c>
      <c r="G1233" s="127"/>
      <c r="H1233" s="127"/>
      <c r="I1233" s="127"/>
      <c r="J1233" s="127"/>
      <c r="K1233" s="25" t="str">
        <f t="shared" si="267"/>
        <v>đ/cái</v>
      </c>
      <c r="L1233" s="120"/>
      <c r="M1233" s="122">
        <f t="shared" si="268"/>
        <v>9600</v>
      </c>
      <c r="N1233" s="122">
        <f t="shared" si="269"/>
        <v>9600</v>
      </c>
      <c r="O1233" s="71">
        <f t="shared" si="270"/>
        <v>9600</v>
      </c>
      <c r="P1233" s="71">
        <f t="shared" si="271"/>
        <v>9600</v>
      </c>
    </row>
    <row r="1234" spans="1:16" s="58" customFormat="1" ht="21" customHeight="1">
      <c r="A1234" s="10">
        <f t="shared" si="272"/>
        <v>43</v>
      </c>
      <c r="B1234" s="11" t="s">
        <v>1161</v>
      </c>
      <c r="C1234" s="10" t="s">
        <v>84</v>
      </c>
      <c r="D1234" s="13"/>
      <c r="E1234" s="13">
        <v>14800</v>
      </c>
      <c r="F1234" s="13">
        <v>14800</v>
      </c>
      <c r="G1234" s="127"/>
      <c r="H1234" s="127"/>
      <c r="I1234" s="127"/>
      <c r="J1234" s="127"/>
      <c r="K1234" s="25" t="str">
        <f t="shared" si="267"/>
        <v>đ/cái</v>
      </c>
      <c r="L1234" s="120"/>
      <c r="M1234" s="122">
        <f t="shared" si="268"/>
        <v>14800</v>
      </c>
      <c r="N1234" s="122">
        <f t="shared" si="269"/>
        <v>14800</v>
      </c>
      <c r="O1234" s="71">
        <f t="shared" si="270"/>
        <v>14800</v>
      </c>
      <c r="P1234" s="71">
        <f t="shared" si="271"/>
        <v>14800</v>
      </c>
    </row>
    <row r="1235" spans="1:16" s="58" customFormat="1" ht="21" customHeight="1">
      <c r="A1235" s="10">
        <f t="shared" si="272"/>
        <v>44</v>
      </c>
      <c r="B1235" s="33" t="s">
        <v>1162</v>
      </c>
      <c r="C1235" s="10" t="s">
        <v>84</v>
      </c>
      <c r="D1235" s="13"/>
      <c r="E1235" s="13">
        <v>21900</v>
      </c>
      <c r="F1235" s="13">
        <v>15800</v>
      </c>
      <c r="G1235" s="127"/>
      <c r="H1235" s="127"/>
      <c r="I1235" s="127"/>
      <c r="J1235" s="127"/>
      <c r="K1235" s="25" t="str">
        <f t="shared" si="267"/>
        <v>đ/cái</v>
      </c>
      <c r="L1235" s="120"/>
      <c r="M1235" s="122">
        <f t="shared" si="268"/>
        <v>21900</v>
      </c>
      <c r="N1235" s="122">
        <f t="shared" si="269"/>
        <v>15800</v>
      </c>
      <c r="O1235" s="71">
        <f t="shared" si="270"/>
        <v>21900</v>
      </c>
      <c r="P1235" s="71">
        <f t="shared" si="271"/>
        <v>21900</v>
      </c>
    </row>
    <row r="1236" spans="1:16" s="58" customFormat="1" ht="21" customHeight="1">
      <c r="A1236" s="10">
        <f t="shared" si="272"/>
        <v>45</v>
      </c>
      <c r="B1236" s="11" t="s">
        <v>1163</v>
      </c>
      <c r="C1236" s="10" t="s">
        <v>84</v>
      </c>
      <c r="D1236" s="13"/>
      <c r="E1236" s="13">
        <v>33900</v>
      </c>
      <c r="F1236" s="13">
        <v>33900</v>
      </c>
      <c r="G1236" s="127"/>
      <c r="H1236" s="127"/>
      <c r="I1236" s="127"/>
      <c r="J1236" s="127"/>
      <c r="K1236" s="25" t="str">
        <f t="shared" si="267"/>
        <v>đ/cái</v>
      </c>
      <c r="L1236" s="120"/>
      <c r="M1236" s="122">
        <f t="shared" si="268"/>
        <v>33900</v>
      </c>
      <c r="N1236" s="122">
        <f t="shared" si="269"/>
        <v>33900</v>
      </c>
      <c r="O1236" s="71">
        <f t="shared" si="270"/>
        <v>33900</v>
      </c>
      <c r="P1236" s="71">
        <f t="shared" si="271"/>
        <v>33900</v>
      </c>
    </row>
    <row r="1237" spans="1:16" s="58" customFormat="1" ht="21" customHeight="1">
      <c r="A1237" s="10">
        <f t="shared" si="272"/>
        <v>46</v>
      </c>
      <c r="B1237" s="11" t="s">
        <v>1164</v>
      </c>
      <c r="C1237" s="10" t="s">
        <v>84</v>
      </c>
      <c r="D1237" s="13"/>
      <c r="E1237" s="13">
        <v>57500</v>
      </c>
      <c r="F1237" s="13">
        <v>57500</v>
      </c>
      <c r="G1237" s="127"/>
      <c r="H1237" s="127"/>
      <c r="I1237" s="127"/>
      <c r="J1237" s="127"/>
      <c r="K1237" s="25" t="str">
        <f t="shared" si="267"/>
        <v>đ/cái</v>
      </c>
      <c r="L1237" s="120"/>
      <c r="M1237" s="122">
        <f t="shared" si="268"/>
        <v>57500</v>
      </c>
      <c r="N1237" s="122">
        <f t="shared" si="269"/>
        <v>57500</v>
      </c>
      <c r="O1237" s="71">
        <f t="shared" si="270"/>
        <v>57500</v>
      </c>
      <c r="P1237" s="71">
        <f t="shared" si="271"/>
        <v>57500</v>
      </c>
    </row>
    <row r="1238" spans="1:16" s="58" customFormat="1" ht="21" customHeight="1">
      <c r="A1238" s="10">
        <f t="shared" si="272"/>
        <v>47</v>
      </c>
      <c r="B1238" s="11" t="s">
        <v>1165</v>
      </c>
      <c r="C1238" s="10" t="s">
        <v>84</v>
      </c>
      <c r="D1238" s="13"/>
      <c r="E1238" s="13">
        <v>70800</v>
      </c>
      <c r="F1238" s="13">
        <v>70800</v>
      </c>
      <c r="G1238" s="127"/>
      <c r="H1238" s="127"/>
      <c r="I1238" s="127"/>
      <c r="J1238" s="127"/>
      <c r="K1238" s="25" t="str">
        <f t="shared" si="267"/>
        <v>đ/cái</v>
      </c>
      <c r="L1238" s="120"/>
      <c r="M1238" s="122">
        <f t="shared" si="268"/>
        <v>70800</v>
      </c>
      <c r="N1238" s="122">
        <f t="shared" si="269"/>
        <v>70800</v>
      </c>
      <c r="O1238" s="71">
        <f t="shared" si="270"/>
        <v>70800</v>
      </c>
      <c r="P1238" s="71">
        <f t="shared" si="271"/>
        <v>70800</v>
      </c>
    </row>
    <row r="1239" spans="1:16" s="58" customFormat="1" ht="21" customHeight="1">
      <c r="A1239" s="10">
        <f t="shared" si="272"/>
        <v>48</v>
      </c>
      <c r="B1239" s="11" t="s">
        <v>1166</v>
      </c>
      <c r="C1239" s="10" t="s">
        <v>84</v>
      </c>
      <c r="D1239" s="13"/>
      <c r="E1239" s="13">
        <v>117100</v>
      </c>
      <c r="F1239" s="13">
        <v>117100</v>
      </c>
      <c r="G1239" s="127"/>
      <c r="H1239" s="127"/>
      <c r="I1239" s="127"/>
      <c r="J1239" s="127"/>
      <c r="K1239" s="25" t="str">
        <f t="shared" si="267"/>
        <v>đ/cái</v>
      </c>
      <c r="L1239" s="120"/>
      <c r="M1239" s="122">
        <f t="shared" si="268"/>
        <v>117100</v>
      </c>
      <c r="N1239" s="122">
        <f t="shared" si="269"/>
        <v>117100</v>
      </c>
      <c r="O1239" s="71">
        <f t="shared" si="270"/>
        <v>117100</v>
      </c>
      <c r="P1239" s="71">
        <f t="shared" si="271"/>
        <v>117100</v>
      </c>
    </row>
    <row r="1240" spans="1:16" s="58" customFormat="1" ht="21" customHeight="1">
      <c r="A1240" s="10">
        <f t="shared" si="272"/>
        <v>49</v>
      </c>
      <c r="B1240" s="33" t="s">
        <v>1167</v>
      </c>
      <c r="C1240" s="10" t="s">
        <v>84</v>
      </c>
      <c r="D1240" s="13"/>
      <c r="E1240" s="13">
        <v>156500</v>
      </c>
      <c r="F1240" s="13">
        <v>134300</v>
      </c>
      <c r="G1240" s="127"/>
      <c r="H1240" s="127"/>
      <c r="I1240" s="127"/>
      <c r="J1240" s="127"/>
      <c r="K1240" s="25" t="str">
        <f t="shared" si="267"/>
        <v>đ/cái</v>
      </c>
      <c r="L1240" s="120"/>
      <c r="M1240" s="122">
        <f t="shared" si="268"/>
        <v>156500</v>
      </c>
      <c r="N1240" s="122">
        <f t="shared" si="269"/>
        <v>134300</v>
      </c>
      <c r="O1240" s="71">
        <f t="shared" si="270"/>
        <v>156500</v>
      </c>
      <c r="P1240" s="71">
        <f t="shared" si="271"/>
        <v>156500</v>
      </c>
    </row>
    <row r="1241" spans="1:16" s="58" customFormat="1" ht="21" customHeight="1">
      <c r="A1241" s="10">
        <f t="shared" si="272"/>
        <v>50</v>
      </c>
      <c r="B1241" s="11" t="s">
        <v>571</v>
      </c>
      <c r="C1241" s="10" t="s">
        <v>84</v>
      </c>
      <c r="D1241" s="13"/>
      <c r="E1241" s="13">
        <v>2800</v>
      </c>
      <c r="F1241" s="13">
        <v>2800</v>
      </c>
      <c r="G1241" s="127"/>
      <c r="H1241" s="127"/>
      <c r="I1241" s="127"/>
      <c r="J1241" s="127"/>
      <c r="K1241" s="25" t="str">
        <f t="shared" si="267"/>
        <v>đ/cái</v>
      </c>
      <c r="L1241" s="120"/>
      <c r="M1241" s="122">
        <f t="shared" si="268"/>
        <v>2800</v>
      </c>
      <c r="N1241" s="122">
        <f t="shared" si="269"/>
        <v>2800</v>
      </c>
      <c r="O1241" s="71">
        <f t="shared" si="270"/>
        <v>2800</v>
      </c>
      <c r="P1241" s="71">
        <f t="shared" si="271"/>
        <v>2800</v>
      </c>
    </row>
    <row r="1242" spans="1:16" s="58" customFormat="1" ht="21" customHeight="1">
      <c r="A1242" s="10">
        <f t="shared" si="272"/>
        <v>51</v>
      </c>
      <c r="B1242" s="11" t="s">
        <v>572</v>
      </c>
      <c r="C1242" s="10" t="s">
        <v>84</v>
      </c>
      <c r="D1242" s="13"/>
      <c r="E1242" s="13">
        <v>4600</v>
      </c>
      <c r="F1242" s="13">
        <v>4600</v>
      </c>
      <c r="G1242" s="127"/>
      <c r="H1242" s="127"/>
      <c r="I1242" s="127"/>
      <c r="J1242" s="127"/>
      <c r="K1242" s="25" t="str">
        <f t="shared" si="267"/>
        <v>đ/cái</v>
      </c>
      <c r="L1242" s="120"/>
      <c r="M1242" s="122">
        <f t="shared" si="268"/>
        <v>4600</v>
      </c>
      <c r="N1242" s="122">
        <f t="shared" si="269"/>
        <v>4600</v>
      </c>
      <c r="O1242" s="71">
        <f t="shared" si="270"/>
        <v>4600</v>
      </c>
      <c r="P1242" s="71">
        <f t="shared" si="271"/>
        <v>4600</v>
      </c>
    </row>
    <row r="1243" spans="1:16" s="58" customFormat="1" ht="21" customHeight="1">
      <c r="A1243" s="10">
        <f t="shared" si="272"/>
        <v>52</v>
      </c>
      <c r="B1243" s="11" t="s">
        <v>573</v>
      </c>
      <c r="C1243" s="10" t="s">
        <v>84</v>
      </c>
      <c r="D1243" s="13"/>
      <c r="E1243" s="13">
        <v>7400</v>
      </c>
      <c r="F1243" s="13">
        <v>7400</v>
      </c>
      <c r="G1243" s="127"/>
      <c r="H1243" s="127"/>
      <c r="I1243" s="127"/>
      <c r="J1243" s="127"/>
      <c r="K1243" s="25" t="str">
        <f t="shared" si="267"/>
        <v>đ/cái</v>
      </c>
      <c r="L1243" s="120"/>
      <c r="M1243" s="122">
        <f t="shared" si="268"/>
        <v>7400</v>
      </c>
      <c r="N1243" s="122">
        <f t="shared" si="269"/>
        <v>7400</v>
      </c>
      <c r="O1243" s="71">
        <f t="shared" si="270"/>
        <v>7400</v>
      </c>
      <c r="P1243" s="71">
        <f t="shared" si="271"/>
        <v>7400</v>
      </c>
    </row>
    <row r="1244" spans="1:16" s="58" customFormat="1" ht="21" customHeight="1">
      <c r="A1244" s="10">
        <f t="shared" si="272"/>
        <v>53</v>
      </c>
      <c r="B1244" s="11" t="s">
        <v>574</v>
      </c>
      <c r="C1244" s="10" t="s">
        <v>84</v>
      </c>
      <c r="D1244" s="13"/>
      <c r="E1244" s="13">
        <v>9800</v>
      </c>
      <c r="F1244" s="13">
        <v>9800</v>
      </c>
      <c r="G1244" s="127"/>
      <c r="H1244" s="127"/>
      <c r="I1244" s="127"/>
      <c r="J1244" s="127"/>
      <c r="K1244" s="25" t="str">
        <f t="shared" si="267"/>
        <v>đ/cái</v>
      </c>
      <c r="L1244" s="120"/>
      <c r="M1244" s="122">
        <f t="shared" si="268"/>
        <v>9800</v>
      </c>
      <c r="N1244" s="122">
        <f t="shared" si="269"/>
        <v>9800</v>
      </c>
      <c r="O1244" s="71">
        <f t="shared" si="270"/>
        <v>9800</v>
      </c>
      <c r="P1244" s="71">
        <f t="shared" si="271"/>
        <v>9800</v>
      </c>
    </row>
    <row r="1245" spans="1:16" s="58" customFormat="1" ht="21" customHeight="1">
      <c r="A1245" s="10">
        <f t="shared" si="272"/>
        <v>54</v>
      </c>
      <c r="B1245" s="11" t="s">
        <v>575</v>
      </c>
      <c r="C1245" s="10" t="s">
        <v>84</v>
      </c>
      <c r="D1245" s="13"/>
      <c r="E1245" s="13">
        <v>14500</v>
      </c>
      <c r="F1245" s="13">
        <v>14500</v>
      </c>
      <c r="G1245" s="127"/>
      <c r="H1245" s="127"/>
      <c r="I1245" s="127"/>
      <c r="J1245" s="127"/>
      <c r="K1245" s="25" t="str">
        <f t="shared" si="267"/>
        <v>đ/cái</v>
      </c>
      <c r="L1245" s="120"/>
      <c r="M1245" s="122">
        <f t="shared" si="268"/>
        <v>14500</v>
      </c>
      <c r="N1245" s="122">
        <f t="shared" si="269"/>
        <v>14500</v>
      </c>
      <c r="O1245" s="71">
        <f t="shared" si="270"/>
        <v>14500</v>
      </c>
      <c r="P1245" s="71">
        <f t="shared" si="271"/>
        <v>14500</v>
      </c>
    </row>
    <row r="1246" spans="1:16" s="58" customFormat="1" ht="21" customHeight="1">
      <c r="A1246" s="10">
        <f t="shared" si="272"/>
        <v>55</v>
      </c>
      <c r="B1246" s="11" t="s">
        <v>576</v>
      </c>
      <c r="C1246" s="10" t="s">
        <v>84</v>
      </c>
      <c r="D1246" s="13"/>
      <c r="E1246" s="13">
        <v>24900</v>
      </c>
      <c r="F1246" s="13">
        <v>24900</v>
      </c>
      <c r="G1246" s="127"/>
      <c r="H1246" s="127"/>
      <c r="I1246" s="127"/>
      <c r="J1246" s="127"/>
      <c r="K1246" s="25" t="str">
        <f t="shared" si="267"/>
        <v>đ/cái</v>
      </c>
      <c r="L1246" s="120"/>
      <c r="M1246" s="122">
        <f t="shared" si="268"/>
        <v>24900</v>
      </c>
      <c r="N1246" s="122">
        <f t="shared" si="269"/>
        <v>24900</v>
      </c>
      <c r="O1246" s="71">
        <f t="shared" si="270"/>
        <v>24900</v>
      </c>
      <c r="P1246" s="71">
        <f t="shared" si="271"/>
        <v>24900</v>
      </c>
    </row>
    <row r="1247" spans="1:16" s="58" customFormat="1" ht="21" customHeight="1">
      <c r="A1247" s="10">
        <f t="shared" si="272"/>
        <v>56</v>
      </c>
      <c r="B1247" s="11" t="s">
        <v>577</v>
      </c>
      <c r="C1247" s="10" t="s">
        <v>84</v>
      </c>
      <c r="D1247" s="13"/>
      <c r="E1247" s="13">
        <v>37000</v>
      </c>
      <c r="F1247" s="13">
        <v>37000</v>
      </c>
      <c r="G1247" s="127"/>
      <c r="H1247" s="127"/>
      <c r="I1247" s="127"/>
      <c r="J1247" s="127"/>
      <c r="K1247" s="25" t="str">
        <f t="shared" si="267"/>
        <v>đ/cái</v>
      </c>
      <c r="L1247" s="120"/>
      <c r="M1247" s="122">
        <f t="shared" si="268"/>
        <v>37000</v>
      </c>
      <c r="N1247" s="122">
        <f t="shared" si="269"/>
        <v>37000</v>
      </c>
      <c r="O1247" s="71">
        <f t="shared" si="270"/>
        <v>37000</v>
      </c>
      <c r="P1247" s="71">
        <f t="shared" si="271"/>
        <v>37000</v>
      </c>
    </row>
    <row r="1248" spans="1:16" s="58" customFormat="1" ht="21" customHeight="1">
      <c r="A1248" s="10">
        <f t="shared" si="272"/>
        <v>57</v>
      </c>
      <c r="B1248" s="11" t="s">
        <v>578</v>
      </c>
      <c r="C1248" s="10" t="s">
        <v>84</v>
      </c>
      <c r="D1248" s="13"/>
      <c r="E1248" s="13">
        <v>62700</v>
      </c>
      <c r="F1248" s="13">
        <v>62700</v>
      </c>
      <c r="G1248" s="127"/>
      <c r="H1248" s="127"/>
      <c r="I1248" s="127"/>
      <c r="J1248" s="127"/>
      <c r="K1248" s="25" t="str">
        <f t="shared" si="267"/>
        <v>đ/cái</v>
      </c>
      <c r="L1248" s="120"/>
      <c r="M1248" s="122">
        <f t="shared" si="268"/>
        <v>62700</v>
      </c>
      <c r="N1248" s="122">
        <f t="shared" si="269"/>
        <v>62700</v>
      </c>
      <c r="O1248" s="71">
        <f t="shared" si="270"/>
        <v>62700</v>
      </c>
      <c r="P1248" s="71">
        <f t="shared" si="271"/>
        <v>62700</v>
      </c>
    </row>
    <row r="1249" spans="1:16" s="58" customFormat="1" ht="21" customHeight="1">
      <c r="A1249" s="10">
        <f t="shared" si="272"/>
        <v>58</v>
      </c>
      <c r="B1249" s="11" t="s">
        <v>579</v>
      </c>
      <c r="C1249" s="10" t="s">
        <v>84</v>
      </c>
      <c r="D1249" s="13"/>
      <c r="E1249" s="13">
        <v>103600</v>
      </c>
      <c r="F1249" s="13">
        <v>103600</v>
      </c>
      <c r="G1249" s="127"/>
      <c r="H1249" s="127"/>
      <c r="I1249" s="127"/>
      <c r="J1249" s="127"/>
      <c r="K1249" s="25" t="str">
        <f t="shared" si="267"/>
        <v>đ/cái</v>
      </c>
      <c r="L1249" s="120"/>
      <c r="M1249" s="122">
        <f t="shared" si="268"/>
        <v>103600</v>
      </c>
      <c r="N1249" s="122">
        <f t="shared" si="269"/>
        <v>103600</v>
      </c>
      <c r="O1249" s="71">
        <f t="shared" si="270"/>
        <v>103600</v>
      </c>
      <c r="P1249" s="71">
        <f t="shared" si="271"/>
        <v>103600</v>
      </c>
    </row>
    <row r="1250" spans="1:16" s="58" customFormat="1" ht="21" customHeight="1">
      <c r="A1250" s="10">
        <f t="shared" si="272"/>
        <v>59</v>
      </c>
      <c r="B1250" s="11" t="s">
        <v>580</v>
      </c>
      <c r="C1250" s="10" t="s">
        <v>84</v>
      </c>
      <c r="D1250" s="13"/>
      <c r="E1250" s="13">
        <v>127900</v>
      </c>
      <c r="F1250" s="13">
        <v>127900</v>
      </c>
      <c r="G1250" s="127"/>
      <c r="H1250" s="127"/>
      <c r="I1250" s="127"/>
      <c r="J1250" s="127"/>
      <c r="K1250" s="25" t="str">
        <f t="shared" si="267"/>
        <v>đ/cái</v>
      </c>
      <c r="L1250" s="120"/>
      <c r="M1250" s="122">
        <f t="shared" si="268"/>
        <v>127900</v>
      </c>
      <c r="N1250" s="122">
        <f t="shared" si="269"/>
        <v>127900</v>
      </c>
      <c r="O1250" s="71">
        <f t="shared" si="270"/>
        <v>127900</v>
      </c>
      <c r="P1250" s="71">
        <f t="shared" si="271"/>
        <v>127900</v>
      </c>
    </row>
    <row r="1251" spans="1:16" s="58" customFormat="1" ht="21" customHeight="1">
      <c r="A1251" s="10">
        <f t="shared" si="272"/>
        <v>60</v>
      </c>
      <c r="B1251" s="11" t="s">
        <v>581</v>
      </c>
      <c r="C1251" s="10" t="s">
        <v>84</v>
      </c>
      <c r="D1251" s="13"/>
      <c r="E1251" s="13">
        <v>217200</v>
      </c>
      <c r="F1251" s="13">
        <v>217200</v>
      </c>
      <c r="G1251" s="127"/>
      <c r="H1251" s="127"/>
      <c r="I1251" s="127"/>
      <c r="J1251" s="127"/>
      <c r="K1251" s="25" t="str">
        <f t="shared" si="267"/>
        <v>đ/cái</v>
      </c>
      <c r="L1251" s="120"/>
      <c r="M1251" s="122">
        <f t="shared" si="268"/>
        <v>217200</v>
      </c>
      <c r="N1251" s="122">
        <f t="shared" si="269"/>
        <v>217200</v>
      </c>
      <c r="O1251" s="71">
        <f t="shared" si="270"/>
        <v>217200</v>
      </c>
      <c r="P1251" s="71">
        <f t="shared" si="271"/>
        <v>217200</v>
      </c>
    </row>
    <row r="1252" spans="1:16" s="58" customFormat="1" ht="21" customHeight="1">
      <c r="A1252" s="10">
        <f t="shared" si="272"/>
        <v>61</v>
      </c>
      <c r="B1252" s="11" t="s">
        <v>582</v>
      </c>
      <c r="C1252" s="10" t="s">
        <v>463</v>
      </c>
      <c r="D1252" s="13"/>
      <c r="E1252" s="13">
        <v>100900</v>
      </c>
      <c r="F1252" s="13">
        <v>100900</v>
      </c>
      <c r="G1252" s="127"/>
      <c r="H1252" s="127"/>
      <c r="I1252" s="127"/>
      <c r="J1252" s="127"/>
      <c r="K1252" s="25" t="str">
        <f t="shared" si="267"/>
        <v>đ/lon</v>
      </c>
      <c r="L1252" s="120"/>
      <c r="M1252" s="122">
        <f t="shared" si="268"/>
        <v>100900</v>
      </c>
      <c r="N1252" s="122">
        <f t="shared" si="269"/>
        <v>100900</v>
      </c>
      <c r="O1252" s="71">
        <f t="shared" si="270"/>
        <v>100900</v>
      </c>
      <c r="P1252" s="71">
        <f t="shared" si="271"/>
        <v>100900</v>
      </c>
    </row>
    <row r="1253" spans="1:16" s="58" customFormat="1" ht="21" customHeight="1">
      <c r="A1253" s="10">
        <f t="shared" si="272"/>
        <v>62</v>
      </c>
      <c r="B1253" s="11" t="s">
        <v>583</v>
      </c>
      <c r="C1253" s="10" t="s">
        <v>163</v>
      </c>
      <c r="D1253" s="13"/>
      <c r="E1253" s="13">
        <v>67300</v>
      </c>
      <c r="F1253" s="13">
        <v>67300</v>
      </c>
      <c r="G1253" s="127"/>
      <c r="H1253" s="127"/>
      <c r="I1253" s="127"/>
      <c r="J1253" s="127"/>
      <c r="K1253" s="25" t="str">
        <f t="shared" si="267"/>
        <v>đ/kg</v>
      </c>
      <c r="L1253" s="120"/>
      <c r="M1253" s="122">
        <f t="shared" si="268"/>
        <v>67300</v>
      </c>
      <c r="N1253" s="122">
        <f t="shared" si="269"/>
        <v>67300</v>
      </c>
      <c r="O1253" s="71">
        <f t="shared" si="270"/>
        <v>67300</v>
      </c>
      <c r="P1253" s="71">
        <f t="shared" si="271"/>
        <v>67300</v>
      </c>
    </row>
    <row r="1254" spans="1:16" s="58" customFormat="1" ht="21" customHeight="1">
      <c r="A1254" s="10"/>
      <c r="B1254" s="240" t="s">
        <v>584</v>
      </c>
      <c r="C1254" s="241"/>
      <c r="D1254" s="241"/>
      <c r="E1254" s="241"/>
      <c r="F1254" s="241"/>
      <c r="G1254" s="241"/>
      <c r="H1254" s="241"/>
      <c r="I1254" s="241"/>
      <c r="J1254" s="241"/>
      <c r="K1254" s="241"/>
      <c r="L1254" s="241"/>
      <c r="M1254" s="241"/>
      <c r="N1254" s="242"/>
      <c r="O1254" s="69"/>
      <c r="P1254" s="69"/>
    </row>
    <row r="1255" spans="1:16" s="58" customFormat="1" ht="21" customHeight="1">
      <c r="A1255" s="10">
        <f>+A1253+1</f>
        <v>63</v>
      </c>
      <c r="B1255" s="33" t="s">
        <v>585</v>
      </c>
      <c r="C1255" s="10" t="s">
        <v>90</v>
      </c>
      <c r="D1255" s="13"/>
      <c r="E1255" s="13">
        <v>387100</v>
      </c>
      <c r="F1255" s="13">
        <v>387100</v>
      </c>
      <c r="G1255" s="127"/>
      <c r="H1255" s="127"/>
      <c r="I1255" s="127"/>
      <c r="J1255" s="127"/>
      <c r="K1255" s="25" t="str">
        <f t="shared" ref="K1255:K1272" si="273">C1255</f>
        <v>đ/m</v>
      </c>
      <c r="L1255" s="120"/>
      <c r="M1255" s="122">
        <f t="shared" ref="M1255:M1272" si="274">E1255</f>
        <v>387100</v>
      </c>
      <c r="N1255" s="122">
        <f t="shared" ref="N1255:N1272" si="275">F1255</f>
        <v>387100</v>
      </c>
      <c r="O1255" s="71">
        <f t="shared" ref="O1255:O1272" si="276">E1255</f>
        <v>387100</v>
      </c>
      <c r="P1255" s="71">
        <f t="shared" ref="P1255:P1272" si="277">M1255</f>
        <v>387100</v>
      </c>
    </row>
    <row r="1256" spans="1:16" s="58" customFormat="1" ht="21" customHeight="1">
      <c r="A1256" s="10">
        <f t="shared" ref="A1256:A1272" si="278">+A1255+1</f>
        <v>64</v>
      </c>
      <c r="B1256" s="33" t="s">
        <v>586</v>
      </c>
      <c r="C1256" s="10" t="s">
        <v>90</v>
      </c>
      <c r="D1256" s="13"/>
      <c r="E1256" s="13">
        <v>473400</v>
      </c>
      <c r="F1256" s="13">
        <v>473400</v>
      </c>
      <c r="G1256" s="127"/>
      <c r="H1256" s="127"/>
      <c r="I1256" s="127"/>
      <c r="J1256" s="127"/>
      <c r="K1256" s="25" t="str">
        <f t="shared" si="273"/>
        <v>đ/m</v>
      </c>
      <c r="L1256" s="120"/>
      <c r="M1256" s="122">
        <f t="shared" si="274"/>
        <v>473400</v>
      </c>
      <c r="N1256" s="122">
        <f t="shared" si="275"/>
        <v>473400</v>
      </c>
      <c r="O1256" s="71">
        <f t="shared" si="276"/>
        <v>473400</v>
      </c>
      <c r="P1256" s="71">
        <f t="shared" si="277"/>
        <v>473400</v>
      </c>
    </row>
    <row r="1257" spans="1:16" s="58" customFormat="1" ht="21" customHeight="1">
      <c r="A1257" s="10">
        <f t="shared" si="278"/>
        <v>65</v>
      </c>
      <c r="B1257" s="33" t="s">
        <v>587</v>
      </c>
      <c r="C1257" s="10" t="s">
        <v>90</v>
      </c>
      <c r="D1257" s="13"/>
      <c r="E1257" s="13">
        <v>571500</v>
      </c>
      <c r="F1257" s="13">
        <v>571500</v>
      </c>
      <c r="G1257" s="127"/>
      <c r="H1257" s="127"/>
      <c r="I1257" s="127"/>
      <c r="J1257" s="127"/>
      <c r="K1257" s="25" t="str">
        <f t="shared" si="273"/>
        <v>đ/m</v>
      </c>
      <c r="L1257" s="120"/>
      <c r="M1257" s="122">
        <f t="shared" si="274"/>
        <v>571500</v>
      </c>
      <c r="N1257" s="122">
        <f t="shared" si="275"/>
        <v>571500</v>
      </c>
      <c r="O1257" s="71">
        <f t="shared" si="276"/>
        <v>571500</v>
      </c>
      <c r="P1257" s="71">
        <f t="shared" si="277"/>
        <v>571500</v>
      </c>
    </row>
    <row r="1258" spans="1:16" s="58" customFormat="1" ht="21" customHeight="1">
      <c r="A1258" s="10">
        <f t="shared" si="278"/>
        <v>66</v>
      </c>
      <c r="B1258" s="33" t="s">
        <v>588</v>
      </c>
      <c r="C1258" s="10" t="s">
        <v>90</v>
      </c>
      <c r="D1258" s="13"/>
      <c r="E1258" s="13">
        <v>477600</v>
      </c>
      <c r="F1258" s="13">
        <v>477600</v>
      </c>
      <c r="G1258" s="127"/>
      <c r="H1258" s="127"/>
      <c r="I1258" s="127"/>
      <c r="J1258" s="127"/>
      <c r="K1258" s="25" t="str">
        <f t="shared" si="273"/>
        <v>đ/m</v>
      </c>
      <c r="L1258" s="120"/>
      <c r="M1258" s="122">
        <f t="shared" si="274"/>
        <v>477600</v>
      </c>
      <c r="N1258" s="122">
        <f t="shared" si="275"/>
        <v>477600</v>
      </c>
      <c r="O1258" s="71">
        <f t="shared" si="276"/>
        <v>477600</v>
      </c>
      <c r="P1258" s="71">
        <f t="shared" si="277"/>
        <v>477600</v>
      </c>
    </row>
    <row r="1259" spans="1:16" s="58" customFormat="1" ht="21" customHeight="1">
      <c r="A1259" s="10">
        <f t="shared" si="278"/>
        <v>67</v>
      </c>
      <c r="B1259" s="33" t="s">
        <v>589</v>
      </c>
      <c r="C1259" s="10" t="s">
        <v>90</v>
      </c>
      <c r="D1259" s="13"/>
      <c r="E1259" s="13">
        <v>580600</v>
      </c>
      <c r="F1259" s="13">
        <v>580600</v>
      </c>
      <c r="G1259" s="127"/>
      <c r="H1259" s="127"/>
      <c r="I1259" s="127"/>
      <c r="J1259" s="127"/>
      <c r="K1259" s="25" t="str">
        <f t="shared" si="273"/>
        <v>đ/m</v>
      </c>
      <c r="L1259" s="120"/>
      <c r="M1259" s="122">
        <f t="shared" si="274"/>
        <v>580600</v>
      </c>
      <c r="N1259" s="122">
        <f t="shared" si="275"/>
        <v>580600</v>
      </c>
      <c r="O1259" s="71">
        <f t="shared" si="276"/>
        <v>580600</v>
      </c>
      <c r="P1259" s="71">
        <f t="shared" si="277"/>
        <v>580600</v>
      </c>
    </row>
    <row r="1260" spans="1:16" s="58" customFormat="1" ht="21" customHeight="1">
      <c r="A1260" s="10">
        <f t="shared" si="278"/>
        <v>68</v>
      </c>
      <c r="B1260" s="33" t="s">
        <v>590</v>
      </c>
      <c r="C1260" s="10" t="s">
        <v>90</v>
      </c>
      <c r="D1260" s="13"/>
      <c r="E1260" s="13">
        <v>704800</v>
      </c>
      <c r="F1260" s="13">
        <v>704800</v>
      </c>
      <c r="G1260" s="127"/>
      <c r="H1260" s="127"/>
      <c r="I1260" s="127"/>
      <c r="J1260" s="127"/>
      <c r="K1260" s="25" t="str">
        <f t="shared" si="273"/>
        <v>đ/m</v>
      </c>
      <c r="L1260" s="120"/>
      <c r="M1260" s="122">
        <f t="shared" si="274"/>
        <v>704800</v>
      </c>
      <c r="N1260" s="122">
        <f t="shared" si="275"/>
        <v>704800</v>
      </c>
      <c r="O1260" s="71">
        <f t="shared" si="276"/>
        <v>704800</v>
      </c>
      <c r="P1260" s="71">
        <f t="shared" si="277"/>
        <v>704800</v>
      </c>
    </row>
    <row r="1261" spans="1:16" s="58" customFormat="1" ht="21" customHeight="1">
      <c r="A1261" s="10">
        <f t="shared" si="278"/>
        <v>69</v>
      </c>
      <c r="B1261" s="33" t="s">
        <v>591</v>
      </c>
      <c r="C1261" s="10" t="s">
        <v>90</v>
      </c>
      <c r="D1261" s="13"/>
      <c r="E1261" s="13">
        <v>605800</v>
      </c>
      <c r="F1261" s="13">
        <v>605800</v>
      </c>
      <c r="G1261" s="127"/>
      <c r="H1261" s="127"/>
      <c r="I1261" s="127"/>
      <c r="J1261" s="127"/>
      <c r="K1261" s="25" t="str">
        <f t="shared" si="273"/>
        <v>đ/m</v>
      </c>
      <c r="L1261" s="120"/>
      <c r="M1261" s="122">
        <f t="shared" si="274"/>
        <v>605800</v>
      </c>
      <c r="N1261" s="122">
        <f t="shared" si="275"/>
        <v>605800</v>
      </c>
      <c r="O1261" s="71">
        <f t="shared" si="276"/>
        <v>605800</v>
      </c>
      <c r="P1261" s="71">
        <f t="shared" si="277"/>
        <v>605800</v>
      </c>
    </row>
    <row r="1262" spans="1:16" s="58" customFormat="1" ht="21" customHeight="1">
      <c r="A1262" s="10">
        <f t="shared" si="278"/>
        <v>70</v>
      </c>
      <c r="B1262" s="33" t="s">
        <v>592</v>
      </c>
      <c r="C1262" s="10" t="s">
        <v>90</v>
      </c>
      <c r="D1262" s="13"/>
      <c r="E1262" s="13">
        <v>737300</v>
      </c>
      <c r="F1262" s="13">
        <v>737300</v>
      </c>
      <c r="G1262" s="127"/>
      <c r="H1262" s="127"/>
      <c r="I1262" s="127"/>
      <c r="J1262" s="127"/>
      <c r="K1262" s="25" t="str">
        <f t="shared" si="273"/>
        <v>đ/m</v>
      </c>
      <c r="L1262" s="120"/>
      <c r="M1262" s="122">
        <f t="shared" si="274"/>
        <v>737300</v>
      </c>
      <c r="N1262" s="122">
        <f t="shared" si="275"/>
        <v>737300</v>
      </c>
      <c r="O1262" s="71">
        <f t="shared" si="276"/>
        <v>737300</v>
      </c>
      <c r="P1262" s="71">
        <f t="shared" si="277"/>
        <v>737300</v>
      </c>
    </row>
    <row r="1263" spans="1:16" s="58" customFormat="1" ht="21" customHeight="1">
      <c r="A1263" s="10">
        <f t="shared" si="278"/>
        <v>71</v>
      </c>
      <c r="B1263" s="33" t="s">
        <v>593</v>
      </c>
      <c r="C1263" s="10" t="s">
        <v>90</v>
      </c>
      <c r="D1263" s="13"/>
      <c r="E1263" s="13">
        <v>892000</v>
      </c>
      <c r="F1263" s="13">
        <v>892000</v>
      </c>
      <c r="G1263" s="127"/>
      <c r="H1263" s="127"/>
      <c r="I1263" s="127"/>
      <c r="J1263" s="127"/>
      <c r="K1263" s="25" t="str">
        <f t="shared" si="273"/>
        <v>đ/m</v>
      </c>
      <c r="L1263" s="120"/>
      <c r="M1263" s="122">
        <f t="shared" si="274"/>
        <v>892000</v>
      </c>
      <c r="N1263" s="122">
        <f t="shared" si="275"/>
        <v>892000</v>
      </c>
      <c r="O1263" s="71">
        <f t="shared" si="276"/>
        <v>892000</v>
      </c>
      <c r="P1263" s="71">
        <f t="shared" si="277"/>
        <v>892000</v>
      </c>
    </row>
    <row r="1264" spans="1:16" s="58" customFormat="1" ht="21" customHeight="1">
      <c r="A1264" s="10">
        <f t="shared" si="278"/>
        <v>72</v>
      </c>
      <c r="B1264" s="33" t="s">
        <v>594</v>
      </c>
      <c r="C1264" s="10" t="s">
        <v>90</v>
      </c>
      <c r="D1264" s="13"/>
      <c r="E1264" s="13">
        <v>742400</v>
      </c>
      <c r="F1264" s="13">
        <v>742400</v>
      </c>
      <c r="G1264" s="127"/>
      <c r="H1264" s="127"/>
      <c r="I1264" s="127"/>
      <c r="J1264" s="127"/>
      <c r="K1264" s="25" t="str">
        <f t="shared" si="273"/>
        <v>đ/m</v>
      </c>
      <c r="L1264" s="120"/>
      <c r="M1264" s="122">
        <f t="shared" si="274"/>
        <v>742400</v>
      </c>
      <c r="N1264" s="122">
        <f t="shared" si="275"/>
        <v>742400</v>
      </c>
      <c r="O1264" s="71">
        <f t="shared" si="276"/>
        <v>742400</v>
      </c>
      <c r="P1264" s="71">
        <f t="shared" si="277"/>
        <v>742400</v>
      </c>
    </row>
    <row r="1265" spans="1:16" s="58" customFormat="1" ht="21" customHeight="1">
      <c r="A1265" s="10">
        <f t="shared" si="278"/>
        <v>73</v>
      </c>
      <c r="B1265" s="33" t="s">
        <v>595</v>
      </c>
      <c r="C1265" s="10" t="s">
        <v>90</v>
      </c>
      <c r="D1265" s="13"/>
      <c r="E1265" s="13">
        <v>908300</v>
      </c>
      <c r="F1265" s="13">
        <v>908300</v>
      </c>
      <c r="G1265" s="127"/>
      <c r="H1265" s="127"/>
      <c r="I1265" s="127"/>
      <c r="J1265" s="127"/>
      <c r="K1265" s="25" t="str">
        <f t="shared" si="273"/>
        <v>đ/m</v>
      </c>
      <c r="L1265" s="120"/>
      <c r="M1265" s="122">
        <f t="shared" si="274"/>
        <v>908300</v>
      </c>
      <c r="N1265" s="122">
        <f t="shared" si="275"/>
        <v>908300</v>
      </c>
      <c r="O1265" s="71">
        <f t="shared" si="276"/>
        <v>908300</v>
      </c>
      <c r="P1265" s="71">
        <f t="shared" si="277"/>
        <v>908300</v>
      </c>
    </row>
    <row r="1266" spans="1:16" s="58" customFormat="1" ht="21" customHeight="1">
      <c r="A1266" s="10">
        <f t="shared" si="278"/>
        <v>74</v>
      </c>
      <c r="B1266" s="33" t="s">
        <v>596</v>
      </c>
      <c r="C1266" s="10" t="s">
        <v>90</v>
      </c>
      <c r="D1266" s="13"/>
      <c r="E1266" s="13">
        <v>1097100</v>
      </c>
      <c r="F1266" s="13">
        <v>1097100</v>
      </c>
      <c r="G1266" s="127"/>
      <c r="H1266" s="127"/>
      <c r="I1266" s="127"/>
      <c r="J1266" s="127"/>
      <c r="K1266" s="25" t="str">
        <f t="shared" si="273"/>
        <v>đ/m</v>
      </c>
      <c r="L1266" s="120"/>
      <c r="M1266" s="122">
        <f t="shared" si="274"/>
        <v>1097100</v>
      </c>
      <c r="N1266" s="122">
        <f t="shared" si="275"/>
        <v>1097100</v>
      </c>
      <c r="O1266" s="71">
        <f t="shared" si="276"/>
        <v>1097100</v>
      </c>
      <c r="P1266" s="71">
        <f t="shared" si="277"/>
        <v>1097100</v>
      </c>
    </row>
    <row r="1267" spans="1:16" s="58" customFormat="1" ht="21" customHeight="1">
      <c r="A1267" s="10">
        <f t="shared" si="278"/>
        <v>75</v>
      </c>
      <c r="B1267" s="33" t="s">
        <v>597</v>
      </c>
      <c r="C1267" s="10" t="s">
        <v>90</v>
      </c>
      <c r="D1267" s="13"/>
      <c r="E1267" s="13">
        <v>932700</v>
      </c>
      <c r="F1267" s="13">
        <v>932700</v>
      </c>
      <c r="G1267" s="127"/>
      <c r="H1267" s="127"/>
      <c r="I1267" s="127"/>
      <c r="J1267" s="127"/>
      <c r="K1267" s="25" t="str">
        <f t="shared" si="273"/>
        <v>đ/m</v>
      </c>
      <c r="L1267" s="120"/>
      <c r="M1267" s="122">
        <f t="shared" si="274"/>
        <v>932700</v>
      </c>
      <c r="N1267" s="122">
        <f t="shared" si="275"/>
        <v>932700</v>
      </c>
      <c r="O1267" s="71">
        <f t="shared" si="276"/>
        <v>932700</v>
      </c>
      <c r="P1267" s="71">
        <f t="shared" si="277"/>
        <v>932700</v>
      </c>
    </row>
    <row r="1268" spans="1:16" s="58" customFormat="1" ht="21" customHeight="1">
      <c r="A1268" s="10">
        <f t="shared" si="278"/>
        <v>76</v>
      </c>
      <c r="B1268" s="33" t="s">
        <v>598</v>
      </c>
      <c r="C1268" s="10" t="s">
        <v>90</v>
      </c>
      <c r="D1268" s="13"/>
      <c r="E1268" s="13">
        <v>1138000</v>
      </c>
      <c r="F1268" s="13">
        <v>1138000</v>
      </c>
      <c r="G1268" s="127"/>
      <c r="H1268" s="127"/>
      <c r="I1268" s="127"/>
      <c r="J1268" s="127"/>
      <c r="K1268" s="25" t="str">
        <f t="shared" si="273"/>
        <v>đ/m</v>
      </c>
      <c r="L1268" s="120"/>
      <c r="M1268" s="122">
        <f t="shared" si="274"/>
        <v>1138000</v>
      </c>
      <c r="N1268" s="122">
        <f t="shared" si="275"/>
        <v>1138000</v>
      </c>
      <c r="O1268" s="71">
        <f t="shared" si="276"/>
        <v>1138000</v>
      </c>
      <c r="P1268" s="71">
        <f t="shared" si="277"/>
        <v>1138000</v>
      </c>
    </row>
    <row r="1269" spans="1:16" s="58" customFormat="1" ht="21" customHeight="1">
      <c r="A1269" s="10">
        <f t="shared" si="278"/>
        <v>77</v>
      </c>
      <c r="B1269" s="33" t="s">
        <v>599</v>
      </c>
      <c r="C1269" s="10" t="s">
        <v>90</v>
      </c>
      <c r="D1269" s="13"/>
      <c r="E1269" s="13">
        <v>1375400</v>
      </c>
      <c r="F1269" s="13">
        <v>1375400</v>
      </c>
      <c r="G1269" s="127"/>
      <c r="H1269" s="127"/>
      <c r="I1269" s="127"/>
      <c r="J1269" s="127"/>
      <c r="K1269" s="25" t="str">
        <f t="shared" si="273"/>
        <v>đ/m</v>
      </c>
      <c r="L1269" s="120"/>
      <c r="M1269" s="122">
        <f t="shared" si="274"/>
        <v>1375400</v>
      </c>
      <c r="N1269" s="122">
        <f t="shared" si="275"/>
        <v>1375400</v>
      </c>
      <c r="O1269" s="71">
        <f t="shared" si="276"/>
        <v>1375400</v>
      </c>
      <c r="P1269" s="71">
        <f t="shared" si="277"/>
        <v>1375400</v>
      </c>
    </row>
    <row r="1270" spans="1:16" s="58" customFormat="1" ht="21" customHeight="1">
      <c r="A1270" s="10">
        <f t="shared" si="278"/>
        <v>78</v>
      </c>
      <c r="B1270" s="33" t="s">
        <v>600</v>
      </c>
      <c r="C1270" s="10" t="s">
        <v>90</v>
      </c>
      <c r="D1270" s="13"/>
      <c r="E1270" s="13">
        <v>1181200</v>
      </c>
      <c r="F1270" s="13">
        <v>1181200</v>
      </c>
      <c r="G1270" s="127"/>
      <c r="H1270" s="127"/>
      <c r="I1270" s="127"/>
      <c r="J1270" s="127"/>
      <c r="K1270" s="25" t="str">
        <f t="shared" si="273"/>
        <v>đ/m</v>
      </c>
      <c r="L1270" s="120"/>
      <c r="M1270" s="122">
        <f t="shared" si="274"/>
        <v>1181200</v>
      </c>
      <c r="N1270" s="122">
        <f t="shared" si="275"/>
        <v>1181200</v>
      </c>
      <c r="O1270" s="71">
        <f t="shared" si="276"/>
        <v>1181200</v>
      </c>
      <c r="P1270" s="71">
        <f t="shared" si="277"/>
        <v>1181200</v>
      </c>
    </row>
    <row r="1271" spans="1:16" s="58" customFormat="1" ht="21" customHeight="1">
      <c r="A1271" s="10">
        <f t="shared" si="278"/>
        <v>79</v>
      </c>
      <c r="B1271" s="33" t="s">
        <v>601</v>
      </c>
      <c r="C1271" s="10" t="s">
        <v>90</v>
      </c>
      <c r="D1271" s="13"/>
      <c r="E1271" s="13">
        <v>1442300</v>
      </c>
      <c r="F1271" s="13">
        <v>1442300</v>
      </c>
      <c r="G1271" s="127"/>
      <c r="H1271" s="127"/>
      <c r="I1271" s="127"/>
      <c r="J1271" s="127"/>
      <c r="K1271" s="25" t="str">
        <f t="shared" si="273"/>
        <v>đ/m</v>
      </c>
      <c r="L1271" s="120"/>
      <c r="M1271" s="122">
        <f t="shared" si="274"/>
        <v>1442300</v>
      </c>
      <c r="N1271" s="122">
        <f t="shared" si="275"/>
        <v>1442300</v>
      </c>
      <c r="O1271" s="71">
        <f t="shared" si="276"/>
        <v>1442300</v>
      </c>
      <c r="P1271" s="71">
        <f t="shared" si="277"/>
        <v>1442300</v>
      </c>
    </row>
    <row r="1272" spans="1:16" s="58" customFormat="1" ht="21" customHeight="1">
      <c r="A1272" s="10">
        <f t="shared" si="278"/>
        <v>80</v>
      </c>
      <c r="B1272" s="33" t="s">
        <v>602</v>
      </c>
      <c r="C1272" s="10" t="s">
        <v>90</v>
      </c>
      <c r="D1272" s="13"/>
      <c r="E1272" s="13">
        <v>1741000</v>
      </c>
      <c r="F1272" s="13">
        <v>1741000</v>
      </c>
      <c r="G1272" s="127"/>
      <c r="H1272" s="127"/>
      <c r="I1272" s="127"/>
      <c r="J1272" s="127"/>
      <c r="K1272" s="25" t="str">
        <f t="shared" si="273"/>
        <v>đ/m</v>
      </c>
      <c r="L1272" s="120"/>
      <c r="M1272" s="122">
        <f t="shared" si="274"/>
        <v>1741000</v>
      </c>
      <c r="N1272" s="122">
        <f t="shared" si="275"/>
        <v>1741000</v>
      </c>
      <c r="O1272" s="71">
        <f t="shared" si="276"/>
        <v>1741000</v>
      </c>
      <c r="P1272" s="71">
        <f t="shared" si="277"/>
        <v>1741000</v>
      </c>
    </row>
    <row r="1273" spans="1:16" s="58" customFormat="1" ht="21" customHeight="1">
      <c r="A1273" s="10"/>
      <c r="B1273" s="9" t="s">
        <v>603</v>
      </c>
      <c r="C1273" s="10"/>
      <c r="D1273" s="13"/>
      <c r="E1273" s="13"/>
      <c r="F1273" s="13"/>
      <c r="G1273" s="127"/>
      <c r="H1273" s="127"/>
      <c r="I1273" s="127"/>
      <c r="J1273" s="127"/>
      <c r="K1273" s="116"/>
      <c r="L1273" s="120"/>
      <c r="M1273" s="120"/>
      <c r="N1273" s="120"/>
      <c r="O1273" s="69"/>
      <c r="P1273" s="69"/>
    </row>
    <row r="1274" spans="1:16" s="58" customFormat="1" ht="21" customHeight="1">
      <c r="A1274" s="10">
        <f>+A1272+1</f>
        <v>81</v>
      </c>
      <c r="B1274" s="11" t="s">
        <v>604</v>
      </c>
      <c r="C1274" s="15" t="s">
        <v>90</v>
      </c>
      <c r="D1274" s="13"/>
      <c r="E1274" s="13">
        <v>18100</v>
      </c>
      <c r="F1274" s="13">
        <f t="shared" ref="F1274:F1280" si="279">E1274</f>
        <v>18100</v>
      </c>
      <c r="G1274" s="127"/>
      <c r="H1274" s="127"/>
      <c r="I1274" s="127"/>
      <c r="J1274" s="127"/>
      <c r="K1274" s="25" t="str">
        <f t="shared" ref="K1274:K1280" si="280">C1274</f>
        <v>đ/m</v>
      </c>
      <c r="L1274" s="120"/>
      <c r="M1274" s="123">
        <f t="shared" ref="M1274:M1280" si="281">E1274</f>
        <v>18100</v>
      </c>
      <c r="N1274" s="123">
        <f t="shared" ref="N1274:N1280" si="282">F1274</f>
        <v>18100</v>
      </c>
      <c r="O1274" s="71">
        <f t="shared" ref="O1274:O1280" si="283">E1274</f>
        <v>18100</v>
      </c>
      <c r="P1274" s="71">
        <f t="shared" ref="P1274:P1280" si="284">M1274</f>
        <v>18100</v>
      </c>
    </row>
    <row r="1275" spans="1:16" s="58" customFormat="1" ht="21" customHeight="1">
      <c r="A1275" s="10">
        <f t="shared" ref="A1275:A1280" si="285">+A1274+1</f>
        <v>82</v>
      </c>
      <c r="B1275" s="11" t="s">
        <v>605</v>
      </c>
      <c r="C1275" s="15" t="s">
        <v>90</v>
      </c>
      <c r="D1275" s="13"/>
      <c r="E1275" s="13">
        <v>43600</v>
      </c>
      <c r="F1275" s="13">
        <f t="shared" si="279"/>
        <v>43600</v>
      </c>
      <c r="G1275" s="127"/>
      <c r="H1275" s="127"/>
      <c r="I1275" s="127"/>
      <c r="J1275" s="127"/>
      <c r="K1275" s="25" t="str">
        <f t="shared" si="280"/>
        <v>đ/m</v>
      </c>
      <c r="L1275" s="120"/>
      <c r="M1275" s="123">
        <f t="shared" si="281"/>
        <v>43600</v>
      </c>
      <c r="N1275" s="123">
        <f t="shared" si="282"/>
        <v>43600</v>
      </c>
      <c r="O1275" s="71">
        <f t="shared" si="283"/>
        <v>43600</v>
      </c>
      <c r="P1275" s="71">
        <f t="shared" si="284"/>
        <v>43600</v>
      </c>
    </row>
    <row r="1276" spans="1:16" s="58" customFormat="1" ht="21" customHeight="1">
      <c r="A1276" s="10">
        <f t="shared" si="285"/>
        <v>83</v>
      </c>
      <c r="B1276" s="11" t="s">
        <v>606</v>
      </c>
      <c r="C1276" s="15" t="s">
        <v>90</v>
      </c>
      <c r="D1276" s="13"/>
      <c r="E1276" s="13">
        <v>69100</v>
      </c>
      <c r="F1276" s="13">
        <f t="shared" si="279"/>
        <v>69100</v>
      </c>
      <c r="G1276" s="127"/>
      <c r="H1276" s="127"/>
      <c r="I1276" s="127"/>
      <c r="J1276" s="127"/>
      <c r="K1276" s="25" t="str">
        <f t="shared" si="280"/>
        <v>đ/m</v>
      </c>
      <c r="L1276" s="120"/>
      <c r="M1276" s="123">
        <f t="shared" si="281"/>
        <v>69100</v>
      </c>
      <c r="N1276" s="123">
        <f t="shared" si="282"/>
        <v>69100</v>
      </c>
      <c r="O1276" s="71">
        <f t="shared" si="283"/>
        <v>69100</v>
      </c>
      <c r="P1276" s="71">
        <f t="shared" si="284"/>
        <v>69100</v>
      </c>
    </row>
    <row r="1277" spans="1:16" s="58" customFormat="1" ht="21" customHeight="1">
      <c r="A1277" s="10">
        <f t="shared" si="285"/>
        <v>84</v>
      </c>
      <c r="B1277" s="11" t="s">
        <v>607</v>
      </c>
      <c r="C1277" s="15" t="s">
        <v>90</v>
      </c>
      <c r="D1277" s="13"/>
      <c r="E1277" s="13">
        <v>168700</v>
      </c>
      <c r="F1277" s="13">
        <f t="shared" si="279"/>
        <v>168700</v>
      </c>
      <c r="G1277" s="127"/>
      <c r="H1277" s="127"/>
      <c r="I1277" s="127"/>
      <c r="J1277" s="127"/>
      <c r="K1277" s="25" t="str">
        <f t="shared" si="280"/>
        <v>đ/m</v>
      </c>
      <c r="L1277" s="120"/>
      <c r="M1277" s="123">
        <f t="shared" si="281"/>
        <v>168700</v>
      </c>
      <c r="N1277" s="123">
        <f t="shared" si="282"/>
        <v>168700</v>
      </c>
      <c r="O1277" s="71">
        <f t="shared" si="283"/>
        <v>168700</v>
      </c>
      <c r="P1277" s="71">
        <f t="shared" si="284"/>
        <v>168700</v>
      </c>
    </row>
    <row r="1278" spans="1:16" s="58" customFormat="1" ht="21" customHeight="1">
      <c r="A1278" s="10">
        <f t="shared" si="285"/>
        <v>85</v>
      </c>
      <c r="B1278" s="11" t="s">
        <v>608</v>
      </c>
      <c r="C1278" s="15" t="s">
        <v>90</v>
      </c>
      <c r="D1278" s="13"/>
      <c r="E1278" s="13">
        <v>285000</v>
      </c>
      <c r="F1278" s="13">
        <f t="shared" si="279"/>
        <v>285000</v>
      </c>
      <c r="G1278" s="127"/>
      <c r="H1278" s="127"/>
      <c r="I1278" s="127"/>
      <c r="J1278" s="127"/>
      <c r="K1278" s="25" t="str">
        <f t="shared" si="280"/>
        <v>đ/m</v>
      </c>
      <c r="L1278" s="120"/>
      <c r="M1278" s="123">
        <f t="shared" si="281"/>
        <v>285000</v>
      </c>
      <c r="N1278" s="123">
        <f t="shared" si="282"/>
        <v>285000</v>
      </c>
      <c r="O1278" s="71">
        <f t="shared" si="283"/>
        <v>285000</v>
      </c>
      <c r="P1278" s="71">
        <f t="shared" si="284"/>
        <v>285000</v>
      </c>
    </row>
    <row r="1279" spans="1:16" s="58" customFormat="1" ht="21" customHeight="1">
      <c r="A1279" s="10">
        <f t="shared" si="285"/>
        <v>86</v>
      </c>
      <c r="B1279" s="11" t="s">
        <v>609</v>
      </c>
      <c r="C1279" s="15" t="s">
        <v>90</v>
      </c>
      <c r="D1279" s="13"/>
      <c r="E1279" s="13">
        <v>600000</v>
      </c>
      <c r="F1279" s="13">
        <f t="shared" si="279"/>
        <v>600000</v>
      </c>
      <c r="G1279" s="127"/>
      <c r="H1279" s="127"/>
      <c r="I1279" s="127"/>
      <c r="J1279" s="127"/>
      <c r="K1279" s="25" t="str">
        <f t="shared" si="280"/>
        <v>đ/m</v>
      </c>
      <c r="L1279" s="120"/>
      <c r="M1279" s="123">
        <f t="shared" si="281"/>
        <v>600000</v>
      </c>
      <c r="N1279" s="123">
        <f t="shared" si="282"/>
        <v>600000</v>
      </c>
      <c r="O1279" s="71">
        <f t="shared" si="283"/>
        <v>600000</v>
      </c>
      <c r="P1279" s="71">
        <f t="shared" si="284"/>
        <v>600000</v>
      </c>
    </row>
    <row r="1280" spans="1:16" s="58" customFormat="1" ht="21" customHeight="1">
      <c r="A1280" s="10">
        <f t="shared" si="285"/>
        <v>87</v>
      </c>
      <c r="B1280" s="11" t="s">
        <v>610</v>
      </c>
      <c r="C1280" s="15" t="s">
        <v>90</v>
      </c>
      <c r="D1280" s="13"/>
      <c r="E1280" s="13">
        <v>2032000</v>
      </c>
      <c r="F1280" s="13">
        <f t="shared" si="279"/>
        <v>2032000</v>
      </c>
      <c r="G1280" s="127"/>
      <c r="H1280" s="127"/>
      <c r="I1280" s="127"/>
      <c r="J1280" s="127"/>
      <c r="K1280" s="25" t="str">
        <f t="shared" si="280"/>
        <v>đ/m</v>
      </c>
      <c r="L1280" s="120"/>
      <c r="M1280" s="122">
        <f t="shared" si="281"/>
        <v>2032000</v>
      </c>
      <c r="N1280" s="122">
        <f t="shared" si="282"/>
        <v>2032000</v>
      </c>
      <c r="O1280" s="71">
        <f t="shared" si="283"/>
        <v>2032000</v>
      </c>
      <c r="P1280" s="71">
        <f t="shared" si="284"/>
        <v>2032000</v>
      </c>
    </row>
    <row r="1281" spans="1:16" s="58" customFormat="1" ht="21" customHeight="1">
      <c r="A1281" s="10"/>
      <c r="B1281" s="240" t="s">
        <v>2095</v>
      </c>
      <c r="C1281" s="241"/>
      <c r="D1281" s="241"/>
      <c r="E1281" s="241"/>
      <c r="F1281" s="241"/>
      <c r="G1281" s="241"/>
      <c r="H1281" s="241"/>
      <c r="I1281" s="241"/>
      <c r="J1281" s="241"/>
      <c r="K1281" s="241"/>
      <c r="L1281" s="241"/>
      <c r="M1281" s="241"/>
      <c r="N1281" s="242"/>
      <c r="O1281" s="69"/>
      <c r="P1281" s="69"/>
    </row>
    <row r="1282" spans="1:16" s="58" customFormat="1" ht="24" customHeight="1">
      <c r="A1282" s="10"/>
      <c r="B1282" s="9" t="s">
        <v>611</v>
      </c>
      <c r="C1282" s="15"/>
      <c r="D1282" s="20"/>
      <c r="E1282" s="20"/>
      <c r="F1282" s="20"/>
      <c r="G1282" s="127"/>
      <c r="H1282" s="127"/>
      <c r="I1282" s="127"/>
      <c r="J1282" s="127"/>
      <c r="K1282" s="116"/>
      <c r="L1282" s="120"/>
      <c r="M1282" s="120"/>
      <c r="N1282" s="120"/>
      <c r="O1282" s="69"/>
      <c r="P1282" s="69"/>
    </row>
    <row r="1283" spans="1:16" s="58" customFormat="1" ht="24" customHeight="1">
      <c r="A1283" s="10">
        <v>1</v>
      </c>
      <c r="B1283" s="37" t="s">
        <v>612</v>
      </c>
      <c r="C1283" s="38" t="s">
        <v>613</v>
      </c>
      <c r="D1283" s="39"/>
      <c r="E1283" s="40">
        <v>6150</v>
      </c>
      <c r="F1283" s="40">
        <f t="shared" ref="F1283:F1296" si="286">E1283</f>
        <v>6150</v>
      </c>
      <c r="G1283" s="127"/>
      <c r="H1283" s="127"/>
      <c r="I1283" s="127"/>
      <c r="J1283" s="127"/>
      <c r="K1283" s="25" t="str">
        <f t="shared" ref="K1283:K1296" si="287">C1283</f>
        <v>đ/mét</v>
      </c>
      <c r="L1283" s="120"/>
      <c r="M1283" s="123">
        <f t="shared" ref="M1283:M1296" si="288">E1283</f>
        <v>6150</v>
      </c>
      <c r="N1283" s="123">
        <f t="shared" ref="N1283:N1296" si="289">F1283</f>
        <v>6150</v>
      </c>
      <c r="O1283" s="71">
        <f t="shared" ref="O1283:O1296" si="290">E1283</f>
        <v>6150</v>
      </c>
      <c r="P1283" s="71">
        <f t="shared" ref="P1283:P1296" si="291">M1283</f>
        <v>6150</v>
      </c>
    </row>
    <row r="1284" spans="1:16" s="58" customFormat="1" ht="24" customHeight="1">
      <c r="A1284" s="10">
        <f t="shared" ref="A1284:A1296" si="292">+A1283+1</f>
        <v>2</v>
      </c>
      <c r="B1284" s="37" t="s">
        <v>614</v>
      </c>
      <c r="C1284" s="38" t="s">
        <v>613</v>
      </c>
      <c r="D1284" s="39"/>
      <c r="E1284" s="40">
        <v>7500</v>
      </c>
      <c r="F1284" s="40">
        <f t="shared" si="286"/>
        <v>7500</v>
      </c>
      <c r="G1284" s="127"/>
      <c r="H1284" s="127"/>
      <c r="I1284" s="127"/>
      <c r="J1284" s="127"/>
      <c r="K1284" s="25" t="str">
        <f t="shared" si="287"/>
        <v>đ/mét</v>
      </c>
      <c r="L1284" s="120"/>
      <c r="M1284" s="123">
        <f t="shared" si="288"/>
        <v>7500</v>
      </c>
      <c r="N1284" s="123">
        <f t="shared" si="289"/>
        <v>7500</v>
      </c>
      <c r="O1284" s="71">
        <f t="shared" si="290"/>
        <v>7500</v>
      </c>
      <c r="P1284" s="71">
        <f t="shared" si="291"/>
        <v>7500</v>
      </c>
    </row>
    <row r="1285" spans="1:16" s="58" customFormat="1" ht="24" customHeight="1">
      <c r="A1285" s="10">
        <f t="shared" si="292"/>
        <v>3</v>
      </c>
      <c r="B1285" s="37" t="s">
        <v>615</v>
      </c>
      <c r="C1285" s="38" t="s">
        <v>613</v>
      </c>
      <c r="D1285" s="39"/>
      <c r="E1285" s="40">
        <v>8750</v>
      </c>
      <c r="F1285" s="40">
        <f t="shared" si="286"/>
        <v>8750</v>
      </c>
      <c r="G1285" s="127"/>
      <c r="H1285" s="127"/>
      <c r="I1285" s="127"/>
      <c r="J1285" s="127"/>
      <c r="K1285" s="25" t="str">
        <f t="shared" si="287"/>
        <v>đ/mét</v>
      </c>
      <c r="L1285" s="120"/>
      <c r="M1285" s="123">
        <f t="shared" si="288"/>
        <v>8750</v>
      </c>
      <c r="N1285" s="123">
        <f t="shared" si="289"/>
        <v>8750</v>
      </c>
      <c r="O1285" s="71">
        <f t="shared" si="290"/>
        <v>8750</v>
      </c>
      <c r="P1285" s="71">
        <f t="shared" si="291"/>
        <v>8750</v>
      </c>
    </row>
    <row r="1286" spans="1:16" s="58" customFormat="1" ht="24" customHeight="1">
      <c r="A1286" s="10">
        <f t="shared" si="292"/>
        <v>4</v>
      </c>
      <c r="B1286" s="37" t="s">
        <v>616</v>
      </c>
      <c r="C1286" s="38" t="s">
        <v>613</v>
      </c>
      <c r="D1286" s="39"/>
      <c r="E1286" s="40">
        <v>10500</v>
      </c>
      <c r="F1286" s="40">
        <f t="shared" si="286"/>
        <v>10500</v>
      </c>
      <c r="G1286" s="127"/>
      <c r="H1286" s="127"/>
      <c r="I1286" s="127"/>
      <c r="J1286" s="127"/>
      <c r="K1286" s="25" t="str">
        <f t="shared" si="287"/>
        <v>đ/mét</v>
      </c>
      <c r="L1286" s="120"/>
      <c r="M1286" s="123">
        <f t="shared" si="288"/>
        <v>10500</v>
      </c>
      <c r="N1286" s="123">
        <f t="shared" si="289"/>
        <v>10500</v>
      </c>
      <c r="O1286" s="71">
        <f t="shared" si="290"/>
        <v>10500</v>
      </c>
      <c r="P1286" s="71">
        <f t="shared" si="291"/>
        <v>10500</v>
      </c>
    </row>
    <row r="1287" spans="1:16" s="58" customFormat="1" ht="24" customHeight="1">
      <c r="A1287" s="10">
        <f t="shared" si="292"/>
        <v>5</v>
      </c>
      <c r="B1287" s="37" t="s">
        <v>617</v>
      </c>
      <c r="C1287" s="38" t="s">
        <v>613</v>
      </c>
      <c r="D1287" s="39"/>
      <c r="E1287" s="40">
        <v>16350</v>
      </c>
      <c r="F1287" s="40">
        <f t="shared" si="286"/>
        <v>16350</v>
      </c>
      <c r="G1287" s="127"/>
      <c r="H1287" s="127"/>
      <c r="I1287" s="127"/>
      <c r="J1287" s="127"/>
      <c r="K1287" s="25" t="str">
        <f t="shared" si="287"/>
        <v>đ/mét</v>
      </c>
      <c r="L1287" s="120"/>
      <c r="M1287" s="123">
        <f t="shared" si="288"/>
        <v>16350</v>
      </c>
      <c r="N1287" s="123">
        <f t="shared" si="289"/>
        <v>16350</v>
      </c>
      <c r="O1287" s="71">
        <f t="shared" si="290"/>
        <v>16350</v>
      </c>
      <c r="P1287" s="71">
        <f t="shared" si="291"/>
        <v>16350</v>
      </c>
    </row>
    <row r="1288" spans="1:16" s="58" customFormat="1" ht="24" customHeight="1">
      <c r="A1288" s="10">
        <f t="shared" si="292"/>
        <v>6</v>
      </c>
      <c r="B1288" s="37" t="s">
        <v>618</v>
      </c>
      <c r="C1288" s="38" t="s">
        <v>613</v>
      </c>
      <c r="D1288" s="39"/>
      <c r="E1288" s="40">
        <v>26600</v>
      </c>
      <c r="F1288" s="40">
        <f t="shared" si="286"/>
        <v>26600</v>
      </c>
      <c r="G1288" s="127"/>
      <c r="H1288" s="127"/>
      <c r="I1288" s="127"/>
      <c r="J1288" s="127"/>
      <c r="K1288" s="25" t="str">
        <f t="shared" si="287"/>
        <v>đ/mét</v>
      </c>
      <c r="L1288" s="120"/>
      <c r="M1288" s="123">
        <f t="shared" si="288"/>
        <v>26600</v>
      </c>
      <c r="N1288" s="123">
        <f t="shared" si="289"/>
        <v>26600</v>
      </c>
      <c r="O1288" s="71">
        <f t="shared" si="290"/>
        <v>26600</v>
      </c>
      <c r="P1288" s="71">
        <f t="shared" si="291"/>
        <v>26600</v>
      </c>
    </row>
    <row r="1289" spans="1:16" s="58" customFormat="1" ht="24" customHeight="1">
      <c r="A1289" s="10">
        <f t="shared" si="292"/>
        <v>7</v>
      </c>
      <c r="B1289" s="37" t="s">
        <v>619</v>
      </c>
      <c r="C1289" s="38" t="s">
        <v>613</v>
      </c>
      <c r="D1289" s="39"/>
      <c r="E1289" s="40">
        <v>21350</v>
      </c>
      <c r="F1289" s="40">
        <f t="shared" si="286"/>
        <v>21350</v>
      </c>
      <c r="G1289" s="127"/>
      <c r="H1289" s="127"/>
      <c r="I1289" s="127"/>
      <c r="J1289" s="127"/>
      <c r="K1289" s="25" t="str">
        <f t="shared" si="287"/>
        <v>đ/mét</v>
      </c>
      <c r="L1289" s="120"/>
      <c r="M1289" s="123">
        <f t="shared" si="288"/>
        <v>21350</v>
      </c>
      <c r="N1289" s="123">
        <f t="shared" si="289"/>
        <v>21350</v>
      </c>
      <c r="O1289" s="71">
        <f t="shared" si="290"/>
        <v>21350</v>
      </c>
      <c r="P1289" s="71">
        <f t="shared" si="291"/>
        <v>21350</v>
      </c>
    </row>
    <row r="1290" spans="1:16" s="58" customFormat="1" ht="24" customHeight="1">
      <c r="A1290" s="10">
        <f t="shared" si="292"/>
        <v>8</v>
      </c>
      <c r="B1290" s="37" t="s">
        <v>620</v>
      </c>
      <c r="C1290" s="38" t="s">
        <v>613</v>
      </c>
      <c r="D1290" s="39"/>
      <c r="E1290" s="40">
        <v>31400</v>
      </c>
      <c r="F1290" s="40">
        <f t="shared" si="286"/>
        <v>31400</v>
      </c>
      <c r="G1290" s="127"/>
      <c r="H1290" s="127"/>
      <c r="I1290" s="127"/>
      <c r="J1290" s="127"/>
      <c r="K1290" s="25" t="str">
        <f t="shared" si="287"/>
        <v>đ/mét</v>
      </c>
      <c r="L1290" s="120"/>
      <c r="M1290" s="123">
        <f t="shared" si="288"/>
        <v>31400</v>
      </c>
      <c r="N1290" s="123">
        <f t="shared" si="289"/>
        <v>31400</v>
      </c>
      <c r="O1290" s="71">
        <f t="shared" si="290"/>
        <v>31400</v>
      </c>
      <c r="P1290" s="71">
        <f t="shared" si="291"/>
        <v>31400</v>
      </c>
    </row>
    <row r="1291" spans="1:16" s="58" customFormat="1" ht="24" customHeight="1">
      <c r="A1291" s="10">
        <f t="shared" si="292"/>
        <v>9</v>
      </c>
      <c r="B1291" s="37" t="s">
        <v>621</v>
      </c>
      <c r="C1291" s="38" t="s">
        <v>613</v>
      </c>
      <c r="D1291" s="39"/>
      <c r="E1291" s="40">
        <v>38900</v>
      </c>
      <c r="F1291" s="40">
        <f t="shared" si="286"/>
        <v>38900</v>
      </c>
      <c r="G1291" s="127"/>
      <c r="H1291" s="127"/>
      <c r="I1291" s="127"/>
      <c r="J1291" s="127"/>
      <c r="K1291" s="25" t="str">
        <f t="shared" si="287"/>
        <v>đ/mét</v>
      </c>
      <c r="L1291" s="120"/>
      <c r="M1291" s="123">
        <f t="shared" si="288"/>
        <v>38900</v>
      </c>
      <c r="N1291" s="123">
        <f t="shared" si="289"/>
        <v>38900</v>
      </c>
      <c r="O1291" s="71">
        <f t="shared" si="290"/>
        <v>38900</v>
      </c>
      <c r="P1291" s="71">
        <f t="shared" si="291"/>
        <v>38900</v>
      </c>
    </row>
    <row r="1292" spans="1:16" s="58" customFormat="1" ht="24" customHeight="1">
      <c r="A1292" s="10">
        <f t="shared" si="292"/>
        <v>10</v>
      </c>
      <c r="B1292" s="37" t="s">
        <v>622</v>
      </c>
      <c r="C1292" s="38" t="s">
        <v>613</v>
      </c>
      <c r="D1292" s="39"/>
      <c r="E1292" s="40">
        <v>48200</v>
      </c>
      <c r="F1292" s="40">
        <f t="shared" si="286"/>
        <v>48200</v>
      </c>
      <c r="G1292" s="127"/>
      <c r="H1292" s="127"/>
      <c r="I1292" s="127"/>
      <c r="J1292" s="127"/>
      <c r="K1292" s="25" t="str">
        <f t="shared" si="287"/>
        <v>đ/mét</v>
      </c>
      <c r="L1292" s="120"/>
      <c r="M1292" s="123">
        <f t="shared" si="288"/>
        <v>48200</v>
      </c>
      <c r="N1292" s="123">
        <f t="shared" si="289"/>
        <v>48200</v>
      </c>
      <c r="O1292" s="71">
        <f t="shared" si="290"/>
        <v>48200</v>
      </c>
      <c r="P1292" s="71">
        <f t="shared" si="291"/>
        <v>48200</v>
      </c>
    </row>
    <row r="1293" spans="1:16" s="58" customFormat="1" ht="24" customHeight="1">
      <c r="A1293" s="10">
        <f t="shared" si="292"/>
        <v>11</v>
      </c>
      <c r="B1293" s="37" t="s">
        <v>623</v>
      </c>
      <c r="C1293" s="38" t="s">
        <v>613</v>
      </c>
      <c r="D1293" s="39"/>
      <c r="E1293" s="40">
        <v>63150</v>
      </c>
      <c r="F1293" s="40">
        <f t="shared" si="286"/>
        <v>63150</v>
      </c>
      <c r="G1293" s="127"/>
      <c r="H1293" s="127"/>
      <c r="I1293" s="127"/>
      <c r="J1293" s="127"/>
      <c r="K1293" s="25" t="str">
        <f t="shared" si="287"/>
        <v>đ/mét</v>
      </c>
      <c r="L1293" s="120"/>
      <c r="M1293" s="123">
        <f t="shared" si="288"/>
        <v>63150</v>
      </c>
      <c r="N1293" s="123">
        <f t="shared" si="289"/>
        <v>63150</v>
      </c>
      <c r="O1293" s="71">
        <f t="shared" si="290"/>
        <v>63150</v>
      </c>
      <c r="P1293" s="71">
        <f t="shared" si="291"/>
        <v>63150</v>
      </c>
    </row>
    <row r="1294" spans="1:16" s="58" customFormat="1" ht="24" customHeight="1">
      <c r="A1294" s="10">
        <f t="shared" si="292"/>
        <v>12</v>
      </c>
      <c r="B1294" s="37" t="s">
        <v>624</v>
      </c>
      <c r="C1294" s="38" t="s">
        <v>613</v>
      </c>
      <c r="D1294" s="39"/>
      <c r="E1294" s="40">
        <v>68700</v>
      </c>
      <c r="F1294" s="40">
        <f t="shared" si="286"/>
        <v>68700</v>
      </c>
      <c r="G1294" s="127"/>
      <c r="H1294" s="127"/>
      <c r="I1294" s="127"/>
      <c r="J1294" s="127"/>
      <c r="K1294" s="25" t="str">
        <f t="shared" si="287"/>
        <v>đ/mét</v>
      </c>
      <c r="L1294" s="120"/>
      <c r="M1294" s="123">
        <f t="shared" si="288"/>
        <v>68700</v>
      </c>
      <c r="N1294" s="123">
        <f t="shared" si="289"/>
        <v>68700</v>
      </c>
      <c r="O1294" s="71">
        <f t="shared" si="290"/>
        <v>68700</v>
      </c>
      <c r="P1294" s="71">
        <f t="shared" si="291"/>
        <v>68700</v>
      </c>
    </row>
    <row r="1295" spans="1:16" s="58" customFormat="1" ht="24" customHeight="1">
      <c r="A1295" s="10">
        <f t="shared" si="292"/>
        <v>13</v>
      </c>
      <c r="B1295" s="37" t="s">
        <v>625</v>
      </c>
      <c r="C1295" s="38" t="s">
        <v>613</v>
      </c>
      <c r="D1295" s="39"/>
      <c r="E1295" s="40">
        <v>80900</v>
      </c>
      <c r="F1295" s="40">
        <f t="shared" si="286"/>
        <v>80900</v>
      </c>
      <c r="G1295" s="127"/>
      <c r="H1295" s="127"/>
      <c r="I1295" s="127"/>
      <c r="J1295" s="127"/>
      <c r="K1295" s="25" t="str">
        <f t="shared" si="287"/>
        <v>đ/mét</v>
      </c>
      <c r="L1295" s="120"/>
      <c r="M1295" s="123">
        <f t="shared" si="288"/>
        <v>80900</v>
      </c>
      <c r="N1295" s="123">
        <f t="shared" si="289"/>
        <v>80900</v>
      </c>
      <c r="O1295" s="71">
        <f t="shared" si="290"/>
        <v>80900</v>
      </c>
      <c r="P1295" s="71">
        <f t="shared" si="291"/>
        <v>80900</v>
      </c>
    </row>
    <row r="1296" spans="1:16" s="58" customFormat="1" ht="24" customHeight="1">
      <c r="A1296" s="10">
        <f t="shared" si="292"/>
        <v>14</v>
      </c>
      <c r="B1296" s="37" t="s">
        <v>626</v>
      </c>
      <c r="C1296" s="38" t="s">
        <v>613</v>
      </c>
      <c r="D1296" s="39"/>
      <c r="E1296" s="40">
        <v>135700</v>
      </c>
      <c r="F1296" s="40">
        <f t="shared" si="286"/>
        <v>135700</v>
      </c>
      <c r="G1296" s="127"/>
      <c r="H1296" s="127"/>
      <c r="I1296" s="127"/>
      <c r="J1296" s="127"/>
      <c r="K1296" s="25" t="str">
        <f t="shared" si="287"/>
        <v>đ/mét</v>
      </c>
      <c r="L1296" s="120"/>
      <c r="M1296" s="123">
        <f t="shared" si="288"/>
        <v>135700</v>
      </c>
      <c r="N1296" s="123">
        <f t="shared" si="289"/>
        <v>135700</v>
      </c>
      <c r="O1296" s="71">
        <f t="shared" si="290"/>
        <v>135700</v>
      </c>
      <c r="P1296" s="71">
        <f t="shared" si="291"/>
        <v>135700</v>
      </c>
    </row>
    <row r="1297" spans="1:16" s="58" customFormat="1" ht="17.25">
      <c r="A1297" s="10"/>
      <c r="B1297" s="237" t="s">
        <v>627</v>
      </c>
      <c r="C1297" s="238"/>
      <c r="D1297" s="238"/>
      <c r="E1297" s="238"/>
      <c r="F1297" s="238"/>
      <c r="G1297" s="238"/>
      <c r="H1297" s="238"/>
      <c r="I1297" s="238"/>
      <c r="J1297" s="238"/>
      <c r="K1297" s="238"/>
      <c r="L1297" s="238"/>
      <c r="M1297" s="238"/>
      <c r="N1297" s="239"/>
      <c r="O1297" s="69"/>
      <c r="P1297" s="69"/>
    </row>
    <row r="1298" spans="1:16" s="58" customFormat="1" ht="21.6" customHeight="1">
      <c r="A1298" s="10">
        <f>+A1296+1</f>
        <v>15</v>
      </c>
      <c r="B1298" s="37" t="s">
        <v>628</v>
      </c>
      <c r="C1298" s="38" t="s">
        <v>613</v>
      </c>
      <c r="D1298" s="39"/>
      <c r="E1298" s="40">
        <v>43500</v>
      </c>
      <c r="F1298" s="40">
        <v>43500</v>
      </c>
      <c r="G1298" s="127"/>
      <c r="H1298" s="127"/>
      <c r="I1298" s="127"/>
      <c r="J1298" s="127"/>
      <c r="K1298" s="25" t="str">
        <f>C1298</f>
        <v>đ/mét</v>
      </c>
      <c r="L1298" s="120"/>
      <c r="M1298" s="123">
        <f t="shared" ref="M1298:N1302" si="293">E1298</f>
        <v>43500</v>
      </c>
      <c r="N1298" s="123">
        <f t="shared" si="293"/>
        <v>43500</v>
      </c>
      <c r="O1298" s="71">
        <f>E1298</f>
        <v>43500</v>
      </c>
      <c r="P1298" s="71">
        <f>M1298</f>
        <v>43500</v>
      </c>
    </row>
    <row r="1299" spans="1:16" s="58" customFormat="1" ht="21.6" customHeight="1">
      <c r="A1299" s="10">
        <f>+A1298+1</f>
        <v>16</v>
      </c>
      <c r="B1299" s="37" t="s">
        <v>629</v>
      </c>
      <c r="C1299" s="38" t="s">
        <v>613</v>
      </c>
      <c r="D1299" s="39"/>
      <c r="E1299" s="40">
        <v>72000</v>
      </c>
      <c r="F1299" s="40">
        <v>72000</v>
      </c>
      <c r="G1299" s="127"/>
      <c r="H1299" s="127"/>
      <c r="I1299" s="127"/>
      <c r="J1299" s="127"/>
      <c r="K1299" s="25" t="str">
        <f>C1299</f>
        <v>đ/mét</v>
      </c>
      <c r="L1299" s="120"/>
      <c r="M1299" s="123">
        <f t="shared" si="293"/>
        <v>72000</v>
      </c>
      <c r="N1299" s="123">
        <f t="shared" si="293"/>
        <v>72000</v>
      </c>
      <c r="O1299" s="71">
        <f>E1299</f>
        <v>72000</v>
      </c>
      <c r="P1299" s="71">
        <f>M1299</f>
        <v>72000</v>
      </c>
    </row>
    <row r="1300" spans="1:16" s="58" customFormat="1" ht="21.6" customHeight="1">
      <c r="A1300" s="10">
        <f>+A1299+1</f>
        <v>17</v>
      </c>
      <c r="B1300" s="37" t="s">
        <v>630</v>
      </c>
      <c r="C1300" s="38" t="s">
        <v>613</v>
      </c>
      <c r="D1300" s="39"/>
      <c r="E1300" s="40">
        <v>116200</v>
      </c>
      <c r="F1300" s="40">
        <v>116200</v>
      </c>
      <c r="G1300" s="127"/>
      <c r="H1300" s="127"/>
      <c r="I1300" s="127"/>
      <c r="J1300" s="127"/>
      <c r="K1300" s="25" t="str">
        <f>C1300</f>
        <v>đ/mét</v>
      </c>
      <c r="L1300" s="120"/>
      <c r="M1300" s="123">
        <f t="shared" si="293"/>
        <v>116200</v>
      </c>
      <c r="N1300" s="123">
        <f t="shared" si="293"/>
        <v>116200</v>
      </c>
      <c r="O1300" s="71">
        <f>E1300</f>
        <v>116200</v>
      </c>
      <c r="P1300" s="71">
        <f>M1300</f>
        <v>116200</v>
      </c>
    </row>
    <row r="1301" spans="1:16" s="58" customFormat="1" ht="21.6" customHeight="1">
      <c r="A1301" s="10">
        <f>+A1300+1</f>
        <v>18</v>
      </c>
      <c r="B1301" s="37" t="s">
        <v>631</v>
      </c>
      <c r="C1301" s="38" t="s">
        <v>613</v>
      </c>
      <c r="D1301" s="39"/>
      <c r="E1301" s="40">
        <v>151000</v>
      </c>
      <c r="F1301" s="40">
        <v>151000</v>
      </c>
      <c r="G1301" s="127"/>
      <c r="H1301" s="127"/>
      <c r="I1301" s="127"/>
      <c r="J1301" s="127"/>
      <c r="K1301" s="25" t="str">
        <f>C1301</f>
        <v>đ/mét</v>
      </c>
      <c r="L1301" s="120"/>
      <c r="M1301" s="123">
        <f t="shared" si="293"/>
        <v>151000</v>
      </c>
      <c r="N1301" s="123">
        <f t="shared" si="293"/>
        <v>151000</v>
      </c>
      <c r="O1301" s="71">
        <f>E1301</f>
        <v>151000</v>
      </c>
      <c r="P1301" s="71">
        <f>M1301</f>
        <v>151000</v>
      </c>
    </row>
    <row r="1302" spans="1:16" s="58" customFormat="1" ht="21.6" customHeight="1">
      <c r="A1302" s="10">
        <f>+A1301+1</f>
        <v>19</v>
      </c>
      <c r="B1302" s="37" t="s">
        <v>632</v>
      </c>
      <c r="C1302" s="38" t="s">
        <v>613</v>
      </c>
      <c r="D1302" s="39"/>
      <c r="E1302" s="40">
        <v>235200</v>
      </c>
      <c r="F1302" s="40">
        <v>235200</v>
      </c>
      <c r="G1302" s="127"/>
      <c r="H1302" s="127"/>
      <c r="I1302" s="127"/>
      <c r="J1302" s="127"/>
      <c r="K1302" s="25" t="str">
        <f>C1302</f>
        <v>đ/mét</v>
      </c>
      <c r="L1302" s="120"/>
      <c r="M1302" s="123">
        <f t="shared" si="293"/>
        <v>235200</v>
      </c>
      <c r="N1302" s="123">
        <f t="shared" si="293"/>
        <v>235200</v>
      </c>
      <c r="O1302" s="71">
        <f>E1302</f>
        <v>235200</v>
      </c>
      <c r="P1302" s="71">
        <f>M1302</f>
        <v>235200</v>
      </c>
    </row>
    <row r="1303" spans="1:16" s="58" customFormat="1" ht="17.25">
      <c r="A1303" s="10"/>
      <c r="B1303" s="237" t="s">
        <v>633</v>
      </c>
      <c r="C1303" s="238"/>
      <c r="D1303" s="238"/>
      <c r="E1303" s="238"/>
      <c r="F1303" s="238"/>
      <c r="G1303" s="238"/>
      <c r="H1303" s="238"/>
      <c r="I1303" s="238"/>
      <c r="J1303" s="238"/>
      <c r="K1303" s="238"/>
      <c r="L1303" s="238"/>
      <c r="M1303" s="238"/>
      <c r="N1303" s="239"/>
      <c r="O1303" s="69"/>
      <c r="P1303" s="69"/>
    </row>
    <row r="1304" spans="1:16" s="58" customFormat="1" ht="24" customHeight="1">
      <c r="A1304" s="10">
        <f>+A1302+1</f>
        <v>20</v>
      </c>
      <c r="B1304" s="37" t="s">
        <v>634</v>
      </c>
      <c r="C1304" s="38" t="s">
        <v>613</v>
      </c>
      <c r="D1304" s="39"/>
      <c r="E1304" s="40">
        <v>151100</v>
      </c>
      <c r="F1304" s="40">
        <v>151100</v>
      </c>
      <c r="G1304" s="127"/>
      <c r="H1304" s="127"/>
      <c r="I1304" s="127"/>
      <c r="J1304" s="127"/>
      <c r="K1304" s="25" t="str">
        <f>C1304</f>
        <v>đ/mét</v>
      </c>
      <c r="L1304" s="120"/>
      <c r="M1304" s="123">
        <f t="shared" ref="M1304:N1306" si="294">E1304</f>
        <v>151100</v>
      </c>
      <c r="N1304" s="123">
        <f t="shared" si="294"/>
        <v>151100</v>
      </c>
      <c r="O1304" s="71">
        <f>E1304</f>
        <v>151100</v>
      </c>
      <c r="P1304" s="71">
        <f>M1304</f>
        <v>151100</v>
      </c>
    </row>
    <row r="1305" spans="1:16" s="58" customFormat="1" ht="24" customHeight="1">
      <c r="A1305" s="10">
        <f>+A1304+1</f>
        <v>21</v>
      </c>
      <c r="B1305" s="37" t="s">
        <v>635</v>
      </c>
      <c r="C1305" s="38" t="s">
        <v>613</v>
      </c>
      <c r="D1305" s="39"/>
      <c r="E1305" s="40">
        <v>319200</v>
      </c>
      <c r="F1305" s="40">
        <v>319200</v>
      </c>
      <c r="G1305" s="127"/>
      <c r="H1305" s="127"/>
      <c r="I1305" s="127"/>
      <c r="J1305" s="127"/>
      <c r="K1305" s="25" t="str">
        <f>C1305</f>
        <v>đ/mét</v>
      </c>
      <c r="L1305" s="120"/>
      <c r="M1305" s="123">
        <f t="shared" si="294"/>
        <v>319200</v>
      </c>
      <c r="N1305" s="123">
        <f t="shared" si="294"/>
        <v>319200</v>
      </c>
      <c r="O1305" s="71">
        <f>E1305</f>
        <v>319200</v>
      </c>
      <c r="P1305" s="71">
        <f>M1305</f>
        <v>319200</v>
      </c>
    </row>
    <row r="1306" spans="1:16" s="58" customFormat="1" ht="24" customHeight="1">
      <c r="A1306" s="10">
        <f>+A1305+1</f>
        <v>22</v>
      </c>
      <c r="B1306" s="37" t="s">
        <v>636</v>
      </c>
      <c r="C1306" s="38" t="s">
        <v>613</v>
      </c>
      <c r="D1306" s="39"/>
      <c r="E1306" s="40">
        <v>406300</v>
      </c>
      <c r="F1306" s="40">
        <v>406300</v>
      </c>
      <c r="G1306" s="127"/>
      <c r="H1306" s="127"/>
      <c r="I1306" s="127"/>
      <c r="J1306" s="127"/>
      <c r="K1306" s="25" t="str">
        <f>C1306</f>
        <v>đ/mét</v>
      </c>
      <c r="L1306" s="120"/>
      <c r="M1306" s="123">
        <f t="shared" si="294"/>
        <v>406300</v>
      </c>
      <c r="N1306" s="123">
        <f t="shared" si="294"/>
        <v>406300</v>
      </c>
      <c r="O1306" s="71">
        <f>E1306</f>
        <v>406300</v>
      </c>
      <c r="P1306" s="71">
        <f>M1306</f>
        <v>406300</v>
      </c>
    </row>
    <row r="1307" spans="1:16" s="58" customFormat="1" ht="17.25">
      <c r="A1307" s="10"/>
      <c r="B1307" s="237" t="s">
        <v>637</v>
      </c>
      <c r="C1307" s="238"/>
      <c r="D1307" s="238"/>
      <c r="E1307" s="238"/>
      <c r="F1307" s="238"/>
      <c r="G1307" s="238"/>
      <c r="H1307" s="238"/>
      <c r="I1307" s="238"/>
      <c r="J1307" s="238"/>
      <c r="K1307" s="238"/>
      <c r="L1307" s="238"/>
      <c r="M1307" s="238"/>
      <c r="N1307" s="239"/>
      <c r="O1307" s="69"/>
      <c r="P1307" s="69"/>
    </row>
    <row r="1308" spans="1:16" s="58" customFormat="1" ht="24" customHeight="1">
      <c r="A1308" s="10">
        <f>+A1306+1</f>
        <v>23</v>
      </c>
      <c r="B1308" s="37" t="s">
        <v>638</v>
      </c>
      <c r="C1308" s="38" t="s">
        <v>613</v>
      </c>
      <c r="D1308" s="39"/>
      <c r="E1308" s="40">
        <v>407900</v>
      </c>
      <c r="F1308" s="40">
        <v>407900</v>
      </c>
      <c r="G1308" s="127"/>
      <c r="H1308" s="127"/>
      <c r="I1308" s="127"/>
      <c r="J1308" s="127"/>
      <c r="K1308" s="25" t="str">
        <f>C1308</f>
        <v>đ/mét</v>
      </c>
      <c r="L1308" s="120"/>
      <c r="M1308" s="123">
        <f t="shared" ref="M1308:N1310" si="295">E1308</f>
        <v>407900</v>
      </c>
      <c r="N1308" s="123">
        <f t="shared" si="295"/>
        <v>407900</v>
      </c>
      <c r="O1308" s="71">
        <f>E1308</f>
        <v>407900</v>
      </c>
      <c r="P1308" s="71">
        <f>M1308</f>
        <v>407900</v>
      </c>
    </row>
    <row r="1309" spans="1:16" s="58" customFormat="1" ht="24" customHeight="1">
      <c r="A1309" s="10">
        <f>+A1308+1</f>
        <v>24</v>
      </c>
      <c r="B1309" s="37" t="s">
        <v>639</v>
      </c>
      <c r="C1309" s="38" t="s">
        <v>613</v>
      </c>
      <c r="D1309" s="39"/>
      <c r="E1309" s="40">
        <v>475600</v>
      </c>
      <c r="F1309" s="40">
        <v>475600</v>
      </c>
      <c r="G1309" s="127"/>
      <c r="H1309" s="127"/>
      <c r="I1309" s="127"/>
      <c r="J1309" s="127"/>
      <c r="K1309" s="25" t="str">
        <f>C1309</f>
        <v>đ/mét</v>
      </c>
      <c r="L1309" s="120"/>
      <c r="M1309" s="123">
        <f t="shared" si="295"/>
        <v>475600</v>
      </c>
      <c r="N1309" s="123">
        <f t="shared" si="295"/>
        <v>475600</v>
      </c>
      <c r="O1309" s="71">
        <f>E1309</f>
        <v>475600</v>
      </c>
      <c r="P1309" s="71">
        <f>M1309</f>
        <v>475600</v>
      </c>
    </row>
    <row r="1310" spans="1:16" s="58" customFormat="1" ht="24" customHeight="1">
      <c r="A1310" s="10">
        <f>+A1309+1</f>
        <v>25</v>
      </c>
      <c r="B1310" s="37" t="s">
        <v>640</v>
      </c>
      <c r="C1310" s="38" t="s">
        <v>613</v>
      </c>
      <c r="D1310" s="39"/>
      <c r="E1310" s="40">
        <v>629900</v>
      </c>
      <c r="F1310" s="40">
        <v>629900</v>
      </c>
      <c r="G1310" s="127"/>
      <c r="H1310" s="127"/>
      <c r="I1310" s="127"/>
      <c r="J1310" s="127"/>
      <c r="K1310" s="25" t="str">
        <f>C1310</f>
        <v>đ/mét</v>
      </c>
      <c r="L1310" s="120"/>
      <c r="M1310" s="123">
        <f t="shared" si="295"/>
        <v>629900</v>
      </c>
      <c r="N1310" s="123">
        <f t="shared" si="295"/>
        <v>629900</v>
      </c>
      <c r="O1310" s="71">
        <f>E1310</f>
        <v>629900</v>
      </c>
      <c r="P1310" s="71">
        <f>M1310</f>
        <v>629900</v>
      </c>
    </row>
    <row r="1311" spans="1:16" s="58" customFormat="1" ht="17.25">
      <c r="A1311" s="10"/>
      <c r="B1311" s="237" t="s">
        <v>641</v>
      </c>
      <c r="C1311" s="238"/>
      <c r="D1311" s="238"/>
      <c r="E1311" s="238"/>
      <c r="F1311" s="238"/>
      <c r="G1311" s="238"/>
      <c r="H1311" s="238"/>
      <c r="I1311" s="238"/>
      <c r="J1311" s="238"/>
      <c r="K1311" s="238"/>
      <c r="L1311" s="238"/>
      <c r="M1311" s="238"/>
      <c r="N1311" s="239"/>
      <c r="O1311" s="69"/>
      <c r="P1311" s="69"/>
    </row>
    <row r="1312" spans="1:16" s="58" customFormat="1" ht="21" customHeight="1">
      <c r="A1312" s="10">
        <f>+A1310+1</f>
        <v>26</v>
      </c>
      <c r="B1312" s="37" t="s">
        <v>642</v>
      </c>
      <c r="C1312" s="38" t="s">
        <v>613</v>
      </c>
      <c r="D1312" s="39"/>
      <c r="E1312" s="40">
        <v>7700</v>
      </c>
      <c r="F1312" s="40">
        <v>7700</v>
      </c>
      <c r="G1312" s="127"/>
      <c r="H1312" s="127"/>
      <c r="I1312" s="127"/>
      <c r="J1312" s="127"/>
      <c r="K1312" s="25" t="str">
        <f t="shared" ref="K1312:K1325" si="296">C1312</f>
        <v>đ/mét</v>
      </c>
      <c r="L1312" s="120"/>
      <c r="M1312" s="123">
        <f t="shared" ref="M1312:M1325" si="297">E1312</f>
        <v>7700</v>
      </c>
      <c r="N1312" s="123">
        <f t="shared" ref="N1312:N1325" si="298">F1312</f>
        <v>7700</v>
      </c>
      <c r="O1312" s="71">
        <f t="shared" ref="O1312:O1325" si="299">E1312</f>
        <v>7700</v>
      </c>
      <c r="P1312" s="71">
        <f t="shared" ref="P1312:P1325" si="300">M1312</f>
        <v>7700</v>
      </c>
    </row>
    <row r="1313" spans="1:16" s="58" customFormat="1" ht="21" customHeight="1">
      <c r="A1313" s="10">
        <f t="shared" ref="A1313:A1325" si="301">+A1312+1</f>
        <v>27</v>
      </c>
      <c r="B1313" s="37" t="s">
        <v>643</v>
      </c>
      <c r="C1313" s="38" t="s">
        <v>613</v>
      </c>
      <c r="D1313" s="39"/>
      <c r="E1313" s="40">
        <v>11500</v>
      </c>
      <c r="F1313" s="40">
        <v>11500</v>
      </c>
      <c r="G1313" s="127"/>
      <c r="H1313" s="127"/>
      <c r="I1313" s="127"/>
      <c r="J1313" s="127"/>
      <c r="K1313" s="25" t="str">
        <f t="shared" si="296"/>
        <v>đ/mét</v>
      </c>
      <c r="L1313" s="120"/>
      <c r="M1313" s="123">
        <f t="shared" si="297"/>
        <v>11500</v>
      </c>
      <c r="N1313" s="123">
        <f t="shared" si="298"/>
        <v>11500</v>
      </c>
      <c r="O1313" s="71">
        <f t="shared" si="299"/>
        <v>11500</v>
      </c>
      <c r="P1313" s="71">
        <f t="shared" si="300"/>
        <v>11500</v>
      </c>
    </row>
    <row r="1314" spans="1:16" s="58" customFormat="1" ht="21" customHeight="1">
      <c r="A1314" s="10">
        <f t="shared" si="301"/>
        <v>28</v>
      </c>
      <c r="B1314" s="37" t="s">
        <v>644</v>
      </c>
      <c r="C1314" s="38" t="s">
        <v>613</v>
      </c>
      <c r="D1314" s="39"/>
      <c r="E1314" s="40">
        <v>18700</v>
      </c>
      <c r="F1314" s="40">
        <v>18700</v>
      </c>
      <c r="G1314" s="127"/>
      <c r="H1314" s="127"/>
      <c r="I1314" s="127"/>
      <c r="J1314" s="127"/>
      <c r="K1314" s="25" t="str">
        <f t="shared" si="296"/>
        <v>đ/mét</v>
      </c>
      <c r="L1314" s="120"/>
      <c r="M1314" s="123">
        <f t="shared" si="297"/>
        <v>18700</v>
      </c>
      <c r="N1314" s="123">
        <f t="shared" si="298"/>
        <v>18700</v>
      </c>
      <c r="O1314" s="71">
        <f t="shared" si="299"/>
        <v>18700</v>
      </c>
      <c r="P1314" s="71">
        <f t="shared" si="300"/>
        <v>18700</v>
      </c>
    </row>
    <row r="1315" spans="1:16" s="58" customFormat="1" ht="21" customHeight="1">
      <c r="A1315" s="10">
        <f t="shared" si="301"/>
        <v>29</v>
      </c>
      <c r="B1315" s="37" t="s">
        <v>645</v>
      </c>
      <c r="C1315" s="38" t="s">
        <v>613</v>
      </c>
      <c r="D1315" s="39"/>
      <c r="E1315" s="40">
        <v>28900</v>
      </c>
      <c r="F1315" s="40">
        <v>28900</v>
      </c>
      <c r="G1315" s="127"/>
      <c r="H1315" s="127"/>
      <c r="I1315" s="127"/>
      <c r="J1315" s="127"/>
      <c r="K1315" s="25" t="str">
        <f t="shared" si="296"/>
        <v>đ/mét</v>
      </c>
      <c r="L1315" s="120"/>
      <c r="M1315" s="123">
        <f t="shared" si="297"/>
        <v>28900</v>
      </c>
      <c r="N1315" s="123">
        <f t="shared" si="298"/>
        <v>28900</v>
      </c>
      <c r="O1315" s="71">
        <f t="shared" si="299"/>
        <v>28900</v>
      </c>
      <c r="P1315" s="71">
        <f t="shared" si="300"/>
        <v>28900</v>
      </c>
    </row>
    <row r="1316" spans="1:16" s="58" customFormat="1" ht="21" customHeight="1">
      <c r="A1316" s="10">
        <f t="shared" si="301"/>
        <v>30</v>
      </c>
      <c r="B1316" s="37" t="s">
        <v>646</v>
      </c>
      <c r="C1316" s="38" t="s">
        <v>613</v>
      </c>
      <c r="D1316" s="39"/>
      <c r="E1316" s="40">
        <v>37000</v>
      </c>
      <c r="F1316" s="40">
        <v>37000</v>
      </c>
      <c r="G1316" s="127"/>
      <c r="H1316" s="127"/>
      <c r="I1316" s="127"/>
      <c r="J1316" s="127"/>
      <c r="K1316" s="25" t="str">
        <f t="shared" si="296"/>
        <v>đ/mét</v>
      </c>
      <c r="L1316" s="120"/>
      <c r="M1316" s="123">
        <f t="shared" si="297"/>
        <v>37000</v>
      </c>
      <c r="N1316" s="123">
        <f t="shared" si="298"/>
        <v>37000</v>
      </c>
      <c r="O1316" s="71">
        <f t="shared" si="299"/>
        <v>37000</v>
      </c>
      <c r="P1316" s="71">
        <f t="shared" si="300"/>
        <v>37000</v>
      </c>
    </row>
    <row r="1317" spans="1:16" s="58" customFormat="1" ht="21" customHeight="1">
      <c r="A1317" s="10">
        <f t="shared" si="301"/>
        <v>31</v>
      </c>
      <c r="B1317" s="37" t="s">
        <v>647</v>
      </c>
      <c r="C1317" s="38" t="s">
        <v>613</v>
      </c>
      <c r="D1317" s="39"/>
      <c r="E1317" s="40">
        <v>58900</v>
      </c>
      <c r="F1317" s="40">
        <v>58900</v>
      </c>
      <c r="G1317" s="127"/>
      <c r="H1317" s="127"/>
      <c r="I1317" s="127"/>
      <c r="J1317" s="127"/>
      <c r="K1317" s="25" t="str">
        <f t="shared" si="296"/>
        <v>đ/mét</v>
      </c>
      <c r="L1317" s="120"/>
      <c r="M1317" s="123">
        <f t="shared" si="297"/>
        <v>58900</v>
      </c>
      <c r="N1317" s="123">
        <f t="shared" si="298"/>
        <v>58900</v>
      </c>
      <c r="O1317" s="71">
        <f t="shared" si="299"/>
        <v>58900</v>
      </c>
      <c r="P1317" s="71">
        <f t="shared" si="300"/>
        <v>58900</v>
      </c>
    </row>
    <row r="1318" spans="1:16" s="58" customFormat="1" ht="21" customHeight="1">
      <c r="A1318" s="10">
        <f t="shared" si="301"/>
        <v>32</v>
      </c>
      <c r="B1318" s="37" t="s">
        <v>648</v>
      </c>
      <c r="C1318" s="38" t="s">
        <v>613</v>
      </c>
      <c r="D1318" s="39"/>
      <c r="E1318" s="40">
        <v>83400</v>
      </c>
      <c r="F1318" s="40">
        <v>83400</v>
      </c>
      <c r="G1318" s="127"/>
      <c r="H1318" s="127"/>
      <c r="I1318" s="127"/>
      <c r="J1318" s="127"/>
      <c r="K1318" s="25" t="str">
        <f t="shared" si="296"/>
        <v>đ/mét</v>
      </c>
      <c r="L1318" s="120"/>
      <c r="M1318" s="123">
        <f t="shared" si="297"/>
        <v>83400</v>
      </c>
      <c r="N1318" s="123">
        <f t="shared" si="298"/>
        <v>83400</v>
      </c>
      <c r="O1318" s="71">
        <f t="shared" si="299"/>
        <v>83400</v>
      </c>
      <c r="P1318" s="71">
        <f t="shared" si="300"/>
        <v>83400</v>
      </c>
    </row>
    <row r="1319" spans="1:16" s="58" customFormat="1" ht="21" customHeight="1">
      <c r="A1319" s="10">
        <f t="shared" si="301"/>
        <v>33</v>
      </c>
      <c r="B1319" s="37" t="s">
        <v>649</v>
      </c>
      <c r="C1319" s="38" t="s">
        <v>613</v>
      </c>
      <c r="D1319" s="39"/>
      <c r="E1319" s="40">
        <v>98400</v>
      </c>
      <c r="F1319" s="40">
        <v>98400</v>
      </c>
      <c r="G1319" s="127"/>
      <c r="H1319" s="127"/>
      <c r="I1319" s="127"/>
      <c r="J1319" s="127"/>
      <c r="K1319" s="25" t="str">
        <f t="shared" si="296"/>
        <v>đ/mét</v>
      </c>
      <c r="L1319" s="120"/>
      <c r="M1319" s="123">
        <f t="shared" si="297"/>
        <v>98400</v>
      </c>
      <c r="N1319" s="123">
        <f t="shared" si="298"/>
        <v>98400</v>
      </c>
      <c r="O1319" s="71">
        <f t="shared" si="299"/>
        <v>98400</v>
      </c>
      <c r="P1319" s="71">
        <f t="shared" si="300"/>
        <v>98400</v>
      </c>
    </row>
    <row r="1320" spans="1:16" s="58" customFormat="1" ht="21" customHeight="1">
      <c r="A1320" s="10">
        <f t="shared" si="301"/>
        <v>34</v>
      </c>
      <c r="B1320" s="37" t="s">
        <v>650</v>
      </c>
      <c r="C1320" s="38" t="s">
        <v>613</v>
      </c>
      <c r="D1320" s="39"/>
      <c r="E1320" s="40">
        <v>146400</v>
      </c>
      <c r="F1320" s="40">
        <v>146400</v>
      </c>
      <c r="G1320" s="127"/>
      <c r="H1320" s="127"/>
      <c r="I1320" s="127"/>
      <c r="J1320" s="127"/>
      <c r="K1320" s="25" t="str">
        <f t="shared" si="296"/>
        <v>đ/mét</v>
      </c>
      <c r="L1320" s="120"/>
      <c r="M1320" s="123">
        <f t="shared" si="297"/>
        <v>146400</v>
      </c>
      <c r="N1320" s="123">
        <f t="shared" si="298"/>
        <v>146400</v>
      </c>
      <c r="O1320" s="71">
        <f t="shared" si="299"/>
        <v>146400</v>
      </c>
      <c r="P1320" s="71">
        <f t="shared" si="300"/>
        <v>146400</v>
      </c>
    </row>
    <row r="1321" spans="1:16" s="58" customFormat="1" ht="21" customHeight="1">
      <c r="A1321" s="10">
        <f t="shared" si="301"/>
        <v>35</v>
      </c>
      <c r="B1321" s="37" t="s">
        <v>651</v>
      </c>
      <c r="C1321" s="38" t="s">
        <v>613</v>
      </c>
      <c r="D1321" s="39"/>
      <c r="E1321" s="40">
        <v>186800</v>
      </c>
      <c r="F1321" s="40">
        <v>186800</v>
      </c>
      <c r="G1321" s="127"/>
      <c r="H1321" s="127"/>
      <c r="I1321" s="127"/>
      <c r="J1321" s="127"/>
      <c r="K1321" s="25" t="str">
        <f t="shared" si="296"/>
        <v>đ/mét</v>
      </c>
      <c r="L1321" s="120"/>
      <c r="M1321" s="123">
        <f t="shared" si="297"/>
        <v>186800</v>
      </c>
      <c r="N1321" s="123">
        <f t="shared" si="298"/>
        <v>186800</v>
      </c>
      <c r="O1321" s="71">
        <f t="shared" si="299"/>
        <v>186800</v>
      </c>
      <c r="P1321" s="71">
        <f t="shared" si="300"/>
        <v>186800</v>
      </c>
    </row>
    <row r="1322" spans="1:16" s="58" customFormat="1" ht="21" customHeight="1">
      <c r="A1322" s="10">
        <f t="shared" si="301"/>
        <v>36</v>
      </c>
      <c r="B1322" s="37" t="s">
        <v>652</v>
      </c>
      <c r="C1322" s="38" t="s">
        <v>613</v>
      </c>
      <c r="D1322" s="39"/>
      <c r="E1322" s="40">
        <v>234500</v>
      </c>
      <c r="F1322" s="40">
        <v>234500</v>
      </c>
      <c r="G1322" s="127"/>
      <c r="H1322" s="127"/>
      <c r="I1322" s="127"/>
      <c r="J1322" s="127"/>
      <c r="K1322" s="25" t="str">
        <f t="shared" si="296"/>
        <v>đ/mét</v>
      </c>
      <c r="L1322" s="120"/>
      <c r="M1322" s="123">
        <f t="shared" si="297"/>
        <v>234500</v>
      </c>
      <c r="N1322" s="123">
        <f t="shared" si="298"/>
        <v>234500</v>
      </c>
      <c r="O1322" s="71">
        <f t="shared" si="299"/>
        <v>234500</v>
      </c>
      <c r="P1322" s="71">
        <f t="shared" si="300"/>
        <v>234500</v>
      </c>
    </row>
    <row r="1323" spans="1:16" s="58" customFormat="1" ht="21" customHeight="1">
      <c r="A1323" s="10">
        <f t="shared" si="301"/>
        <v>37</v>
      </c>
      <c r="B1323" s="37" t="s">
        <v>653</v>
      </c>
      <c r="C1323" s="38" t="s">
        <v>613</v>
      </c>
      <c r="D1323" s="39"/>
      <c r="E1323" s="40">
        <v>306000</v>
      </c>
      <c r="F1323" s="40">
        <v>306000</v>
      </c>
      <c r="G1323" s="127"/>
      <c r="H1323" s="127"/>
      <c r="I1323" s="127"/>
      <c r="J1323" s="127"/>
      <c r="K1323" s="25" t="str">
        <f t="shared" si="296"/>
        <v>đ/mét</v>
      </c>
      <c r="L1323" s="120"/>
      <c r="M1323" s="123">
        <f t="shared" si="297"/>
        <v>306000</v>
      </c>
      <c r="N1323" s="123">
        <f t="shared" si="298"/>
        <v>306000</v>
      </c>
      <c r="O1323" s="71">
        <f t="shared" si="299"/>
        <v>306000</v>
      </c>
      <c r="P1323" s="71">
        <f t="shared" si="300"/>
        <v>306000</v>
      </c>
    </row>
    <row r="1324" spans="1:16" s="58" customFormat="1" ht="21" customHeight="1">
      <c r="A1324" s="10">
        <f t="shared" si="301"/>
        <v>38</v>
      </c>
      <c r="B1324" s="37" t="s">
        <v>654</v>
      </c>
      <c r="C1324" s="38" t="s">
        <v>613</v>
      </c>
      <c r="D1324" s="39"/>
      <c r="E1324" s="40">
        <v>387100</v>
      </c>
      <c r="F1324" s="40">
        <v>387100</v>
      </c>
      <c r="G1324" s="127"/>
      <c r="H1324" s="127"/>
      <c r="I1324" s="127"/>
      <c r="J1324" s="127"/>
      <c r="K1324" s="25" t="str">
        <f t="shared" si="296"/>
        <v>đ/mét</v>
      </c>
      <c r="L1324" s="120"/>
      <c r="M1324" s="123">
        <f t="shared" si="297"/>
        <v>387100</v>
      </c>
      <c r="N1324" s="123">
        <f t="shared" si="298"/>
        <v>387100</v>
      </c>
      <c r="O1324" s="71">
        <f t="shared" si="299"/>
        <v>387100</v>
      </c>
      <c r="P1324" s="71">
        <f t="shared" si="300"/>
        <v>387100</v>
      </c>
    </row>
    <row r="1325" spans="1:16" s="58" customFormat="1" ht="21" customHeight="1">
      <c r="A1325" s="10">
        <f t="shared" si="301"/>
        <v>39</v>
      </c>
      <c r="B1325" s="37" t="s">
        <v>655</v>
      </c>
      <c r="C1325" s="38" t="s">
        <v>613</v>
      </c>
      <c r="D1325" s="39"/>
      <c r="E1325" s="40">
        <v>477600</v>
      </c>
      <c r="F1325" s="40">
        <v>477600</v>
      </c>
      <c r="G1325" s="127"/>
      <c r="H1325" s="127"/>
      <c r="I1325" s="127"/>
      <c r="J1325" s="127"/>
      <c r="K1325" s="25" t="str">
        <f t="shared" si="296"/>
        <v>đ/mét</v>
      </c>
      <c r="L1325" s="120"/>
      <c r="M1325" s="123">
        <f t="shared" si="297"/>
        <v>477600</v>
      </c>
      <c r="N1325" s="123">
        <f t="shared" si="298"/>
        <v>477600</v>
      </c>
      <c r="O1325" s="71">
        <f t="shared" si="299"/>
        <v>477600</v>
      </c>
      <c r="P1325" s="71">
        <f t="shared" si="300"/>
        <v>477600</v>
      </c>
    </row>
    <row r="1326" spans="1:16" s="58" customFormat="1" ht="17.25">
      <c r="A1326" s="10"/>
      <c r="B1326" s="240" t="s">
        <v>1092</v>
      </c>
      <c r="C1326" s="241"/>
      <c r="D1326" s="241"/>
      <c r="E1326" s="241"/>
      <c r="F1326" s="241"/>
      <c r="G1326" s="241"/>
      <c r="H1326" s="241"/>
      <c r="I1326" s="241"/>
      <c r="J1326" s="241"/>
      <c r="K1326" s="241"/>
      <c r="L1326" s="241"/>
      <c r="M1326" s="241"/>
      <c r="N1326" s="242"/>
      <c r="O1326" s="69"/>
      <c r="P1326" s="69"/>
    </row>
    <row r="1327" spans="1:16" s="58" customFormat="1" ht="17.25">
      <c r="A1327" s="10"/>
      <c r="B1327" s="9" t="s">
        <v>656</v>
      </c>
      <c r="C1327" s="15"/>
      <c r="D1327" s="20"/>
      <c r="E1327" s="20"/>
      <c r="F1327" s="20"/>
      <c r="G1327" s="127"/>
      <c r="H1327" s="127"/>
      <c r="I1327" s="127"/>
      <c r="J1327" s="127"/>
      <c r="K1327" s="116"/>
      <c r="L1327" s="120"/>
      <c r="M1327" s="120"/>
      <c r="N1327" s="120"/>
      <c r="O1327" s="69"/>
      <c r="P1327" s="69"/>
    </row>
    <row r="1328" spans="1:16" s="58" customFormat="1" ht="20.100000000000001" customHeight="1">
      <c r="A1328" s="10">
        <v>1</v>
      </c>
      <c r="B1328" s="37" t="s">
        <v>612</v>
      </c>
      <c r="C1328" s="38" t="s">
        <v>613</v>
      </c>
      <c r="D1328" s="41"/>
      <c r="E1328" s="40">
        <v>6150</v>
      </c>
      <c r="F1328" s="13">
        <f t="shared" ref="F1328:F1340" si="302">E1328</f>
        <v>6150</v>
      </c>
      <c r="G1328" s="127"/>
      <c r="H1328" s="127"/>
      <c r="I1328" s="127"/>
      <c r="J1328" s="127"/>
      <c r="K1328" s="25" t="str">
        <f t="shared" ref="K1328:K1340" si="303">C1328</f>
        <v>đ/mét</v>
      </c>
      <c r="L1328" s="120"/>
      <c r="M1328" s="123">
        <f t="shared" ref="M1328:M1340" si="304">E1328</f>
        <v>6150</v>
      </c>
      <c r="N1328" s="123">
        <f t="shared" ref="N1328:N1340" si="305">F1328</f>
        <v>6150</v>
      </c>
      <c r="O1328" s="71">
        <f t="shared" ref="O1328:O1340" si="306">E1328</f>
        <v>6150</v>
      </c>
      <c r="P1328" s="71">
        <f t="shared" ref="P1328:P1340" si="307">M1328</f>
        <v>6150</v>
      </c>
    </row>
    <row r="1329" spans="1:16" s="58" customFormat="1" ht="20.100000000000001" customHeight="1">
      <c r="A1329" s="10">
        <f t="shared" ref="A1329:A1340" si="308">+A1328+1</f>
        <v>2</v>
      </c>
      <c r="B1329" s="37" t="s">
        <v>615</v>
      </c>
      <c r="C1329" s="38" t="s">
        <v>613</v>
      </c>
      <c r="D1329" s="41"/>
      <c r="E1329" s="40">
        <v>8750</v>
      </c>
      <c r="F1329" s="13">
        <f t="shared" si="302"/>
        <v>8750</v>
      </c>
      <c r="G1329" s="127"/>
      <c r="H1329" s="127"/>
      <c r="I1329" s="127"/>
      <c r="J1329" s="127"/>
      <c r="K1329" s="25" t="str">
        <f t="shared" si="303"/>
        <v>đ/mét</v>
      </c>
      <c r="L1329" s="120"/>
      <c r="M1329" s="123">
        <f t="shared" si="304"/>
        <v>8750</v>
      </c>
      <c r="N1329" s="123">
        <f t="shared" si="305"/>
        <v>8750</v>
      </c>
      <c r="O1329" s="71">
        <f t="shared" si="306"/>
        <v>8750</v>
      </c>
      <c r="P1329" s="71">
        <f t="shared" si="307"/>
        <v>8750</v>
      </c>
    </row>
    <row r="1330" spans="1:16" s="58" customFormat="1" ht="20.100000000000001" customHeight="1">
      <c r="A1330" s="10">
        <f t="shared" si="308"/>
        <v>3</v>
      </c>
      <c r="B1330" s="37" t="s">
        <v>657</v>
      </c>
      <c r="C1330" s="38" t="s">
        <v>613</v>
      </c>
      <c r="D1330" s="41"/>
      <c r="E1330" s="40">
        <v>12200</v>
      </c>
      <c r="F1330" s="13">
        <f t="shared" si="302"/>
        <v>12200</v>
      </c>
      <c r="G1330" s="127"/>
      <c r="H1330" s="127"/>
      <c r="I1330" s="127"/>
      <c r="J1330" s="127"/>
      <c r="K1330" s="25" t="str">
        <f t="shared" si="303"/>
        <v>đ/mét</v>
      </c>
      <c r="L1330" s="120"/>
      <c r="M1330" s="123">
        <f t="shared" si="304"/>
        <v>12200</v>
      </c>
      <c r="N1330" s="123">
        <f t="shared" si="305"/>
        <v>12200</v>
      </c>
      <c r="O1330" s="71">
        <f t="shared" si="306"/>
        <v>12200</v>
      </c>
      <c r="P1330" s="71">
        <f t="shared" si="307"/>
        <v>12200</v>
      </c>
    </row>
    <row r="1331" spans="1:16" s="58" customFormat="1" ht="20.100000000000001" customHeight="1">
      <c r="A1331" s="10">
        <f t="shared" si="308"/>
        <v>4</v>
      </c>
      <c r="B1331" s="37" t="s">
        <v>617</v>
      </c>
      <c r="C1331" s="38" t="s">
        <v>613</v>
      </c>
      <c r="D1331" s="41"/>
      <c r="E1331" s="40">
        <v>16300</v>
      </c>
      <c r="F1331" s="13">
        <f t="shared" si="302"/>
        <v>16300</v>
      </c>
      <c r="G1331" s="127"/>
      <c r="H1331" s="127"/>
      <c r="I1331" s="127"/>
      <c r="J1331" s="127"/>
      <c r="K1331" s="25" t="str">
        <f t="shared" si="303"/>
        <v>đ/mét</v>
      </c>
      <c r="L1331" s="120"/>
      <c r="M1331" s="123">
        <f t="shared" si="304"/>
        <v>16300</v>
      </c>
      <c r="N1331" s="123">
        <f t="shared" si="305"/>
        <v>16300</v>
      </c>
      <c r="O1331" s="71">
        <f t="shared" si="306"/>
        <v>16300</v>
      </c>
      <c r="P1331" s="71">
        <f t="shared" si="307"/>
        <v>16300</v>
      </c>
    </row>
    <row r="1332" spans="1:16" s="58" customFormat="1" ht="20.100000000000001" customHeight="1">
      <c r="A1332" s="10">
        <f t="shared" si="308"/>
        <v>5</v>
      </c>
      <c r="B1332" s="37" t="s">
        <v>619</v>
      </c>
      <c r="C1332" s="38" t="s">
        <v>613</v>
      </c>
      <c r="D1332" s="41"/>
      <c r="E1332" s="40">
        <v>21300</v>
      </c>
      <c r="F1332" s="13">
        <f t="shared" si="302"/>
        <v>21300</v>
      </c>
      <c r="G1332" s="127"/>
      <c r="H1332" s="127"/>
      <c r="I1332" s="127"/>
      <c r="J1332" s="127"/>
      <c r="K1332" s="25" t="str">
        <f t="shared" si="303"/>
        <v>đ/mét</v>
      </c>
      <c r="L1332" s="120"/>
      <c r="M1332" s="123">
        <f t="shared" si="304"/>
        <v>21300</v>
      </c>
      <c r="N1332" s="123">
        <f t="shared" si="305"/>
        <v>21300</v>
      </c>
      <c r="O1332" s="71">
        <f t="shared" si="306"/>
        <v>21300</v>
      </c>
      <c r="P1332" s="71">
        <f t="shared" si="307"/>
        <v>21300</v>
      </c>
    </row>
    <row r="1333" spans="1:16" s="58" customFormat="1" ht="20.100000000000001" customHeight="1">
      <c r="A1333" s="10">
        <f t="shared" si="308"/>
        <v>6</v>
      </c>
      <c r="B1333" s="37" t="s">
        <v>658</v>
      </c>
      <c r="C1333" s="38" t="s">
        <v>613</v>
      </c>
      <c r="D1333" s="41"/>
      <c r="E1333" s="40">
        <v>22500</v>
      </c>
      <c r="F1333" s="13">
        <f t="shared" si="302"/>
        <v>22500</v>
      </c>
      <c r="G1333" s="127"/>
      <c r="H1333" s="127"/>
      <c r="I1333" s="127"/>
      <c r="J1333" s="127"/>
      <c r="K1333" s="25" t="str">
        <f t="shared" si="303"/>
        <v>đ/mét</v>
      </c>
      <c r="L1333" s="120"/>
      <c r="M1333" s="123">
        <f t="shared" si="304"/>
        <v>22500</v>
      </c>
      <c r="N1333" s="123">
        <f t="shared" si="305"/>
        <v>22500</v>
      </c>
      <c r="O1333" s="71">
        <f t="shared" si="306"/>
        <v>22500</v>
      </c>
      <c r="P1333" s="71">
        <f t="shared" si="307"/>
        <v>22500</v>
      </c>
    </row>
    <row r="1334" spans="1:16" s="58" customFormat="1" ht="20.100000000000001" customHeight="1">
      <c r="A1334" s="10">
        <f t="shared" si="308"/>
        <v>7</v>
      </c>
      <c r="B1334" s="37" t="s">
        <v>659</v>
      </c>
      <c r="C1334" s="38" t="s">
        <v>613</v>
      </c>
      <c r="D1334" s="41"/>
      <c r="E1334" s="40">
        <v>48600</v>
      </c>
      <c r="F1334" s="13">
        <f t="shared" si="302"/>
        <v>48600</v>
      </c>
      <c r="G1334" s="127"/>
      <c r="H1334" s="127"/>
      <c r="I1334" s="127"/>
      <c r="J1334" s="127"/>
      <c r="K1334" s="25" t="str">
        <f t="shared" si="303"/>
        <v>đ/mét</v>
      </c>
      <c r="L1334" s="120"/>
      <c r="M1334" s="123">
        <f t="shared" si="304"/>
        <v>48600</v>
      </c>
      <c r="N1334" s="123">
        <f t="shared" si="305"/>
        <v>48600</v>
      </c>
      <c r="O1334" s="71">
        <f t="shared" si="306"/>
        <v>48600</v>
      </c>
      <c r="P1334" s="71">
        <f t="shared" si="307"/>
        <v>48600</v>
      </c>
    </row>
    <row r="1335" spans="1:16" s="58" customFormat="1" ht="20.100000000000001" customHeight="1">
      <c r="A1335" s="10">
        <f t="shared" si="308"/>
        <v>8</v>
      </c>
      <c r="B1335" s="37" t="s">
        <v>624</v>
      </c>
      <c r="C1335" s="38" t="s">
        <v>613</v>
      </c>
      <c r="D1335" s="41"/>
      <c r="E1335" s="40">
        <v>68400</v>
      </c>
      <c r="F1335" s="13">
        <f t="shared" si="302"/>
        <v>68400</v>
      </c>
      <c r="G1335" s="127"/>
      <c r="H1335" s="127"/>
      <c r="I1335" s="127"/>
      <c r="J1335" s="127"/>
      <c r="K1335" s="25" t="str">
        <f t="shared" si="303"/>
        <v>đ/mét</v>
      </c>
      <c r="L1335" s="120"/>
      <c r="M1335" s="123">
        <f t="shared" si="304"/>
        <v>68400</v>
      </c>
      <c r="N1335" s="123">
        <f t="shared" si="305"/>
        <v>68400</v>
      </c>
      <c r="O1335" s="71">
        <f t="shared" si="306"/>
        <v>68400</v>
      </c>
      <c r="P1335" s="71">
        <f t="shared" si="307"/>
        <v>68400</v>
      </c>
    </row>
    <row r="1336" spans="1:16" s="58" customFormat="1" ht="20.100000000000001" customHeight="1">
      <c r="A1336" s="10">
        <f t="shared" si="308"/>
        <v>9</v>
      </c>
      <c r="B1336" s="37" t="s">
        <v>660</v>
      </c>
      <c r="C1336" s="38" t="s">
        <v>613</v>
      </c>
      <c r="D1336" s="41"/>
      <c r="E1336" s="40">
        <v>103100</v>
      </c>
      <c r="F1336" s="13">
        <f t="shared" si="302"/>
        <v>103100</v>
      </c>
      <c r="G1336" s="127"/>
      <c r="H1336" s="127"/>
      <c r="I1336" s="127"/>
      <c r="J1336" s="127"/>
      <c r="K1336" s="25" t="str">
        <f t="shared" si="303"/>
        <v>đ/mét</v>
      </c>
      <c r="L1336" s="120"/>
      <c r="M1336" s="123">
        <f t="shared" si="304"/>
        <v>103100</v>
      </c>
      <c r="N1336" s="123">
        <f t="shared" si="305"/>
        <v>103100</v>
      </c>
      <c r="O1336" s="71">
        <f t="shared" si="306"/>
        <v>103100</v>
      </c>
      <c r="P1336" s="71">
        <f t="shared" si="307"/>
        <v>103100</v>
      </c>
    </row>
    <row r="1337" spans="1:16" s="58" customFormat="1" ht="20.100000000000001" customHeight="1">
      <c r="A1337" s="10">
        <f t="shared" si="308"/>
        <v>10</v>
      </c>
      <c r="B1337" s="37" t="s">
        <v>661</v>
      </c>
      <c r="C1337" s="38" t="s">
        <v>613</v>
      </c>
      <c r="D1337" s="41"/>
      <c r="E1337" s="40">
        <v>134900</v>
      </c>
      <c r="F1337" s="13">
        <f t="shared" si="302"/>
        <v>134900</v>
      </c>
      <c r="G1337" s="127"/>
      <c r="H1337" s="127"/>
      <c r="I1337" s="127"/>
      <c r="J1337" s="127"/>
      <c r="K1337" s="25" t="str">
        <f t="shared" si="303"/>
        <v>đ/mét</v>
      </c>
      <c r="L1337" s="120"/>
      <c r="M1337" s="123">
        <f t="shared" si="304"/>
        <v>134900</v>
      </c>
      <c r="N1337" s="123">
        <f t="shared" si="305"/>
        <v>134900</v>
      </c>
      <c r="O1337" s="71">
        <f t="shared" si="306"/>
        <v>134900</v>
      </c>
      <c r="P1337" s="71">
        <f t="shared" si="307"/>
        <v>134900</v>
      </c>
    </row>
    <row r="1338" spans="1:16" s="58" customFormat="1" ht="20.100000000000001" customHeight="1">
      <c r="A1338" s="10">
        <f t="shared" si="308"/>
        <v>11</v>
      </c>
      <c r="B1338" s="37" t="s">
        <v>662</v>
      </c>
      <c r="C1338" s="38" t="s">
        <v>613</v>
      </c>
      <c r="D1338" s="41"/>
      <c r="E1338" s="40">
        <v>225600</v>
      </c>
      <c r="F1338" s="13">
        <f t="shared" si="302"/>
        <v>225600</v>
      </c>
      <c r="G1338" s="127"/>
      <c r="H1338" s="127"/>
      <c r="I1338" s="127"/>
      <c r="J1338" s="127"/>
      <c r="K1338" s="25" t="str">
        <f t="shared" si="303"/>
        <v>đ/mét</v>
      </c>
      <c r="L1338" s="120"/>
      <c r="M1338" s="123">
        <f t="shared" si="304"/>
        <v>225600</v>
      </c>
      <c r="N1338" s="123">
        <f t="shared" si="305"/>
        <v>225600</v>
      </c>
      <c r="O1338" s="71">
        <f t="shared" si="306"/>
        <v>225600</v>
      </c>
      <c r="P1338" s="71">
        <f t="shared" si="307"/>
        <v>225600</v>
      </c>
    </row>
    <row r="1339" spans="1:16" s="58" customFormat="1" ht="20.100000000000001" customHeight="1">
      <c r="A1339" s="10">
        <f t="shared" si="308"/>
        <v>12</v>
      </c>
      <c r="B1339" s="37" t="s">
        <v>663</v>
      </c>
      <c r="C1339" s="38" t="s">
        <v>613</v>
      </c>
      <c r="D1339" s="41"/>
      <c r="E1339" s="40">
        <v>208900</v>
      </c>
      <c r="F1339" s="13">
        <f t="shared" si="302"/>
        <v>208900</v>
      </c>
      <c r="G1339" s="127"/>
      <c r="H1339" s="127"/>
      <c r="I1339" s="127"/>
      <c r="J1339" s="127"/>
      <c r="K1339" s="25" t="str">
        <f t="shared" si="303"/>
        <v>đ/mét</v>
      </c>
      <c r="L1339" s="120"/>
      <c r="M1339" s="123">
        <f t="shared" si="304"/>
        <v>208900</v>
      </c>
      <c r="N1339" s="123">
        <f t="shared" si="305"/>
        <v>208900</v>
      </c>
      <c r="O1339" s="71">
        <f t="shared" si="306"/>
        <v>208900</v>
      </c>
      <c r="P1339" s="71">
        <f t="shared" si="307"/>
        <v>208900</v>
      </c>
    </row>
    <row r="1340" spans="1:16" s="58" customFormat="1" ht="20.100000000000001" customHeight="1">
      <c r="A1340" s="10">
        <f t="shared" si="308"/>
        <v>13</v>
      </c>
      <c r="B1340" s="37" t="s">
        <v>664</v>
      </c>
      <c r="C1340" s="38" t="s">
        <v>613</v>
      </c>
      <c r="D1340" s="41"/>
      <c r="E1340" s="40">
        <v>350500</v>
      </c>
      <c r="F1340" s="13">
        <f t="shared" si="302"/>
        <v>350500</v>
      </c>
      <c r="G1340" s="127"/>
      <c r="H1340" s="127"/>
      <c r="I1340" s="127"/>
      <c r="J1340" s="127"/>
      <c r="K1340" s="25" t="str">
        <f t="shared" si="303"/>
        <v>đ/mét</v>
      </c>
      <c r="L1340" s="120"/>
      <c r="M1340" s="123">
        <f t="shared" si="304"/>
        <v>350500</v>
      </c>
      <c r="N1340" s="123">
        <f t="shared" si="305"/>
        <v>350500</v>
      </c>
      <c r="O1340" s="71">
        <f t="shared" si="306"/>
        <v>350500</v>
      </c>
      <c r="P1340" s="71">
        <f t="shared" si="307"/>
        <v>350500</v>
      </c>
    </row>
    <row r="1341" spans="1:16" s="58" customFormat="1" ht="20.100000000000001" customHeight="1">
      <c r="A1341" s="10"/>
      <c r="B1341" s="9" t="s">
        <v>1093</v>
      </c>
      <c r="C1341" s="15"/>
      <c r="D1341" s="20"/>
      <c r="E1341" s="13"/>
      <c r="F1341" s="13"/>
      <c r="G1341" s="127"/>
      <c r="H1341" s="127"/>
      <c r="I1341" s="127"/>
      <c r="J1341" s="127"/>
      <c r="K1341" s="116"/>
      <c r="L1341" s="120"/>
      <c r="M1341" s="120"/>
      <c r="N1341" s="120"/>
      <c r="O1341" s="69"/>
      <c r="P1341" s="69"/>
    </row>
    <row r="1342" spans="1:16" s="58" customFormat="1" ht="20.100000000000001" customHeight="1">
      <c r="A1342" s="10">
        <f>+A1340+1</f>
        <v>14</v>
      </c>
      <c r="B1342" s="11" t="s">
        <v>1168</v>
      </c>
      <c r="C1342" s="10" t="s">
        <v>84</v>
      </c>
      <c r="D1342" s="41"/>
      <c r="E1342" s="40">
        <v>1500</v>
      </c>
      <c r="F1342" s="13">
        <f t="shared" ref="F1342:F1363" si="309">E1342</f>
        <v>1500</v>
      </c>
      <c r="G1342" s="127"/>
      <c r="H1342" s="127"/>
      <c r="I1342" s="127"/>
      <c r="J1342" s="127"/>
      <c r="K1342" s="25" t="str">
        <f t="shared" ref="K1342:K1363" si="310">C1342</f>
        <v>đ/cái</v>
      </c>
      <c r="L1342" s="120"/>
      <c r="M1342" s="123">
        <f t="shared" ref="M1342:M1363" si="311">E1342</f>
        <v>1500</v>
      </c>
      <c r="N1342" s="123">
        <f t="shared" ref="N1342:N1363" si="312">F1342</f>
        <v>1500</v>
      </c>
      <c r="O1342" s="71">
        <f t="shared" ref="O1342:O1363" si="313">E1342</f>
        <v>1500</v>
      </c>
      <c r="P1342" s="71">
        <f t="shared" ref="P1342:P1363" si="314">M1342</f>
        <v>1500</v>
      </c>
    </row>
    <row r="1343" spans="1:16" s="58" customFormat="1" ht="20.100000000000001" customHeight="1">
      <c r="A1343" s="10">
        <f t="shared" ref="A1343:A1363" si="315">+A1342+1</f>
        <v>15</v>
      </c>
      <c r="B1343" s="11" t="s">
        <v>1169</v>
      </c>
      <c r="C1343" s="10" t="s">
        <v>84</v>
      </c>
      <c r="D1343" s="41"/>
      <c r="E1343" s="40">
        <v>2000</v>
      </c>
      <c r="F1343" s="13">
        <f t="shared" si="309"/>
        <v>2000</v>
      </c>
      <c r="G1343" s="127"/>
      <c r="H1343" s="127"/>
      <c r="I1343" s="127"/>
      <c r="J1343" s="127"/>
      <c r="K1343" s="25" t="str">
        <f t="shared" si="310"/>
        <v>đ/cái</v>
      </c>
      <c r="L1343" s="120"/>
      <c r="M1343" s="123">
        <f t="shared" si="311"/>
        <v>2000</v>
      </c>
      <c r="N1343" s="123">
        <f t="shared" si="312"/>
        <v>2000</v>
      </c>
      <c r="O1343" s="71">
        <f t="shared" si="313"/>
        <v>2000</v>
      </c>
      <c r="P1343" s="71">
        <f t="shared" si="314"/>
        <v>2000</v>
      </c>
    </row>
    <row r="1344" spans="1:16" s="58" customFormat="1" ht="20.100000000000001" customHeight="1">
      <c r="A1344" s="10">
        <f t="shared" si="315"/>
        <v>16</v>
      </c>
      <c r="B1344" s="11" t="s">
        <v>1170</v>
      </c>
      <c r="C1344" s="10" t="s">
        <v>84</v>
      </c>
      <c r="D1344" s="41"/>
      <c r="E1344" s="40">
        <v>3100</v>
      </c>
      <c r="F1344" s="13">
        <f t="shared" si="309"/>
        <v>3100</v>
      </c>
      <c r="G1344" s="127"/>
      <c r="H1344" s="127"/>
      <c r="I1344" s="127"/>
      <c r="J1344" s="127"/>
      <c r="K1344" s="25" t="str">
        <f t="shared" si="310"/>
        <v>đ/cái</v>
      </c>
      <c r="L1344" s="120"/>
      <c r="M1344" s="123">
        <f t="shared" si="311"/>
        <v>3100</v>
      </c>
      <c r="N1344" s="123">
        <f t="shared" si="312"/>
        <v>3100</v>
      </c>
      <c r="O1344" s="71">
        <f t="shared" si="313"/>
        <v>3100</v>
      </c>
      <c r="P1344" s="71">
        <f t="shared" si="314"/>
        <v>3100</v>
      </c>
    </row>
    <row r="1345" spans="1:16" s="58" customFormat="1" ht="20.100000000000001" customHeight="1">
      <c r="A1345" s="10">
        <f t="shared" si="315"/>
        <v>17</v>
      </c>
      <c r="B1345" s="11" t="s">
        <v>1171</v>
      </c>
      <c r="C1345" s="10" t="s">
        <v>84</v>
      </c>
      <c r="D1345" s="41"/>
      <c r="E1345" s="40">
        <v>4500</v>
      </c>
      <c r="F1345" s="13">
        <f t="shared" si="309"/>
        <v>4500</v>
      </c>
      <c r="G1345" s="127"/>
      <c r="H1345" s="127"/>
      <c r="I1345" s="127"/>
      <c r="J1345" s="127"/>
      <c r="K1345" s="25" t="str">
        <f t="shared" si="310"/>
        <v>đ/cái</v>
      </c>
      <c r="L1345" s="120"/>
      <c r="M1345" s="123">
        <f t="shared" si="311"/>
        <v>4500</v>
      </c>
      <c r="N1345" s="123">
        <f t="shared" si="312"/>
        <v>4500</v>
      </c>
      <c r="O1345" s="71">
        <f t="shared" si="313"/>
        <v>4500</v>
      </c>
      <c r="P1345" s="71">
        <f t="shared" si="314"/>
        <v>4500</v>
      </c>
    </row>
    <row r="1346" spans="1:16" s="58" customFormat="1" ht="20.100000000000001" customHeight="1">
      <c r="A1346" s="10">
        <f t="shared" si="315"/>
        <v>18</v>
      </c>
      <c r="B1346" s="11" t="s">
        <v>1172</v>
      </c>
      <c r="C1346" s="10" t="s">
        <v>84</v>
      </c>
      <c r="D1346" s="41"/>
      <c r="E1346" s="40">
        <v>10800</v>
      </c>
      <c r="F1346" s="13">
        <f t="shared" si="309"/>
        <v>10800</v>
      </c>
      <c r="G1346" s="127"/>
      <c r="H1346" s="127"/>
      <c r="I1346" s="127"/>
      <c r="J1346" s="127"/>
      <c r="K1346" s="25" t="str">
        <f t="shared" si="310"/>
        <v>đ/cái</v>
      </c>
      <c r="L1346" s="120"/>
      <c r="M1346" s="123">
        <f t="shared" si="311"/>
        <v>10800</v>
      </c>
      <c r="N1346" s="123">
        <f t="shared" si="312"/>
        <v>10800</v>
      </c>
      <c r="O1346" s="71">
        <f t="shared" si="313"/>
        <v>10800</v>
      </c>
      <c r="P1346" s="71">
        <f t="shared" si="314"/>
        <v>10800</v>
      </c>
    </row>
    <row r="1347" spans="1:16" s="58" customFormat="1" ht="20.100000000000001" customHeight="1">
      <c r="A1347" s="10">
        <f t="shared" si="315"/>
        <v>19</v>
      </c>
      <c r="B1347" s="11" t="s">
        <v>1173</v>
      </c>
      <c r="C1347" s="10" t="s">
        <v>84</v>
      </c>
      <c r="D1347" s="41"/>
      <c r="E1347" s="40">
        <v>23000</v>
      </c>
      <c r="F1347" s="13">
        <f t="shared" si="309"/>
        <v>23000</v>
      </c>
      <c r="G1347" s="127"/>
      <c r="H1347" s="127"/>
      <c r="I1347" s="127"/>
      <c r="J1347" s="127"/>
      <c r="K1347" s="25" t="str">
        <f t="shared" si="310"/>
        <v>đ/cái</v>
      </c>
      <c r="L1347" s="120"/>
      <c r="M1347" s="123">
        <f t="shared" si="311"/>
        <v>23000</v>
      </c>
      <c r="N1347" s="123">
        <f t="shared" si="312"/>
        <v>23000</v>
      </c>
      <c r="O1347" s="71">
        <f t="shared" si="313"/>
        <v>23000</v>
      </c>
      <c r="P1347" s="71">
        <f t="shared" si="314"/>
        <v>23000</v>
      </c>
    </row>
    <row r="1348" spans="1:16" s="58" customFormat="1" ht="20.100000000000001" customHeight="1">
      <c r="A1348" s="10">
        <f t="shared" si="315"/>
        <v>20</v>
      </c>
      <c r="B1348" s="11" t="s">
        <v>1174</v>
      </c>
      <c r="C1348" s="10" t="s">
        <v>84</v>
      </c>
      <c r="D1348" s="41"/>
      <c r="E1348" s="40">
        <v>15364</v>
      </c>
      <c r="F1348" s="13">
        <f t="shared" si="309"/>
        <v>15364</v>
      </c>
      <c r="G1348" s="127"/>
      <c r="H1348" s="127"/>
      <c r="I1348" s="127"/>
      <c r="J1348" s="127"/>
      <c r="K1348" s="25" t="str">
        <f t="shared" si="310"/>
        <v>đ/cái</v>
      </c>
      <c r="L1348" s="120"/>
      <c r="M1348" s="123">
        <f t="shared" si="311"/>
        <v>15364</v>
      </c>
      <c r="N1348" s="123">
        <f t="shared" si="312"/>
        <v>15364</v>
      </c>
      <c r="O1348" s="71">
        <f t="shared" si="313"/>
        <v>15364</v>
      </c>
      <c r="P1348" s="71">
        <f t="shared" si="314"/>
        <v>15364</v>
      </c>
    </row>
    <row r="1349" spans="1:16" s="58" customFormat="1" ht="20.100000000000001" customHeight="1">
      <c r="A1349" s="10">
        <f t="shared" si="315"/>
        <v>21</v>
      </c>
      <c r="B1349" s="11" t="s">
        <v>1175</v>
      </c>
      <c r="C1349" s="10" t="s">
        <v>84</v>
      </c>
      <c r="D1349" s="41"/>
      <c r="E1349" s="40">
        <v>1900</v>
      </c>
      <c r="F1349" s="13">
        <f t="shared" si="309"/>
        <v>1900</v>
      </c>
      <c r="G1349" s="127"/>
      <c r="H1349" s="127"/>
      <c r="I1349" s="127"/>
      <c r="J1349" s="127"/>
      <c r="K1349" s="25" t="str">
        <f t="shared" si="310"/>
        <v>đ/cái</v>
      </c>
      <c r="L1349" s="120"/>
      <c r="M1349" s="123">
        <f t="shared" si="311"/>
        <v>1900</v>
      </c>
      <c r="N1349" s="123">
        <f t="shared" si="312"/>
        <v>1900</v>
      </c>
      <c r="O1349" s="71">
        <f t="shared" si="313"/>
        <v>1900</v>
      </c>
      <c r="P1349" s="71">
        <f t="shared" si="314"/>
        <v>1900</v>
      </c>
    </row>
    <row r="1350" spans="1:16" s="58" customFormat="1" ht="20.100000000000001" customHeight="1">
      <c r="A1350" s="10">
        <f t="shared" si="315"/>
        <v>22</v>
      </c>
      <c r="B1350" s="11" t="s">
        <v>1176</v>
      </c>
      <c r="C1350" s="10" t="s">
        <v>84</v>
      </c>
      <c r="D1350" s="41"/>
      <c r="E1350" s="40">
        <v>2500</v>
      </c>
      <c r="F1350" s="13">
        <f t="shared" si="309"/>
        <v>2500</v>
      </c>
      <c r="G1350" s="127"/>
      <c r="H1350" s="127"/>
      <c r="I1350" s="127"/>
      <c r="J1350" s="127"/>
      <c r="K1350" s="25" t="str">
        <f t="shared" si="310"/>
        <v>đ/cái</v>
      </c>
      <c r="L1350" s="120"/>
      <c r="M1350" s="123">
        <f t="shared" si="311"/>
        <v>2500</v>
      </c>
      <c r="N1350" s="123">
        <f t="shared" si="312"/>
        <v>2500</v>
      </c>
      <c r="O1350" s="71">
        <f t="shared" si="313"/>
        <v>2500</v>
      </c>
      <c r="P1350" s="71">
        <f t="shared" si="314"/>
        <v>2500</v>
      </c>
    </row>
    <row r="1351" spans="1:16" s="58" customFormat="1" ht="20.100000000000001" customHeight="1">
      <c r="A1351" s="10">
        <f t="shared" si="315"/>
        <v>23</v>
      </c>
      <c r="B1351" s="11" t="s">
        <v>1177</v>
      </c>
      <c r="C1351" s="10" t="s">
        <v>84</v>
      </c>
      <c r="D1351" s="41"/>
      <c r="E1351" s="40">
        <v>4000</v>
      </c>
      <c r="F1351" s="13">
        <f t="shared" si="309"/>
        <v>4000</v>
      </c>
      <c r="G1351" s="127"/>
      <c r="H1351" s="127"/>
      <c r="I1351" s="127"/>
      <c r="J1351" s="127"/>
      <c r="K1351" s="25" t="str">
        <f t="shared" si="310"/>
        <v>đ/cái</v>
      </c>
      <c r="L1351" s="120"/>
      <c r="M1351" s="123">
        <f t="shared" si="311"/>
        <v>4000</v>
      </c>
      <c r="N1351" s="123">
        <f t="shared" si="312"/>
        <v>4000</v>
      </c>
      <c r="O1351" s="71">
        <f t="shared" si="313"/>
        <v>4000</v>
      </c>
      <c r="P1351" s="71">
        <f t="shared" si="314"/>
        <v>4000</v>
      </c>
    </row>
    <row r="1352" spans="1:16" s="58" customFormat="1" ht="20.100000000000001" customHeight="1">
      <c r="A1352" s="10">
        <f t="shared" si="315"/>
        <v>24</v>
      </c>
      <c r="B1352" s="11" t="s">
        <v>1178</v>
      </c>
      <c r="C1352" s="10" t="s">
        <v>84</v>
      </c>
      <c r="D1352" s="41"/>
      <c r="E1352" s="40">
        <v>6400</v>
      </c>
      <c r="F1352" s="13">
        <f t="shared" si="309"/>
        <v>6400</v>
      </c>
      <c r="G1352" s="127"/>
      <c r="H1352" s="127"/>
      <c r="I1352" s="127"/>
      <c r="J1352" s="127"/>
      <c r="K1352" s="25" t="str">
        <f t="shared" si="310"/>
        <v>đ/cái</v>
      </c>
      <c r="L1352" s="120"/>
      <c r="M1352" s="123">
        <f t="shared" si="311"/>
        <v>6400</v>
      </c>
      <c r="N1352" s="123">
        <f t="shared" si="312"/>
        <v>6400</v>
      </c>
      <c r="O1352" s="71">
        <f t="shared" si="313"/>
        <v>6400</v>
      </c>
      <c r="P1352" s="71">
        <f t="shared" si="314"/>
        <v>6400</v>
      </c>
    </row>
    <row r="1353" spans="1:16" s="58" customFormat="1" ht="20.100000000000001" customHeight="1">
      <c r="A1353" s="10">
        <f t="shared" si="315"/>
        <v>25</v>
      </c>
      <c r="B1353" s="11" t="s">
        <v>1179</v>
      </c>
      <c r="C1353" s="10" t="s">
        <v>84</v>
      </c>
      <c r="D1353" s="41"/>
      <c r="E1353" s="40">
        <v>10091</v>
      </c>
      <c r="F1353" s="13">
        <f t="shared" si="309"/>
        <v>10091</v>
      </c>
      <c r="G1353" s="127"/>
      <c r="H1353" s="127"/>
      <c r="I1353" s="127"/>
      <c r="J1353" s="127"/>
      <c r="K1353" s="25" t="str">
        <f t="shared" si="310"/>
        <v>đ/cái</v>
      </c>
      <c r="L1353" s="120"/>
      <c r="M1353" s="123">
        <f t="shared" si="311"/>
        <v>10091</v>
      </c>
      <c r="N1353" s="123">
        <f t="shared" si="312"/>
        <v>10091</v>
      </c>
      <c r="O1353" s="71">
        <f t="shared" si="313"/>
        <v>10091</v>
      </c>
      <c r="P1353" s="71">
        <f t="shared" si="314"/>
        <v>10091</v>
      </c>
    </row>
    <row r="1354" spans="1:16" s="58" customFormat="1" ht="20.100000000000001" customHeight="1">
      <c r="A1354" s="10">
        <f t="shared" si="315"/>
        <v>26</v>
      </c>
      <c r="B1354" s="11" t="s">
        <v>1180</v>
      </c>
      <c r="C1354" s="10" t="s">
        <v>84</v>
      </c>
      <c r="D1354" s="41"/>
      <c r="E1354" s="40">
        <v>14800</v>
      </c>
      <c r="F1354" s="13">
        <f t="shared" si="309"/>
        <v>14800</v>
      </c>
      <c r="G1354" s="127"/>
      <c r="H1354" s="127"/>
      <c r="I1354" s="127"/>
      <c r="J1354" s="127"/>
      <c r="K1354" s="25" t="str">
        <f t="shared" si="310"/>
        <v>đ/cái</v>
      </c>
      <c r="L1354" s="120"/>
      <c r="M1354" s="123">
        <f t="shared" si="311"/>
        <v>14800</v>
      </c>
      <c r="N1354" s="123">
        <f t="shared" si="312"/>
        <v>14800</v>
      </c>
      <c r="O1354" s="71">
        <f t="shared" si="313"/>
        <v>14800</v>
      </c>
      <c r="P1354" s="71">
        <f t="shared" si="314"/>
        <v>14800</v>
      </c>
    </row>
    <row r="1355" spans="1:16" s="58" customFormat="1" ht="20.100000000000001" customHeight="1">
      <c r="A1355" s="10">
        <f t="shared" si="315"/>
        <v>27</v>
      </c>
      <c r="B1355" s="11" t="s">
        <v>1181</v>
      </c>
      <c r="C1355" s="10" t="s">
        <v>84</v>
      </c>
      <c r="D1355" s="41"/>
      <c r="E1355" s="40">
        <v>13455</v>
      </c>
      <c r="F1355" s="13">
        <f t="shared" si="309"/>
        <v>13455</v>
      </c>
      <c r="G1355" s="127"/>
      <c r="H1355" s="127"/>
      <c r="I1355" s="127"/>
      <c r="J1355" s="127"/>
      <c r="K1355" s="25" t="str">
        <f t="shared" si="310"/>
        <v>đ/cái</v>
      </c>
      <c r="L1355" s="120"/>
      <c r="M1355" s="123">
        <f t="shared" si="311"/>
        <v>13455</v>
      </c>
      <c r="N1355" s="123">
        <f t="shared" si="312"/>
        <v>13455</v>
      </c>
      <c r="O1355" s="71">
        <f t="shared" si="313"/>
        <v>13455</v>
      </c>
      <c r="P1355" s="71">
        <f t="shared" si="314"/>
        <v>13455</v>
      </c>
    </row>
    <row r="1356" spans="1:16" s="58" customFormat="1" ht="20.100000000000001" customHeight="1">
      <c r="A1356" s="10">
        <f t="shared" si="315"/>
        <v>28</v>
      </c>
      <c r="B1356" s="11" t="s">
        <v>1182</v>
      </c>
      <c r="C1356" s="10" t="s">
        <v>84</v>
      </c>
      <c r="D1356" s="41"/>
      <c r="E1356" s="40">
        <v>30000</v>
      </c>
      <c r="F1356" s="13">
        <f t="shared" si="309"/>
        <v>30000</v>
      </c>
      <c r="G1356" s="127"/>
      <c r="H1356" s="127"/>
      <c r="I1356" s="127"/>
      <c r="J1356" s="127"/>
      <c r="K1356" s="25" t="str">
        <f t="shared" si="310"/>
        <v>đ/cái</v>
      </c>
      <c r="L1356" s="120"/>
      <c r="M1356" s="123">
        <f t="shared" si="311"/>
        <v>30000</v>
      </c>
      <c r="N1356" s="123">
        <f t="shared" si="312"/>
        <v>30000</v>
      </c>
      <c r="O1356" s="71">
        <f t="shared" si="313"/>
        <v>30000</v>
      </c>
      <c r="P1356" s="71">
        <f t="shared" si="314"/>
        <v>30000</v>
      </c>
    </row>
    <row r="1357" spans="1:16" s="58" customFormat="1" ht="20.100000000000001" customHeight="1">
      <c r="A1357" s="10">
        <f t="shared" si="315"/>
        <v>29</v>
      </c>
      <c r="B1357" s="11" t="s">
        <v>1183</v>
      </c>
      <c r="C1357" s="10" t="s">
        <v>84</v>
      </c>
      <c r="D1357" s="41"/>
      <c r="E1357" s="40">
        <v>2500</v>
      </c>
      <c r="F1357" s="13">
        <f t="shared" si="309"/>
        <v>2500</v>
      </c>
      <c r="G1357" s="127"/>
      <c r="H1357" s="127"/>
      <c r="I1357" s="127"/>
      <c r="J1357" s="127"/>
      <c r="K1357" s="25" t="str">
        <f t="shared" si="310"/>
        <v>đ/cái</v>
      </c>
      <c r="L1357" s="120"/>
      <c r="M1357" s="123">
        <f t="shared" si="311"/>
        <v>2500</v>
      </c>
      <c r="N1357" s="123">
        <f t="shared" si="312"/>
        <v>2500</v>
      </c>
      <c r="O1357" s="71">
        <f t="shared" si="313"/>
        <v>2500</v>
      </c>
      <c r="P1357" s="71">
        <f t="shared" si="314"/>
        <v>2500</v>
      </c>
    </row>
    <row r="1358" spans="1:16" s="58" customFormat="1" ht="20.100000000000001" customHeight="1">
      <c r="A1358" s="10">
        <f t="shared" si="315"/>
        <v>30</v>
      </c>
      <c r="B1358" s="11" t="s">
        <v>1184</v>
      </c>
      <c r="C1358" s="10" t="s">
        <v>84</v>
      </c>
      <c r="D1358" s="41"/>
      <c r="E1358" s="40">
        <v>3800</v>
      </c>
      <c r="F1358" s="13">
        <f t="shared" si="309"/>
        <v>3800</v>
      </c>
      <c r="G1358" s="127"/>
      <c r="H1358" s="127"/>
      <c r="I1358" s="127"/>
      <c r="J1358" s="127"/>
      <c r="K1358" s="25" t="str">
        <f t="shared" si="310"/>
        <v>đ/cái</v>
      </c>
      <c r="L1358" s="120"/>
      <c r="M1358" s="123">
        <f t="shared" si="311"/>
        <v>3800</v>
      </c>
      <c r="N1358" s="123">
        <f t="shared" si="312"/>
        <v>3800</v>
      </c>
      <c r="O1358" s="71">
        <f t="shared" si="313"/>
        <v>3800</v>
      </c>
      <c r="P1358" s="71">
        <f t="shared" si="314"/>
        <v>3800</v>
      </c>
    </row>
    <row r="1359" spans="1:16" s="58" customFormat="1" ht="20.100000000000001" customHeight="1">
      <c r="A1359" s="10">
        <f t="shared" si="315"/>
        <v>31</v>
      </c>
      <c r="B1359" s="11" t="s">
        <v>1185</v>
      </c>
      <c r="C1359" s="10" t="s">
        <v>84</v>
      </c>
      <c r="D1359" s="41"/>
      <c r="E1359" s="40">
        <v>5300</v>
      </c>
      <c r="F1359" s="13">
        <f t="shared" si="309"/>
        <v>5300</v>
      </c>
      <c r="G1359" s="127"/>
      <c r="H1359" s="127"/>
      <c r="I1359" s="127"/>
      <c r="J1359" s="127"/>
      <c r="K1359" s="25" t="str">
        <f t="shared" si="310"/>
        <v>đ/cái</v>
      </c>
      <c r="L1359" s="120"/>
      <c r="M1359" s="123">
        <f t="shared" si="311"/>
        <v>5300</v>
      </c>
      <c r="N1359" s="123">
        <f t="shared" si="312"/>
        <v>5300</v>
      </c>
      <c r="O1359" s="71">
        <f t="shared" si="313"/>
        <v>5300</v>
      </c>
      <c r="P1359" s="71">
        <f t="shared" si="314"/>
        <v>5300</v>
      </c>
    </row>
    <row r="1360" spans="1:16" s="58" customFormat="1" ht="20.100000000000001" customHeight="1">
      <c r="A1360" s="10">
        <f t="shared" si="315"/>
        <v>32</v>
      </c>
      <c r="B1360" s="11" t="s">
        <v>1186</v>
      </c>
      <c r="C1360" s="10" t="s">
        <v>84</v>
      </c>
      <c r="D1360" s="41"/>
      <c r="E1360" s="40">
        <v>8500</v>
      </c>
      <c r="F1360" s="13">
        <f t="shared" si="309"/>
        <v>8500</v>
      </c>
      <c r="G1360" s="127"/>
      <c r="H1360" s="127"/>
      <c r="I1360" s="127"/>
      <c r="J1360" s="127"/>
      <c r="K1360" s="25" t="str">
        <f t="shared" si="310"/>
        <v>đ/cái</v>
      </c>
      <c r="L1360" s="120"/>
      <c r="M1360" s="123">
        <f t="shared" si="311"/>
        <v>8500</v>
      </c>
      <c r="N1360" s="123">
        <f t="shared" si="312"/>
        <v>8500</v>
      </c>
      <c r="O1360" s="71">
        <f t="shared" si="313"/>
        <v>8500</v>
      </c>
      <c r="P1360" s="71">
        <f t="shared" si="314"/>
        <v>8500</v>
      </c>
    </row>
    <row r="1361" spans="1:16" s="58" customFormat="1" ht="20.100000000000001" customHeight="1">
      <c r="A1361" s="10">
        <f t="shared" si="315"/>
        <v>33</v>
      </c>
      <c r="B1361" s="11" t="s">
        <v>1187</v>
      </c>
      <c r="C1361" s="10" t="s">
        <v>84</v>
      </c>
      <c r="D1361" s="41"/>
      <c r="E1361" s="40">
        <v>13727</v>
      </c>
      <c r="F1361" s="13">
        <f t="shared" si="309"/>
        <v>13727</v>
      </c>
      <c r="G1361" s="127"/>
      <c r="H1361" s="127"/>
      <c r="I1361" s="127"/>
      <c r="J1361" s="127"/>
      <c r="K1361" s="25" t="str">
        <f t="shared" si="310"/>
        <v>đ/cái</v>
      </c>
      <c r="L1361" s="120"/>
      <c r="M1361" s="123">
        <f t="shared" si="311"/>
        <v>13727</v>
      </c>
      <c r="N1361" s="123">
        <f t="shared" si="312"/>
        <v>13727</v>
      </c>
      <c r="O1361" s="71">
        <f t="shared" si="313"/>
        <v>13727</v>
      </c>
      <c r="P1361" s="71">
        <f t="shared" si="314"/>
        <v>13727</v>
      </c>
    </row>
    <row r="1362" spans="1:16" s="58" customFormat="1" ht="20.100000000000001" customHeight="1">
      <c r="A1362" s="10">
        <f t="shared" si="315"/>
        <v>34</v>
      </c>
      <c r="B1362" s="11" t="s">
        <v>1188</v>
      </c>
      <c r="C1362" s="10" t="s">
        <v>84</v>
      </c>
      <c r="D1362" s="41"/>
      <c r="E1362" s="40">
        <v>21000</v>
      </c>
      <c r="F1362" s="13">
        <f t="shared" si="309"/>
        <v>21000</v>
      </c>
      <c r="G1362" s="127"/>
      <c r="H1362" s="127"/>
      <c r="I1362" s="127"/>
      <c r="J1362" s="127"/>
      <c r="K1362" s="25" t="str">
        <f t="shared" si="310"/>
        <v>đ/cái</v>
      </c>
      <c r="L1362" s="120"/>
      <c r="M1362" s="123">
        <f t="shared" si="311"/>
        <v>21000</v>
      </c>
      <c r="N1362" s="123">
        <f t="shared" si="312"/>
        <v>21000</v>
      </c>
      <c r="O1362" s="71">
        <f t="shared" si="313"/>
        <v>21000</v>
      </c>
      <c r="P1362" s="71">
        <f t="shared" si="314"/>
        <v>21000</v>
      </c>
    </row>
    <row r="1363" spans="1:16" s="58" customFormat="1" ht="20.100000000000001" customHeight="1">
      <c r="A1363" s="12">
        <f t="shared" si="315"/>
        <v>35</v>
      </c>
      <c r="B1363" s="11" t="s">
        <v>1189</v>
      </c>
      <c r="C1363" s="12" t="s">
        <v>84</v>
      </c>
      <c r="D1363" s="14"/>
      <c r="E1363" s="14">
        <v>53000</v>
      </c>
      <c r="F1363" s="14">
        <f t="shared" si="309"/>
        <v>53000</v>
      </c>
      <c r="G1363" s="127"/>
      <c r="H1363" s="127"/>
      <c r="I1363" s="127"/>
      <c r="J1363" s="127"/>
      <c r="K1363" s="25" t="str">
        <f t="shared" si="310"/>
        <v>đ/cái</v>
      </c>
      <c r="L1363" s="120"/>
      <c r="M1363" s="123">
        <f t="shared" si="311"/>
        <v>53000</v>
      </c>
      <c r="N1363" s="123">
        <f t="shared" si="312"/>
        <v>53000</v>
      </c>
      <c r="O1363" s="71">
        <f t="shared" si="313"/>
        <v>53000</v>
      </c>
      <c r="P1363" s="71">
        <f t="shared" si="314"/>
        <v>53000</v>
      </c>
    </row>
    <row r="1364" spans="1:16" s="58" customFormat="1" ht="20.100000000000001" customHeight="1">
      <c r="A1364" s="12"/>
      <c r="B1364" s="9" t="s">
        <v>665</v>
      </c>
      <c r="C1364" s="12"/>
      <c r="D1364" s="14"/>
      <c r="E1364" s="14"/>
      <c r="F1364" s="14"/>
      <c r="G1364" s="127"/>
      <c r="H1364" s="127"/>
      <c r="I1364" s="127"/>
      <c r="J1364" s="127"/>
      <c r="K1364" s="116"/>
      <c r="L1364" s="120"/>
      <c r="M1364" s="120"/>
      <c r="N1364" s="120"/>
      <c r="O1364" s="69"/>
      <c r="P1364" s="69"/>
    </row>
    <row r="1365" spans="1:16" s="58" customFormat="1" ht="20.100000000000001" customHeight="1">
      <c r="A1365" s="12">
        <f>+A1363+1</f>
        <v>36</v>
      </c>
      <c r="B1365" s="37" t="s">
        <v>666</v>
      </c>
      <c r="C1365" s="12" t="s">
        <v>90</v>
      </c>
      <c r="D1365" s="14"/>
      <c r="E1365" s="40">
        <v>13182</v>
      </c>
      <c r="F1365" s="40">
        <f t="shared" ref="F1365:F1376" si="316">E1365</f>
        <v>13182</v>
      </c>
      <c r="G1365" s="127"/>
      <c r="H1365" s="127"/>
      <c r="I1365" s="127"/>
      <c r="J1365" s="127"/>
      <c r="K1365" s="25" t="str">
        <f t="shared" ref="K1365:K1376" si="317">C1365</f>
        <v>đ/m</v>
      </c>
      <c r="L1365" s="120"/>
      <c r="M1365" s="123">
        <f t="shared" ref="M1365:M1376" si="318">E1365</f>
        <v>13182</v>
      </c>
      <c r="N1365" s="123">
        <f t="shared" ref="N1365:N1376" si="319">F1365</f>
        <v>13182</v>
      </c>
      <c r="O1365" s="71">
        <f t="shared" ref="O1365:O1376" si="320">E1365</f>
        <v>13182</v>
      </c>
      <c r="P1365" s="71">
        <f t="shared" ref="P1365:P1376" si="321">M1365</f>
        <v>13182</v>
      </c>
    </row>
    <row r="1366" spans="1:16" s="58" customFormat="1" ht="20.100000000000001" customHeight="1">
      <c r="A1366" s="10">
        <f t="shared" ref="A1366:A1376" si="322">+A1365+1</f>
        <v>37</v>
      </c>
      <c r="B1366" s="37" t="s">
        <v>667</v>
      </c>
      <c r="C1366" s="10" t="s">
        <v>90</v>
      </c>
      <c r="D1366" s="41"/>
      <c r="E1366" s="40">
        <v>20091</v>
      </c>
      <c r="F1366" s="40">
        <f t="shared" si="316"/>
        <v>20091</v>
      </c>
      <c r="G1366" s="127"/>
      <c r="H1366" s="127"/>
      <c r="I1366" s="127"/>
      <c r="J1366" s="127"/>
      <c r="K1366" s="25" t="str">
        <f t="shared" si="317"/>
        <v>đ/m</v>
      </c>
      <c r="L1366" s="120"/>
      <c r="M1366" s="123">
        <f t="shared" si="318"/>
        <v>20091</v>
      </c>
      <c r="N1366" s="123">
        <f t="shared" si="319"/>
        <v>20091</v>
      </c>
      <c r="O1366" s="71">
        <f t="shared" si="320"/>
        <v>20091</v>
      </c>
      <c r="P1366" s="71">
        <f t="shared" si="321"/>
        <v>20091</v>
      </c>
    </row>
    <row r="1367" spans="1:16" s="58" customFormat="1" ht="20.100000000000001" customHeight="1">
      <c r="A1367" s="10">
        <f t="shared" si="322"/>
        <v>38</v>
      </c>
      <c r="B1367" s="37" t="s">
        <v>668</v>
      </c>
      <c r="C1367" s="10" t="s">
        <v>90</v>
      </c>
      <c r="D1367" s="41"/>
      <c r="E1367" s="40">
        <v>30818</v>
      </c>
      <c r="F1367" s="40">
        <f t="shared" si="316"/>
        <v>30818</v>
      </c>
      <c r="G1367" s="127"/>
      <c r="H1367" s="127"/>
      <c r="I1367" s="127"/>
      <c r="J1367" s="127"/>
      <c r="K1367" s="25" t="str">
        <f t="shared" si="317"/>
        <v>đ/m</v>
      </c>
      <c r="L1367" s="120"/>
      <c r="M1367" s="123">
        <f t="shared" si="318"/>
        <v>30818</v>
      </c>
      <c r="N1367" s="123">
        <f t="shared" si="319"/>
        <v>30818</v>
      </c>
      <c r="O1367" s="71">
        <f t="shared" si="320"/>
        <v>30818</v>
      </c>
      <c r="P1367" s="71">
        <f t="shared" si="321"/>
        <v>30818</v>
      </c>
    </row>
    <row r="1368" spans="1:16" s="58" customFormat="1" ht="20.100000000000001" customHeight="1">
      <c r="A1368" s="10">
        <f t="shared" si="322"/>
        <v>39</v>
      </c>
      <c r="B1368" s="37" t="s">
        <v>669</v>
      </c>
      <c r="C1368" s="10" t="s">
        <v>90</v>
      </c>
      <c r="D1368" s="41"/>
      <c r="E1368" s="40">
        <v>70273</v>
      </c>
      <c r="F1368" s="40">
        <f t="shared" si="316"/>
        <v>70273</v>
      </c>
      <c r="G1368" s="127"/>
      <c r="H1368" s="127"/>
      <c r="I1368" s="127"/>
      <c r="J1368" s="127"/>
      <c r="K1368" s="25" t="str">
        <f t="shared" si="317"/>
        <v>đ/m</v>
      </c>
      <c r="L1368" s="120"/>
      <c r="M1368" s="123">
        <f t="shared" si="318"/>
        <v>70273</v>
      </c>
      <c r="N1368" s="123">
        <f t="shared" si="319"/>
        <v>70273</v>
      </c>
      <c r="O1368" s="71">
        <f t="shared" si="320"/>
        <v>70273</v>
      </c>
      <c r="P1368" s="71">
        <f t="shared" si="321"/>
        <v>70273</v>
      </c>
    </row>
    <row r="1369" spans="1:16" s="58" customFormat="1" ht="20.100000000000001" customHeight="1">
      <c r="A1369" s="10">
        <f t="shared" si="322"/>
        <v>40</v>
      </c>
      <c r="B1369" s="37" t="s">
        <v>670</v>
      </c>
      <c r="C1369" s="10" t="s">
        <v>90</v>
      </c>
      <c r="D1369" s="41"/>
      <c r="E1369" s="40">
        <v>99727</v>
      </c>
      <c r="F1369" s="40">
        <f t="shared" si="316"/>
        <v>99727</v>
      </c>
      <c r="G1369" s="127"/>
      <c r="H1369" s="127"/>
      <c r="I1369" s="127"/>
      <c r="J1369" s="127"/>
      <c r="K1369" s="25" t="str">
        <f t="shared" si="317"/>
        <v>đ/m</v>
      </c>
      <c r="L1369" s="120"/>
      <c r="M1369" s="123">
        <f t="shared" si="318"/>
        <v>99727</v>
      </c>
      <c r="N1369" s="123">
        <f t="shared" si="319"/>
        <v>99727</v>
      </c>
      <c r="O1369" s="71">
        <f t="shared" si="320"/>
        <v>99727</v>
      </c>
      <c r="P1369" s="71">
        <f t="shared" si="321"/>
        <v>99727</v>
      </c>
    </row>
    <row r="1370" spans="1:16" s="58" customFormat="1" ht="20.100000000000001" customHeight="1">
      <c r="A1370" s="10">
        <f t="shared" si="322"/>
        <v>41</v>
      </c>
      <c r="B1370" s="37" t="s">
        <v>671</v>
      </c>
      <c r="C1370" s="10" t="s">
        <v>90</v>
      </c>
      <c r="D1370" s="41"/>
      <c r="E1370" s="40">
        <v>97273</v>
      </c>
      <c r="F1370" s="40">
        <f t="shared" si="316"/>
        <v>97273</v>
      </c>
      <c r="G1370" s="127"/>
      <c r="H1370" s="127"/>
      <c r="I1370" s="127"/>
      <c r="J1370" s="127"/>
      <c r="K1370" s="25" t="str">
        <f t="shared" si="317"/>
        <v>đ/m</v>
      </c>
      <c r="L1370" s="120"/>
      <c r="M1370" s="123">
        <f t="shared" si="318"/>
        <v>97273</v>
      </c>
      <c r="N1370" s="123">
        <f t="shared" si="319"/>
        <v>97273</v>
      </c>
      <c r="O1370" s="71">
        <f t="shared" si="320"/>
        <v>97273</v>
      </c>
      <c r="P1370" s="71">
        <f t="shared" si="321"/>
        <v>97273</v>
      </c>
    </row>
    <row r="1371" spans="1:16" s="58" customFormat="1" ht="20.100000000000001" customHeight="1">
      <c r="A1371" s="10">
        <f t="shared" si="322"/>
        <v>42</v>
      </c>
      <c r="B1371" s="37" t="s">
        <v>672</v>
      </c>
      <c r="C1371" s="10" t="s">
        <v>90</v>
      </c>
      <c r="D1371" s="41"/>
      <c r="E1371" s="40">
        <v>206909</v>
      </c>
      <c r="F1371" s="40">
        <f t="shared" si="316"/>
        <v>206909</v>
      </c>
      <c r="G1371" s="127"/>
      <c r="H1371" s="127"/>
      <c r="I1371" s="127"/>
      <c r="J1371" s="127"/>
      <c r="K1371" s="25" t="str">
        <f t="shared" si="317"/>
        <v>đ/m</v>
      </c>
      <c r="L1371" s="120"/>
      <c r="M1371" s="123">
        <f t="shared" si="318"/>
        <v>206909</v>
      </c>
      <c r="N1371" s="123">
        <f t="shared" si="319"/>
        <v>206909</v>
      </c>
      <c r="O1371" s="71">
        <f t="shared" si="320"/>
        <v>206909</v>
      </c>
      <c r="P1371" s="71">
        <f t="shared" si="321"/>
        <v>206909</v>
      </c>
    </row>
    <row r="1372" spans="1:16" s="58" customFormat="1" ht="20.100000000000001" customHeight="1">
      <c r="A1372" s="10">
        <f t="shared" si="322"/>
        <v>43</v>
      </c>
      <c r="B1372" s="37" t="s">
        <v>673</v>
      </c>
      <c r="C1372" s="10" t="s">
        <v>90</v>
      </c>
      <c r="D1372" s="41"/>
      <c r="E1372" s="40">
        <v>321091</v>
      </c>
      <c r="F1372" s="40">
        <f t="shared" si="316"/>
        <v>321091</v>
      </c>
      <c r="G1372" s="127"/>
      <c r="H1372" s="127"/>
      <c r="I1372" s="127"/>
      <c r="J1372" s="127"/>
      <c r="K1372" s="25" t="str">
        <f t="shared" si="317"/>
        <v>đ/m</v>
      </c>
      <c r="L1372" s="120"/>
      <c r="M1372" s="123">
        <f t="shared" si="318"/>
        <v>321091</v>
      </c>
      <c r="N1372" s="123">
        <f t="shared" si="319"/>
        <v>321091</v>
      </c>
      <c r="O1372" s="71">
        <f t="shared" si="320"/>
        <v>321091</v>
      </c>
      <c r="P1372" s="71">
        <f t="shared" si="321"/>
        <v>321091</v>
      </c>
    </row>
    <row r="1373" spans="1:16" s="58" customFormat="1" ht="20.100000000000001" customHeight="1">
      <c r="A1373" s="10">
        <f t="shared" si="322"/>
        <v>44</v>
      </c>
      <c r="B1373" s="37" t="s">
        <v>674</v>
      </c>
      <c r="C1373" s="10" t="s">
        <v>90</v>
      </c>
      <c r="D1373" s="41"/>
      <c r="E1373" s="40">
        <v>499000</v>
      </c>
      <c r="F1373" s="40">
        <f t="shared" si="316"/>
        <v>499000</v>
      </c>
      <c r="G1373" s="127"/>
      <c r="H1373" s="127"/>
      <c r="I1373" s="127"/>
      <c r="J1373" s="127"/>
      <c r="K1373" s="25" t="str">
        <f t="shared" si="317"/>
        <v>đ/m</v>
      </c>
      <c r="L1373" s="120"/>
      <c r="M1373" s="123">
        <f t="shared" si="318"/>
        <v>499000</v>
      </c>
      <c r="N1373" s="123">
        <f t="shared" si="319"/>
        <v>499000</v>
      </c>
      <c r="O1373" s="71">
        <f t="shared" si="320"/>
        <v>499000</v>
      </c>
      <c r="P1373" s="71">
        <f t="shared" si="321"/>
        <v>499000</v>
      </c>
    </row>
    <row r="1374" spans="1:16" s="58" customFormat="1" ht="20.100000000000001" customHeight="1">
      <c r="A1374" s="10">
        <f t="shared" si="322"/>
        <v>45</v>
      </c>
      <c r="B1374" s="37" t="s">
        <v>675</v>
      </c>
      <c r="C1374" s="10" t="s">
        <v>90</v>
      </c>
      <c r="D1374" s="41"/>
      <c r="E1374" s="40">
        <v>1264455</v>
      </c>
      <c r="F1374" s="40">
        <f t="shared" si="316"/>
        <v>1264455</v>
      </c>
      <c r="G1374" s="127"/>
      <c r="H1374" s="127"/>
      <c r="I1374" s="127"/>
      <c r="J1374" s="127"/>
      <c r="K1374" s="25" t="str">
        <f t="shared" si="317"/>
        <v>đ/m</v>
      </c>
      <c r="L1374" s="120"/>
      <c r="M1374" s="123">
        <f t="shared" si="318"/>
        <v>1264455</v>
      </c>
      <c r="N1374" s="123">
        <f t="shared" si="319"/>
        <v>1264455</v>
      </c>
      <c r="O1374" s="71">
        <f t="shared" si="320"/>
        <v>1264455</v>
      </c>
      <c r="P1374" s="71">
        <f t="shared" si="321"/>
        <v>1264455</v>
      </c>
    </row>
    <row r="1375" spans="1:16" s="58" customFormat="1" ht="20.100000000000001" customHeight="1">
      <c r="A1375" s="10">
        <f t="shared" si="322"/>
        <v>46</v>
      </c>
      <c r="B1375" s="37" t="s">
        <v>676</v>
      </c>
      <c r="C1375" s="10" t="s">
        <v>90</v>
      </c>
      <c r="D1375" s="18"/>
      <c r="E1375" s="40">
        <v>1615909</v>
      </c>
      <c r="F1375" s="40">
        <f t="shared" si="316"/>
        <v>1615909</v>
      </c>
      <c r="G1375" s="127"/>
      <c r="H1375" s="127"/>
      <c r="I1375" s="127"/>
      <c r="J1375" s="127"/>
      <c r="K1375" s="25" t="str">
        <f t="shared" si="317"/>
        <v>đ/m</v>
      </c>
      <c r="L1375" s="120"/>
      <c r="M1375" s="123">
        <f t="shared" si="318"/>
        <v>1615909</v>
      </c>
      <c r="N1375" s="123">
        <f t="shared" si="319"/>
        <v>1615909</v>
      </c>
      <c r="O1375" s="71">
        <f t="shared" si="320"/>
        <v>1615909</v>
      </c>
      <c r="P1375" s="71">
        <f t="shared" si="321"/>
        <v>1615909</v>
      </c>
    </row>
    <row r="1376" spans="1:16" s="58" customFormat="1" ht="20.100000000000001" customHeight="1">
      <c r="A1376" s="10">
        <f t="shared" si="322"/>
        <v>47</v>
      </c>
      <c r="B1376" s="37" t="s">
        <v>677</v>
      </c>
      <c r="C1376" s="10" t="s">
        <v>90</v>
      </c>
      <c r="D1376" s="41"/>
      <c r="E1376" s="40">
        <v>1967909</v>
      </c>
      <c r="F1376" s="40">
        <f t="shared" si="316"/>
        <v>1967909</v>
      </c>
      <c r="G1376" s="127"/>
      <c r="H1376" s="127"/>
      <c r="I1376" s="127"/>
      <c r="J1376" s="127"/>
      <c r="K1376" s="25" t="str">
        <f t="shared" si="317"/>
        <v>đ/m</v>
      </c>
      <c r="L1376" s="120"/>
      <c r="M1376" s="123">
        <f t="shared" si="318"/>
        <v>1967909</v>
      </c>
      <c r="N1376" s="123">
        <f t="shared" si="319"/>
        <v>1967909</v>
      </c>
      <c r="O1376" s="71">
        <f t="shared" si="320"/>
        <v>1967909</v>
      </c>
      <c r="P1376" s="71">
        <f t="shared" si="321"/>
        <v>1967909</v>
      </c>
    </row>
    <row r="1377" spans="1:16" s="58" customFormat="1" ht="20.100000000000001" customHeight="1">
      <c r="A1377" s="10"/>
      <c r="B1377" s="240" t="s">
        <v>678</v>
      </c>
      <c r="C1377" s="241"/>
      <c r="D1377" s="241"/>
      <c r="E1377" s="241"/>
      <c r="F1377" s="241"/>
      <c r="G1377" s="241"/>
      <c r="H1377" s="241"/>
      <c r="I1377" s="241"/>
      <c r="J1377" s="241"/>
      <c r="K1377" s="241"/>
      <c r="L1377" s="241"/>
      <c r="M1377" s="241"/>
      <c r="N1377" s="242"/>
      <c r="O1377" s="69"/>
      <c r="P1377" s="69"/>
    </row>
    <row r="1378" spans="1:16" s="58" customFormat="1" ht="30.75" customHeight="1">
      <c r="A1378" s="10"/>
      <c r="B1378" s="9" t="s">
        <v>679</v>
      </c>
      <c r="C1378" s="10"/>
      <c r="D1378" s="41"/>
      <c r="E1378" s="41"/>
      <c r="F1378" s="41"/>
      <c r="G1378" s="127"/>
      <c r="H1378" s="127"/>
      <c r="I1378" s="127"/>
      <c r="J1378" s="127"/>
      <c r="K1378" s="116"/>
      <c r="L1378" s="120"/>
      <c r="M1378" s="120"/>
      <c r="N1378" s="120"/>
      <c r="O1378" s="69"/>
      <c r="P1378" s="69"/>
    </row>
    <row r="1379" spans="1:16" s="58" customFormat="1" ht="24" customHeight="1">
      <c r="A1379" s="10">
        <v>1</v>
      </c>
      <c r="B1379" s="37" t="s">
        <v>680</v>
      </c>
      <c r="C1379" s="38" t="s">
        <v>613</v>
      </c>
      <c r="D1379" s="41"/>
      <c r="E1379" s="40">
        <f>5000/1.1</f>
        <v>4545.454545454545</v>
      </c>
      <c r="F1379" s="40"/>
      <c r="G1379" s="127"/>
      <c r="H1379" s="127"/>
      <c r="I1379" s="127"/>
      <c r="J1379" s="127"/>
      <c r="K1379" s="25" t="str">
        <f t="shared" ref="K1379:K1394" si="323">C1379</f>
        <v>đ/mét</v>
      </c>
      <c r="L1379" s="120"/>
      <c r="M1379" s="123">
        <f t="shared" ref="M1379:M1394" si="324">E1379</f>
        <v>4545.454545454545</v>
      </c>
      <c r="N1379" s="123"/>
      <c r="O1379" s="71">
        <f t="shared" ref="O1379:O1403" si="325">E1379</f>
        <v>4545.454545454545</v>
      </c>
      <c r="P1379" s="71">
        <f t="shared" ref="P1379:P1403" si="326">M1379</f>
        <v>4545.454545454545</v>
      </c>
    </row>
    <row r="1380" spans="1:16" s="58" customFormat="1" ht="24" customHeight="1">
      <c r="A1380" s="10">
        <v>2</v>
      </c>
      <c r="B1380" s="37" t="s">
        <v>681</v>
      </c>
      <c r="C1380" s="38" t="s">
        <v>613</v>
      </c>
      <c r="D1380" s="41"/>
      <c r="E1380" s="40">
        <f>5900/1.1</f>
        <v>5363.6363636363631</v>
      </c>
      <c r="F1380" s="40"/>
      <c r="G1380" s="127"/>
      <c r="H1380" s="127"/>
      <c r="I1380" s="127"/>
      <c r="J1380" s="127"/>
      <c r="K1380" s="25" t="str">
        <f t="shared" si="323"/>
        <v>đ/mét</v>
      </c>
      <c r="L1380" s="120"/>
      <c r="M1380" s="123">
        <f t="shared" si="324"/>
        <v>5363.6363636363631</v>
      </c>
      <c r="N1380" s="123"/>
      <c r="O1380" s="71">
        <f t="shared" si="325"/>
        <v>5363.6363636363631</v>
      </c>
      <c r="P1380" s="71">
        <f t="shared" si="326"/>
        <v>5363.6363636363631</v>
      </c>
    </row>
    <row r="1381" spans="1:16" s="58" customFormat="1" ht="24" customHeight="1">
      <c r="A1381" s="10">
        <v>3</v>
      </c>
      <c r="B1381" s="37" t="s">
        <v>682</v>
      </c>
      <c r="C1381" s="38" t="s">
        <v>613</v>
      </c>
      <c r="D1381" s="41"/>
      <c r="E1381" s="40">
        <f>7050/1.1</f>
        <v>6409.090909090909</v>
      </c>
      <c r="F1381" s="40"/>
      <c r="G1381" s="127"/>
      <c r="H1381" s="127"/>
      <c r="I1381" s="127"/>
      <c r="J1381" s="127"/>
      <c r="K1381" s="25" t="str">
        <f t="shared" si="323"/>
        <v>đ/mét</v>
      </c>
      <c r="L1381" s="120"/>
      <c r="M1381" s="123">
        <f t="shared" si="324"/>
        <v>6409.090909090909</v>
      </c>
      <c r="N1381" s="123"/>
      <c r="O1381" s="71">
        <f t="shared" si="325"/>
        <v>6409.090909090909</v>
      </c>
      <c r="P1381" s="71">
        <f t="shared" si="326"/>
        <v>6409.090909090909</v>
      </c>
    </row>
    <row r="1382" spans="1:16" s="58" customFormat="1" ht="24" customHeight="1">
      <c r="A1382" s="10">
        <v>4</v>
      </c>
      <c r="B1382" s="37" t="s">
        <v>683</v>
      </c>
      <c r="C1382" s="38" t="s">
        <v>613</v>
      </c>
      <c r="D1382" s="41"/>
      <c r="E1382" s="40">
        <f>8500/1.1</f>
        <v>7727.272727272727</v>
      </c>
      <c r="F1382" s="40"/>
      <c r="G1382" s="127"/>
      <c r="H1382" s="127"/>
      <c r="I1382" s="127"/>
      <c r="J1382" s="127"/>
      <c r="K1382" s="25" t="str">
        <f t="shared" si="323"/>
        <v>đ/mét</v>
      </c>
      <c r="L1382" s="120"/>
      <c r="M1382" s="123">
        <f t="shared" si="324"/>
        <v>7727.272727272727</v>
      </c>
      <c r="N1382" s="123"/>
      <c r="O1382" s="71">
        <f t="shared" si="325"/>
        <v>7727.272727272727</v>
      </c>
      <c r="P1382" s="71">
        <f t="shared" si="326"/>
        <v>7727.272727272727</v>
      </c>
    </row>
    <row r="1383" spans="1:16" s="58" customFormat="1" ht="24" customHeight="1">
      <c r="A1383" s="10">
        <v>5</v>
      </c>
      <c r="B1383" s="37" t="s">
        <v>684</v>
      </c>
      <c r="C1383" s="38" t="s">
        <v>613</v>
      </c>
      <c r="D1383" s="41"/>
      <c r="E1383" s="40">
        <f>9600/1.1</f>
        <v>8727.2727272727261</v>
      </c>
      <c r="F1383" s="40"/>
      <c r="G1383" s="127"/>
      <c r="H1383" s="127"/>
      <c r="I1383" s="127"/>
      <c r="J1383" s="127"/>
      <c r="K1383" s="25" t="str">
        <f t="shared" si="323"/>
        <v>đ/mét</v>
      </c>
      <c r="L1383" s="120"/>
      <c r="M1383" s="123">
        <f t="shared" si="324"/>
        <v>8727.2727272727261</v>
      </c>
      <c r="N1383" s="123"/>
      <c r="O1383" s="71">
        <f t="shared" si="325"/>
        <v>8727.2727272727261</v>
      </c>
      <c r="P1383" s="71">
        <f t="shared" si="326"/>
        <v>8727.2727272727261</v>
      </c>
    </row>
    <row r="1384" spans="1:16" s="58" customFormat="1" ht="24" customHeight="1">
      <c r="A1384" s="10">
        <v>6</v>
      </c>
      <c r="B1384" s="37" t="s">
        <v>685</v>
      </c>
      <c r="C1384" s="38" t="s">
        <v>613</v>
      </c>
      <c r="D1384" s="41"/>
      <c r="E1384" s="40">
        <f>11000/1.1</f>
        <v>10000</v>
      </c>
      <c r="F1384" s="40"/>
      <c r="G1384" s="127"/>
      <c r="H1384" s="127"/>
      <c r="I1384" s="127"/>
      <c r="J1384" s="127"/>
      <c r="K1384" s="25" t="str">
        <f t="shared" si="323"/>
        <v>đ/mét</v>
      </c>
      <c r="L1384" s="120"/>
      <c r="M1384" s="123">
        <f t="shared" si="324"/>
        <v>10000</v>
      </c>
      <c r="N1384" s="123"/>
      <c r="O1384" s="71">
        <f t="shared" si="325"/>
        <v>10000</v>
      </c>
      <c r="P1384" s="71">
        <f t="shared" si="326"/>
        <v>10000</v>
      </c>
    </row>
    <row r="1385" spans="1:16" s="58" customFormat="1" ht="24" customHeight="1">
      <c r="A1385" s="10">
        <v>7</v>
      </c>
      <c r="B1385" s="37" t="s">
        <v>616</v>
      </c>
      <c r="C1385" s="38" t="s">
        <v>613</v>
      </c>
      <c r="D1385" s="18"/>
      <c r="E1385" s="40">
        <f>12300/1.1</f>
        <v>11181.81818181818</v>
      </c>
      <c r="F1385" s="40"/>
      <c r="G1385" s="127"/>
      <c r="H1385" s="127"/>
      <c r="I1385" s="127"/>
      <c r="J1385" s="127"/>
      <c r="K1385" s="25" t="str">
        <f t="shared" si="323"/>
        <v>đ/mét</v>
      </c>
      <c r="L1385" s="120"/>
      <c r="M1385" s="123">
        <f t="shared" si="324"/>
        <v>11181.81818181818</v>
      </c>
      <c r="N1385" s="123"/>
      <c r="O1385" s="71">
        <f t="shared" si="325"/>
        <v>11181.81818181818</v>
      </c>
      <c r="P1385" s="71">
        <f t="shared" si="326"/>
        <v>11181.81818181818</v>
      </c>
    </row>
    <row r="1386" spans="1:16" s="58" customFormat="1" ht="24" customHeight="1">
      <c r="A1386" s="10">
        <v>8</v>
      </c>
      <c r="B1386" s="37" t="s">
        <v>686</v>
      </c>
      <c r="C1386" s="38" t="s">
        <v>613</v>
      </c>
      <c r="D1386" s="18"/>
      <c r="E1386" s="40">
        <f>11850/1.1</f>
        <v>10772.727272727272</v>
      </c>
      <c r="F1386" s="40"/>
      <c r="G1386" s="127"/>
      <c r="H1386" s="127"/>
      <c r="I1386" s="127"/>
      <c r="J1386" s="127"/>
      <c r="K1386" s="25" t="str">
        <f t="shared" si="323"/>
        <v>đ/mét</v>
      </c>
      <c r="L1386" s="120"/>
      <c r="M1386" s="123">
        <f t="shared" si="324"/>
        <v>10772.727272727272</v>
      </c>
      <c r="N1386" s="123"/>
      <c r="O1386" s="71">
        <f t="shared" si="325"/>
        <v>10772.727272727272</v>
      </c>
      <c r="P1386" s="71">
        <f t="shared" si="326"/>
        <v>10772.727272727272</v>
      </c>
    </row>
    <row r="1387" spans="1:16" s="58" customFormat="1" ht="24" customHeight="1">
      <c r="A1387" s="10">
        <v>9</v>
      </c>
      <c r="B1387" s="37" t="s">
        <v>687</v>
      </c>
      <c r="C1387" s="38" t="s">
        <v>613</v>
      </c>
      <c r="D1387" s="18"/>
      <c r="E1387" s="40">
        <f>13800/1.1</f>
        <v>12545.454545454544</v>
      </c>
      <c r="F1387" s="40"/>
      <c r="G1387" s="127"/>
      <c r="H1387" s="127"/>
      <c r="I1387" s="127"/>
      <c r="J1387" s="127"/>
      <c r="K1387" s="25" t="str">
        <f t="shared" si="323"/>
        <v>đ/mét</v>
      </c>
      <c r="L1387" s="120"/>
      <c r="M1387" s="123">
        <f t="shared" si="324"/>
        <v>12545.454545454544</v>
      </c>
      <c r="N1387" s="123"/>
      <c r="O1387" s="71">
        <f t="shared" si="325"/>
        <v>12545.454545454544</v>
      </c>
      <c r="P1387" s="71">
        <f t="shared" si="326"/>
        <v>12545.454545454544</v>
      </c>
    </row>
    <row r="1388" spans="1:16" s="58" customFormat="1" ht="24" customHeight="1">
      <c r="A1388" s="10">
        <v>10</v>
      </c>
      <c r="B1388" s="37" t="s">
        <v>688</v>
      </c>
      <c r="C1388" s="38" t="s">
        <v>613</v>
      </c>
      <c r="D1388" s="41"/>
      <c r="E1388" s="40">
        <f>17100/1.1</f>
        <v>15545.454545454544</v>
      </c>
      <c r="F1388" s="40"/>
      <c r="G1388" s="127"/>
      <c r="H1388" s="127"/>
      <c r="I1388" s="127"/>
      <c r="J1388" s="127"/>
      <c r="K1388" s="25" t="str">
        <f t="shared" si="323"/>
        <v>đ/mét</v>
      </c>
      <c r="L1388" s="120"/>
      <c r="M1388" s="123">
        <f t="shared" si="324"/>
        <v>15545.454545454544</v>
      </c>
      <c r="N1388" s="123"/>
      <c r="O1388" s="71">
        <f t="shared" si="325"/>
        <v>15545.454545454544</v>
      </c>
      <c r="P1388" s="71">
        <f t="shared" si="326"/>
        <v>15545.454545454544</v>
      </c>
    </row>
    <row r="1389" spans="1:16" s="58" customFormat="1" ht="24" customHeight="1">
      <c r="A1389" s="10">
        <v>11</v>
      </c>
      <c r="B1389" s="37" t="s">
        <v>689</v>
      </c>
      <c r="C1389" s="38" t="s">
        <v>613</v>
      </c>
      <c r="D1389" s="18"/>
      <c r="E1389" s="40">
        <f>17800/1.1</f>
        <v>16181.81818181818</v>
      </c>
      <c r="F1389" s="40"/>
      <c r="G1389" s="127"/>
      <c r="H1389" s="127"/>
      <c r="I1389" s="127"/>
      <c r="J1389" s="127"/>
      <c r="K1389" s="25" t="str">
        <f t="shared" si="323"/>
        <v>đ/mét</v>
      </c>
      <c r="L1389" s="120"/>
      <c r="M1389" s="123">
        <f t="shared" si="324"/>
        <v>16181.81818181818</v>
      </c>
      <c r="N1389" s="123"/>
      <c r="O1389" s="71">
        <f t="shared" si="325"/>
        <v>16181.81818181818</v>
      </c>
      <c r="P1389" s="71">
        <f t="shared" si="326"/>
        <v>16181.81818181818</v>
      </c>
    </row>
    <row r="1390" spans="1:16" s="58" customFormat="1" ht="24" customHeight="1">
      <c r="A1390" s="10">
        <v>12</v>
      </c>
      <c r="B1390" s="37" t="s">
        <v>690</v>
      </c>
      <c r="C1390" s="38" t="s">
        <v>613</v>
      </c>
      <c r="D1390" s="41"/>
      <c r="E1390" s="40">
        <f>19600/1.1</f>
        <v>17818.181818181816</v>
      </c>
      <c r="F1390" s="40"/>
      <c r="G1390" s="127"/>
      <c r="H1390" s="127"/>
      <c r="I1390" s="127"/>
      <c r="J1390" s="127"/>
      <c r="K1390" s="25" t="str">
        <f t="shared" si="323"/>
        <v>đ/mét</v>
      </c>
      <c r="L1390" s="120"/>
      <c r="M1390" s="123">
        <f t="shared" si="324"/>
        <v>17818.181818181816</v>
      </c>
      <c r="N1390" s="123"/>
      <c r="O1390" s="71">
        <f t="shared" si="325"/>
        <v>17818.181818181816</v>
      </c>
      <c r="P1390" s="71">
        <f t="shared" si="326"/>
        <v>17818.181818181816</v>
      </c>
    </row>
    <row r="1391" spans="1:16" s="58" customFormat="1" ht="24" customHeight="1">
      <c r="A1391" s="10">
        <v>13</v>
      </c>
      <c r="B1391" s="37" t="s">
        <v>691</v>
      </c>
      <c r="C1391" s="38" t="s">
        <v>613</v>
      </c>
      <c r="D1391" s="41"/>
      <c r="E1391" s="40">
        <f>22000/1.1</f>
        <v>20000</v>
      </c>
      <c r="F1391" s="40"/>
      <c r="G1391" s="127"/>
      <c r="H1391" s="127"/>
      <c r="I1391" s="127"/>
      <c r="J1391" s="127"/>
      <c r="K1391" s="25" t="str">
        <f t="shared" si="323"/>
        <v>đ/mét</v>
      </c>
      <c r="L1391" s="120"/>
      <c r="M1391" s="123">
        <f t="shared" si="324"/>
        <v>20000</v>
      </c>
      <c r="N1391" s="123"/>
      <c r="O1391" s="71">
        <f t="shared" si="325"/>
        <v>20000</v>
      </c>
      <c r="P1391" s="71">
        <f t="shared" si="326"/>
        <v>20000</v>
      </c>
    </row>
    <row r="1392" spans="1:16" s="58" customFormat="1" ht="24" customHeight="1">
      <c r="A1392" s="10">
        <v>14</v>
      </c>
      <c r="B1392" s="37" t="s">
        <v>692</v>
      </c>
      <c r="C1392" s="38" t="s">
        <v>613</v>
      </c>
      <c r="D1392" s="41"/>
      <c r="E1392" s="40">
        <f>18700/1.1</f>
        <v>17000</v>
      </c>
      <c r="F1392" s="40"/>
      <c r="G1392" s="127"/>
      <c r="H1392" s="127"/>
      <c r="I1392" s="127"/>
      <c r="J1392" s="127"/>
      <c r="K1392" s="25" t="str">
        <f t="shared" si="323"/>
        <v>đ/mét</v>
      </c>
      <c r="L1392" s="120"/>
      <c r="M1392" s="123">
        <f t="shared" si="324"/>
        <v>17000</v>
      </c>
      <c r="N1392" s="123"/>
      <c r="O1392" s="71">
        <f t="shared" si="325"/>
        <v>17000</v>
      </c>
      <c r="P1392" s="71">
        <f t="shared" si="326"/>
        <v>17000</v>
      </c>
    </row>
    <row r="1393" spans="1:16" s="58" customFormat="1" ht="24" customHeight="1">
      <c r="A1393" s="10">
        <v>15</v>
      </c>
      <c r="B1393" s="37" t="s">
        <v>693</v>
      </c>
      <c r="C1393" s="38" t="s">
        <v>613</v>
      </c>
      <c r="D1393" s="41"/>
      <c r="E1393" s="40">
        <f>19900/1.1</f>
        <v>18090.909090909088</v>
      </c>
      <c r="F1393" s="40"/>
      <c r="G1393" s="127"/>
      <c r="H1393" s="127"/>
      <c r="I1393" s="127"/>
      <c r="J1393" s="127"/>
      <c r="K1393" s="25" t="str">
        <f t="shared" si="323"/>
        <v>đ/mét</v>
      </c>
      <c r="L1393" s="120"/>
      <c r="M1393" s="123">
        <f t="shared" si="324"/>
        <v>18090.909090909088</v>
      </c>
      <c r="N1393" s="123"/>
      <c r="O1393" s="71">
        <f t="shared" si="325"/>
        <v>18090.909090909088</v>
      </c>
      <c r="P1393" s="71">
        <f t="shared" si="326"/>
        <v>18090.909090909088</v>
      </c>
    </row>
    <row r="1394" spans="1:16" s="58" customFormat="1" ht="24" customHeight="1">
      <c r="A1394" s="10">
        <v>16</v>
      </c>
      <c r="B1394" s="37" t="s">
        <v>694</v>
      </c>
      <c r="C1394" s="38" t="s">
        <v>613</v>
      </c>
      <c r="D1394" s="41"/>
      <c r="E1394" s="40">
        <f>23500/1.1</f>
        <v>21363.63636363636</v>
      </c>
      <c r="F1394" s="40"/>
      <c r="G1394" s="127"/>
      <c r="H1394" s="127"/>
      <c r="I1394" s="127"/>
      <c r="J1394" s="127"/>
      <c r="K1394" s="25" t="str">
        <f t="shared" si="323"/>
        <v>đ/mét</v>
      </c>
      <c r="L1394" s="120"/>
      <c r="M1394" s="123">
        <f t="shared" si="324"/>
        <v>21363.63636363636</v>
      </c>
      <c r="N1394" s="123"/>
      <c r="O1394" s="71">
        <f t="shared" si="325"/>
        <v>21363.63636363636</v>
      </c>
      <c r="P1394" s="71">
        <f t="shared" si="326"/>
        <v>21363.63636363636</v>
      </c>
    </row>
    <row r="1395" spans="1:16" s="58" customFormat="1" ht="24" customHeight="1">
      <c r="A1395" s="10">
        <v>17</v>
      </c>
      <c r="B1395" s="37" t="s">
        <v>695</v>
      </c>
      <c r="C1395" s="38" t="s">
        <v>613</v>
      </c>
      <c r="D1395" s="41"/>
      <c r="E1395" s="40">
        <f>28550/1.1</f>
        <v>25954.545454545452</v>
      </c>
      <c r="F1395" s="40"/>
      <c r="G1395" s="127"/>
      <c r="H1395" s="127"/>
      <c r="I1395" s="127"/>
      <c r="J1395" s="127"/>
      <c r="K1395" s="25" t="str">
        <f t="shared" ref="K1395:K1403" si="327">C1395</f>
        <v>đ/mét</v>
      </c>
      <c r="L1395" s="120"/>
      <c r="M1395" s="123">
        <f t="shared" ref="M1395:M1403" si="328">E1395</f>
        <v>25954.545454545452</v>
      </c>
      <c r="N1395" s="120"/>
      <c r="O1395" s="71">
        <f t="shared" si="325"/>
        <v>25954.545454545452</v>
      </c>
      <c r="P1395" s="71">
        <f t="shared" si="326"/>
        <v>25954.545454545452</v>
      </c>
    </row>
    <row r="1396" spans="1:16" s="58" customFormat="1" ht="24" customHeight="1">
      <c r="A1396" s="10">
        <v>18</v>
      </c>
      <c r="B1396" s="37" t="s">
        <v>696</v>
      </c>
      <c r="C1396" s="38" t="s">
        <v>613</v>
      </c>
      <c r="D1396" s="41"/>
      <c r="E1396" s="40">
        <f>34750/1.1</f>
        <v>31590.909090909088</v>
      </c>
      <c r="F1396" s="40"/>
      <c r="G1396" s="127"/>
      <c r="H1396" s="127"/>
      <c r="I1396" s="127"/>
      <c r="J1396" s="127"/>
      <c r="K1396" s="25" t="str">
        <f t="shared" si="327"/>
        <v>đ/mét</v>
      </c>
      <c r="L1396" s="120"/>
      <c r="M1396" s="123">
        <f t="shared" si="328"/>
        <v>31590.909090909088</v>
      </c>
      <c r="N1396" s="120"/>
      <c r="O1396" s="71">
        <f t="shared" si="325"/>
        <v>31590.909090909088</v>
      </c>
      <c r="P1396" s="71">
        <f t="shared" si="326"/>
        <v>31590.909090909088</v>
      </c>
    </row>
    <row r="1397" spans="1:16" s="58" customFormat="1" ht="24" customHeight="1">
      <c r="A1397" s="10">
        <v>19</v>
      </c>
      <c r="B1397" s="37" t="s">
        <v>697</v>
      </c>
      <c r="C1397" s="38" t="s">
        <v>613</v>
      </c>
      <c r="D1397" s="41"/>
      <c r="E1397" s="40">
        <f>30800/1.1</f>
        <v>27999.999999999996</v>
      </c>
      <c r="F1397" s="40"/>
      <c r="G1397" s="127"/>
      <c r="H1397" s="127"/>
      <c r="I1397" s="127"/>
      <c r="J1397" s="127"/>
      <c r="K1397" s="25" t="str">
        <f t="shared" si="327"/>
        <v>đ/mét</v>
      </c>
      <c r="L1397" s="120"/>
      <c r="M1397" s="123">
        <f t="shared" si="328"/>
        <v>27999.999999999996</v>
      </c>
      <c r="N1397" s="120"/>
      <c r="O1397" s="71">
        <f t="shared" si="325"/>
        <v>27999.999999999996</v>
      </c>
      <c r="P1397" s="71">
        <f t="shared" si="326"/>
        <v>27999.999999999996</v>
      </c>
    </row>
    <row r="1398" spans="1:16" s="58" customFormat="1" ht="24" customHeight="1">
      <c r="A1398" s="10">
        <v>20</v>
      </c>
      <c r="B1398" s="37" t="s">
        <v>698</v>
      </c>
      <c r="C1398" s="38" t="s">
        <v>613</v>
      </c>
      <c r="D1398" s="41"/>
      <c r="E1398" s="40">
        <f>42200/1.1</f>
        <v>38363.63636363636</v>
      </c>
      <c r="F1398" s="40"/>
      <c r="G1398" s="127"/>
      <c r="H1398" s="127"/>
      <c r="I1398" s="127"/>
      <c r="J1398" s="127"/>
      <c r="K1398" s="25" t="str">
        <f t="shared" si="327"/>
        <v>đ/mét</v>
      </c>
      <c r="L1398" s="120"/>
      <c r="M1398" s="123">
        <f t="shared" si="328"/>
        <v>38363.63636363636</v>
      </c>
      <c r="N1398" s="120"/>
      <c r="O1398" s="71">
        <f t="shared" si="325"/>
        <v>38363.63636363636</v>
      </c>
      <c r="P1398" s="71">
        <f t="shared" si="326"/>
        <v>38363.63636363636</v>
      </c>
    </row>
    <row r="1399" spans="1:16" s="58" customFormat="1" ht="24" customHeight="1">
      <c r="A1399" s="10">
        <v>21</v>
      </c>
      <c r="B1399" s="37" t="s">
        <v>699</v>
      </c>
      <c r="C1399" s="38" t="s">
        <v>613</v>
      </c>
      <c r="D1399" s="41"/>
      <c r="E1399" s="40">
        <f>45900/1.1</f>
        <v>41727.272727272721</v>
      </c>
      <c r="F1399" s="40"/>
      <c r="G1399" s="127"/>
      <c r="H1399" s="127"/>
      <c r="I1399" s="127"/>
      <c r="J1399" s="127"/>
      <c r="K1399" s="25" t="str">
        <f t="shared" si="327"/>
        <v>đ/mét</v>
      </c>
      <c r="L1399" s="120"/>
      <c r="M1399" s="123">
        <f t="shared" si="328"/>
        <v>41727.272727272721</v>
      </c>
      <c r="N1399" s="120"/>
      <c r="O1399" s="71">
        <f t="shared" si="325"/>
        <v>41727.272727272721</v>
      </c>
      <c r="P1399" s="71">
        <f t="shared" si="326"/>
        <v>41727.272727272721</v>
      </c>
    </row>
    <row r="1400" spans="1:16" s="58" customFormat="1" ht="24" customHeight="1">
      <c r="A1400" s="10">
        <v>22</v>
      </c>
      <c r="B1400" s="37" t="s">
        <v>700</v>
      </c>
      <c r="C1400" s="38" t="s">
        <v>613</v>
      </c>
      <c r="D1400" s="41"/>
      <c r="E1400" s="40">
        <f>66100/1.1</f>
        <v>60090.909090909088</v>
      </c>
      <c r="F1400" s="40"/>
      <c r="G1400" s="127"/>
      <c r="H1400" s="127"/>
      <c r="I1400" s="127"/>
      <c r="J1400" s="127"/>
      <c r="K1400" s="25" t="str">
        <f t="shared" si="327"/>
        <v>đ/mét</v>
      </c>
      <c r="L1400" s="120"/>
      <c r="M1400" s="123">
        <f t="shared" si="328"/>
        <v>60090.909090909088</v>
      </c>
      <c r="N1400" s="120"/>
      <c r="O1400" s="71">
        <f t="shared" si="325"/>
        <v>60090.909090909088</v>
      </c>
      <c r="P1400" s="71">
        <f t="shared" si="326"/>
        <v>60090.909090909088</v>
      </c>
    </row>
    <row r="1401" spans="1:16" s="58" customFormat="1" ht="24" customHeight="1">
      <c r="A1401" s="10">
        <v>23</v>
      </c>
      <c r="B1401" s="37" t="s">
        <v>701</v>
      </c>
      <c r="C1401" s="38" t="s">
        <v>613</v>
      </c>
      <c r="D1401" s="41"/>
      <c r="E1401" s="40">
        <f>43200/1.1</f>
        <v>39272.727272727272</v>
      </c>
      <c r="F1401" s="40"/>
      <c r="G1401" s="127"/>
      <c r="H1401" s="127"/>
      <c r="I1401" s="127"/>
      <c r="J1401" s="127"/>
      <c r="K1401" s="25" t="str">
        <f t="shared" si="327"/>
        <v>đ/mét</v>
      </c>
      <c r="L1401" s="120"/>
      <c r="M1401" s="123">
        <f t="shared" si="328"/>
        <v>39272.727272727272</v>
      </c>
      <c r="N1401" s="120"/>
      <c r="O1401" s="71">
        <f t="shared" si="325"/>
        <v>39272.727272727272</v>
      </c>
      <c r="P1401" s="71">
        <f t="shared" si="326"/>
        <v>39272.727272727272</v>
      </c>
    </row>
    <row r="1402" spans="1:16" s="58" customFormat="1" ht="24" customHeight="1">
      <c r="A1402" s="10">
        <v>24</v>
      </c>
      <c r="B1402" s="37" t="s">
        <v>702</v>
      </c>
      <c r="C1402" s="38" t="s">
        <v>613</v>
      </c>
      <c r="D1402" s="41"/>
      <c r="E1402" s="40">
        <f>62100/1.1</f>
        <v>56454.545454545449</v>
      </c>
      <c r="F1402" s="40"/>
      <c r="G1402" s="127"/>
      <c r="H1402" s="127"/>
      <c r="I1402" s="127"/>
      <c r="J1402" s="127"/>
      <c r="K1402" s="25" t="str">
        <f t="shared" si="327"/>
        <v>đ/mét</v>
      </c>
      <c r="L1402" s="120"/>
      <c r="M1402" s="123">
        <f t="shared" si="328"/>
        <v>56454.545454545449</v>
      </c>
      <c r="N1402" s="120"/>
      <c r="O1402" s="71">
        <f t="shared" si="325"/>
        <v>56454.545454545449</v>
      </c>
      <c r="P1402" s="71">
        <f t="shared" si="326"/>
        <v>56454.545454545449</v>
      </c>
    </row>
    <row r="1403" spans="1:16" s="58" customFormat="1" ht="24" customHeight="1">
      <c r="A1403" s="10">
        <v>25</v>
      </c>
      <c r="B1403" s="37" t="s">
        <v>703</v>
      </c>
      <c r="C1403" s="38" t="s">
        <v>613</v>
      </c>
      <c r="D1403" s="41"/>
      <c r="E1403" s="40">
        <f>71400/1.1</f>
        <v>64909.090909090904</v>
      </c>
      <c r="F1403" s="40"/>
      <c r="G1403" s="127"/>
      <c r="H1403" s="127"/>
      <c r="I1403" s="127"/>
      <c r="J1403" s="127"/>
      <c r="K1403" s="25" t="str">
        <f t="shared" si="327"/>
        <v>đ/mét</v>
      </c>
      <c r="L1403" s="120"/>
      <c r="M1403" s="123">
        <f t="shared" si="328"/>
        <v>64909.090909090904</v>
      </c>
      <c r="N1403" s="120"/>
      <c r="O1403" s="71">
        <f t="shared" si="325"/>
        <v>64909.090909090904</v>
      </c>
      <c r="P1403" s="71">
        <f t="shared" si="326"/>
        <v>64909.090909090904</v>
      </c>
    </row>
    <row r="1404" spans="1:16" s="58" customFormat="1" ht="17.25">
      <c r="A1404" s="10"/>
      <c r="B1404" s="237" t="s">
        <v>1094</v>
      </c>
      <c r="C1404" s="238"/>
      <c r="D1404" s="238"/>
      <c r="E1404" s="238"/>
      <c r="F1404" s="238"/>
      <c r="G1404" s="238"/>
      <c r="H1404" s="238"/>
      <c r="I1404" s="238"/>
      <c r="J1404" s="238"/>
      <c r="K1404" s="238"/>
      <c r="L1404" s="238"/>
      <c r="M1404" s="238"/>
      <c r="N1404" s="239"/>
      <c r="O1404" s="69"/>
      <c r="P1404" s="69"/>
    </row>
    <row r="1405" spans="1:16" s="58" customFormat="1" ht="28.5" customHeight="1">
      <c r="A1405" s="10">
        <f>+A1403+1</f>
        <v>26</v>
      </c>
      <c r="B1405" s="37" t="s">
        <v>704</v>
      </c>
      <c r="C1405" s="38" t="s">
        <v>613</v>
      </c>
      <c r="D1405" s="40"/>
      <c r="E1405" s="40">
        <f>95500/1.1</f>
        <v>86818.181818181809</v>
      </c>
      <c r="F1405" s="40"/>
      <c r="G1405" s="127"/>
      <c r="H1405" s="127"/>
      <c r="I1405" s="127"/>
      <c r="J1405" s="127"/>
      <c r="K1405" s="25" t="str">
        <f t="shared" ref="K1405:K1425" si="329">C1405</f>
        <v>đ/mét</v>
      </c>
      <c r="L1405" s="120"/>
      <c r="M1405" s="123">
        <f t="shared" ref="M1405:M1425" si="330">E1405</f>
        <v>86818.181818181809</v>
      </c>
      <c r="N1405" s="120"/>
      <c r="O1405" s="71">
        <f t="shared" ref="O1405:O1425" si="331">E1405</f>
        <v>86818.181818181809</v>
      </c>
      <c r="P1405" s="71">
        <f t="shared" ref="P1405:P1425" si="332">M1405</f>
        <v>86818.181818181809</v>
      </c>
    </row>
    <row r="1406" spans="1:16" s="58" customFormat="1" ht="28.5" customHeight="1">
      <c r="A1406" s="10">
        <f t="shared" ref="A1406:A1425" si="333">+A1405+1</f>
        <v>27</v>
      </c>
      <c r="B1406" s="37" t="s">
        <v>705</v>
      </c>
      <c r="C1406" s="38" t="s">
        <v>613</v>
      </c>
      <c r="D1406" s="40"/>
      <c r="E1406" s="40">
        <f>85400/1.1</f>
        <v>77636.363636363632</v>
      </c>
      <c r="F1406" s="40"/>
      <c r="G1406" s="127"/>
      <c r="H1406" s="127"/>
      <c r="I1406" s="127"/>
      <c r="J1406" s="127"/>
      <c r="K1406" s="25" t="str">
        <f t="shared" si="329"/>
        <v>đ/mét</v>
      </c>
      <c r="L1406" s="120"/>
      <c r="M1406" s="123">
        <f t="shared" si="330"/>
        <v>77636.363636363632</v>
      </c>
      <c r="N1406" s="120"/>
      <c r="O1406" s="71">
        <f t="shared" si="331"/>
        <v>77636.363636363632</v>
      </c>
      <c r="P1406" s="71">
        <f t="shared" si="332"/>
        <v>77636.363636363632</v>
      </c>
    </row>
    <row r="1407" spans="1:16" s="58" customFormat="1" ht="28.5" customHeight="1">
      <c r="A1407" s="10">
        <f t="shared" si="333"/>
        <v>28</v>
      </c>
      <c r="B1407" s="37" t="s">
        <v>706</v>
      </c>
      <c r="C1407" s="38" t="s">
        <v>613</v>
      </c>
      <c r="D1407" s="40"/>
      <c r="E1407" s="40">
        <f>93700/1.1</f>
        <v>85181.818181818177</v>
      </c>
      <c r="F1407" s="40"/>
      <c r="G1407" s="127"/>
      <c r="H1407" s="127"/>
      <c r="I1407" s="127"/>
      <c r="J1407" s="127"/>
      <c r="K1407" s="25" t="str">
        <f t="shared" si="329"/>
        <v>đ/mét</v>
      </c>
      <c r="L1407" s="120"/>
      <c r="M1407" s="123">
        <f t="shared" si="330"/>
        <v>85181.818181818177</v>
      </c>
      <c r="N1407" s="120"/>
      <c r="O1407" s="71">
        <f t="shared" si="331"/>
        <v>85181.818181818177</v>
      </c>
      <c r="P1407" s="71">
        <f t="shared" si="332"/>
        <v>85181.818181818177</v>
      </c>
    </row>
    <row r="1408" spans="1:16" s="58" customFormat="1" ht="28.5" customHeight="1">
      <c r="A1408" s="10">
        <f t="shared" si="333"/>
        <v>29</v>
      </c>
      <c r="B1408" s="37" t="s">
        <v>707</v>
      </c>
      <c r="C1408" s="38" t="s">
        <v>613</v>
      </c>
      <c r="D1408" s="40"/>
      <c r="E1408" s="40">
        <f>104650/1.1</f>
        <v>95136.363636363632</v>
      </c>
      <c r="F1408" s="40"/>
      <c r="G1408" s="127"/>
      <c r="H1408" s="127"/>
      <c r="I1408" s="127"/>
      <c r="J1408" s="127"/>
      <c r="K1408" s="25" t="str">
        <f t="shared" si="329"/>
        <v>đ/mét</v>
      </c>
      <c r="L1408" s="120"/>
      <c r="M1408" s="123">
        <f t="shared" si="330"/>
        <v>95136.363636363632</v>
      </c>
      <c r="N1408" s="120"/>
      <c r="O1408" s="71">
        <f t="shared" si="331"/>
        <v>95136.363636363632</v>
      </c>
      <c r="P1408" s="71">
        <f t="shared" si="332"/>
        <v>95136.363636363632</v>
      </c>
    </row>
    <row r="1409" spans="1:16" s="58" customFormat="1" ht="28.5" customHeight="1">
      <c r="A1409" s="10">
        <f t="shared" si="333"/>
        <v>30</v>
      </c>
      <c r="B1409" s="37" t="s">
        <v>708</v>
      </c>
      <c r="C1409" s="38" t="s">
        <v>613</v>
      </c>
      <c r="D1409" s="40"/>
      <c r="E1409" s="40">
        <f>141900/1.1</f>
        <v>128999.99999999999</v>
      </c>
      <c r="F1409" s="40"/>
      <c r="G1409" s="127"/>
      <c r="H1409" s="127"/>
      <c r="I1409" s="127"/>
      <c r="J1409" s="127"/>
      <c r="K1409" s="25" t="str">
        <f t="shared" si="329"/>
        <v>đ/mét</v>
      </c>
      <c r="L1409" s="120"/>
      <c r="M1409" s="123">
        <f t="shared" si="330"/>
        <v>128999.99999999999</v>
      </c>
      <c r="N1409" s="120"/>
      <c r="O1409" s="71">
        <f t="shared" si="331"/>
        <v>128999.99999999999</v>
      </c>
      <c r="P1409" s="71">
        <f t="shared" si="332"/>
        <v>128999.99999999999</v>
      </c>
    </row>
    <row r="1410" spans="1:16" s="58" customFormat="1" ht="28.5" customHeight="1">
      <c r="A1410" s="10">
        <f t="shared" si="333"/>
        <v>31</v>
      </c>
      <c r="B1410" s="37" t="s">
        <v>709</v>
      </c>
      <c r="C1410" s="38" t="s">
        <v>613</v>
      </c>
      <c r="D1410" s="40"/>
      <c r="E1410" s="40">
        <f>127900/1.1</f>
        <v>116272.72727272726</v>
      </c>
      <c r="F1410" s="40"/>
      <c r="G1410" s="127"/>
      <c r="H1410" s="127"/>
      <c r="I1410" s="127"/>
      <c r="J1410" s="127"/>
      <c r="K1410" s="25" t="str">
        <f t="shared" si="329"/>
        <v>đ/mét</v>
      </c>
      <c r="L1410" s="120"/>
      <c r="M1410" s="123">
        <f t="shared" si="330"/>
        <v>116272.72727272726</v>
      </c>
      <c r="N1410" s="120"/>
      <c r="O1410" s="71">
        <f t="shared" si="331"/>
        <v>116272.72727272726</v>
      </c>
      <c r="P1410" s="71">
        <f t="shared" si="332"/>
        <v>116272.72727272726</v>
      </c>
    </row>
    <row r="1411" spans="1:16" s="58" customFormat="1" ht="28.5" customHeight="1">
      <c r="A1411" s="10">
        <f t="shared" si="333"/>
        <v>32</v>
      </c>
      <c r="B1411" s="37" t="s">
        <v>710</v>
      </c>
      <c r="C1411" s="38" t="s">
        <v>613</v>
      </c>
      <c r="D1411" s="40"/>
      <c r="E1411" s="40">
        <f>149400/1.1</f>
        <v>135818.18181818179</v>
      </c>
      <c r="F1411" s="40"/>
      <c r="G1411" s="127"/>
      <c r="H1411" s="127"/>
      <c r="I1411" s="127"/>
      <c r="J1411" s="127"/>
      <c r="K1411" s="25" t="str">
        <f t="shared" si="329"/>
        <v>đ/mét</v>
      </c>
      <c r="L1411" s="120"/>
      <c r="M1411" s="123">
        <f t="shared" si="330"/>
        <v>135818.18181818179</v>
      </c>
      <c r="N1411" s="120"/>
      <c r="O1411" s="71">
        <f t="shared" si="331"/>
        <v>135818.18181818179</v>
      </c>
      <c r="P1411" s="71">
        <f t="shared" si="332"/>
        <v>135818.18181818179</v>
      </c>
    </row>
    <row r="1412" spans="1:16" s="58" customFormat="1" ht="28.5" customHeight="1">
      <c r="A1412" s="10">
        <f t="shared" si="333"/>
        <v>33</v>
      </c>
      <c r="B1412" s="37" t="s">
        <v>711</v>
      </c>
      <c r="C1412" s="38" t="s">
        <v>613</v>
      </c>
      <c r="D1412" s="40"/>
      <c r="E1412" s="40">
        <f>178000/1.1</f>
        <v>161818.18181818179</v>
      </c>
      <c r="F1412" s="40"/>
      <c r="G1412" s="127"/>
      <c r="H1412" s="127"/>
      <c r="I1412" s="127"/>
      <c r="J1412" s="127"/>
      <c r="K1412" s="25" t="str">
        <f t="shared" si="329"/>
        <v>đ/mét</v>
      </c>
      <c r="L1412" s="120"/>
      <c r="M1412" s="123">
        <f t="shared" si="330"/>
        <v>161818.18181818179</v>
      </c>
      <c r="N1412" s="120"/>
      <c r="O1412" s="71">
        <f t="shared" si="331"/>
        <v>161818.18181818179</v>
      </c>
      <c r="P1412" s="71">
        <f t="shared" si="332"/>
        <v>161818.18181818179</v>
      </c>
    </row>
    <row r="1413" spans="1:16" s="58" customFormat="1" ht="28.5" customHeight="1">
      <c r="A1413" s="10">
        <f t="shared" si="333"/>
        <v>34</v>
      </c>
      <c r="B1413" s="37" t="s">
        <v>712</v>
      </c>
      <c r="C1413" s="38" t="s">
        <v>613</v>
      </c>
      <c r="D1413" s="40"/>
      <c r="E1413" s="40">
        <f>218800/1.1</f>
        <v>198909.09090909088</v>
      </c>
      <c r="F1413" s="40"/>
      <c r="G1413" s="127"/>
      <c r="H1413" s="127"/>
      <c r="I1413" s="127"/>
      <c r="J1413" s="127"/>
      <c r="K1413" s="25" t="str">
        <f t="shared" si="329"/>
        <v>đ/mét</v>
      </c>
      <c r="L1413" s="120"/>
      <c r="M1413" s="123">
        <f t="shared" si="330"/>
        <v>198909.09090909088</v>
      </c>
      <c r="N1413" s="120"/>
      <c r="O1413" s="71">
        <f t="shared" si="331"/>
        <v>198909.09090909088</v>
      </c>
      <c r="P1413" s="71">
        <f t="shared" si="332"/>
        <v>198909.09090909088</v>
      </c>
    </row>
    <row r="1414" spans="1:16" s="58" customFormat="1" ht="28.5" customHeight="1">
      <c r="A1414" s="10">
        <f t="shared" si="333"/>
        <v>35</v>
      </c>
      <c r="B1414" s="37" t="s">
        <v>713</v>
      </c>
      <c r="C1414" s="38" t="s">
        <v>613</v>
      </c>
      <c r="D1414" s="40"/>
      <c r="E1414" s="40">
        <f>231200/1.1</f>
        <v>210181.81818181818</v>
      </c>
      <c r="F1414" s="40"/>
      <c r="G1414" s="127"/>
      <c r="H1414" s="127"/>
      <c r="I1414" s="127"/>
      <c r="J1414" s="127"/>
      <c r="K1414" s="25" t="str">
        <f t="shared" si="329"/>
        <v>đ/mét</v>
      </c>
      <c r="L1414" s="120"/>
      <c r="M1414" s="123">
        <f t="shared" si="330"/>
        <v>210181.81818181818</v>
      </c>
      <c r="N1414" s="120"/>
      <c r="O1414" s="71">
        <f t="shared" si="331"/>
        <v>210181.81818181818</v>
      </c>
      <c r="P1414" s="71">
        <f t="shared" si="332"/>
        <v>210181.81818181818</v>
      </c>
    </row>
    <row r="1415" spans="1:16" s="58" customFormat="1" ht="28.5" customHeight="1">
      <c r="A1415" s="10">
        <f t="shared" si="333"/>
        <v>36</v>
      </c>
      <c r="B1415" s="37" t="s">
        <v>714</v>
      </c>
      <c r="C1415" s="38" t="s">
        <v>613</v>
      </c>
      <c r="D1415" s="40"/>
      <c r="E1415" s="40">
        <f>270000/1.1</f>
        <v>245454.54545454544</v>
      </c>
      <c r="F1415" s="40"/>
      <c r="G1415" s="127"/>
      <c r="H1415" s="127"/>
      <c r="I1415" s="127"/>
      <c r="J1415" s="127"/>
      <c r="K1415" s="25" t="str">
        <f t="shared" si="329"/>
        <v>đ/mét</v>
      </c>
      <c r="L1415" s="120"/>
      <c r="M1415" s="123">
        <f t="shared" si="330"/>
        <v>245454.54545454544</v>
      </c>
      <c r="N1415" s="120"/>
      <c r="O1415" s="71">
        <f t="shared" si="331"/>
        <v>245454.54545454544</v>
      </c>
      <c r="P1415" s="71">
        <f t="shared" si="332"/>
        <v>245454.54545454544</v>
      </c>
    </row>
    <row r="1416" spans="1:16" s="58" customFormat="1" ht="28.5" customHeight="1">
      <c r="A1416" s="10">
        <f t="shared" si="333"/>
        <v>37</v>
      </c>
      <c r="B1416" s="37" t="s">
        <v>715</v>
      </c>
      <c r="C1416" s="38" t="s">
        <v>613</v>
      </c>
      <c r="D1416" s="40"/>
      <c r="E1416" s="40">
        <f>341000/1.1</f>
        <v>310000</v>
      </c>
      <c r="F1416" s="40"/>
      <c r="G1416" s="127"/>
      <c r="H1416" s="127"/>
      <c r="I1416" s="127"/>
      <c r="J1416" s="127"/>
      <c r="K1416" s="25" t="str">
        <f t="shared" si="329"/>
        <v>đ/mét</v>
      </c>
      <c r="L1416" s="120"/>
      <c r="M1416" s="123">
        <f t="shared" si="330"/>
        <v>310000</v>
      </c>
      <c r="N1416" s="120"/>
      <c r="O1416" s="71">
        <f t="shared" si="331"/>
        <v>310000</v>
      </c>
      <c r="P1416" s="71">
        <f t="shared" si="332"/>
        <v>310000</v>
      </c>
    </row>
    <row r="1417" spans="1:16" s="58" customFormat="1" ht="28.5" customHeight="1">
      <c r="A1417" s="10">
        <f t="shared" si="333"/>
        <v>38</v>
      </c>
      <c r="B1417" s="37" t="s">
        <v>716</v>
      </c>
      <c r="C1417" s="38" t="s">
        <v>613</v>
      </c>
      <c r="D1417" s="40"/>
      <c r="E1417" s="40">
        <f>355100/1.1</f>
        <v>322818.18181818177</v>
      </c>
      <c r="F1417" s="40"/>
      <c r="G1417" s="127"/>
      <c r="H1417" s="127"/>
      <c r="I1417" s="127"/>
      <c r="J1417" s="127"/>
      <c r="K1417" s="25" t="str">
        <f t="shared" si="329"/>
        <v>đ/mét</v>
      </c>
      <c r="L1417" s="120"/>
      <c r="M1417" s="123">
        <f t="shared" si="330"/>
        <v>322818.18181818177</v>
      </c>
      <c r="N1417" s="120"/>
      <c r="O1417" s="71">
        <f t="shared" si="331"/>
        <v>322818.18181818177</v>
      </c>
      <c r="P1417" s="71">
        <f t="shared" si="332"/>
        <v>322818.18181818177</v>
      </c>
    </row>
    <row r="1418" spans="1:16" s="58" customFormat="1" ht="28.5" customHeight="1">
      <c r="A1418" s="10">
        <f t="shared" si="333"/>
        <v>39</v>
      </c>
      <c r="B1418" s="37" t="s">
        <v>717</v>
      </c>
      <c r="C1418" s="38" t="s">
        <v>613</v>
      </c>
      <c r="D1418" s="40"/>
      <c r="E1418" s="40">
        <f>424700/1.1</f>
        <v>386090.90909090906</v>
      </c>
      <c r="F1418" s="40"/>
      <c r="G1418" s="127"/>
      <c r="H1418" s="127"/>
      <c r="I1418" s="127"/>
      <c r="J1418" s="127"/>
      <c r="K1418" s="25" t="str">
        <f t="shared" si="329"/>
        <v>đ/mét</v>
      </c>
      <c r="L1418" s="120"/>
      <c r="M1418" s="123">
        <f t="shared" si="330"/>
        <v>386090.90909090906</v>
      </c>
      <c r="N1418" s="120"/>
      <c r="O1418" s="71">
        <f t="shared" si="331"/>
        <v>386090.90909090906</v>
      </c>
      <c r="P1418" s="71">
        <f t="shared" si="332"/>
        <v>386090.90909090906</v>
      </c>
    </row>
    <row r="1419" spans="1:16" s="58" customFormat="1" ht="28.5" customHeight="1">
      <c r="A1419" s="10">
        <f t="shared" si="333"/>
        <v>40</v>
      </c>
      <c r="B1419" s="37" t="s">
        <v>718</v>
      </c>
      <c r="C1419" s="38" t="s">
        <v>613</v>
      </c>
      <c r="D1419" s="40"/>
      <c r="E1419" s="40">
        <f>430100/1.1</f>
        <v>390999.99999999994</v>
      </c>
      <c r="F1419" s="40"/>
      <c r="G1419" s="127"/>
      <c r="H1419" s="127"/>
      <c r="I1419" s="127"/>
      <c r="J1419" s="127"/>
      <c r="K1419" s="25" t="str">
        <f t="shared" si="329"/>
        <v>đ/mét</v>
      </c>
      <c r="L1419" s="120"/>
      <c r="M1419" s="123">
        <f t="shared" si="330"/>
        <v>390999.99999999994</v>
      </c>
      <c r="N1419" s="120"/>
      <c r="O1419" s="71">
        <f t="shared" si="331"/>
        <v>390999.99999999994</v>
      </c>
      <c r="P1419" s="71">
        <f t="shared" si="332"/>
        <v>390999.99999999994</v>
      </c>
    </row>
    <row r="1420" spans="1:16" s="58" customFormat="1" ht="28.5" customHeight="1">
      <c r="A1420" s="10">
        <f t="shared" si="333"/>
        <v>41</v>
      </c>
      <c r="B1420" s="37" t="s">
        <v>719</v>
      </c>
      <c r="C1420" s="38" t="s">
        <v>613</v>
      </c>
      <c r="D1420" s="40"/>
      <c r="E1420" s="40">
        <f>551800/1.1</f>
        <v>501636.36363636359</v>
      </c>
      <c r="F1420" s="40"/>
      <c r="G1420" s="127"/>
      <c r="H1420" s="127"/>
      <c r="I1420" s="127"/>
      <c r="J1420" s="127"/>
      <c r="K1420" s="25" t="str">
        <f t="shared" si="329"/>
        <v>đ/mét</v>
      </c>
      <c r="L1420" s="120"/>
      <c r="M1420" s="123">
        <f t="shared" si="330"/>
        <v>501636.36363636359</v>
      </c>
      <c r="N1420" s="120"/>
      <c r="O1420" s="71">
        <f t="shared" si="331"/>
        <v>501636.36363636359</v>
      </c>
      <c r="P1420" s="71">
        <f t="shared" si="332"/>
        <v>501636.36363636359</v>
      </c>
    </row>
    <row r="1421" spans="1:16" s="58" customFormat="1" ht="28.5" customHeight="1">
      <c r="A1421" s="10">
        <f t="shared" si="333"/>
        <v>42</v>
      </c>
      <c r="B1421" s="37" t="s">
        <v>720</v>
      </c>
      <c r="C1421" s="38" t="s">
        <v>613</v>
      </c>
      <c r="D1421" s="40"/>
      <c r="E1421" s="40">
        <f>704300/1.1</f>
        <v>640272.72727272718</v>
      </c>
      <c r="F1421" s="40"/>
      <c r="G1421" s="127"/>
      <c r="H1421" s="127"/>
      <c r="I1421" s="127"/>
      <c r="J1421" s="127"/>
      <c r="K1421" s="25" t="str">
        <f t="shared" si="329"/>
        <v>đ/mét</v>
      </c>
      <c r="L1421" s="120"/>
      <c r="M1421" s="123">
        <f t="shared" si="330"/>
        <v>640272.72727272718</v>
      </c>
      <c r="N1421" s="120"/>
      <c r="O1421" s="71">
        <f t="shared" si="331"/>
        <v>640272.72727272718</v>
      </c>
      <c r="P1421" s="71">
        <f t="shared" si="332"/>
        <v>640272.72727272718</v>
      </c>
    </row>
    <row r="1422" spans="1:16" s="58" customFormat="1" ht="28.5" customHeight="1">
      <c r="A1422" s="10">
        <f t="shared" si="333"/>
        <v>43</v>
      </c>
      <c r="B1422" s="37" t="s">
        <v>721</v>
      </c>
      <c r="C1422" s="38" t="s">
        <v>613</v>
      </c>
      <c r="D1422" s="40"/>
      <c r="E1422" s="40">
        <f>1087000/1.1</f>
        <v>988181.81818181812</v>
      </c>
      <c r="F1422" s="40"/>
      <c r="G1422" s="127"/>
      <c r="H1422" s="127"/>
      <c r="I1422" s="127"/>
      <c r="J1422" s="127"/>
      <c r="K1422" s="25" t="str">
        <f t="shared" si="329"/>
        <v>đ/mét</v>
      </c>
      <c r="L1422" s="120"/>
      <c r="M1422" s="123">
        <f t="shared" si="330"/>
        <v>988181.81818181812</v>
      </c>
      <c r="N1422" s="120"/>
      <c r="O1422" s="71">
        <f t="shared" si="331"/>
        <v>988181.81818181812</v>
      </c>
      <c r="P1422" s="71">
        <f t="shared" si="332"/>
        <v>988181.81818181812</v>
      </c>
    </row>
    <row r="1423" spans="1:16" s="58" customFormat="1" ht="28.5" customHeight="1">
      <c r="A1423" s="10">
        <f t="shared" si="333"/>
        <v>44</v>
      </c>
      <c r="B1423" s="37" t="s">
        <v>722</v>
      </c>
      <c r="C1423" s="38" t="s">
        <v>613</v>
      </c>
      <c r="D1423" s="40"/>
      <c r="E1423" s="40">
        <f>1081300/1.1</f>
        <v>982999.99999999988</v>
      </c>
      <c r="F1423" s="40"/>
      <c r="G1423" s="127"/>
      <c r="H1423" s="127"/>
      <c r="I1423" s="127"/>
      <c r="J1423" s="127"/>
      <c r="K1423" s="25" t="str">
        <f t="shared" si="329"/>
        <v>đ/mét</v>
      </c>
      <c r="L1423" s="120"/>
      <c r="M1423" s="123">
        <f t="shared" si="330"/>
        <v>982999.99999999988</v>
      </c>
      <c r="N1423" s="120"/>
      <c r="O1423" s="71">
        <f t="shared" si="331"/>
        <v>982999.99999999988</v>
      </c>
      <c r="P1423" s="71">
        <f t="shared" si="332"/>
        <v>982999.99999999988</v>
      </c>
    </row>
    <row r="1424" spans="1:16" s="58" customFormat="1" ht="28.5" customHeight="1">
      <c r="A1424" s="10">
        <f t="shared" si="333"/>
        <v>45</v>
      </c>
      <c r="B1424" s="37" t="s">
        <v>723</v>
      </c>
      <c r="C1424" s="38" t="s">
        <v>613</v>
      </c>
      <c r="D1424" s="40"/>
      <c r="E1424" s="40">
        <f>1685100/1.1</f>
        <v>1531909.0909090908</v>
      </c>
      <c r="F1424" s="40"/>
      <c r="G1424" s="127"/>
      <c r="H1424" s="127"/>
      <c r="I1424" s="127"/>
      <c r="J1424" s="127"/>
      <c r="K1424" s="25" t="str">
        <f t="shared" si="329"/>
        <v>đ/mét</v>
      </c>
      <c r="L1424" s="120"/>
      <c r="M1424" s="123">
        <f t="shared" si="330"/>
        <v>1531909.0909090908</v>
      </c>
      <c r="N1424" s="120"/>
      <c r="O1424" s="71">
        <f t="shared" si="331"/>
        <v>1531909.0909090908</v>
      </c>
      <c r="P1424" s="71">
        <f t="shared" si="332"/>
        <v>1531909.0909090908</v>
      </c>
    </row>
    <row r="1425" spans="1:16" s="58" customFormat="1" ht="28.5" customHeight="1">
      <c r="A1425" s="10">
        <f t="shared" si="333"/>
        <v>46</v>
      </c>
      <c r="B1425" s="37" t="s">
        <v>724</v>
      </c>
      <c r="C1425" s="38" t="s">
        <v>613</v>
      </c>
      <c r="D1425" s="40"/>
      <c r="E1425" s="40">
        <f>2131200/1.1</f>
        <v>1937454.5454545454</v>
      </c>
      <c r="F1425" s="40"/>
      <c r="G1425" s="127"/>
      <c r="H1425" s="127"/>
      <c r="I1425" s="127"/>
      <c r="J1425" s="127"/>
      <c r="K1425" s="25" t="str">
        <f t="shared" si="329"/>
        <v>đ/mét</v>
      </c>
      <c r="L1425" s="120"/>
      <c r="M1425" s="123">
        <f t="shared" si="330"/>
        <v>1937454.5454545454</v>
      </c>
      <c r="N1425" s="120"/>
      <c r="O1425" s="71">
        <f t="shared" si="331"/>
        <v>1937454.5454545454</v>
      </c>
      <c r="P1425" s="71">
        <f t="shared" si="332"/>
        <v>1937454.5454545454</v>
      </c>
    </row>
    <row r="1426" spans="1:16" s="58" customFormat="1" ht="28.5" customHeight="1">
      <c r="A1426" s="10"/>
      <c r="B1426" s="9" t="s">
        <v>725</v>
      </c>
      <c r="C1426" s="38"/>
      <c r="D1426" s="40"/>
      <c r="E1426" s="40"/>
      <c r="F1426" s="40"/>
      <c r="G1426" s="127"/>
      <c r="H1426" s="127"/>
      <c r="I1426" s="127"/>
      <c r="J1426" s="127"/>
      <c r="K1426" s="116"/>
      <c r="L1426" s="120"/>
      <c r="M1426" s="120"/>
      <c r="N1426" s="120"/>
      <c r="O1426" s="69"/>
      <c r="P1426" s="69"/>
    </row>
    <row r="1427" spans="1:16" s="58" customFormat="1" ht="24" customHeight="1">
      <c r="A1427" s="10">
        <f>+A1425+1</f>
        <v>47</v>
      </c>
      <c r="B1427" s="11" t="s">
        <v>1190</v>
      </c>
      <c r="C1427" s="10" t="s">
        <v>84</v>
      </c>
      <c r="D1427" s="40"/>
      <c r="E1427" s="40">
        <v>2100</v>
      </c>
      <c r="F1427" s="40"/>
      <c r="G1427" s="127"/>
      <c r="H1427" s="127"/>
      <c r="I1427" s="127"/>
      <c r="J1427" s="127"/>
      <c r="K1427" s="25" t="str">
        <f t="shared" ref="K1427:K1445" si="334">C1427</f>
        <v>đ/cái</v>
      </c>
      <c r="L1427" s="120"/>
      <c r="M1427" s="123">
        <f t="shared" ref="M1427:M1445" si="335">E1427</f>
        <v>2100</v>
      </c>
      <c r="N1427" s="120"/>
      <c r="O1427" s="71">
        <f t="shared" ref="O1427:O1445" si="336">E1427</f>
        <v>2100</v>
      </c>
      <c r="P1427" s="71">
        <f t="shared" ref="P1427:P1445" si="337">M1427</f>
        <v>2100</v>
      </c>
    </row>
    <row r="1428" spans="1:16" s="58" customFormat="1" ht="24" customHeight="1">
      <c r="A1428" s="10">
        <f t="shared" ref="A1428:A1445" si="338">+A1427+1</f>
        <v>48</v>
      </c>
      <c r="B1428" s="11" t="s">
        <v>1191</v>
      </c>
      <c r="C1428" s="10" t="s">
        <v>84</v>
      </c>
      <c r="D1428" s="40"/>
      <c r="E1428" s="40">
        <v>3400</v>
      </c>
      <c r="F1428" s="40"/>
      <c r="G1428" s="127"/>
      <c r="H1428" s="127"/>
      <c r="I1428" s="127"/>
      <c r="J1428" s="127"/>
      <c r="K1428" s="25" t="str">
        <f t="shared" si="334"/>
        <v>đ/cái</v>
      </c>
      <c r="L1428" s="120"/>
      <c r="M1428" s="123">
        <f t="shared" si="335"/>
        <v>3400</v>
      </c>
      <c r="N1428" s="120"/>
      <c r="O1428" s="71">
        <f t="shared" si="336"/>
        <v>3400</v>
      </c>
      <c r="P1428" s="71">
        <f t="shared" si="337"/>
        <v>3400</v>
      </c>
    </row>
    <row r="1429" spans="1:16" s="58" customFormat="1" ht="24" customHeight="1">
      <c r="A1429" s="10">
        <f t="shared" si="338"/>
        <v>49</v>
      </c>
      <c r="B1429" s="11" t="s">
        <v>1192</v>
      </c>
      <c r="C1429" s="10" t="s">
        <v>84</v>
      </c>
      <c r="D1429" s="40"/>
      <c r="E1429" s="40">
        <v>4800</v>
      </c>
      <c r="F1429" s="40"/>
      <c r="G1429" s="127"/>
      <c r="H1429" s="127"/>
      <c r="I1429" s="127"/>
      <c r="J1429" s="127"/>
      <c r="K1429" s="25" t="str">
        <f t="shared" si="334"/>
        <v>đ/cái</v>
      </c>
      <c r="L1429" s="120"/>
      <c r="M1429" s="123">
        <f t="shared" si="335"/>
        <v>4800</v>
      </c>
      <c r="N1429" s="120"/>
      <c r="O1429" s="71">
        <f t="shared" si="336"/>
        <v>4800</v>
      </c>
      <c r="P1429" s="71">
        <f t="shared" si="337"/>
        <v>4800</v>
      </c>
    </row>
    <row r="1430" spans="1:16" s="58" customFormat="1" ht="24" customHeight="1">
      <c r="A1430" s="10">
        <f t="shared" si="338"/>
        <v>50</v>
      </c>
      <c r="B1430" s="11" t="s">
        <v>1193</v>
      </c>
      <c r="C1430" s="10" t="s">
        <v>84</v>
      </c>
      <c r="D1430" s="40"/>
      <c r="E1430" s="40">
        <v>7300</v>
      </c>
      <c r="F1430" s="40"/>
      <c r="G1430" s="127"/>
      <c r="H1430" s="127"/>
      <c r="I1430" s="127"/>
      <c r="J1430" s="127"/>
      <c r="K1430" s="25" t="str">
        <f t="shared" si="334"/>
        <v>đ/cái</v>
      </c>
      <c r="L1430" s="120"/>
      <c r="M1430" s="123">
        <f t="shared" si="335"/>
        <v>7300</v>
      </c>
      <c r="N1430" s="120"/>
      <c r="O1430" s="71">
        <f t="shared" si="336"/>
        <v>7300</v>
      </c>
      <c r="P1430" s="71">
        <f t="shared" si="337"/>
        <v>7300</v>
      </c>
    </row>
    <row r="1431" spans="1:16" s="58" customFormat="1" ht="24" customHeight="1">
      <c r="A1431" s="10">
        <f t="shared" si="338"/>
        <v>51</v>
      </c>
      <c r="B1431" s="11" t="s">
        <v>1194</v>
      </c>
      <c r="C1431" s="10" t="s">
        <v>84</v>
      </c>
      <c r="D1431" s="40"/>
      <c r="E1431" s="40">
        <v>11400</v>
      </c>
      <c r="F1431" s="40"/>
      <c r="G1431" s="127"/>
      <c r="H1431" s="127"/>
      <c r="I1431" s="127"/>
      <c r="J1431" s="127"/>
      <c r="K1431" s="25" t="str">
        <f t="shared" si="334"/>
        <v>đ/cái</v>
      </c>
      <c r="L1431" s="120"/>
      <c r="M1431" s="123">
        <f t="shared" si="335"/>
        <v>11400</v>
      </c>
      <c r="N1431" s="120"/>
      <c r="O1431" s="71">
        <f t="shared" si="336"/>
        <v>11400</v>
      </c>
      <c r="P1431" s="71">
        <f t="shared" si="337"/>
        <v>11400</v>
      </c>
    </row>
    <row r="1432" spans="1:16" s="58" customFormat="1" ht="24" customHeight="1">
      <c r="A1432" s="10">
        <f t="shared" si="338"/>
        <v>52</v>
      </c>
      <c r="B1432" s="11" t="s">
        <v>1195</v>
      </c>
      <c r="C1432" s="10" t="s">
        <v>84</v>
      </c>
      <c r="D1432" s="40"/>
      <c r="E1432" s="40">
        <v>18200</v>
      </c>
      <c r="F1432" s="40"/>
      <c r="G1432" s="127"/>
      <c r="H1432" s="127"/>
      <c r="I1432" s="127"/>
      <c r="J1432" s="127"/>
      <c r="K1432" s="25" t="str">
        <f t="shared" si="334"/>
        <v>đ/cái</v>
      </c>
      <c r="L1432" s="120"/>
      <c r="M1432" s="123">
        <f t="shared" si="335"/>
        <v>18200</v>
      </c>
      <c r="N1432" s="120"/>
      <c r="O1432" s="71">
        <f t="shared" si="336"/>
        <v>18200</v>
      </c>
      <c r="P1432" s="71">
        <f t="shared" si="337"/>
        <v>18200</v>
      </c>
    </row>
    <row r="1433" spans="1:16" s="58" customFormat="1" ht="24" customHeight="1">
      <c r="A1433" s="10">
        <f t="shared" si="338"/>
        <v>53</v>
      </c>
      <c r="B1433" s="11" t="s">
        <v>1196</v>
      </c>
      <c r="C1433" s="10" t="s">
        <v>84</v>
      </c>
      <c r="D1433" s="40"/>
      <c r="E1433" s="40">
        <v>2800</v>
      </c>
      <c r="F1433" s="40"/>
      <c r="G1433" s="127"/>
      <c r="H1433" s="127"/>
      <c r="I1433" s="127"/>
      <c r="J1433" s="127"/>
      <c r="K1433" s="25" t="str">
        <f t="shared" si="334"/>
        <v>đ/cái</v>
      </c>
      <c r="L1433" s="120"/>
      <c r="M1433" s="123">
        <f t="shared" si="335"/>
        <v>2800</v>
      </c>
      <c r="N1433" s="120"/>
      <c r="O1433" s="71">
        <f t="shared" si="336"/>
        <v>2800</v>
      </c>
      <c r="P1433" s="71">
        <f t="shared" si="337"/>
        <v>2800</v>
      </c>
    </row>
    <row r="1434" spans="1:16" s="58" customFormat="1" ht="24" customHeight="1">
      <c r="A1434" s="10">
        <f t="shared" si="338"/>
        <v>54</v>
      </c>
      <c r="B1434" s="11" t="s">
        <v>1197</v>
      </c>
      <c r="C1434" s="10" t="s">
        <v>84</v>
      </c>
      <c r="D1434" s="40"/>
      <c r="E1434" s="40">
        <v>4600</v>
      </c>
      <c r="F1434" s="40"/>
      <c r="G1434" s="127"/>
      <c r="H1434" s="127"/>
      <c r="I1434" s="127"/>
      <c r="J1434" s="127"/>
      <c r="K1434" s="25" t="str">
        <f t="shared" si="334"/>
        <v>đ/cái</v>
      </c>
      <c r="L1434" s="120"/>
      <c r="M1434" s="123">
        <f t="shared" si="335"/>
        <v>4600</v>
      </c>
      <c r="N1434" s="120"/>
      <c r="O1434" s="71">
        <f t="shared" si="336"/>
        <v>4600</v>
      </c>
      <c r="P1434" s="71">
        <f t="shared" si="337"/>
        <v>4600</v>
      </c>
    </row>
    <row r="1435" spans="1:16" s="58" customFormat="1" ht="24" customHeight="1">
      <c r="A1435" s="10">
        <f t="shared" si="338"/>
        <v>55</v>
      </c>
      <c r="B1435" s="11" t="s">
        <v>1198</v>
      </c>
      <c r="C1435" s="10" t="s">
        <v>84</v>
      </c>
      <c r="D1435" s="40"/>
      <c r="E1435" s="40">
        <v>7400</v>
      </c>
      <c r="F1435" s="40"/>
      <c r="G1435" s="127"/>
      <c r="H1435" s="127"/>
      <c r="I1435" s="127"/>
      <c r="J1435" s="127"/>
      <c r="K1435" s="25" t="str">
        <f t="shared" si="334"/>
        <v>đ/cái</v>
      </c>
      <c r="L1435" s="120"/>
      <c r="M1435" s="123">
        <f t="shared" si="335"/>
        <v>7400</v>
      </c>
      <c r="N1435" s="120"/>
      <c r="O1435" s="71">
        <f t="shared" si="336"/>
        <v>7400</v>
      </c>
      <c r="P1435" s="71">
        <f t="shared" si="337"/>
        <v>7400</v>
      </c>
    </row>
    <row r="1436" spans="1:16" s="58" customFormat="1" ht="24" customHeight="1">
      <c r="A1436" s="10">
        <f t="shared" si="338"/>
        <v>56</v>
      </c>
      <c r="B1436" s="11" t="s">
        <v>1199</v>
      </c>
      <c r="C1436" s="10" t="s">
        <v>84</v>
      </c>
      <c r="D1436" s="40"/>
      <c r="E1436" s="40">
        <v>9800</v>
      </c>
      <c r="F1436" s="40"/>
      <c r="G1436" s="127"/>
      <c r="H1436" s="127"/>
      <c r="I1436" s="127"/>
      <c r="J1436" s="127"/>
      <c r="K1436" s="25" t="str">
        <f t="shared" si="334"/>
        <v>đ/cái</v>
      </c>
      <c r="L1436" s="120"/>
      <c r="M1436" s="123">
        <f t="shared" si="335"/>
        <v>9800</v>
      </c>
      <c r="N1436" s="120"/>
      <c r="O1436" s="71">
        <f t="shared" si="336"/>
        <v>9800</v>
      </c>
      <c r="P1436" s="71">
        <f t="shared" si="337"/>
        <v>9800</v>
      </c>
    </row>
    <row r="1437" spans="1:16" s="58" customFormat="1" ht="24" customHeight="1">
      <c r="A1437" s="10">
        <f t="shared" si="338"/>
        <v>57</v>
      </c>
      <c r="B1437" s="11" t="s">
        <v>1200</v>
      </c>
      <c r="C1437" s="10" t="s">
        <v>84</v>
      </c>
      <c r="D1437" s="40"/>
      <c r="E1437" s="40">
        <v>14500</v>
      </c>
      <c r="F1437" s="40"/>
      <c r="G1437" s="127"/>
      <c r="H1437" s="127"/>
      <c r="I1437" s="127"/>
      <c r="J1437" s="127"/>
      <c r="K1437" s="25" t="str">
        <f t="shared" si="334"/>
        <v>đ/cái</v>
      </c>
      <c r="L1437" s="120"/>
      <c r="M1437" s="123">
        <f t="shared" si="335"/>
        <v>14500</v>
      </c>
      <c r="N1437" s="120"/>
      <c r="O1437" s="71">
        <f t="shared" si="336"/>
        <v>14500</v>
      </c>
      <c r="P1437" s="71">
        <f t="shared" si="337"/>
        <v>14500</v>
      </c>
    </row>
    <row r="1438" spans="1:16" s="58" customFormat="1" ht="24" customHeight="1">
      <c r="A1438" s="10">
        <f t="shared" si="338"/>
        <v>58</v>
      </c>
      <c r="B1438" s="11" t="s">
        <v>1201</v>
      </c>
      <c r="C1438" s="10" t="s">
        <v>84</v>
      </c>
      <c r="D1438" s="40"/>
      <c r="E1438" s="40">
        <v>24900</v>
      </c>
      <c r="F1438" s="40"/>
      <c r="G1438" s="127"/>
      <c r="H1438" s="127"/>
      <c r="I1438" s="127"/>
      <c r="J1438" s="127"/>
      <c r="K1438" s="25" t="str">
        <f t="shared" si="334"/>
        <v>đ/cái</v>
      </c>
      <c r="L1438" s="120"/>
      <c r="M1438" s="123">
        <f t="shared" si="335"/>
        <v>24900</v>
      </c>
      <c r="N1438" s="120"/>
      <c r="O1438" s="71">
        <f t="shared" si="336"/>
        <v>24900</v>
      </c>
      <c r="P1438" s="71">
        <f t="shared" si="337"/>
        <v>24900</v>
      </c>
    </row>
    <row r="1439" spans="1:16" s="58" customFormat="1" ht="24" customHeight="1">
      <c r="A1439" s="10">
        <f t="shared" si="338"/>
        <v>59</v>
      </c>
      <c r="B1439" s="11" t="s">
        <v>1202</v>
      </c>
      <c r="C1439" s="10" t="s">
        <v>84</v>
      </c>
      <c r="D1439" s="40"/>
      <c r="E1439" s="40">
        <v>1600</v>
      </c>
      <c r="F1439" s="40"/>
      <c r="G1439" s="127"/>
      <c r="H1439" s="127"/>
      <c r="I1439" s="127"/>
      <c r="J1439" s="127"/>
      <c r="K1439" s="25" t="str">
        <f t="shared" si="334"/>
        <v>đ/cái</v>
      </c>
      <c r="L1439" s="120"/>
      <c r="M1439" s="123">
        <f t="shared" si="335"/>
        <v>1600</v>
      </c>
      <c r="N1439" s="120"/>
      <c r="O1439" s="71">
        <f t="shared" si="336"/>
        <v>1600</v>
      </c>
      <c r="P1439" s="71">
        <f t="shared" si="337"/>
        <v>1600</v>
      </c>
    </row>
    <row r="1440" spans="1:16" s="58" customFormat="1" ht="24" customHeight="1">
      <c r="A1440" s="10">
        <f t="shared" si="338"/>
        <v>60</v>
      </c>
      <c r="B1440" s="11" t="s">
        <v>1203</v>
      </c>
      <c r="C1440" s="10" t="s">
        <v>84</v>
      </c>
      <c r="D1440" s="40"/>
      <c r="E1440" s="40">
        <v>2200</v>
      </c>
      <c r="F1440" s="40"/>
      <c r="G1440" s="127"/>
      <c r="H1440" s="127"/>
      <c r="I1440" s="127"/>
      <c r="J1440" s="127"/>
      <c r="K1440" s="25" t="str">
        <f t="shared" si="334"/>
        <v>đ/cái</v>
      </c>
      <c r="L1440" s="120"/>
      <c r="M1440" s="123">
        <f t="shared" si="335"/>
        <v>2200</v>
      </c>
      <c r="N1440" s="120"/>
      <c r="O1440" s="71">
        <f t="shared" si="336"/>
        <v>2200</v>
      </c>
      <c r="P1440" s="71">
        <f t="shared" si="337"/>
        <v>2200</v>
      </c>
    </row>
    <row r="1441" spans="1:16" s="58" customFormat="1" ht="24" customHeight="1">
      <c r="A1441" s="10">
        <f t="shared" si="338"/>
        <v>61</v>
      </c>
      <c r="B1441" s="11" t="s">
        <v>1204</v>
      </c>
      <c r="C1441" s="10" t="s">
        <v>84</v>
      </c>
      <c r="D1441" s="40"/>
      <c r="E1441" s="40">
        <v>3700</v>
      </c>
      <c r="F1441" s="40"/>
      <c r="G1441" s="127"/>
      <c r="H1441" s="127"/>
      <c r="I1441" s="127"/>
      <c r="J1441" s="127"/>
      <c r="K1441" s="25" t="str">
        <f t="shared" si="334"/>
        <v>đ/cái</v>
      </c>
      <c r="L1441" s="120"/>
      <c r="M1441" s="123">
        <f t="shared" si="335"/>
        <v>3700</v>
      </c>
      <c r="N1441" s="120"/>
      <c r="O1441" s="71">
        <f t="shared" si="336"/>
        <v>3700</v>
      </c>
      <c r="P1441" s="71">
        <f t="shared" si="337"/>
        <v>3700</v>
      </c>
    </row>
    <row r="1442" spans="1:16" s="58" customFormat="1" ht="24" customHeight="1">
      <c r="A1442" s="10">
        <f t="shared" si="338"/>
        <v>62</v>
      </c>
      <c r="B1442" s="11" t="s">
        <v>1205</v>
      </c>
      <c r="C1442" s="10" t="s">
        <v>84</v>
      </c>
      <c r="D1442" s="40"/>
      <c r="E1442" s="40">
        <v>5100</v>
      </c>
      <c r="F1442" s="40"/>
      <c r="G1442" s="127"/>
      <c r="H1442" s="127"/>
      <c r="I1442" s="127"/>
      <c r="J1442" s="127"/>
      <c r="K1442" s="25" t="str">
        <f t="shared" si="334"/>
        <v>đ/cái</v>
      </c>
      <c r="L1442" s="120"/>
      <c r="M1442" s="123">
        <f t="shared" si="335"/>
        <v>5100</v>
      </c>
      <c r="N1442" s="120"/>
      <c r="O1442" s="71">
        <f t="shared" si="336"/>
        <v>5100</v>
      </c>
      <c r="P1442" s="71">
        <f t="shared" si="337"/>
        <v>5100</v>
      </c>
    </row>
    <row r="1443" spans="1:16" s="58" customFormat="1" ht="24" customHeight="1">
      <c r="A1443" s="10">
        <f t="shared" si="338"/>
        <v>63</v>
      </c>
      <c r="B1443" s="11" t="s">
        <v>1206</v>
      </c>
      <c r="C1443" s="10" t="s">
        <v>84</v>
      </c>
      <c r="D1443" s="40"/>
      <c r="E1443" s="40">
        <v>7900</v>
      </c>
      <c r="F1443" s="40"/>
      <c r="G1443" s="127"/>
      <c r="H1443" s="127"/>
      <c r="I1443" s="127"/>
      <c r="J1443" s="127"/>
      <c r="K1443" s="25" t="str">
        <f t="shared" si="334"/>
        <v>đ/cái</v>
      </c>
      <c r="L1443" s="120"/>
      <c r="M1443" s="123">
        <f t="shared" si="335"/>
        <v>7900</v>
      </c>
      <c r="N1443" s="120"/>
      <c r="O1443" s="71">
        <f t="shared" si="336"/>
        <v>7900</v>
      </c>
      <c r="P1443" s="71">
        <f t="shared" si="337"/>
        <v>7900</v>
      </c>
    </row>
    <row r="1444" spans="1:16" s="58" customFormat="1" ht="24" customHeight="1">
      <c r="A1444" s="10">
        <f t="shared" si="338"/>
        <v>64</v>
      </c>
      <c r="B1444" s="11" t="s">
        <v>1207</v>
      </c>
      <c r="C1444" s="10" t="s">
        <v>84</v>
      </c>
      <c r="D1444" s="40"/>
      <c r="E1444" s="40">
        <v>12200</v>
      </c>
      <c r="F1444" s="40"/>
      <c r="G1444" s="127"/>
      <c r="H1444" s="127"/>
      <c r="I1444" s="127"/>
      <c r="J1444" s="127"/>
      <c r="K1444" s="25" t="str">
        <f t="shared" si="334"/>
        <v>đ/cái</v>
      </c>
      <c r="L1444" s="120"/>
      <c r="M1444" s="123">
        <f t="shared" si="335"/>
        <v>12200</v>
      </c>
      <c r="N1444" s="120"/>
      <c r="O1444" s="71">
        <f t="shared" si="336"/>
        <v>12200</v>
      </c>
      <c r="P1444" s="71">
        <f t="shared" si="337"/>
        <v>12200</v>
      </c>
    </row>
    <row r="1445" spans="1:16" s="58" customFormat="1" ht="24" customHeight="1">
      <c r="A1445" s="10">
        <f t="shared" si="338"/>
        <v>65</v>
      </c>
      <c r="B1445" s="37" t="s">
        <v>726</v>
      </c>
      <c r="C1445" s="38" t="s">
        <v>727</v>
      </c>
      <c r="D1445" s="41"/>
      <c r="E1445" s="40">
        <v>100900</v>
      </c>
      <c r="F1445" s="40"/>
      <c r="G1445" s="127"/>
      <c r="H1445" s="127"/>
      <c r="I1445" s="127"/>
      <c r="J1445" s="127"/>
      <c r="K1445" s="25" t="str">
        <f t="shared" si="334"/>
        <v>đ/tuýp</v>
      </c>
      <c r="L1445" s="120"/>
      <c r="M1445" s="123">
        <f t="shared" si="335"/>
        <v>100900</v>
      </c>
      <c r="N1445" s="120"/>
      <c r="O1445" s="71">
        <f t="shared" si="336"/>
        <v>100900</v>
      </c>
      <c r="P1445" s="71">
        <f t="shared" si="337"/>
        <v>100900</v>
      </c>
    </row>
    <row r="1446" spans="1:16" s="58" customFormat="1" ht="27.75" customHeight="1">
      <c r="A1446" s="10"/>
      <c r="B1446" s="9" t="s">
        <v>728</v>
      </c>
      <c r="C1446" s="7"/>
      <c r="D1446" s="30"/>
      <c r="E1446" s="30"/>
      <c r="F1446" s="30"/>
      <c r="G1446" s="127"/>
      <c r="H1446" s="127"/>
      <c r="I1446" s="127"/>
      <c r="J1446" s="127"/>
      <c r="K1446" s="116"/>
      <c r="L1446" s="120"/>
      <c r="M1446" s="120"/>
      <c r="N1446" s="120"/>
      <c r="O1446" s="69"/>
      <c r="P1446" s="69"/>
    </row>
    <row r="1447" spans="1:16" s="58" customFormat="1" ht="24.95" customHeight="1">
      <c r="A1447" s="10">
        <f>+A1445+1</f>
        <v>66</v>
      </c>
      <c r="B1447" s="37" t="s">
        <v>729</v>
      </c>
      <c r="C1447" s="38" t="s">
        <v>613</v>
      </c>
      <c r="D1447" s="41"/>
      <c r="E1447" s="40">
        <f>6710/1.1</f>
        <v>6099.9999999999991</v>
      </c>
      <c r="F1447" s="40"/>
      <c r="G1447" s="127"/>
      <c r="H1447" s="127"/>
      <c r="I1447" s="127"/>
      <c r="J1447" s="127"/>
      <c r="K1447" s="25" t="str">
        <f t="shared" ref="K1447:K1459" si="339">C1447</f>
        <v>đ/mét</v>
      </c>
      <c r="L1447" s="120"/>
      <c r="M1447" s="123">
        <f t="shared" ref="M1447:M1459" si="340">E1447</f>
        <v>6099.9999999999991</v>
      </c>
      <c r="N1447" s="120"/>
      <c r="O1447" s="71">
        <f t="shared" ref="O1447:O1459" si="341">E1447</f>
        <v>6099.9999999999991</v>
      </c>
      <c r="P1447" s="71">
        <f t="shared" ref="P1447:P1459" si="342">M1447</f>
        <v>6099.9999999999991</v>
      </c>
    </row>
    <row r="1448" spans="1:16" s="58" customFormat="1" ht="24.95" customHeight="1">
      <c r="A1448" s="10">
        <f>+A1447+1</f>
        <v>67</v>
      </c>
      <c r="B1448" s="37" t="s">
        <v>730</v>
      </c>
      <c r="C1448" s="38" t="s">
        <v>613</v>
      </c>
      <c r="D1448" s="41"/>
      <c r="E1448" s="40">
        <f>8910/1.1</f>
        <v>8099.9999999999991</v>
      </c>
      <c r="F1448" s="40"/>
      <c r="G1448" s="127"/>
      <c r="H1448" s="127"/>
      <c r="I1448" s="127"/>
      <c r="J1448" s="127"/>
      <c r="K1448" s="25" t="str">
        <f t="shared" si="339"/>
        <v>đ/mét</v>
      </c>
      <c r="L1448" s="120"/>
      <c r="M1448" s="123">
        <f t="shared" si="340"/>
        <v>8099.9999999999991</v>
      </c>
      <c r="N1448" s="120"/>
      <c r="O1448" s="71">
        <f t="shared" si="341"/>
        <v>8099.9999999999991</v>
      </c>
      <c r="P1448" s="71">
        <f t="shared" si="342"/>
        <v>8099.9999999999991</v>
      </c>
    </row>
    <row r="1449" spans="1:16" s="58" customFormat="1" ht="24.95" customHeight="1">
      <c r="A1449" s="10">
        <v>68</v>
      </c>
      <c r="B1449" s="37" t="s">
        <v>731</v>
      </c>
      <c r="C1449" s="38" t="s">
        <v>613</v>
      </c>
      <c r="D1449" s="41"/>
      <c r="E1449" s="40">
        <f>16390/1.1</f>
        <v>14899.999999999998</v>
      </c>
      <c r="F1449" s="40"/>
      <c r="G1449" s="127"/>
      <c r="H1449" s="127"/>
      <c r="I1449" s="127"/>
      <c r="J1449" s="127"/>
      <c r="K1449" s="25" t="str">
        <f t="shared" si="339"/>
        <v>đ/mét</v>
      </c>
      <c r="L1449" s="120"/>
      <c r="M1449" s="123">
        <f t="shared" si="340"/>
        <v>14899.999999999998</v>
      </c>
      <c r="N1449" s="120"/>
      <c r="O1449" s="71">
        <f t="shared" si="341"/>
        <v>14899.999999999998</v>
      </c>
      <c r="P1449" s="71">
        <f t="shared" si="342"/>
        <v>14899.999999999998</v>
      </c>
    </row>
    <row r="1450" spans="1:16" s="58" customFormat="1" ht="24.95" customHeight="1">
      <c r="A1450" s="10">
        <f>+A1449+1</f>
        <v>69</v>
      </c>
      <c r="B1450" s="37" t="s">
        <v>732</v>
      </c>
      <c r="C1450" s="38" t="s">
        <v>613</v>
      </c>
      <c r="D1450" s="41"/>
      <c r="E1450" s="40">
        <f>25300/1.1</f>
        <v>22999.999999999996</v>
      </c>
      <c r="F1450" s="40"/>
      <c r="G1450" s="127"/>
      <c r="H1450" s="127"/>
      <c r="I1450" s="127"/>
      <c r="J1450" s="127"/>
      <c r="K1450" s="25" t="str">
        <f t="shared" si="339"/>
        <v>đ/mét</v>
      </c>
      <c r="L1450" s="120"/>
      <c r="M1450" s="123">
        <f t="shared" si="340"/>
        <v>22999.999999999996</v>
      </c>
      <c r="N1450" s="120"/>
      <c r="O1450" s="71">
        <f t="shared" si="341"/>
        <v>22999.999999999996</v>
      </c>
      <c r="P1450" s="71">
        <f t="shared" si="342"/>
        <v>22999.999999999996</v>
      </c>
    </row>
    <row r="1451" spans="1:16" s="58" customFormat="1" ht="24.95" customHeight="1">
      <c r="A1451" s="10">
        <v>70</v>
      </c>
      <c r="B1451" s="37" t="s">
        <v>733</v>
      </c>
      <c r="C1451" s="38" t="s">
        <v>613</v>
      </c>
      <c r="D1451" s="41"/>
      <c r="E1451" s="40">
        <f>39490/1.1</f>
        <v>35900</v>
      </c>
      <c r="F1451" s="40"/>
      <c r="G1451" s="127"/>
      <c r="H1451" s="127"/>
      <c r="I1451" s="127"/>
      <c r="J1451" s="127"/>
      <c r="K1451" s="25" t="str">
        <f t="shared" si="339"/>
        <v>đ/mét</v>
      </c>
      <c r="L1451" s="120"/>
      <c r="M1451" s="123">
        <f t="shared" si="340"/>
        <v>35900</v>
      </c>
      <c r="N1451" s="120"/>
      <c r="O1451" s="71">
        <f t="shared" si="341"/>
        <v>35900</v>
      </c>
      <c r="P1451" s="71">
        <f t="shared" si="342"/>
        <v>35900</v>
      </c>
    </row>
    <row r="1452" spans="1:16" s="58" customFormat="1" ht="24.95" customHeight="1">
      <c r="A1452" s="10">
        <f>+A1451+1</f>
        <v>71</v>
      </c>
      <c r="B1452" s="37" t="s">
        <v>734</v>
      </c>
      <c r="C1452" s="38" t="s">
        <v>613</v>
      </c>
      <c r="D1452" s="41"/>
      <c r="E1452" s="40">
        <f>61160/1.1</f>
        <v>55599.999999999993</v>
      </c>
      <c r="F1452" s="40"/>
      <c r="G1452" s="127"/>
      <c r="H1452" s="127"/>
      <c r="I1452" s="127"/>
      <c r="J1452" s="127"/>
      <c r="K1452" s="25" t="str">
        <f t="shared" si="339"/>
        <v>đ/mét</v>
      </c>
      <c r="L1452" s="120"/>
      <c r="M1452" s="123">
        <f t="shared" si="340"/>
        <v>55599.999999999993</v>
      </c>
      <c r="N1452" s="120"/>
      <c r="O1452" s="71">
        <f t="shared" si="341"/>
        <v>55599.999999999993</v>
      </c>
      <c r="P1452" s="71">
        <f t="shared" si="342"/>
        <v>55599.999999999993</v>
      </c>
    </row>
    <row r="1453" spans="1:16" s="58" customFormat="1" ht="24.95" customHeight="1">
      <c r="A1453" s="10">
        <v>72</v>
      </c>
      <c r="B1453" s="37" t="s">
        <v>735</v>
      </c>
      <c r="C1453" s="38" t="s">
        <v>613</v>
      </c>
      <c r="D1453" s="41"/>
      <c r="E1453" s="40">
        <f>97570/1.1</f>
        <v>88700</v>
      </c>
      <c r="F1453" s="40"/>
      <c r="G1453" s="127"/>
      <c r="H1453" s="127"/>
      <c r="I1453" s="127"/>
      <c r="J1453" s="127"/>
      <c r="K1453" s="25" t="str">
        <f t="shared" si="339"/>
        <v>đ/mét</v>
      </c>
      <c r="L1453" s="120"/>
      <c r="M1453" s="123">
        <f t="shared" si="340"/>
        <v>88700</v>
      </c>
      <c r="N1453" s="120"/>
      <c r="O1453" s="71">
        <f t="shared" si="341"/>
        <v>88700</v>
      </c>
      <c r="P1453" s="71">
        <f t="shared" si="342"/>
        <v>88700</v>
      </c>
    </row>
    <row r="1454" spans="1:16" s="58" customFormat="1" ht="24.95" customHeight="1">
      <c r="A1454" s="10">
        <f>+A1453+1</f>
        <v>73</v>
      </c>
      <c r="B1454" s="37" t="s">
        <v>736</v>
      </c>
      <c r="C1454" s="38" t="s">
        <v>613</v>
      </c>
      <c r="D1454" s="41"/>
      <c r="E1454" s="40">
        <f>137170/1.1</f>
        <v>124699.99999999999</v>
      </c>
      <c r="F1454" s="40"/>
      <c r="G1454" s="127"/>
      <c r="H1454" s="127"/>
      <c r="I1454" s="127"/>
      <c r="J1454" s="127"/>
      <c r="K1454" s="25" t="str">
        <f t="shared" si="339"/>
        <v>đ/mét</v>
      </c>
      <c r="L1454" s="120"/>
      <c r="M1454" s="123">
        <f t="shared" si="340"/>
        <v>124699.99999999999</v>
      </c>
      <c r="N1454" s="120"/>
      <c r="O1454" s="71">
        <f t="shared" si="341"/>
        <v>124699.99999999999</v>
      </c>
      <c r="P1454" s="71">
        <f t="shared" si="342"/>
        <v>124699.99999999999</v>
      </c>
    </row>
    <row r="1455" spans="1:16" s="58" customFormat="1" ht="24.95" customHeight="1">
      <c r="A1455" s="10">
        <v>74</v>
      </c>
      <c r="B1455" s="37" t="s">
        <v>737</v>
      </c>
      <c r="C1455" s="38" t="s">
        <v>613</v>
      </c>
      <c r="D1455" s="41"/>
      <c r="E1455" s="40">
        <f>197780/1.1</f>
        <v>179800</v>
      </c>
      <c r="F1455" s="40"/>
      <c r="G1455" s="127"/>
      <c r="H1455" s="127"/>
      <c r="I1455" s="127"/>
      <c r="J1455" s="127"/>
      <c r="K1455" s="25" t="str">
        <f t="shared" si="339"/>
        <v>đ/mét</v>
      </c>
      <c r="L1455" s="120"/>
      <c r="M1455" s="123">
        <f t="shared" si="340"/>
        <v>179800</v>
      </c>
      <c r="N1455" s="120"/>
      <c r="O1455" s="71">
        <f t="shared" si="341"/>
        <v>179800</v>
      </c>
      <c r="P1455" s="71">
        <f t="shared" si="342"/>
        <v>179800</v>
      </c>
    </row>
    <row r="1456" spans="1:16" s="58" customFormat="1" ht="24.95" customHeight="1">
      <c r="A1456" s="10">
        <f>+A1455+1</f>
        <v>75</v>
      </c>
      <c r="B1456" s="37" t="s">
        <v>738</v>
      </c>
      <c r="C1456" s="38" t="s">
        <v>613</v>
      </c>
      <c r="D1456" s="41"/>
      <c r="E1456" s="40">
        <f>295240/1.1</f>
        <v>268400</v>
      </c>
      <c r="F1456" s="40"/>
      <c r="G1456" s="127"/>
      <c r="H1456" s="127"/>
      <c r="I1456" s="127"/>
      <c r="J1456" s="127"/>
      <c r="K1456" s="25" t="str">
        <f t="shared" si="339"/>
        <v>đ/mét</v>
      </c>
      <c r="L1456" s="120"/>
      <c r="M1456" s="123">
        <f t="shared" si="340"/>
        <v>268400</v>
      </c>
      <c r="N1456" s="120"/>
      <c r="O1456" s="71">
        <f t="shared" si="341"/>
        <v>268400</v>
      </c>
      <c r="P1456" s="71">
        <f t="shared" si="342"/>
        <v>268400</v>
      </c>
    </row>
    <row r="1457" spans="1:16" s="58" customFormat="1" ht="24.95" customHeight="1">
      <c r="A1457" s="10">
        <v>76</v>
      </c>
      <c r="B1457" s="37" t="s">
        <v>739</v>
      </c>
      <c r="C1457" s="38" t="s">
        <v>613</v>
      </c>
      <c r="D1457" s="41"/>
      <c r="E1457" s="40">
        <f>372020/1.1</f>
        <v>338200</v>
      </c>
      <c r="F1457" s="40"/>
      <c r="G1457" s="127"/>
      <c r="H1457" s="127"/>
      <c r="I1457" s="127"/>
      <c r="J1457" s="127"/>
      <c r="K1457" s="25" t="str">
        <f t="shared" si="339"/>
        <v>đ/mét</v>
      </c>
      <c r="L1457" s="120"/>
      <c r="M1457" s="123">
        <f t="shared" si="340"/>
        <v>338200</v>
      </c>
      <c r="N1457" s="120"/>
      <c r="O1457" s="71">
        <f t="shared" si="341"/>
        <v>338200</v>
      </c>
      <c r="P1457" s="71">
        <f t="shared" si="342"/>
        <v>338200</v>
      </c>
    </row>
    <row r="1458" spans="1:16" s="58" customFormat="1" ht="24.95" customHeight="1">
      <c r="A1458" s="10">
        <f>+A1457+1</f>
        <v>77</v>
      </c>
      <c r="B1458" s="37" t="s">
        <v>740</v>
      </c>
      <c r="C1458" s="38" t="s">
        <v>613</v>
      </c>
      <c r="D1458" s="41"/>
      <c r="E1458" s="40">
        <f>479050/1.1</f>
        <v>435499.99999999994</v>
      </c>
      <c r="F1458" s="40"/>
      <c r="G1458" s="127"/>
      <c r="H1458" s="127"/>
      <c r="I1458" s="127"/>
      <c r="J1458" s="127"/>
      <c r="K1458" s="25" t="str">
        <f t="shared" si="339"/>
        <v>đ/mét</v>
      </c>
      <c r="L1458" s="120"/>
      <c r="M1458" s="123">
        <f t="shared" si="340"/>
        <v>435499.99999999994</v>
      </c>
      <c r="N1458" s="120"/>
      <c r="O1458" s="71">
        <f t="shared" si="341"/>
        <v>435499.99999999994</v>
      </c>
      <c r="P1458" s="71">
        <f t="shared" si="342"/>
        <v>435499.99999999994</v>
      </c>
    </row>
    <row r="1459" spans="1:16" s="58" customFormat="1" ht="24.95" customHeight="1">
      <c r="A1459" s="10">
        <v>78</v>
      </c>
      <c r="B1459" s="37" t="s">
        <v>741</v>
      </c>
      <c r="C1459" s="38" t="s">
        <v>613</v>
      </c>
      <c r="D1459" s="41"/>
      <c r="E1459" s="40">
        <f>624360/1.1</f>
        <v>567600</v>
      </c>
      <c r="F1459" s="40"/>
      <c r="G1459" s="127"/>
      <c r="H1459" s="127"/>
      <c r="I1459" s="127"/>
      <c r="J1459" s="127"/>
      <c r="K1459" s="25" t="str">
        <f t="shared" si="339"/>
        <v>đ/mét</v>
      </c>
      <c r="L1459" s="120"/>
      <c r="M1459" s="123">
        <f t="shared" si="340"/>
        <v>567600</v>
      </c>
      <c r="N1459" s="120"/>
      <c r="O1459" s="71">
        <f t="shared" si="341"/>
        <v>567600</v>
      </c>
      <c r="P1459" s="71">
        <f t="shared" si="342"/>
        <v>567600</v>
      </c>
    </row>
    <row r="1460" spans="1:16" s="58" customFormat="1" ht="17.25">
      <c r="A1460" s="10"/>
      <c r="B1460" s="9" t="s">
        <v>742</v>
      </c>
      <c r="C1460" s="7"/>
      <c r="D1460" s="30"/>
      <c r="E1460" s="30"/>
      <c r="F1460" s="30"/>
      <c r="G1460" s="127"/>
      <c r="H1460" s="127"/>
      <c r="I1460" s="127"/>
      <c r="J1460" s="127"/>
      <c r="K1460" s="116"/>
      <c r="L1460" s="120"/>
      <c r="M1460" s="120"/>
      <c r="N1460" s="120"/>
      <c r="O1460" s="69"/>
      <c r="P1460" s="69"/>
    </row>
    <row r="1461" spans="1:16" s="58" customFormat="1" ht="21.95" customHeight="1">
      <c r="A1461" s="10">
        <f>+A1459+1</f>
        <v>79</v>
      </c>
      <c r="B1461" s="37" t="s">
        <v>743</v>
      </c>
      <c r="C1461" s="38" t="s">
        <v>613</v>
      </c>
      <c r="D1461" s="41"/>
      <c r="E1461" s="40">
        <f>32010/1.1</f>
        <v>29099.999999999996</v>
      </c>
      <c r="F1461" s="40"/>
      <c r="G1461" s="127"/>
      <c r="H1461" s="127"/>
      <c r="I1461" s="127"/>
      <c r="J1461" s="127"/>
      <c r="K1461" s="25" t="str">
        <f t="shared" ref="K1461:K1472" si="343">C1461</f>
        <v>đ/mét</v>
      </c>
      <c r="L1461" s="120"/>
      <c r="M1461" s="123">
        <f t="shared" ref="M1461:M1472" si="344">E1461</f>
        <v>29099.999999999996</v>
      </c>
      <c r="N1461" s="120"/>
      <c r="O1461" s="71">
        <f t="shared" ref="O1461:O1472" si="345">E1461</f>
        <v>29099.999999999996</v>
      </c>
      <c r="P1461" s="71">
        <f t="shared" ref="P1461:P1472" si="346">M1461</f>
        <v>29099.999999999996</v>
      </c>
    </row>
    <row r="1462" spans="1:16" s="58" customFormat="1" ht="21.95" customHeight="1">
      <c r="A1462" s="10">
        <f t="shared" ref="A1462:A1472" si="347">+A1461+1</f>
        <v>80</v>
      </c>
      <c r="B1462" s="37" t="s">
        <v>744</v>
      </c>
      <c r="C1462" s="38" t="s">
        <v>613</v>
      </c>
      <c r="D1462" s="41"/>
      <c r="E1462" s="40">
        <f>53020/1.1</f>
        <v>48199.999999999993</v>
      </c>
      <c r="F1462" s="40"/>
      <c r="G1462" s="127"/>
      <c r="H1462" s="127"/>
      <c r="I1462" s="127"/>
      <c r="J1462" s="127"/>
      <c r="K1462" s="25" t="str">
        <f t="shared" si="343"/>
        <v>đ/mét</v>
      </c>
      <c r="L1462" s="120"/>
      <c r="M1462" s="123">
        <f t="shared" si="344"/>
        <v>48199.999999999993</v>
      </c>
      <c r="N1462" s="120"/>
      <c r="O1462" s="71">
        <f t="shared" si="345"/>
        <v>48199.999999999993</v>
      </c>
      <c r="P1462" s="71">
        <f t="shared" si="346"/>
        <v>48199.999999999993</v>
      </c>
    </row>
    <row r="1463" spans="1:16" s="58" customFormat="1" ht="21.95" customHeight="1">
      <c r="A1463" s="10">
        <f t="shared" si="347"/>
        <v>81</v>
      </c>
      <c r="B1463" s="37" t="s">
        <v>745</v>
      </c>
      <c r="C1463" s="38" t="s">
        <v>613</v>
      </c>
      <c r="D1463" s="41"/>
      <c r="E1463" s="40">
        <f>82060/1.1</f>
        <v>74600</v>
      </c>
      <c r="F1463" s="40"/>
      <c r="G1463" s="127"/>
      <c r="H1463" s="127"/>
      <c r="I1463" s="127"/>
      <c r="J1463" s="127"/>
      <c r="K1463" s="25" t="str">
        <f t="shared" si="343"/>
        <v>đ/mét</v>
      </c>
      <c r="L1463" s="120"/>
      <c r="M1463" s="123">
        <f t="shared" si="344"/>
        <v>74600</v>
      </c>
      <c r="N1463" s="120"/>
      <c r="O1463" s="71">
        <f t="shared" si="345"/>
        <v>74600</v>
      </c>
      <c r="P1463" s="71">
        <f t="shared" si="346"/>
        <v>74600</v>
      </c>
    </row>
    <row r="1464" spans="1:16" s="58" customFormat="1" ht="21.95" customHeight="1">
      <c r="A1464" s="10">
        <f t="shared" si="347"/>
        <v>82</v>
      </c>
      <c r="B1464" s="37" t="s">
        <v>746</v>
      </c>
      <c r="C1464" s="38" t="s">
        <v>613</v>
      </c>
      <c r="D1464" s="41"/>
      <c r="E1464" s="40">
        <f>125400/1.1</f>
        <v>113999.99999999999</v>
      </c>
      <c r="F1464" s="40"/>
      <c r="G1464" s="127"/>
      <c r="H1464" s="127"/>
      <c r="I1464" s="127"/>
      <c r="J1464" s="127"/>
      <c r="K1464" s="25" t="str">
        <f t="shared" si="343"/>
        <v>đ/mét</v>
      </c>
      <c r="L1464" s="120"/>
      <c r="M1464" s="123">
        <f t="shared" si="344"/>
        <v>113999.99999999999</v>
      </c>
      <c r="N1464" s="120"/>
      <c r="O1464" s="71">
        <f t="shared" si="345"/>
        <v>113999.99999999999</v>
      </c>
      <c r="P1464" s="71">
        <f t="shared" si="346"/>
        <v>113999.99999999999</v>
      </c>
    </row>
    <row r="1465" spans="1:16" s="58" customFormat="1" ht="21.95" customHeight="1">
      <c r="A1465" s="10">
        <f t="shared" si="347"/>
        <v>83</v>
      </c>
      <c r="B1465" s="37" t="s">
        <v>747</v>
      </c>
      <c r="C1465" s="38" t="s">
        <v>613</v>
      </c>
      <c r="D1465" s="41"/>
      <c r="E1465" s="40">
        <f>200090/1.1</f>
        <v>181899.99999999997</v>
      </c>
      <c r="F1465" s="40"/>
      <c r="G1465" s="127"/>
      <c r="H1465" s="127"/>
      <c r="I1465" s="127"/>
      <c r="J1465" s="127"/>
      <c r="K1465" s="25" t="str">
        <f t="shared" si="343"/>
        <v>đ/mét</v>
      </c>
      <c r="L1465" s="120"/>
      <c r="M1465" s="123">
        <f t="shared" si="344"/>
        <v>181899.99999999997</v>
      </c>
      <c r="N1465" s="120"/>
      <c r="O1465" s="71">
        <f t="shared" si="345"/>
        <v>181899.99999999997</v>
      </c>
      <c r="P1465" s="71">
        <f t="shared" si="346"/>
        <v>181899.99999999997</v>
      </c>
    </row>
    <row r="1466" spans="1:16" s="58" customFormat="1" ht="21.95" customHeight="1">
      <c r="A1466" s="10">
        <f t="shared" si="347"/>
        <v>84</v>
      </c>
      <c r="B1466" s="37" t="s">
        <v>748</v>
      </c>
      <c r="C1466" s="38" t="s">
        <v>613</v>
      </c>
      <c r="D1466" s="41"/>
      <c r="E1466" s="40">
        <f>315040/1.1</f>
        <v>286400</v>
      </c>
      <c r="F1466" s="40"/>
      <c r="G1466" s="127"/>
      <c r="H1466" s="127"/>
      <c r="I1466" s="127"/>
      <c r="J1466" s="127"/>
      <c r="K1466" s="25" t="str">
        <f t="shared" si="343"/>
        <v>đ/mét</v>
      </c>
      <c r="L1466" s="120"/>
      <c r="M1466" s="123">
        <f t="shared" si="344"/>
        <v>286400</v>
      </c>
      <c r="N1466" s="120"/>
      <c r="O1466" s="71">
        <f t="shared" si="345"/>
        <v>286400</v>
      </c>
      <c r="P1466" s="71">
        <f t="shared" si="346"/>
        <v>286400</v>
      </c>
    </row>
    <row r="1467" spans="1:16" s="58" customFormat="1" ht="21.95" customHeight="1">
      <c r="A1467" s="10">
        <f t="shared" si="347"/>
        <v>85</v>
      </c>
      <c r="B1467" s="37" t="s">
        <v>749</v>
      </c>
      <c r="C1467" s="38" t="s">
        <v>613</v>
      </c>
      <c r="D1467" s="41"/>
      <c r="E1467" s="40">
        <f>445060/1.1</f>
        <v>404599.99999999994</v>
      </c>
      <c r="F1467" s="40"/>
      <c r="G1467" s="127"/>
      <c r="H1467" s="127"/>
      <c r="I1467" s="127"/>
      <c r="J1467" s="127"/>
      <c r="K1467" s="25" t="str">
        <f t="shared" si="343"/>
        <v>đ/mét</v>
      </c>
      <c r="L1467" s="120"/>
      <c r="M1467" s="123">
        <f t="shared" si="344"/>
        <v>404599.99999999994</v>
      </c>
      <c r="N1467" s="120"/>
      <c r="O1467" s="71">
        <f t="shared" si="345"/>
        <v>404599.99999999994</v>
      </c>
      <c r="P1467" s="71">
        <f t="shared" si="346"/>
        <v>404599.99999999994</v>
      </c>
    </row>
    <row r="1468" spans="1:16" s="58" customFormat="1" ht="21.95" customHeight="1">
      <c r="A1468" s="10">
        <f t="shared" si="347"/>
        <v>86</v>
      </c>
      <c r="B1468" s="37" t="s">
        <v>750</v>
      </c>
      <c r="C1468" s="38" t="s">
        <v>613</v>
      </c>
      <c r="D1468" s="41"/>
      <c r="E1468" s="40">
        <f>640090/1.1</f>
        <v>581900</v>
      </c>
      <c r="F1468" s="40"/>
      <c r="G1468" s="127"/>
      <c r="H1468" s="127"/>
      <c r="I1468" s="127"/>
      <c r="J1468" s="127"/>
      <c r="K1468" s="25" t="str">
        <f t="shared" si="343"/>
        <v>đ/mét</v>
      </c>
      <c r="L1468" s="120"/>
      <c r="M1468" s="123">
        <f t="shared" si="344"/>
        <v>581900</v>
      </c>
      <c r="N1468" s="120"/>
      <c r="O1468" s="71">
        <f t="shared" si="345"/>
        <v>581900</v>
      </c>
      <c r="P1468" s="71">
        <f t="shared" si="346"/>
        <v>581900</v>
      </c>
    </row>
    <row r="1469" spans="1:16" s="58" customFormat="1" ht="21.95" customHeight="1">
      <c r="A1469" s="10">
        <f t="shared" si="347"/>
        <v>87</v>
      </c>
      <c r="B1469" s="37" t="s">
        <v>751</v>
      </c>
      <c r="C1469" s="38" t="s">
        <v>613</v>
      </c>
      <c r="D1469" s="41"/>
      <c r="E1469" s="40">
        <f>950070/1.1</f>
        <v>863699.99999999988</v>
      </c>
      <c r="F1469" s="40"/>
      <c r="G1469" s="127"/>
      <c r="H1469" s="127"/>
      <c r="I1469" s="127"/>
      <c r="J1469" s="127"/>
      <c r="K1469" s="25" t="str">
        <f t="shared" si="343"/>
        <v>đ/mét</v>
      </c>
      <c r="L1469" s="120"/>
      <c r="M1469" s="123">
        <f t="shared" si="344"/>
        <v>863699.99999999988</v>
      </c>
      <c r="N1469" s="120"/>
      <c r="O1469" s="71">
        <f t="shared" si="345"/>
        <v>863699.99999999988</v>
      </c>
      <c r="P1469" s="71">
        <f t="shared" si="346"/>
        <v>863699.99999999988</v>
      </c>
    </row>
    <row r="1470" spans="1:16" s="58" customFormat="1" ht="21.95" customHeight="1">
      <c r="A1470" s="10">
        <f t="shared" si="347"/>
        <v>88</v>
      </c>
      <c r="B1470" s="37" t="s">
        <v>752</v>
      </c>
      <c r="C1470" s="38" t="s">
        <v>613</v>
      </c>
      <c r="D1470" s="41"/>
      <c r="E1470" s="40">
        <f>1275010/1.1</f>
        <v>1159100</v>
      </c>
      <c r="F1470" s="40"/>
      <c r="G1470" s="127"/>
      <c r="H1470" s="127"/>
      <c r="I1470" s="127"/>
      <c r="J1470" s="127"/>
      <c r="K1470" s="25" t="str">
        <f t="shared" si="343"/>
        <v>đ/mét</v>
      </c>
      <c r="L1470" s="120"/>
      <c r="M1470" s="123">
        <f t="shared" si="344"/>
        <v>1159100</v>
      </c>
      <c r="N1470" s="120"/>
      <c r="O1470" s="71">
        <f t="shared" si="345"/>
        <v>1159100</v>
      </c>
      <c r="P1470" s="71">
        <f t="shared" si="346"/>
        <v>1159100</v>
      </c>
    </row>
    <row r="1471" spans="1:16" s="58" customFormat="1" ht="21.95" customHeight="1">
      <c r="A1471" s="10">
        <f t="shared" si="347"/>
        <v>89</v>
      </c>
      <c r="B1471" s="37" t="s">
        <v>753</v>
      </c>
      <c r="C1471" s="38" t="s">
        <v>613</v>
      </c>
      <c r="D1471" s="41"/>
      <c r="E1471" s="40">
        <f>1680030/1.1</f>
        <v>1527299.9999999998</v>
      </c>
      <c r="F1471" s="40"/>
      <c r="G1471" s="127"/>
      <c r="H1471" s="127"/>
      <c r="I1471" s="127"/>
      <c r="J1471" s="127"/>
      <c r="K1471" s="25" t="str">
        <f t="shared" si="343"/>
        <v>đ/mét</v>
      </c>
      <c r="L1471" s="120"/>
      <c r="M1471" s="123">
        <f t="shared" si="344"/>
        <v>1527299.9999999998</v>
      </c>
      <c r="N1471" s="120"/>
      <c r="O1471" s="71">
        <f t="shared" si="345"/>
        <v>1527299.9999999998</v>
      </c>
      <c r="P1471" s="71">
        <f t="shared" si="346"/>
        <v>1527299.9999999998</v>
      </c>
    </row>
    <row r="1472" spans="1:16" s="58" customFormat="1" ht="21.95" customHeight="1">
      <c r="A1472" s="10">
        <f t="shared" si="347"/>
        <v>90</v>
      </c>
      <c r="B1472" s="37" t="s">
        <v>754</v>
      </c>
      <c r="C1472" s="38" t="s">
        <v>613</v>
      </c>
      <c r="D1472" s="41"/>
      <c r="E1472" s="40">
        <f>2176020/1.1</f>
        <v>1978199.9999999998</v>
      </c>
      <c r="F1472" s="40"/>
      <c r="G1472" s="127"/>
      <c r="H1472" s="127"/>
      <c r="I1472" s="127"/>
      <c r="J1472" s="127"/>
      <c r="K1472" s="25" t="str">
        <f t="shared" si="343"/>
        <v>đ/mét</v>
      </c>
      <c r="L1472" s="120"/>
      <c r="M1472" s="123">
        <f t="shared" si="344"/>
        <v>1978199.9999999998</v>
      </c>
      <c r="N1472" s="120"/>
      <c r="O1472" s="71">
        <f t="shared" si="345"/>
        <v>1978199.9999999998</v>
      </c>
      <c r="P1472" s="71">
        <f t="shared" si="346"/>
        <v>1978199.9999999998</v>
      </c>
    </row>
    <row r="1473" spans="1:16" s="58" customFormat="1" ht="36" customHeight="1">
      <c r="A1473" s="31"/>
      <c r="B1473" s="237" t="s">
        <v>1427</v>
      </c>
      <c r="C1473" s="238"/>
      <c r="D1473" s="238"/>
      <c r="E1473" s="238"/>
      <c r="F1473" s="238"/>
      <c r="G1473" s="238"/>
      <c r="H1473" s="238"/>
      <c r="I1473" s="238"/>
      <c r="J1473" s="238"/>
      <c r="K1473" s="238"/>
      <c r="L1473" s="238"/>
      <c r="M1473" s="238"/>
      <c r="N1473" s="239"/>
      <c r="O1473" s="69"/>
      <c r="P1473" s="69"/>
    </row>
    <row r="1474" spans="1:16" s="58" customFormat="1" ht="21.6" customHeight="1">
      <c r="A1474" s="10">
        <v>1</v>
      </c>
      <c r="B1474" s="37" t="s">
        <v>755</v>
      </c>
      <c r="C1474" s="38" t="s">
        <v>613</v>
      </c>
      <c r="D1474" s="40">
        <f>6140-614</f>
        <v>5526</v>
      </c>
      <c r="E1474" s="40"/>
      <c r="F1474" s="40"/>
      <c r="G1474" s="216" t="s">
        <v>613</v>
      </c>
      <c r="H1474" s="217"/>
      <c r="I1474" s="127"/>
      <c r="J1474" s="127"/>
      <c r="K1474" s="25" t="str">
        <f t="shared" ref="K1474:K1490" si="348">C1474</f>
        <v>đ/mét</v>
      </c>
      <c r="L1474" s="40">
        <f>D1474</f>
        <v>5526</v>
      </c>
      <c r="M1474" s="123"/>
      <c r="N1474" s="120"/>
      <c r="O1474" s="71">
        <f t="shared" ref="O1474:O1490" si="349">D1474</f>
        <v>5526</v>
      </c>
      <c r="P1474" s="71">
        <f t="shared" ref="P1474:P1490" si="350">L1474</f>
        <v>5526</v>
      </c>
    </row>
    <row r="1475" spans="1:16" s="58" customFormat="1" ht="21.6" customHeight="1">
      <c r="A1475" s="10">
        <v>2</v>
      </c>
      <c r="B1475" s="37" t="s">
        <v>756</v>
      </c>
      <c r="C1475" s="38" t="s">
        <v>613</v>
      </c>
      <c r="D1475" s="40">
        <f>7800-780</f>
        <v>7020</v>
      </c>
      <c r="E1475" s="40"/>
      <c r="F1475" s="40"/>
      <c r="G1475" s="216" t="s">
        <v>613</v>
      </c>
      <c r="H1475" s="217"/>
      <c r="I1475" s="127"/>
      <c r="J1475" s="127"/>
      <c r="K1475" s="25" t="str">
        <f t="shared" si="348"/>
        <v>đ/mét</v>
      </c>
      <c r="L1475" s="40">
        <f t="shared" ref="L1475:L1490" si="351">D1475</f>
        <v>7020</v>
      </c>
      <c r="M1475" s="123"/>
      <c r="N1475" s="120"/>
      <c r="O1475" s="71">
        <f t="shared" si="349"/>
        <v>7020</v>
      </c>
      <c r="P1475" s="71">
        <f t="shared" si="350"/>
        <v>7020</v>
      </c>
    </row>
    <row r="1476" spans="1:16" s="58" customFormat="1" ht="21.6" customHeight="1">
      <c r="A1476" s="10">
        <v>3</v>
      </c>
      <c r="B1476" s="37" t="s">
        <v>757</v>
      </c>
      <c r="C1476" s="38" t="s">
        <v>613</v>
      </c>
      <c r="D1476" s="40">
        <f>12000-1200</f>
        <v>10800</v>
      </c>
      <c r="E1476" s="40"/>
      <c r="F1476" s="40"/>
      <c r="G1476" s="216" t="s">
        <v>613</v>
      </c>
      <c r="H1476" s="217"/>
      <c r="I1476" s="127"/>
      <c r="J1476" s="127"/>
      <c r="K1476" s="25" t="str">
        <f t="shared" si="348"/>
        <v>đ/mét</v>
      </c>
      <c r="L1476" s="40">
        <f t="shared" si="351"/>
        <v>10800</v>
      </c>
      <c r="M1476" s="123"/>
      <c r="N1476" s="120"/>
      <c r="O1476" s="71">
        <f t="shared" si="349"/>
        <v>10800</v>
      </c>
      <c r="P1476" s="71">
        <f t="shared" si="350"/>
        <v>10800</v>
      </c>
    </row>
    <row r="1477" spans="1:16" s="58" customFormat="1" ht="21.6" customHeight="1">
      <c r="A1477" s="10">
        <v>4</v>
      </c>
      <c r="B1477" s="37" t="s">
        <v>758</v>
      </c>
      <c r="C1477" s="38" t="s">
        <v>613</v>
      </c>
      <c r="D1477" s="40">
        <f>17500-1750</f>
        <v>15750</v>
      </c>
      <c r="E1477" s="40"/>
      <c r="F1477" s="40"/>
      <c r="G1477" s="216" t="s">
        <v>613</v>
      </c>
      <c r="H1477" s="217"/>
      <c r="I1477" s="127"/>
      <c r="J1477" s="127"/>
      <c r="K1477" s="25" t="str">
        <f t="shared" si="348"/>
        <v>đ/mét</v>
      </c>
      <c r="L1477" s="40">
        <f t="shared" si="351"/>
        <v>15750</v>
      </c>
      <c r="M1477" s="123"/>
      <c r="N1477" s="120"/>
      <c r="O1477" s="71">
        <f t="shared" si="349"/>
        <v>15750</v>
      </c>
      <c r="P1477" s="71">
        <f t="shared" si="350"/>
        <v>15750</v>
      </c>
    </row>
    <row r="1478" spans="1:16" s="58" customFormat="1" ht="21.6" customHeight="1">
      <c r="A1478" s="10">
        <v>5</v>
      </c>
      <c r="B1478" s="37" t="s">
        <v>759</v>
      </c>
      <c r="C1478" s="38" t="s">
        <v>613</v>
      </c>
      <c r="D1478" s="40">
        <f>15600-1560</f>
        <v>14040</v>
      </c>
      <c r="E1478" s="40"/>
      <c r="F1478" s="40"/>
      <c r="G1478" s="216" t="s">
        <v>613</v>
      </c>
      <c r="H1478" s="217"/>
      <c r="I1478" s="127"/>
      <c r="J1478" s="127"/>
      <c r="K1478" s="25" t="str">
        <f t="shared" si="348"/>
        <v>đ/mét</v>
      </c>
      <c r="L1478" s="40">
        <f t="shared" si="351"/>
        <v>14040</v>
      </c>
      <c r="M1478" s="123"/>
      <c r="N1478" s="120"/>
      <c r="O1478" s="71">
        <f t="shared" si="349"/>
        <v>14040</v>
      </c>
      <c r="P1478" s="71">
        <f t="shared" si="350"/>
        <v>14040</v>
      </c>
    </row>
    <row r="1479" spans="1:16" s="58" customFormat="1" ht="21.6" customHeight="1">
      <c r="A1479" s="10">
        <v>6</v>
      </c>
      <c r="B1479" s="37" t="s">
        <v>760</v>
      </c>
      <c r="C1479" s="38" t="s">
        <v>613</v>
      </c>
      <c r="D1479" s="40">
        <f>23000-2300</f>
        <v>20700</v>
      </c>
      <c r="E1479" s="40"/>
      <c r="F1479" s="40"/>
      <c r="G1479" s="216" t="s">
        <v>613</v>
      </c>
      <c r="H1479" s="217"/>
      <c r="I1479" s="127"/>
      <c r="J1479" s="127"/>
      <c r="K1479" s="25" t="str">
        <f t="shared" si="348"/>
        <v>đ/mét</v>
      </c>
      <c r="L1479" s="40">
        <f t="shared" si="351"/>
        <v>20700</v>
      </c>
      <c r="M1479" s="123"/>
      <c r="N1479" s="120"/>
      <c r="O1479" s="71">
        <f t="shared" si="349"/>
        <v>20700</v>
      </c>
      <c r="P1479" s="71">
        <f t="shared" si="350"/>
        <v>20700</v>
      </c>
    </row>
    <row r="1480" spans="1:16" s="58" customFormat="1" ht="21.6" customHeight="1">
      <c r="A1480" s="10">
        <v>7</v>
      </c>
      <c r="B1480" s="37" t="s">
        <v>761</v>
      </c>
      <c r="C1480" s="38" t="s">
        <v>613</v>
      </c>
      <c r="D1480" s="40">
        <f>18000-1800</f>
        <v>16200</v>
      </c>
      <c r="E1480" s="40"/>
      <c r="F1480" s="40"/>
      <c r="G1480" s="216" t="s">
        <v>613</v>
      </c>
      <c r="H1480" s="217"/>
      <c r="I1480" s="127"/>
      <c r="J1480" s="127"/>
      <c r="K1480" s="25" t="str">
        <f t="shared" si="348"/>
        <v>đ/mét</v>
      </c>
      <c r="L1480" s="40">
        <f t="shared" si="351"/>
        <v>16200</v>
      </c>
      <c r="M1480" s="123"/>
      <c r="N1480" s="120"/>
      <c r="O1480" s="71">
        <f t="shared" si="349"/>
        <v>16200</v>
      </c>
      <c r="P1480" s="71">
        <f t="shared" si="350"/>
        <v>16200</v>
      </c>
    </row>
    <row r="1481" spans="1:16" s="58" customFormat="1" ht="21.6" customHeight="1">
      <c r="A1481" s="10">
        <v>8</v>
      </c>
      <c r="B1481" s="37" t="s">
        <v>762</v>
      </c>
      <c r="C1481" s="38" t="s">
        <v>613</v>
      </c>
      <c r="D1481" s="40">
        <f>20800-2080</f>
        <v>18720</v>
      </c>
      <c r="E1481" s="40"/>
      <c r="F1481" s="40"/>
      <c r="G1481" s="216" t="s">
        <v>613</v>
      </c>
      <c r="H1481" s="217"/>
      <c r="I1481" s="127"/>
      <c r="J1481" s="127"/>
      <c r="K1481" s="25" t="str">
        <f t="shared" si="348"/>
        <v>đ/mét</v>
      </c>
      <c r="L1481" s="40">
        <f t="shared" si="351"/>
        <v>18720</v>
      </c>
      <c r="M1481" s="123"/>
      <c r="N1481" s="120"/>
      <c r="O1481" s="71">
        <f t="shared" si="349"/>
        <v>18720</v>
      </c>
      <c r="P1481" s="71">
        <f t="shared" si="350"/>
        <v>18720</v>
      </c>
    </row>
    <row r="1482" spans="1:16" s="58" customFormat="1" ht="21.6" customHeight="1">
      <c r="A1482" s="10">
        <v>9</v>
      </c>
      <c r="B1482" s="37" t="s">
        <v>1690</v>
      </c>
      <c r="C1482" s="38" t="s">
        <v>613</v>
      </c>
      <c r="D1482" s="40">
        <f>43500-4350</f>
        <v>39150</v>
      </c>
      <c r="E1482" s="40"/>
      <c r="F1482" s="40"/>
      <c r="G1482" s="216" t="s">
        <v>613</v>
      </c>
      <c r="H1482" s="217"/>
      <c r="I1482" s="127"/>
      <c r="J1482" s="127"/>
      <c r="K1482" s="25" t="str">
        <f t="shared" si="348"/>
        <v>đ/mét</v>
      </c>
      <c r="L1482" s="40">
        <f t="shared" si="351"/>
        <v>39150</v>
      </c>
      <c r="M1482" s="123"/>
      <c r="N1482" s="120"/>
      <c r="O1482" s="71">
        <f t="shared" si="349"/>
        <v>39150</v>
      </c>
      <c r="P1482" s="71">
        <f t="shared" si="350"/>
        <v>39150</v>
      </c>
    </row>
    <row r="1483" spans="1:16" s="58" customFormat="1" ht="21.6" customHeight="1">
      <c r="A1483" s="10">
        <v>10</v>
      </c>
      <c r="B1483" s="37" t="s">
        <v>763</v>
      </c>
      <c r="C1483" s="38" t="s">
        <v>613</v>
      </c>
      <c r="D1483" s="40">
        <f>42000-4200</f>
        <v>37800</v>
      </c>
      <c r="E1483" s="40"/>
      <c r="F1483" s="40"/>
      <c r="G1483" s="216" t="s">
        <v>613</v>
      </c>
      <c r="H1483" s="217"/>
      <c r="I1483" s="127"/>
      <c r="J1483" s="127"/>
      <c r="K1483" s="25" t="str">
        <f t="shared" si="348"/>
        <v>đ/mét</v>
      </c>
      <c r="L1483" s="40">
        <f t="shared" si="351"/>
        <v>37800</v>
      </c>
      <c r="M1483" s="123"/>
      <c r="N1483" s="120"/>
      <c r="O1483" s="71">
        <f t="shared" si="349"/>
        <v>37800</v>
      </c>
      <c r="P1483" s="71">
        <f t="shared" si="350"/>
        <v>37800</v>
      </c>
    </row>
    <row r="1484" spans="1:16" s="58" customFormat="1" ht="21.6" customHeight="1">
      <c r="A1484" s="10">
        <v>11</v>
      </c>
      <c r="B1484" s="37" t="s">
        <v>764</v>
      </c>
      <c r="C1484" s="38" t="s">
        <v>613</v>
      </c>
      <c r="D1484" s="40">
        <f>66000-6600</f>
        <v>59400</v>
      </c>
      <c r="E1484" s="40"/>
      <c r="F1484" s="40"/>
      <c r="G1484" s="216" t="s">
        <v>613</v>
      </c>
      <c r="H1484" s="217"/>
      <c r="I1484" s="127"/>
      <c r="J1484" s="127"/>
      <c r="K1484" s="25" t="str">
        <f t="shared" si="348"/>
        <v>đ/mét</v>
      </c>
      <c r="L1484" s="40">
        <f t="shared" si="351"/>
        <v>59400</v>
      </c>
      <c r="M1484" s="123"/>
      <c r="N1484" s="120"/>
      <c r="O1484" s="71">
        <f t="shared" si="349"/>
        <v>59400</v>
      </c>
      <c r="P1484" s="71">
        <f t="shared" si="350"/>
        <v>59400</v>
      </c>
    </row>
    <row r="1485" spans="1:16" s="58" customFormat="1" ht="21.6" customHeight="1">
      <c r="A1485" s="10">
        <v>12</v>
      </c>
      <c r="B1485" s="37" t="s">
        <v>765</v>
      </c>
      <c r="C1485" s="38" t="s">
        <v>613</v>
      </c>
      <c r="D1485" s="40">
        <f>83000-8300</f>
        <v>74700</v>
      </c>
      <c r="E1485" s="40"/>
      <c r="F1485" s="40"/>
      <c r="G1485" s="216" t="s">
        <v>613</v>
      </c>
      <c r="H1485" s="217"/>
      <c r="I1485" s="127"/>
      <c r="J1485" s="127"/>
      <c r="K1485" s="25" t="str">
        <f t="shared" si="348"/>
        <v>đ/mét</v>
      </c>
      <c r="L1485" s="40">
        <f t="shared" si="351"/>
        <v>74700</v>
      </c>
      <c r="M1485" s="123"/>
      <c r="N1485" s="120"/>
      <c r="O1485" s="71">
        <f t="shared" si="349"/>
        <v>74700</v>
      </c>
      <c r="P1485" s="71">
        <f t="shared" si="350"/>
        <v>74700</v>
      </c>
    </row>
    <row r="1486" spans="1:16" s="58" customFormat="1" ht="21.6" customHeight="1">
      <c r="A1486" s="10">
        <v>13</v>
      </c>
      <c r="B1486" s="37" t="s">
        <v>766</v>
      </c>
      <c r="C1486" s="38" t="s">
        <v>613</v>
      </c>
      <c r="D1486" s="40">
        <f>108000-10800</f>
        <v>97200</v>
      </c>
      <c r="E1486" s="40"/>
      <c r="F1486" s="40"/>
      <c r="G1486" s="216" t="s">
        <v>613</v>
      </c>
      <c r="H1486" s="217"/>
      <c r="I1486" s="127"/>
      <c r="J1486" s="127"/>
      <c r="K1486" s="25" t="str">
        <f t="shared" si="348"/>
        <v>đ/mét</v>
      </c>
      <c r="L1486" s="40">
        <f t="shared" si="351"/>
        <v>97200</v>
      </c>
      <c r="M1486" s="123"/>
      <c r="N1486" s="120"/>
      <c r="O1486" s="71">
        <f t="shared" si="349"/>
        <v>97200</v>
      </c>
      <c r="P1486" s="71">
        <f t="shared" si="350"/>
        <v>97200</v>
      </c>
    </row>
    <row r="1487" spans="1:16" s="58" customFormat="1" ht="21.6" customHeight="1">
      <c r="A1487" s="10">
        <v>14</v>
      </c>
      <c r="B1487" s="37" t="s">
        <v>767</v>
      </c>
      <c r="C1487" s="38" t="s">
        <v>613</v>
      </c>
      <c r="D1487" s="40">
        <f>185000-18500</f>
        <v>166500</v>
      </c>
      <c r="E1487" s="40"/>
      <c r="F1487" s="40"/>
      <c r="G1487" s="216" t="s">
        <v>613</v>
      </c>
      <c r="H1487" s="217"/>
      <c r="I1487" s="127"/>
      <c r="J1487" s="127"/>
      <c r="K1487" s="25" t="str">
        <f t="shared" si="348"/>
        <v>đ/mét</v>
      </c>
      <c r="L1487" s="40">
        <f t="shared" si="351"/>
        <v>166500</v>
      </c>
      <c r="M1487" s="123"/>
      <c r="N1487" s="120"/>
      <c r="O1487" s="71">
        <f t="shared" si="349"/>
        <v>166500</v>
      </c>
      <c r="P1487" s="71">
        <f t="shared" si="350"/>
        <v>166500</v>
      </c>
    </row>
    <row r="1488" spans="1:16" s="58" customFormat="1" ht="21.6" customHeight="1">
      <c r="A1488" s="10">
        <v>15</v>
      </c>
      <c r="B1488" s="37" t="s">
        <v>768</v>
      </c>
      <c r="C1488" s="38" t="s">
        <v>613</v>
      </c>
      <c r="D1488" s="40">
        <f>225000-22500</f>
        <v>202500</v>
      </c>
      <c r="E1488" s="40"/>
      <c r="F1488" s="40"/>
      <c r="G1488" s="216" t="s">
        <v>613</v>
      </c>
      <c r="H1488" s="217"/>
      <c r="I1488" s="127"/>
      <c r="J1488" s="127"/>
      <c r="K1488" s="25" t="str">
        <f t="shared" si="348"/>
        <v>đ/mét</v>
      </c>
      <c r="L1488" s="40">
        <f t="shared" si="351"/>
        <v>202500</v>
      </c>
      <c r="M1488" s="123"/>
      <c r="N1488" s="120"/>
      <c r="O1488" s="71">
        <f t="shared" si="349"/>
        <v>202500</v>
      </c>
      <c r="P1488" s="71">
        <f t="shared" si="350"/>
        <v>202500</v>
      </c>
    </row>
    <row r="1489" spans="1:16" s="58" customFormat="1" ht="21.6" customHeight="1">
      <c r="A1489" s="10">
        <v>16</v>
      </c>
      <c r="B1489" s="37" t="s">
        <v>769</v>
      </c>
      <c r="C1489" s="38" t="s">
        <v>613</v>
      </c>
      <c r="D1489" s="40">
        <f>179000-17900</f>
        <v>161100</v>
      </c>
      <c r="E1489" s="40"/>
      <c r="F1489" s="40"/>
      <c r="G1489" s="216" t="s">
        <v>613</v>
      </c>
      <c r="H1489" s="217"/>
      <c r="I1489" s="127"/>
      <c r="J1489" s="127"/>
      <c r="K1489" s="25" t="str">
        <f t="shared" si="348"/>
        <v>đ/mét</v>
      </c>
      <c r="L1489" s="40">
        <f t="shared" si="351"/>
        <v>161100</v>
      </c>
      <c r="M1489" s="123"/>
      <c r="N1489" s="120"/>
      <c r="O1489" s="71">
        <f t="shared" si="349"/>
        <v>161100</v>
      </c>
      <c r="P1489" s="71">
        <f t="shared" si="350"/>
        <v>161100</v>
      </c>
    </row>
    <row r="1490" spans="1:16" s="58" customFormat="1" ht="21.6" customHeight="1">
      <c r="A1490" s="10">
        <v>17</v>
      </c>
      <c r="B1490" s="37" t="s">
        <v>770</v>
      </c>
      <c r="C1490" s="38" t="s">
        <v>613</v>
      </c>
      <c r="D1490" s="40">
        <f>233700-23370</f>
        <v>210330</v>
      </c>
      <c r="E1490" s="40"/>
      <c r="F1490" s="40"/>
      <c r="G1490" s="216" t="s">
        <v>613</v>
      </c>
      <c r="H1490" s="217"/>
      <c r="I1490" s="127"/>
      <c r="J1490" s="127"/>
      <c r="K1490" s="25" t="str">
        <f t="shared" si="348"/>
        <v>đ/mét</v>
      </c>
      <c r="L1490" s="40">
        <f t="shared" si="351"/>
        <v>210330</v>
      </c>
      <c r="M1490" s="123"/>
      <c r="N1490" s="120"/>
      <c r="O1490" s="71">
        <f t="shared" si="349"/>
        <v>210330</v>
      </c>
      <c r="P1490" s="71">
        <f t="shared" si="350"/>
        <v>210330</v>
      </c>
    </row>
    <row r="1491" spans="1:16" s="58" customFormat="1" ht="17.25">
      <c r="A1491" s="17" t="s">
        <v>771</v>
      </c>
      <c r="B1491" s="252" t="s">
        <v>772</v>
      </c>
      <c r="C1491" s="252"/>
      <c r="D1491" s="252"/>
      <c r="E1491" s="252"/>
      <c r="F1491" s="252"/>
      <c r="G1491" s="127"/>
      <c r="H1491" s="127"/>
      <c r="I1491" s="127"/>
      <c r="J1491" s="127"/>
      <c r="K1491" s="116"/>
      <c r="L1491" s="120"/>
      <c r="M1491" s="120"/>
      <c r="N1491" s="120"/>
      <c r="O1491" s="69"/>
      <c r="P1491" s="69"/>
    </row>
    <row r="1492" spans="1:16" s="58" customFormat="1" ht="30.95" customHeight="1">
      <c r="A1492" s="10"/>
      <c r="B1492" s="240" t="s">
        <v>773</v>
      </c>
      <c r="C1492" s="241"/>
      <c r="D1492" s="241"/>
      <c r="E1492" s="241"/>
      <c r="F1492" s="241"/>
      <c r="G1492" s="241"/>
      <c r="H1492" s="241"/>
      <c r="I1492" s="241"/>
      <c r="J1492" s="241"/>
      <c r="K1492" s="241"/>
      <c r="L1492" s="241"/>
      <c r="M1492" s="241"/>
      <c r="N1492" s="242"/>
      <c r="O1492" s="69"/>
      <c r="P1492" s="69"/>
    </row>
    <row r="1493" spans="1:16" s="58" customFormat="1" ht="20.45" customHeight="1">
      <c r="A1493" s="10">
        <v>1</v>
      </c>
      <c r="B1493" s="11" t="s">
        <v>774</v>
      </c>
      <c r="C1493" s="12" t="s">
        <v>84</v>
      </c>
      <c r="D1493" s="20"/>
      <c r="E1493" s="13">
        <f>2980000/1.1</f>
        <v>2709090.9090909087</v>
      </c>
      <c r="F1493" s="13"/>
      <c r="G1493" s="127"/>
      <c r="H1493" s="127"/>
      <c r="I1493" s="127"/>
      <c r="J1493" s="127"/>
      <c r="K1493" s="25" t="str">
        <f>C1493</f>
        <v>đ/cái</v>
      </c>
      <c r="L1493" s="19"/>
      <c r="M1493" s="19">
        <f>E1493</f>
        <v>2709090.9090909087</v>
      </c>
      <c r="N1493" s="120"/>
      <c r="O1493" s="71">
        <f>E1493</f>
        <v>2709090.9090909087</v>
      </c>
      <c r="P1493" s="71">
        <f>M1493</f>
        <v>2709090.9090909087</v>
      </c>
    </row>
    <row r="1494" spans="1:16" s="58" customFormat="1" ht="20.45" customHeight="1">
      <c r="A1494" s="10">
        <f>+A1493+1</f>
        <v>2</v>
      </c>
      <c r="B1494" s="11" t="s">
        <v>775</v>
      </c>
      <c r="C1494" s="12" t="s">
        <v>84</v>
      </c>
      <c r="D1494" s="20"/>
      <c r="E1494" s="13">
        <f>4675000/1.1</f>
        <v>4250000</v>
      </c>
      <c r="F1494" s="13"/>
      <c r="G1494" s="127"/>
      <c r="H1494" s="127"/>
      <c r="I1494" s="127"/>
      <c r="J1494" s="127"/>
      <c r="K1494" s="25" t="str">
        <f>C1494</f>
        <v>đ/cái</v>
      </c>
      <c r="L1494" s="19"/>
      <c r="M1494" s="19">
        <f>E1494</f>
        <v>4250000</v>
      </c>
      <c r="N1494" s="120"/>
      <c r="O1494" s="71">
        <f>E1494</f>
        <v>4250000</v>
      </c>
      <c r="P1494" s="71">
        <f>M1494</f>
        <v>4250000</v>
      </c>
    </row>
    <row r="1495" spans="1:16" s="58" customFormat="1" ht="20.45" customHeight="1">
      <c r="A1495" s="10">
        <f>+A1494+1</f>
        <v>3</v>
      </c>
      <c r="B1495" s="11" t="s">
        <v>776</v>
      </c>
      <c r="C1495" s="12" t="s">
        <v>84</v>
      </c>
      <c r="D1495" s="20"/>
      <c r="E1495" s="13">
        <f>6270000/1.1</f>
        <v>5700000</v>
      </c>
      <c r="F1495" s="13"/>
      <c r="G1495" s="127"/>
      <c r="H1495" s="127"/>
      <c r="I1495" s="127"/>
      <c r="J1495" s="127"/>
      <c r="K1495" s="25" t="str">
        <f>C1495</f>
        <v>đ/cái</v>
      </c>
      <c r="L1495" s="19"/>
      <c r="M1495" s="19">
        <f>E1495</f>
        <v>5700000</v>
      </c>
      <c r="N1495" s="120"/>
      <c r="O1495" s="71">
        <f>E1495</f>
        <v>5700000</v>
      </c>
      <c r="P1495" s="71">
        <f>M1495</f>
        <v>5700000</v>
      </c>
    </row>
    <row r="1496" spans="1:16" s="58" customFormat="1" ht="33.6" customHeight="1">
      <c r="A1496" s="10"/>
      <c r="B1496" s="240" t="s">
        <v>777</v>
      </c>
      <c r="C1496" s="241"/>
      <c r="D1496" s="241"/>
      <c r="E1496" s="241"/>
      <c r="F1496" s="241"/>
      <c r="G1496" s="241"/>
      <c r="H1496" s="241"/>
      <c r="I1496" s="241"/>
      <c r="J1496" s="241"/>
      <c r="K1496" s="241"/>
      <c r="L1496" s="241"/>
      <c r="M1496" s="241"/>
      <c r="N1496" s="242"/>
      <c r="O1496" s="69"/>
      <c r="P1496" s="69"/>
    </row>
    <row r="1497" spans="1:16" s="58" customFormat="1" ht="24" customHeight="1">
      <c r="A1497" s="10">
        <v>1</v>
      </c>
      <c r="B1497" s="11" t="s">
        <v>778</v>
      </c>
      <c r="C1497" s="12" t="s">
        <v>84</v>
      </c>
      <c r="D1497" s="20"/>
      <c r="E1497" s="13">
        <f>2650000/1.1</f>
        <v>2409090.9090909087</v>
      </c>
      <c r="F1497" s="13"/>
      <c r="G1497" s="127"/>
      <c r="H1497" s="127"/>
      <c r="I1497" s="127"/>
      <c r="J1497" s="127"/>
      <c r="K1497" s="25" t="str">
        <f t="shared" ref="K1497:K1505" si="352">C1497</f>
        <v>đ/cái</v>
      </c>
      <c r="L1497" s="19"/>
      <c r="M1497" s="19">
        <f t="shared" ref="M1497:M1505" si="353">E1497</f>
        <v>2409090.9090909087</v>
      </c>
      <c r="N1497" s="120"/>
      <c r="O1497" s="71">
        <f t="shared" ref="O1497:O1505" si="354">E1497</f>
        <v>2409090.9090909087</v>
      </c>
      <c r="P1497" s="71">
        <f t="shared" ref="P1497:P1505" si="355">M1497</f>
        <v>2409090.9090909087</v>
      </c>
    </row>
    <row r="1498" spans="1:16" s="58" customFormat="1" ht="24" customHeight="1">
      <c r="A1498" s="10">
        <f t="shared" ref="A1498:A1505" si="356">+A1497+1</f>
        <v>2</v>
      </c>
      <c r="B1498" s="11" t="s">
        <v>1095</v>
      </c>
      <c r="C1498" s="12" t="s">
        <v>84</v>
      </c>
      <c r="D1498" s="20"/>
      <c r="E1498" s="13">
        <f>3800000/1.1</f>
        <v>3454545.4545454541</v>
      </c>
      <c r="F1498" s="13"/>
      <c r="G1498" s="127"/>
      <c r="H1498" s="127"/>
      <c r="I1498" s="127"/>
      <c r="J1498" s="127"/>
      <c r="K1498" s="25" t="str">
        <f t="shared" si="352"/>
        <v>đ/cái</v>
      </c>
      <c r="L1498" s="19"/>
      <c r="M1498" s="19">
        <f t="shared" si="353"/>
        <v>3454545.4545454541</v>
      </c>
      <c r="N1498" s="120"/>
      <c r="O1498" s="71">
        <f t="shared" si="354"/>
        <v>3454545.4545454541</v>
      </c>
      <c r="P1498" s="71">
        <f t="shared" si="355"/>
        <v>3454545.4545454541</v>
      </c>
    </row>
    <row r="1499" spans="1:16" s="58" customFormat="1" ht="24" customHeight="1">
      <c r="A1499" s="10">
        <f t="shared" si="356"/>
        <v>3</v>
      </c>
      <c r="B1499" s="11" t="s">
        <v>1096</v>
      </c>
      <c r="C1499" s="12" t="s">
        <v>84</v>
      </c>
      <c r="D1499" s="20"/>
      <c r="E1499" s="13">
        <f>4990000/1.1</f>
        <v>4536363.6363636358</v>
      </c>
      <c r="F1499" s="13"/>
      <c r="G1499" s="127"/>
      <c r="H1499" s="127"/>
      <c r="I1499" s="127"/>
      <c r="J1499" s="127"/>
      <c r="K1499" s="25" t="str">
        <f t="shared" si="352"/>
        <v>đ/cái</v>
      </c>
      <c r="L1499" s="19"/>
      <c r="M1499" s="19">
        <f t="shared" si="353"/>
        <v>4536363.6363636358</v>
      </c>
      <c r="N1499" s="120"/>
      <c r="O1499" s="71">
        <f t="shared" si="354"/>
        <v>4536363.6363636358</v>
      </c>
      <c r="P1499" s="71">
        <f t="shared" si="355"/>
        <v>4536363.6363636358</v>
      </c>
    </row>
    <row r="1500" spans="1:16" s="58" customFormat="1" ht="24" customHeight="1">
      <c r="A1500" s="10">
        <f t="shared" si="356"/>
        <v>4</v>
      </c>
      <c r="B1500" s="11" t="s">
        <v>779</v>
      </c>
      <c r="C1500" s="12" t="s">
        <v>84</v>
      </c>
      <c r="D1500" s="20"/>
      <c r="E1500" s="13">
        <f>7750000/1.1</f>
        <v>7045454.5454545449</v>
      </c>
      <c r="F1500" s="13"/>
      <c r="G1500" s="127"/>
      <c r="H1500" s="127"/>
      <c r="I1500" s="127"/>
      <c r="J1500" s="127"/>
      <c r="K1500" s="25" t="str">
        <f t="shared" si="352"/>
        <v>đ/cái</v>
      </c>
      <c r="L1500" s="19"/>
      <c r="M1500" s="19">
        <f t="shared" si="353"/>
        <v>7045454.5454545449</v>
      </c>
      <c r="N1500" s="120"/>
      <c r="O1500" s="71">
        <f t="shared" si="354"/>
        <v>7045454.5454545449</v>
      </c>
      <c r="P1500" s="71">
        <f t="shared" si="355"/>
        <v>7045454.5454545449</v>
      </c>
    </row>
    <row r="1501" spans="1:16" s="58" customFormat="1" ht="24" customHeight="1">
      <c r="A1501" s="10">
        <f t="shared" si="356"/>
        <v>5</v>
      </c>
      <c r="B1501" s="11" t="s">
        <v>780</v>
      </c>
      <c r="C1501" s="12" t="s">
        <v>84</v>
      </c>
      <c r="D1501" s="20"/>
      <c r="E1501" s="13">
        <f>9990000/1.1</f>
        <v>9081818.1818181816</v>
      </c>
      <c r="F1501" s="13"/>
      <c r="G1501" s="127"/>
      <c r="H1501" s="127"/>
      <c r="I1501" s="127"/>
      <c r="J1501" s="127"/>
      <c r="K1501" s="25" t="str">
        <f t="shared" si="352"/>
        <v>đ/cái</v>
      </c>
      <c r="L1501" s="19"/>
      <c r="M1501" s="19">
        <f t="shared" si="353"/>
        <v>9081818.1818181816</v>
      </c>
      <c r="N1501" s="120"/>
      <c r="O1501" s="71">
        <f t="shared" si="354"/>
        <v>9081818.1818181816</v>
      </c>
      <c r="P1501" s="71">
        <f t="shared" si="355"/>
        <v>9081818.1818181816</v>
      </c>
    </row>
    <row r="1502" spans="1:16" s="58" customFormat="1" ht="24" customHeight="1">
      <c r="A1502" s="10">
        <f t="shared" si="356"/>
        <v>6</v>
      </c>
      <c r="B1502" s="11" t="s">
        <v>781</v>
      </c>
      <c r="C1502" s="12" t="s">
        <v>84</v>
      </c>
      <c r="D1502" s="20"/>
      <c r="E1502" s="13">
        <f>11990000/1.1</f>
        <v>10900000</v>
      </c>
      <c r="F1502" s="13"/>
      <c r="G1502" s="127"/>
      <c r="H1502" s="127"/>
      <c r="I1502" s="127"/>
      <c r="J1502" s="127"/>
      <c r="K1502" s="25" t="str">
        <f t="shared" si="352"/>
        <v>đ/cái</v>
      </c>
      <c r="L1502" s="19"/>
      <c r="M1502" s="19">
        <f t="shared" si="353"/>
        <v>10900000</v>
      </c>
      <c r="N1502" s="120"/>
      <c r="O1502" s="71">
        <f t="shared" si="354"/>
        <v>10900000</v>
      </c>
      <c r="P1502" s="71">
        <f t="shared" si="355"/>
        <v>10900000</v>
      </c>
    </row>
    <row r="1503" spans="1:16" s="58" customFormat="1" ht="24" customHeight="1">
      <c r="A1503" s="10">
        <f t="shared" si="356"/>
        <v>7</v>
      </c>
      <c r="B1503" s="11" t="s">
        <v>782</v>
      </c>
      <c r="C1503" s="12" t="s">
        <v>84</v>
      </c>
      <c r="D1503" s="20"/>
      <c r="E1503" s="13">
        <f>2790000/1.1</f>
        <v>2536363.6363636362</v>
      </c>
      <c r="F1503" s="13"/>
      <c r="G1503" s="127"/>
      <c r="H1503" s="127"/>
      <c r="I1503" s="127"/>
      <c r="J1503" s="127"/>
      <c r="K1503" s="25" t="str">
        <f t="shared" si="352"/>
        <v>đ/cái</v>
      </c>
      <c r="L1503" s="19"/>
      <c r="M1503" s="19">
        <f t="shared" si="353"/>
        <v>2536363.6363636362</v>
      </c>
      <c r="N1503" s="120"/>
      <c r="O1503" s="71">
        <f t="shared" si="354"/>
        <v>2536363.6363636362</v>
      </c>
      <c r="P1503" s="71">
        <f t="shared" si="355"/>
        <v>2536363.6363636362</v>
      </c>
    </row>
    <row r="1504" spans="1:16" s="58" customFormat="1" ht="24" customHeight="1">
      <c r="A1504" s="10">
        <f t="shared" si="356"/>
        <v>8</v>
      </c>
      <c r="B1504" s="11" t="s">
        <v>783</v>
      </c>
      <c r="C1504" s="12" t="s">
        <v>84</v>
      </c>
      <c r="D1504" s="20"/>
      <c r="E1504" s="13">
        <f>4100000/1.1</f>
        <v>3727272.7272727271</v>
      </c>
      <c r="F1504" s="13"/>
      <c r="G1504" s="127"/>
      <c r="H1504" s="127"/>
      <c r="I1504" s="127"/>
      <c r="J1504" s="127"/>
      <c r="K1504" s="25" t="str">
        <f t="shared" si="352"/>
        <v>đ/cái</v>
      </c>
      <c r="L1504" s="19"/>
      <c r="M1504" s="19">
        <f t="shared" si="353"/>
        <v>3727272.7272727271</v>
      </c>
      <c r="N1504" s="120"/>
      <c r="O1504" s="71">
        <f t="shared" si="354"/>
        <v>3727272.7272727271</v>
      </c>
      <c r="P1504" s="71">
        <f t="shared" si="355"/>
        <v>3727272.7272727271</v>
      </c>
    </row>
    <row r="1505" spans="1:16" s="58" customFormat="1" ht="24" customHeight="1">
      <c r="A1505" s="10">
        <f t="shared" si="356"/>
        <v>9</v>
      </c>
      <c r="B1505" s="11" t="s">
        <v>784</v>
      </c>
      <c r="C1505" s="12" t="s">
        <v>84</v>
      </c>
      <c r="D1505" s="20"/>
      <c r="E1505" s="13">
        <f>5350000/1.1</f>
        <v>4863636.3636363633</v>
      </c>
      <c r="F1505" s="13"/>
      <c r="G1505" s="127"/>
      <c r="H1505" s="127"/>
      <c r="I1505" s="127"/>
      <c r="J1505" s="127"/>
      <c r="K1505" s="25" t="str">
        <f t="shared" si="352"/>
        <v>đ/cái</v>
      </c>
      <c r="L1505" s="19"/>
      <c r="M1505" s="19">
        <f t="shared" si="353"/>
        <v>4863636.3636363633</v>
      </c>
      <c r="N1505" s="120"/>
      <c r="O1505" s="71">
        <f t="shared" si="354"/>
        <v>4863636.3636363633</v>
      </c>
      <c r="P1505" s="71">
        <f t="shared" si="355"/>
        <v>4863636.3636363633</v>
      </c>
    </row>
    <row r="1506" spans="1:16" s="58" customFormat="1" ht="32.25" customHeight="1">
      <c r="A1506" s="17" t="s">
        <v>785</v>
      </c>
      <c r="B1506" s="252" t="s">
        <v>786</v>
      </c>
      <c r="C1506" s="252"/>
      <c r="D1506" s="252"/>
      <c r="E1506" s="252"/>
      <c r="F1506" s="252"/>
      <c r="G1506" s="127"/>
      <c r="H1506" s="127"/>
      <c r="I1506" s="127"/>
      <c r="J1506" s="127"/>
      <c r="K1506" s="116"/>
      <c r="L1506" s="120"/>
      <c r="M1506" s="120"/>
      <c r="N1506" s="120"/>
      <c r="O1506" s="69"/>
      <c r="P1506" s="69"/>
    </row>
    <row r="1507" spans="1:16" s="58" customFormat="1" ht="41.25" customHeight="1">
      <c r="A1507" s="10"/>
      <c r="B1507" s="240" t="s">
        <v>787</v>
      </c>
      <c r="C1507" s="241"/>
      <c r="D1507" s="241"/>
      <c r="E1507" s="241"/>
      <c r="F1507" s="241"/>
      <c r="G1507" s="241"/>
      <c r="H1507" s="241"/>
      <c r="I1507" s="241"/>
      <c r="J1507" s="241"/>
      <c r="K1507" s="241"/>
      <c r="L1507" s="241"/>
      <c r="M1507" s="241"/>
      <c r="N1507" s="242"/>
      <c r="O1507" s="69"/>
      <c r="P1507" s="69"/>
    </row>
    <row r="1508" spans="1:16" s="58" customFormat="1" ht="24.95" customHeight="1">
      <c r="A1508" s="10">
        <v>1</v>
      </c>
      <c r="B1508" s="11" t="s">
        <v>788</v>
      </c>
      <c r="C1508" s="12" t="s">
        <v>613</v>
      </c>
      <c r="D1508" s="20"/>
      <c r="E1508" s="42">
        <v>2600</v>
      </c>
      <c r="F1508" s="42"/>
      <c r="G1508" s="127"/>
      <c r="H1508" s="127"/>
      <c r="I1508" s="127"/>
      <c r="J1508" s="127"/>
      <c r="K1508" s="25" t="str">
        <f t="shared" ref="K1508:K1523" si="357">C1508</f>
        <v>đ/mét</v>
      </c>
      <c r="L1508" s="19"/>
      <c r="M1508" s="19">
        <f t="shared" ref="M1508:M1523" si="358">E1508</f>
        <v>2600</v>
      </c>
      <c r="N1508" s="120"/>
      <c r="O1508" s="71">
        <f t="shared" ref="O1508:O1523" si="359">E1508</f>
        <v>2600</v>
      </c>
      <c r="P1508" s="71">
        <f t="shared" ref="P1508:P1523" si="360">M1508</f>
        <v>2600</v>
      </c>
    </row>
    <row r="1509" spans="1:16" s="58" customFormat="1" ht="24.95" customHeight="1">
      <c r="A1509" s="10">
        <f t="shared" ref="A1509:A1523" si="361">+A1508+1</f>
        <v>2</v>
      </c>
      <c r="B1509" s="11" t="s">
        <v>789</v>
      </c>
      <c r="C1509" s="12" t="s">
        <v>613</v>
      </c>
      <c r="D1509" s="20"/>
      <c r="E1509" s="42">
        <v>4880</v>
      </c>
      <c r="F1509" s="42"/>
      <c r="G1509" s="127"/>
      <c r="H1509" s="127"/>
      <c r="I1509" s="127"/>
      <c r="J1509" s="127"/>
      <c r="K1509" s="25" t="str">
        <f t="shared" si="357"/>
        <v>đ/mét</v>
      </c>
      <c r="L1509" s="19"/>
      <c r="M1509" s="19">
        <f t="shared" si="358"/>
        <v>4880</v>
      </c>
      <c r="N1509" s="120"/>
      <c r="O1509" s="71">
        <f t="shared" si="359"/>
        <v>4880</v>
      </c>
      <c r="P1509" s="71">
        <f t="shared" si="360"/>
        <v>4880</v>
      </c>
    </row>
    <row r="1510" spans="1:16" s="58" customFormat="1" ht="24.95" customHeight="1">
      <c r="A1510" s="10">
        <f t="shared" si="361"/>
        <v>3</v>
      </c>
      <c r="B1510" s="11" t="s">
        <v>790</v>
      </c>
      <c r="C1510" s="12" t="s">
        <v>613</v>
      </c>
      <c r="D1510" s="20"/>
      <c r="E1510" s="42">
        <v>7100</v>
      </c>
      <c r="F1510" s="42"/>
      <c r="G1510" s="127"/>
      <c r="H1510" s="127"/>
      <c r="I1510" s="127"/>
      <c r="J1510" s="127"/>
      <c r="K1510" s="25" t="str">
        <f t="shared" si="357"/>
        <v>đ/mét</v>
      </c>
      <c r="L1510" s="19"/>
      <c r="M1510" s="19">
        <f t="shared" si="358"/>
        <v>7100</v>
      </c>
      <c r="N1510" s="120"/>
      <c r="O1510" s="71">
        <f t="shared" si="359"/>
        <v>7100</v>
      </c>
      <c r="P1510" s="71">
        <f t="shared" si="360"/>
        <v>7100</v>
      </c>
    </row>
    <row r="1511" spans="1:16" s="58" customFormat="1" ht="24.95" customHeight="1">
      <c r="A1511" s="10">
        <f t="shared" si="361"/>
        <v>4</v>
      </c>
      <c r="B1511" s="11" t="s">
        <v>791</v>
      </c>
      <c r="C1511" s="12" t="s">
        <v>613</v>
      </c>
      <c r="D1511" s="20"/>
      <c r="E1511" s="42">
        <v>16300</v>
      </c>
      <c r="F1511" s="42"/>
      <c r="G1511" s="127"/>
      <c r="H1511" s="127"/>
      <c r="I1511" s="127"/>
      <c r="J1511" s="127"/>
      <c r="K1511" s="25" t="str">
        <f t="shared" si="357"/>
        <v>đ/mét</v>
      </c>
      <c r="L1511" s="19"/>
      <c r="M1511" s="19">
        <f t="shared" si="358"/>
        <v>16300</v>
      </c>
      <c r="N1511" s="120"/>
      <c r="O1511" s="71">
        <f t="shared" si="359"/>
        <v>16300</v>
      </c>
      <c r="P1511" s="71">
        <f t="shared" si="360"/>
        <v>16300</v>
      </c>
    </row>
    <row r="1512" spans="1:16" s="58" customFormat="1" ht="24.95" customHeight="1">
      <c r="A1512" s="10">
        <f t="shared" si="361"/>
        <v>5</v>
      </c>
      <c r="B1512" s="11" t="s">
        <v>792</v>
      </c>
      <c r="C1512" s="12" t="s">
        <v>613</v>
      </c>
      <c r="D1512" s="20"/>
      <c r="E1512" s="42">
        <v>2900</v>
      </c>
      <c r="F1512" s="42"/>
      <c r="G1512" s="127"/>
      <c r="H1512" s="127"/>
      <c r="I1512" s="127"/>
      <c r="J1512" s="127"/>
      <c r="K1512" s="25" t="str">
        <f t="shared" si="357"/>
        <v>đ/mét</v>
      </c>
      <c r="L1512" s="19"/>
      <c r="M1512" s="19">
        <f t="shared" si="358"/>
        <v>2900</v>
      </c>
      <c r="N1512" s="120"/>
      <c r="O1512" s="71">
        <f t="shared" si="359"/>
        <v>2900</v>
      </c>
      <c r="P1512" s="71">
        <f t="shared" si="360"/>
        <v>2900</v>
      </c>
    </row>
    <row r="1513" spans="1:16" s="58" customFormat="1" ht="24.95" customHeight="1">
      <c r="A1513" s="10">
        <f t="shared" si="361"/>
        <v>6</v>
      </c>
      <c r="B1513" s="11" t="s">
        <v>793</v>
      </c>
      <c r="C1513" s="12" t="s">
        <v>613</v>
      </c>
      <c r="D1513" s="20"/>
      <c r="E1513" s="42">
        <v>4100</v>
      </c>
      <c r="F1513" s="42"/>
      <c r="G1513" s="127"/>
      <c r="H1513" s="127"/>
      <c r="I1513" s="127"/>
      <c r="J1513" s="127"/>
      <c r="K1513" s="25" t="str">
        <f t="shared" si="357"/>
        <v>đ/mét</v>
      </c>
      <c r="L1513" s="19"/>
      <c r="M1513" s="19">
        <f t="shared" si="358"/>
        <v>4100</v>
      </c>
      <c r="N1513" s="120"/>
      <c r="O1513" s="71">
        <f t="shared" si="359"/>
        <v>4100</v>
      </c>
      <c r="P1513" s="71">
        <f t="shared" si="360"/>
        <v>4100</v>
      </c>
    </row>
    <row r="1514" spans="1:16" s="58" customFormat="1" ht="24.95" customHeight="1">
      <c r="A1514" s="10">
        <f t="shared" si="361"/>
        <v>7</v>
      </c>
      <c r="B1514" s="11" t="s">
        <v>794</v>
      </c>
      <c r="C1514" s="12" t="s">
        <v>613</v>
      </c>
      <c r="D1514" s="20"/>
      <c r="E1514" s="13">
        <v>5300</v>
      </c>
      <c r="F1514" s="13"/>
      <c r="G1514" s="127"/>
      <c r="H1514" s="127"/>
      <c r="I1514" s="127"/>
      <c r="J1514" s="127"/>
      <c r="K1514" s="25" t="str">
        <f t="shared" si="357"/>
        <v>đ/mét</v>
      </c>
      <c r="L1514" s="19"/>
      <c r="M1514" s="19">
        <f t="shared" si="358"/>
        <v>5300</v>
      </c>
      <c r="N1514" s="120"/>
      <c r="O1514" s="71">
        <f t="shared" si="359"/>
        <v>5300</v>
      </c>
      <c r="P1514" s="71">
        <f t="shared" si="360"/>
        <v>5300</v>
      </c>
    </row>
    <row r="1515" spans="1:16" s="58" customFormat="1" ht="24.95" customHeight="1">
      <c r="A1515" s="10">
        <f t="shared" si="361"/>
        <v>8</v>
      </c>
      <c r="B1515" s="11" t="s">
        <v>795</v>
      </c>
      <c r="C1515" s="12" t="s">
        <v>613</v>
      </c>
      <c r="D1515" s="20"/>
      <c r="E1515" s="13">
        <v>7800</v>
      </c>
      <c r="F1515" s="13"/>
      <c r="G1515" s="127"/>
      <c r="H1515" s="127"/>
      <c r="I1515" s="127"/>
      <c r="J1515" s="127"/>
      <c r="K1515" s="25" t="str">
        <f t="shared" si="357"/>
        <v>đ/mét</v>
      </c>
      <c r="L1515" s="19"/>
      <c r="M1515" s="19">
        <f t="shared" si="358"/>
        <v>7800</v>
      </c>
      <c r="N1515" s="120"/>
      <c r="O1515" s="71">
        <f t="shared" si="359"/>
        <v>7800</v>
      </c>
      <c r="P1515" s="71">
        <f t="shared" si="360"/>
        <v>7800</v>
      </c>
    </row>
    <row r="1516" spans="1:16" s="58" customFormat="1" ht="24.95" customHeight="1">
      <c r="A1516" s="10">
        <f t="shared" si="361"/>
        <v>9</v>
      </c>
      <c r="B1516" s="43" t="s">
        <v>796</v>
      </c>
      <c r="C1516" s="12" t="s">
        <v>613</v>
      </c>
      <c r="D1516" s="20"/>
      <c r="E1516" s="42">
        <v>2700</v>
      </c>
      <c r="F1516" s="42"/>
      <c r="G1516" s="127"/>
      <c r="H1516" s="127"/>
      <c r="I1516" s="127"/>
      <c r="J1516" s="127"/>
      <c r="K1516" s="25" t="str">
        <f t="shared" si="357"/>
        <v>đ/mét</v>
      </c>
      <c r="L1516" s="19"/>
      <c r="M1516" s="19">
        <f t="shared" si="358"/>
        <v>2700</v>
      </c>
      <c r="N1516" s="120"/>
      <c r="O1516" s="71">
        <f t="shared" si="359"/>
        <v>2700</v>
      </c>
      <c r="P1516" s="71">
        <f t="shared" si="360"/>
        <v>2700</v>
      </c>
    </row>
    <row r="1517" spans="1:16" s="58" customFormat="1" ht="24.95" customHeight="1">
      <c r="A1517" s="10">
        <f t="shared" si="361"/>
        <v>10</v>
      </c>
      <c r="B1517" s="43" t="s">
        <v>797</v>
      </c>
      <c r="C1517" s="12" t="s">
        <v>613</v>
      </c>
      <c r="D1517" s="20"/>
      <c r="E1517" s="42">
        <v>3500</v>
      </c>
      <c r="F1517" s="42"/>
      <c r="G1517" s="127"/>
      <c r="H1517" s="127"/>
      <c r="I1517" s="127"/>
      <c r="J1517" s="127"/>
      <c r="K1517" s="25" t="str">
        <f t="shared" si="357"/>
        <v>đ/mét</v>
      </c>
      <c r="L1517" s="19"/>
      <c r="M1517" s="19">
        <f t="shared" si="358"/>
        <v>3500</v>
      </c>
      <c r="N1517" s="120"/>
      <c r="O1517" s="71">
        <f t="shared" si="359"/>
        <v>3500</v>
      </c>
      <c r="P1517" s="71">
        <f t="shared" si="360"/>
        <v>3500</v>
      </c>
    </row>
    <row r="1518" spans="1:16" s="58" customFormat="1" ht="24.95" customHeight="1">
      <c r="A1518" s="10">
        <f t="shared" si="361"/>
        <v>11</v>
      </c>
      <c r="B1518" s="43" t="s">
        <v>798</v>
      </c>
      <c r="C1518" s="12" t="s">
        <v>613</v>
      </c>
      <c r="D1518" s="20"/>
      <c r="E1518" s="42">
        <v>5000</v>
      </c>
      <c r="F1518" s="42"/>
      <c r="G1518" s="127"/>
      <c r="H1518" s="127"/>
      <c r="I1518" s="127"/>
      <c r="J1518" s="127"/>
      <c r="K1518" s="25" t="str">
        <f t="shared" si="357"/>
        <v>đ/mét</v>
      </c>
      <c r="L1518" s="19"/>
      <c r="M1518" s="19">
        <f t="shared" si="358"/>
        <v>5000</v>
      </c>
      <c r="N1518" s="120"/>
      <c r="O1518" s="71">
        <f t="shared" si="359"/>
        <v>5000</v>
      </c>
      <c r="P1518" s="71">
        <f t="shared" si="360"/>
        <v>5000</v>
      </c>
    </row>
    <row r="1519" spans="1:16" s="58" customFormat="1" ht="24.95" customHeight="1">
      <c r="A1519" s="10">
        <f t="shared" si="361"/>
        <v>12</v>
      </c>
      <c r="B1519" s="43" t="s">
        <v>799</v>
      </c>
      <c r="C1519" s="12" t="s">
        <v>613</v>
      </c>
      <c r="D1519" s="20"/>
      <c r="E1519" s="42">
        <v>6000</v>
      </c>
      <c r="F1519" s="42"/>
      <c r="G1519" s="127"/>
      <c r="H1519" s="127"/>
      <c r="I1519" s="127"/>
      <c r="J1519" s="127"/>
      <c r="K1519" s="25" t="str">
        <f t="shared" si="357"/>
        <v>đ/mét</v>
      </c>
      <c r="L1519" s="19"/>
      <c r="M1519" s="19">
        <f t="shared" si="358"/>
        <v>6000</v>
      </c>
      <c r="N1519" s="120"/>
      <c r="O1519" s="71">
        <f t="shared" si="359"/>
        <v>6000</v>
      </c>
      <c r="P1519" s="71">
        <f t="shared" si="360"/>
        <v>6000</v>
      </c>
    </row>
    <row r="1520" spans="1:16" s="58" customFormat="1" ht="24.95" customHeight="1">
      <c r="A1520" s="10">
        <f t="shared" si="361"/>
        <v>13</v>
      </c>
      <c r="B1520" s="43" t="s">
        <v>800</v>
      </c>
      <c r="C1520" s="12" t="s">
        <v>613</v>
      </c>
      <c r="D1520" s="20"/>
      <c r="E1520" s="42">
        <v>7600</v>
      </c>
      <c r="F1520" s="42"/>
      <c r="G1520" s="127"/>
      <c r="H1520" s="127"/>
      <c r="I1520" s="127"/>
      <c r="J1520" s="127"/>
      <c r="K1520" s="25" t="str">
        <f t="shared" si="357"/>
        <v>đ/mét</v>
      </c>
      <c r="L1520" s="19"/>
      <c r="M1520" s="19">
        <f t="shared" si="358"/>
        <v>7600</v>
      </c>
      <c r="N1520" s="120"/>
      <c r="O1520" s="71">
        <f t="shared" si="359"/>
        <v>7600</v>
      </c>
      <c r="P1520" s="71">
        <f t="shared" si="360"/>
        <v>7600</v>
      </c>
    </row>
    <row r="1521" spans="1:16" s="58" customFormat="1" ht="24.95" customHeight="1">
      <c r="A1521" s="10">
        <f t="shared" si="361"/>
        <v>14</v>
      </c>
      <c r="B1521" s="43" t="s">
        <v>801</v>
      </c>
      <c r="C1521" s="12" t="s">
        <v>613</v>
      </c>
      <c r="D1521" s="20"/>
      <c r="E1521" s="42">
        <v>9500</v>
      </c>
      <c r="F1521" s="42"/>
      <c r="G1521" s="127"/>
      <c r="H1521" s="127"/>
      <c r="I1521" s="127"/>
      <c r="J1521" s="127"/>
      <c r="K1521" s="25" t="str">
        <f t="shared" si="357"/>
        <v>đ/mét</v>
      </c>
      <c r="L1521" s="19"/>
      <c r="M1521" s="19">
        <f t="shared" si="358"/>
        <v>9500</v>
      </c>
      <c r="N1521" s="120"/>
      <c r="O1521" s="71">
        <f t="shared" si="359"/>
        <v>9500</v>
      </c>
      <c r="P1521" s="71">
        <f t="shared" si="360"/>
        <v>9500</v>
      </c>
    </row>
    <row r="1522" spans="1:16" s="58" customFormat="1" ht="24.95" customHeight="1">
      <c r="A1522" s="10">
        <f t="shared" si="361"/>
        <v>15</v>
      </c>
      <c r="B1522" s="43" t="s">
        <v>802</v>
      </c>
      <c r="C1522" s="12" t="s">
        <v>613</v>
      </c>
      <c r="D1522" s="20"/>
      <c r="E1522" s="42">
        <v>12000</v>
      </c>
      <c r="F1522" s="42"/>
      <c r="G1522" s="127"/>
      <c r="H1522" s="127"/>
      <c r="I1522" s="127"/>
      <c r="J1522" s="127"/>
      <c r="K1522" s="25" t="str">
        <f t="shared" si="357"/>
        <v>đ/mét</v>
      </c>
      <c r="L1522" s="19"/>
      <c r="M1522" s="19">
        <f t="shared" si="358"/>
        <v>12000</v>
      </c>
      <c r="N1522" s="120"/>
      <c r="O1522" s="71">
        <f t="shared" si="359"/>
        <v>12000</v>
      </c>
      <c r="P1522" s="71">
        <f t="shared" si="360"/>
        <v>12000</v>
      </c>
    </row>
    <row r="1523" spans="1:16" s="58" customFormat="1" ht="24.95" customHeight="1">
      <c r="A1523" s="10">
        <f t="shared" si="361"/>
        <v>16</v>
      </c>
      <c r="B1523" s="43" t="s">
        <v>803</v>
      </c>
      <c r="C1523" s="12" t="s">
        <v>613</v>
      </c>
      <c r="D1523" s="20"/>
      <c r="E1523" s="42">
        <v>14000</v>
      </c>
      <c r="F1523" s="42"/>
      <c r="G1523" s="127"/>
      <c r="H1523" s="127"/>
      <c r="I1523" s="127"/>
      <c r="J1523" s="127"/>
      <c r="K1523" s="25" t="str">
        <f t="shared" si="357"/>
        <v>đ/mét</v>
      </c>
      <c r="L1523" s="19"/>
      <c r="M1523" s="19">
        <f t="shared" si="358"/>
        <v>14000</v>
      </c>
      <c r="N1523" s="120"/>
      <c r="O1523" s="71">
        <f t="shared" si="359"/>
        <v>14000</v>
      </c>
      <c r="P1523" s="71">
        <f t="shared" si="360"/>
        <v>14000</v>
      </c>
    </row>
    <row r="1524" spans="1:16" s="66" customFormat="1" ht="42" customHeight="1">
      <c r="A1524" s="51"/>
      <c r="B1524" s="246" t="s">
        <v>804</v>
      </c>
      <c r="C1524" s="247"/>
      <c r="D1524" s="247"/>
      <c r="E1524" s="247"/>
      <c r="F1524" s="247"/>
      <c r="G1524" s="247"/>
      <c r="H1524" s="247"/>
      <c r="I1524" s="247"/>
      <c r="J1524" s="247"/>
      <c r="K1524" s="247"/>
      <c r="L1524" s="247"/>
      <c r="M1524" s="247"/>
      <c r="N1524" s="248"/>
      <c r="O1524" s="70"/>
      <c r="P1524" s="70"/>
    </row>
    <row r="1525" spans="1:16" s="58" customFormat="1" ht="23.45" customHeight="1">
      <c r="A1525" s="10">
        <v>1</v>
      </c>
      <c r="B1525" s="44" t="s">
        <v>805</v>
      </c>
      <c r="C1525" s="12" t="s">
        <v>259</v>
      </c>
      <c r="D1525" s="20"/>
      <c r="E1525" s="42">
        <v>199000</v>
      </c>
      <c r="F1525" s="13"/>
      <c r="G1525" s="127"/>
      <c r="H1525" s="127"/>
      <c r="I1525" s="127"/>
      <c r="J1525" s="127"/>
      <c r="K1525" s="25" t="str">
        <f>C1525</f>
        <v>đ/bộ</v>
      </c>
      <c r="L1525" s="19"/>
      <c r="M1525" s="19">
        <f>E1525</f>
        <v>199000</v>
      </c>
      <c r="N1525" s="120"/>
      <c r="O1525" s="71">
        <f>E1525</f>
        <v>199000</v>
      </c>
      <c r="P1525" s="71">
        <f>M1525</f>
        <v>199000</v>
      </c>
    </row>
    <row r="1526" spans="1:16" s="58" customFormat="1" ht="23.45" customHeight="1">
      <c r="A1526" s="10">
        <f>+A1525+1</f>
        <v>2</v>
      </c>
      <c r="B1526" s="44" t="s">
        <v>806</v>
      </c>
      <c r="C1526" s="12" t="s">
        <v>259</v>
      </c>
      <c r="D1526" s="20"/>
      <c r="E1526" s="42">
        <v>261000</v>
      </c>
      <c r="F1526" s="13"/>
      <c r="G1526" s="127"/>
      <c r="H1526" s="127"/>
      <c r="I1526" s="127"/>
      <c r="J1526" s="127"/>
      <c r="K1526" s="25" t="str">
        <f>C1526</f>
        <v>đ/bộ</v>
      </c>
      <c r="L1526" s="19"/>
      <c r="M1526" s="19">
        <f>E1526</f>
        <v>261000</v>
      </c>
      <c r="N1526" s="120"/>
      <c r="O1526" s="71">
        <f>E1526</f>
        <v>261000</v>
      </c>
      <c r="P1526" s="71">
        <f>M1526</f>
        <v>261000</v>
      </c>
    </row>
    <row r="1527" spans="1:16" s="58" customFormat="1" ht="23.45" customHeight="1">
      <c r="A1527" s="10">
        <f>+A1526+1</f>
        <v>3</v>
      </c>
      <c r="B1527" s="44" t="s">
        <v>807</v>
      </c>
      <c r="C1527" s="12" t="s">
        <v>259</v>
      </c>
      <c r="D1527" s="20"/>
      <c r="E1527" s="42">
        <v>219000</v>
      </c>
      <c r="F1527" s="13"/>
      <c r="G1527" s="127"/>
      <c r="H1527" s="127"/>
      <c r="I1527" s="127"/>
      <c r="J1527" s="127"/>
      <c r="K1527" s="25" t="str">
        <f>C1527</f>
        <v>đ/bộ</v>
      </c>
      <c r="L1527" s="19"/>
      <c r="M1527" s="19">
        <f>E1527</f>
        <v>219000</v>
      </c>
      <c r="N1527" s="120"/>
      <c r="O1527" s="71">
        <f>E1527</f>
        <v>219000</v>
      </c>
      <c r="P1527" s="71">
        <f>M1527</f>
        <v>219000</v>
      </c>
    </row>
    <row r="1528" spans="1:16" s="58" customFormat="1" ht="23.45" customHeight="1">
      <c r="A1528" s="10">
        <f>+A1527+1</f>
        <v>4</v>
      </c>
      <c r="B1528" s="44" t="s">
        <v>808</v>
      </c>
      <c r="C1528" s="12" t="s">
        <v>259</v>
      </c>
      <c r="D1528" s="20"/>
      <c r="E1528" s="42">
        <v>348000</v>
      </c>
      <c r="F1528" s="13"/>
      <c r="G1528" s="127"/>
      <c r="H1528" s="127"/>
      <c r="I1528" s="127"/>
      <c r="J1528" s="127"/>
      <c r="K1528" s="25" t="str">
        <f>C1528</f>
        <v>đ/bộ</v>
      </c>
      <c r="L1528" s="19"/>
      <c r="M1528" s="19">
        <f>E1528</f>
        <v>348000</v>
      </c>
      <c r="N1528" s="120"/>
      <c r="O1528" s="71">
        <f>E1528</f>
        <v>348000</v>
      </c>
      <c r="P1528" s="71">
        <f>M1528</f>
        <v>348000</v>
      </c>
    </row>
    <row r="1529" spans="1:16" s="66" customFormat="1" ht="36" customHeight="1">
      <c r="A1529" s="51"/>
      <c r="B1529" s="246" t="s">
        <v>809</v>
      </c>
      <c r="C1529" s="247"/>
      <c r="D1529" s="247"/>
      <c r="E1529" s="247"/>
      <c r="F1529" s="247"/>
      <c r="G1529" s="247"/>
      <c r="H1529" s="247"/>
      <c r="I1529" s="247"/>
      <c r="J1529" s="247"/>
      <c r="K1529" s="247"/>
      <c r="L1529" s="247"/>
      <c r="M1529" s="247"/>
      <c r="N1529" s="248"/>
      <c r="O1529" s="70"/>
      <c r="P1529" s="70"/>
    </row>
    <row r="1530" spans="1:16" s="58" customFormat="1" ht="26.45" customHeight="1">
      <c r="A1530" s="10">
        <v>1</v>
      </c>
      <c r="B1530" s="44" t="s">
        <v>810</v>
      </c>
      <c r="C1530" s="12" t="s">
        <v>811</v>
      </c>
      <c r="D1530" s="20"/>
      <c r="E1530" s="42">
        <v>55000</v>
      </c>
      <c r="F1530" s="13"/>
      <c r="G1530" s="127"/>
      <c r="H1530" s="127"/>
      <c r="I1530" s="127"/>
      <c r="J1530" s="127"/>
      <c r="K1530" s="25" t="str">
        <f>C1530</f>
        <v>đ/bóng</v>
      </c>
      <c r="L1530" s="19"/>
      <c r="M1530" s="19">
        <f>E1530</f>
        <v>55000</v>
      </c>
      <c r="N1530" s="120"/>
      <c r="O1530" s="71">
        <f>E1530</f>
        <v>55000</v>
      </c>
      <c r="P1530" s="71">
        <f>M1530</f>
        <v>55000</v>
      </c>
    </row>
    <row r="1531" spans="1:16" s="58" customFormat="1" ht="26.45" customHeight="1">
      <c r="A1531" s="10">
        <f>+A1530+1</f>
        <v>2</v>
      </c>
      <c r="B1531" s="44" t="s">
        <v>812</v>
      </c>
      <c r="C1531" s="12" t="s">
        <v>811</v>
      </c>
      <c r="D1531" s="20"/>
      <c r="E1531" s="42">
        <v>63000</v>
      </c>
      <c r="F1531" s="13"/>
      <c r="G1531" s="127"/>
      <c r="H1531" s="127"/>
      <c r="I1531" s="127"/>
      <c r="J1531" s="127"/>
      <c r="K1531" s="25" t="str">
        <f>C1531</f>
        <v>đ/bóng</v>
      </c>
      <c r="L1531" s="19"/>
      <c r="M1531" s="19">
        <f>E1531</f>
        <v>63000</v>
      </c>
      <c r="N1531" s="120"/>
      <c r="O1531" s="71">
        <f>E1531</f>
        <v>63000</v>
      </c>
      <c r="P1531" s="71">
        <f>M1531</f>
        <v>63000</v>
      </c>
    </row>
    <row r="1532" spans="1:16" s="58" customFormat="1" ht="26.45" customHeight="1">
      <c r="A1532" s="10">
        <f>+A1531+1</f>
        <v>3</v>
      </c>
      <c r="B1532" s="44" t="s">
        <v>813</v>
      </c>
      <c r="C1532" s="12" t="s">
        <v>811</v>
      </c>
      <c r="D1532" s="20"/>
      <c r="E1532" s="42">
        <v>89000</v>
      </c>
      <c r="F1532" s="13"/>
      <c r="G1532" s="127"/>
      <c r="H1532" s="127"/>
      <c r="I1532" s="127"/>
      <c r="J1532" s="127"/>
      <c r="K1532" s="25" t="str">
        <f>C1532</f>
        <v>đ/bóng</v>
      </c>
      <c r="L1532" s="19"/>
      <c r="M1532" s="19">
        <f>E1532</f>
        <v>89000</v>
      </c>
      <c r="N1532" s="120"/>
      <c r="O1532" s="71">
        <f>E1532</f>
        <v>89000</v>
      </c>
      <c r="P1532" s="71">
        <f>M1532</f>
        <v>89000</v>
      </c>
    </row>
    <row r="1533" spans="1:16" s="66" customFormat="1" ht="40.5" customHeight="1">
      <c r="A1533" s="52"/>
      <c r="B1533" s="249" t="s">
        <v>814</v>
      </c>
      <c r="C1533" s="250"/>
      <c r="D1533" s="250"/>
      <c r="E1533" s="250"/>
      <c r="F1533" s="250"/>
      <c r="G1533" s="250"/>
      <c r="H1533" s="250"/>
      <c r="I1533" s="250"/>
      <c r="J1533" s="250"/>
      <c r="K1533" s="250"/>
      <c r="L1533" s="250"/>
      <c r="M1533" s="250"/>
      <c r="N1533" s="251"/>
      <c r="O1533" s="70"/>
      <c r="P1533" s="70"/>
    </row>
    <row r="1534" spans="1:16" s="58" customFormat="1" ht="23.45" customHeight="1">
      <c r="A1534" s="10">
        <v>1</v>
      </c>
      <c r="B1534" s="44" t="s">
        <v>815</v>
      </c>
      <c r="C1534" s="12" t="s">
        <v>84</v>
      </c>
      <c r="D1534" s="20"/>
      <c r="E1534" s="42">
        <v>17000</v>
      </c>
      <c r="F1534" s="13"/>
      <c r="G1534" s="127"/>
      <c r="H1534" s="127"/>
      <c r="I1534" s="127"/>
      <c r="J1534" s="127"/>
      <c r="K1534" s="25" t="str">
        <f t="shared" ref="K1534:K1543" si="362">C1534</f>
        <v>đ/cái</v>
      </c>
      <c r="L1534" s="19"/>
      <c r="M1534" s="19">
        <f t="shared" ref="M1534:M1543" si="363">E1534</f>
        <v>17000</v>
      </c>
      <c r="N1534" s="120"/>
      <c r="O1534" s="71">
        <f t="shared" ref="O1534:O1543" si="364">E1534</f>
        <v>17000</v>
      </c>
      <c r="P1534" s="71">
        <f t="shared" ref="P1534:P1543" si="365">M1534</f>
        <v>17000</v>
      </c>
    </row>
    <row r="1535" spans="1:16" s="58" customFormat="1" ht="23.45" customHeight="1">
      <c r="A1535" s="10">
        <f t="shared" ref="A1535:A1543" si="366">+A1534+1</f>
        <v>2</v>
      </c>
      <c r="B1535" s="44" t="s">
        <v>816</v>
      </c>
      <c r="C1535" s="12" t="s">
        <v>84</v>
      </c>
      <c r="D1535" s="20"/>
      <c r="E1535" s="42">
        <v>38000</v>
      </c>
      <c r="F1535" s="13"/>
      <c r="G1535" s="127"/>
      <c r="H1535" s="127"/>
      <c r="I1535" s="127"/>
      <c r="J1535" s="127"/>
      <c r="K1535" s="25" t="str">
        <f t="shared" si="362"/>
        <v>đ/cái</v>
      </c>
      <c r="L1535" s="19"/>
      <c r="M1535" s="19">
        <f t="shared" si="363"/>
        <v>38000</v>
      </c>
      <c r="N1535" s="120"/>
      <c r="O1535" s="71">
        <f t="shared" si="364"/>
        <v>38000</v>
      </c>
      <c r="P1535" s="71">
        <f t="shared" si="365"/>
        <v>38000</v>
      </c>
    </row>
    <row r="1536" spans="1:16" s="58" customFormat="1" ht="23.45" customHeight="1">
      <c r="A1536" s="10">
        <f t="shared" si="366"/>
        <v>3</v>
      </c>
      <c r="B1536" s="44" t="s">
        <v>817</v>
      </c>
      <c r="C1536" s="12" t="s">
        <v>84</v>
      </c>
      <c r="D1536" s="20"/>
      <c r="E1536" s="42">
        <v>215000</v>
      </c>
      <c r="F1536" s="13"/>
      <c r="G1536" s="127"/>
      <c r="H1536" s="127"/>
      <c r="I1536" s="127"/>
      <c r="J1536" s="127"/>
      <c r="K1536" s="25" t="str">
        <f t="shared" si="362"/>
        <v>đ/cái</v>
      </c>
      <c r="L1536" s="19"/>
      <c r="M1536" s="19">
        <f t="shared" si="363"/>
        <v>215000</v>
      </c>
      <c r="N1536" s="120"/>
      <c r="O1536" s="71">
        <f t="shared" si="364"/>
        <v>215000</v>
      </c>
      <c r="P1536" s="71">
        <f t="shared" si="365"/>
        <v>215000</v>
      </c>
    </row>
    <row r="1537" spans="1:16" s="58" customFormat="1" ht="23.45" customHeight="1">
      <c r="A1537" s="10">
        <f t="shared" si="366"/>
        <v>4</v>
      </c>
      <c r="B1537" s="44" t="s">
        <v>818</v>
      </c>
      <c r="C1537" s="12" t="s">
        <v>84</v>
      </c>
      <c r="D1537" s="20"/>
      <c r="E1537" s="42">
        <v>25000</v>
      </c>
      <c r="F1537" s="13"/>
      <c r="G1537" s="127"/>
      <c r="H1537" s="127"/>
      <c r="I1537" s="127"/>
      <c r="J1537" s="127"/>
      <c r="K1537" s="25" t="str">
        <f t="shared" si="362"/>
        <v>đ/cái</v>
      </c>
      <c r="L1537" s="19"/>
      <c r="M1537" s="19">
        <f t="shared" si="363"/>
        <v>25000</v>
      </c>
      <c r="N1537" s="120"/>
      <c r="O1537" s="71">
        <f t="shared" si="364"/>
        <v>25000</v>
      </c>
      <c r="P1537" s="71">
        <f t="shared" si="365"/>
        <v>25000</v>
      </c>
    </row>
    <row r="1538" spans="1:16" s="58" customFormat="1" ht="23.45" customHeight="1">
      <c r="A1538" s="10">
        <f t="shared" si="366"/>
        <v>5</v>
      </c>
      <c r="B1538" s="44" t="s">
        <v>819</v>
      </c>
      <c r="C1538" s="12" t="s">
        <v>84</v>
      </c>
      <c r="D1538" s="20"/>
      <c r="E1538" s="42">
        <v>59000</v>
      </c>
      <c r="F1538" s="13"/>
      <c r="G1538" s="127"/>
      <c r="H1538" s="127"/>
      <c r="I1538" s="127"/>
      <c r="J1538" s="127"/>
      <c r="K1538" s="25" t="str">
        <f t="shared" si="362"/>
        <v>đ/cái</v>
      </c>
      <c r="L1538" s="19"/>
      <c r="M1538" s="19">
        <f t="shared" si="363"/>
        <v>59000</v>
      </c>
      <c r="N1538" s="120"/>
      <c r="O1538" s="71">
        <f t="shared" si="364"/>
        <v>59000</v>
      </c>
      <c r="P1538" s="71">
        <f t="shared" si="365"/>
        <v>59000</v>
      </c>
    </row>
    <row r="1539" spans="1:16" s="58" customFormat="1" ht="23.45" customHeight="1">
      <c r="A1539" s="10">
        <f t="shared" si="366"/>
        <v>6</v>
      </c>
      <c r="B1539" s="44" t="s">
        <v>820</v>
      </c>
      <c r="C1539" s="12" t="s">
        <v>84</v>
      </c>
      <c r="D1539" s="20"/>
      <c r="E1539" s="42">
        <v>74000</v>
      </c>
      <c r="F1539" s="13"/>
      <c r="G1539" s="127"/>
      <c r="H1539" s="127"/>
      <c r="I1539" s="127"/>
      <c r="J1539" s="127"/>
      <c r="K1539" s="25" t="str">
        <f t="shared" si="362"/>
        <v>đ/cái</v>
      </c>
      <c r="L1539" s="19"/>
      <c r="M1539" s="19">
        <f t="shared" si="363"/>
        <v>74000</v>
      </c>
      <c r="N1539" s="120"/>
      <c r="O1539" s="71">
        <f t="shared" si="364"/>
        <v>74000</v>
      </c>
      <c r="P1539" s="71">
        <f t="shared" si="365"/>
        <v>74000</v>
      </c>
    </row>
    <row r="1540" spans="1:16" s="58" customFormat="1" ht="23.45" customHeight="1">
      <c r="A1540" s="10">
        <f t="shared" si="366"/>
        <v>7</v>
      </c>
      <c r="B1540" s="44" t="s">
        <v>821</v>
      </c>
      <c r="C1540" s="12" t="s">
        <v>84</v>
      </c>
      <c r="D1540" s="20"/>
      <c r="E1540" s="42">
        <v>80000</v>
      </c>
      <c r="F1540" s="13"/>
      <c r="G1540" s="127"/>
      <c r="H1540" s="127"/>
      <c r="I1540" s="127"/>
      <c r="J1540" s="127"/>
      <c r="K1540" s="25" t="str">
        <f t="shared" si="362"/>
        <v>đ/cái</v>
      </c>
      <c r="L1540" s="19"/>
      <c r="M1540" s="19">
        <f t="shared" si="363"/>
        <v>80000</v>
      </c>
      <c r="N1540" s="120"/>
      <c r="O1540" s="71">
        <f t="shared" si="364"/>
        <v>80000</v>
      </c>
      <c r="P1540" s="71">
        <f t="shared" si="365"/>
        <v>80000</v>
      </c>
    </row>
    <row r="1541" spans="1:16" s="58" customFormat="1" ht="23.45" customHeight="1">
      <c r="A1541" s="10">
        <f t="shared" si="366"/>
        <v>8</v>
      </c>
      <c r="B1541" s="44" t="s">
        <v>822</v>
      </c>
      <c r="C1541" s="12" t="s">
        <v>84</v>
      </c>
      <c r="D1541" s="20"/>
      <c r="E1541" s="42">
        <v>233000</v>
      </c>
      <c r="F1541" s="13"/>
      <c r="G1541" s="127"/>
      <c r="H1541" s="127"/>
      <c r="I1541" s="127"/>
      <c r="J1541" s="127"/>
      <c r="K1541" s="25" t="str">
        <f t="shared" si="362"/>
        <v>đ/cái</v>
      </c>
      <c r="L1541" s="19"/>
      <c r="M1541" s="19">
        <f t="shared" si="363"/>
        <v>233000</v>
      </c>
      <c r="N1541" s="120"/>
      <c r="O1541" s="71">
        <f t="shared" si="364"/>
        <v>233000</v>
      </c>
      <c r="P1541" s="71">
        <f t="shared" si="365"/>
        <v>233000</v>
      </c>
    </row>
    <row r="1542" spans="1:16" s="58" customFormat="1" ht="23.45" customHeight="1">
      <c r="A1542" s="10">
        <f t="shared" si="366"/>
        <v>9</v>
      </c>
      <c r="B1542" s="44" t="s">
        <v>823</v>
      </c>
      <c r="C1542" s="12" t="s">
        <v>84</v>
      </c>
      <c r="D1542" s="20"/>
      <c r="E1542" s="42">
        <v>412000</v>
      </c>
      <c r="F1542" s="13"/>
      <c r="G1542" s="127"/>
      <c r="H1542" s="127"/>
      <c r="I1542" s="127"/>
      <c r="J1542" s="127"/>
      <c r="K1542" s="25" t="str">
        <f t="shared" si="362"/>
        <v>đ/cái</v>
      </c>
      <c r="L1542" s="19"/>
      <c r="M1542" s="19">
        <f t="shared" si="363"/>
        <v>412000</v>
      </c>
      <c r="N1542" s="120"/>
      <c r="O1542" s="71">
        <f t="shared" si="364"/>
        <v>412000</v>
      </c>
      <c r="P1542" s="71">
        <f t="shared" si="365"/>
        <v>412000</v>
      </c>
    </row>
    <row r="1543" spans="1:16" s="58" customFormat="1" ht="23.45" customHeight="1">
      <c r="A1543" s="10">
        <f t="shared" si="366"/>
        <v>10</v>
      </c>
      <c r="B1543" s="44" t="s">
        <v>824</v>
      </c>
      <c r="C1543" s="12" t="s">
        <v>84</v>
      </c>
      <c r="D1543" s="20"/>
      <c r="E1543" s="42">
        <v>580000</v>
      </c>
      <c r="F1543" s="13"/>
      <c r="G1543" s="127"/>
      <c r="H1543" s="127"/>
      <c r="I1543" s="127"/>
      <c r="J1543" s="127"/>
      <c r="K1543" s="25" t="str">
        <f t="shared" si="362"/>
        <v>đ/cái</v>
      </c>
      <c r="L1543" s="19"/>
      <c r="M1543" s="19">
        <f t="shared" si="363"/>
        <v>580000</v>
      </c>
      <c r="N1543" s="120"/>
      <c r="O1543" s="71">
        <f t="shared" si="364"/>
        <v>580000</v>
      </c>
      <c r="P1543" s="71">
        <f t="shared" si="365"/>
        <v>580000</v>
      </c>
    </row>
    <row r="1544" spans="1:16" s="66" customFormat="1" ht="43.5" customHeight="1">
      <c r="A1544" s="51"/>
      <c r="B1544" s="246" t="s">
        <v>1759</v>
      </c>
      <c r="C1544" s="247"/>
      <c r="D1544" s="247"/>
      <c r="E1544" s="247"/>
      <c r="F1544" s="247"/>
      <c r="G1544" s="247"/>
      <c r="H1544" s="247"/>
      <c r="I1544" s="247"/>
      <c r="J1544" s="247"/>
      <c r="K1544" s="247"/>
      <c r="L1544" s="247"/>
      <c r="M1544" s="247"/>
      <c r="N1544" s="248"/>
      <c r="O1544" s="70"/>
      <c r="P1544" s="70"/>
    </row>
    <row r="1545" spans="1:16" s="66" customFormat="1" ht="27" customHeight="1">
      <c r="A1545" s="52"/>
      <c r="B1545" s="50" t="s">
        <v>825</v>
      </c>
      <c r="C1545" s="50"/>
      <c r="D1545" s="50"/>
      <c r="E1545" s="50"/>
      <c r="F1545" s="50"/>
      <c r="G1545" s="128"/>
      <c r="H1545" s="128"/>
      <c r="I1545" s="128"/>
      <c r="J1545" s="128"/>
      <c r="K1545" s="117"/>
      <c r="L1545" s="124"/>
      <c r="M1545" s="124"/>
      <c r="N1545" s="124"/>
      <c r="O1545" s="70"/>
      <c r="P1545" s="70"/>
    </row>
    <row r="1546" spans="1:16" s="58" customFormat="1" ht="21.95" customHeight="1">
      <c r="A1546" s="10">
        <v>1</v>
      </c>
      <c r="B1546" s="34" t="s">
        <v>826</v>
      </c>
      <c r="C1546" s="12" t="s">
        <v>613</v>
      </c>
      <c r="D1546" s="13">
        <v>1310</v>
      </c>
      <c r="E1546" s="13"/>
      <c r="F1546" s="13"/>
      <c r="G1546" s="127"/>
      <c r="H1546" s="127"/>
      <c r="I1546" s="127"/>
      <c r="J1546" s="127"/>
      <c r="K1546" s="25" t="str">
        <f>C1546</f>
        <v>đ/mét</v>
      </c>
      <c r="L1546" s="19">
        <f>D1546</f>
        <v>1310</v>
      </c>
      <c r="M1546" s="19"/>
      <c r="N1546" s="120"/>
      <c r="O1546" s="71">
        <f>D1546</f>
        <v>1310</v>
      </c>
      <c r="P1546" s="71">
        <f>L1546</f>
        <v>1310</v>
      </c>
    </row>
    <row r="1547" spans="1:16" s="58" customFormat="1" ht="21.95" customHeight="1">
      <c r="A1547" s="10">
        <f>+A1546+1</f>
        <v>2</v>
      </c>
      <c r="B1547" s="34" t="s">
        <v>827</v>
      </c>
      <c r="C1547" s="12" t="s">
        <v>613</v>
      </c>
      <c r="D1547" s="13">
        <v>2220</v>
      </c>
      <c r="E1547" s="13"/>
      <c r="F1547" s="13"/>
      <c r="G1547" s="127"/>
      <c r="H1547" s="127"/>
      <c r="I1547" s="127"/>
      <c r="J1547" s="127"/>
      <c r="K1547" s="25" t="str">
        <f>C1547</f>
        <v>đ/mét</v>
      </c>
      <c r="L1547" s="19">
        <f>D1547</f>
        <v>2220</v>
      </c>
      <c r="M1547" s="19"/>
      <c r="N1547" s="120"/>
      <c r="O1547" s="71">
        <f>D1547</f>
        <v>2220</v>
      </c>
      <c r="P1547" s="71">
        <f>L1547</f>
        <v>2220</v>
      </c>
    </row>
    <row r="1548" spans="1:16" s="66" customFormat="1" ht="21.95" customHeight="1">
      <c r="A1548" s="52"/>
      <c r="B1548" s="50" t="s">
        <v>828</v>
      </c>
      <c r="C1548" s="57"/>
      <c r="D1548" s="56"/>
      <c r="E1548" s="56"/>
      <c r="F1548" s="56"/>
      <c r="G1548" s="128"/>
      <c r="H1548" s="128"/>
      <c r="I1548" s="128"/>
      <c r="J1548" s="128"/>
      <c r="K1548" s="117"/>
      <c r="L1548" s="124"/>
      <c r="M1548" s="124"/>
      <c r="N1548" s="124"/>
      <c r="O1548" s="70"/>
      <c r="P1548" s="70"/>
    </row>
    <row r="1549" spans="1:16" s="58" customFormat="1" ht="21.95" customHeight="1">
      <c r="A1549" s="10">
        <f>+A1547+1</f>
        <v>3</v>
      </c>
      <c r="B1549" s="34" t="s">
        <v>829</v>
      </c>
      <c r="C1549" s="12" t="s">
        <v>613</v>
      </c>
      <c r="D1549" s="13">
        <v>4550</v>
      </c>
      <c r="E1549" s="13"/>
      <c r="F1549" s="13"/>
      <c r="G1549" s="127"/>
      <c r="H1549" s="127"/>
      <c r="I1549" s="127"/>
      <c r="J1549" s="127"/>
      <c r="K1549" s="25" t="str">
        <f>C1549</f>
        <v>đ/mét</v>
      </c>
      <c r="L1549" s="19">
        <f>D1549</f>
        <v>4550</v>
      </c>
      <c r="M1549" s="120"/>
      <c r="N1549" s="120"/>
      <c r="O1549" s="71">
        <f>D1549</f>
        <v>4550</v>
      </c>
      <c r="P1549" s="71">
        <f>L1549</f>
        <v>4550</v>
      </c>
    </row>
    <row r="1550" spans="1:16" s="58" customFormat="1" ht="21.95" customHeight="1">
      <c r="A1550" s="10">
        <f>+A1549+1</f>
        <v>4</v>
      </c>
      <c r="B1550" s="34" t="s">
        <v>830</v>
      </c>
      <c r="C1550" s="12" t="s">
        <v>613</v>
      </c>
      <c r="D1550" s="13">
        <v>6410</v>
      </c>
      <c r="E1550" s="13"/>
      <c r="F1550" s="13"/>
      <c r="G1550" s="127"/>
      <c r="H1550" s="127"/>
      <c r="I1550" s="127"/>
      <c r="J1550" s="127"/>
      <c r="K1550" s="25" t="str">
        <f>C1550</f>
        <v>đ/mét</v>
      </c>
      <c r="L1550" s="19">
        <f>D1550</f>
        <v>6410</v>
      </c>
      <c r="M1550" s="120"/>
      <c r="N1550" s="120"/>
      <c r="O1550" s="71">
        <f>D1550</f>
        <v>6410</v>
      </c>
      <c r="P1550" s="71">
        <f>L1550</f>
        <v>6410</v>
      </c>
    </row>
    <row r="1551" spans="1:16" s="58" customFormat="1" ht="21.95" customHeight="1">
      <c r="A1551" s="10">
        <v>5</v>
      </c>
      <c r="B1551" s="34" t="s">
        <v>831</v>
      </c>
      <c r="C1551" s="12" t="s">
        <v>613</v>
      </c>
      <c r="D1551" s="13">
        <v>10430</v>
      </c>
      <c r="E1551" s="13"/>
      <c r="F1551" s="13"/>
      <c r="G1551" s="127"/>
      <c r="H1551" s="127"/>
      <c r="I1551" s="127"/>
      <c r="J1551" s="127"/>
      <c r="K1551" s="116"/>
      <c r="L1551" s="120"/>
      <c r="M1551" s="120"/>
      <c r="N1551" s="120"/>
      <c r="O1551" s="69"/>
      <c r="P1551" s="69"/>
    </row>
    <row r="1552" spans="1:16" s="66" customFormat="1" ht="21.95" customHeight="1">
      <c r="A1552" s="52"/>
      <c r="B1552" s="50" t="s">
        <v>832</v>
      </c>
      <c r="C1552" s="57"/>
      <c r="D1552" s="56"/>
      <c r="E1552" s="56"/>
      <c r="F1552" s="56"/>
      <c r="G1552" s="128"/>
      <c r="H1552" s="128"/>
      <c r="I1552" s="128"/>
      <c r="J1552" s="128"/>
      <c r="K1552" s="117"/>
      <c r="L1552" s="124"/>
      <c r="M1552" s="124"/>
      <c r="N1552" s="124"/>
      <c r="O1552" s="70"/>
      <c r="P1552" s="70"/>
    </row>
    <row r="1553" spans="1:16" s="58" customFormat="1" ht="21.95" customHeight="1">
      <c r="A1553" s="10">
        <v>6</v>
      </c>
      <c r="B1553" s="34" t="s">
        <v>833</v>
      </c>
      <c r="C1553" s="12" t="s">
        <v>613</v>
      </c>
      <c r="D1553" s="13">
        <v>5370</v>
      </c>
      <c r="E1553" s="13"/>
      <c r="F1553" s="13"/>
      <c r="G1553" s="127"/>
      <c r="H1553" s="127"/>
      <c r="I1553" s="127"/>
      <c r="J1553" s="127"/>
      <c r="K1553" s="25" t="str">
        <f t="shared" ref="K1553:L1555" si="367">C1553</f>
        <v>đ/mét</v>
      </c>
      <c r="L1553" s="19">
        <f t="shared" si="367"/>
        <v>5370</v>
      </c>
      <c r="M1553" s="120"/>
      <c r="N1553" s="120"/>
      <c r="O1553" s="71">
        <f>D1553</f>
        <v>5370</v>
      </c>
      <c r="P1553" s="71">
        <f>L1553</f>
        <v>5370</v>
      </c>
    </row>
    <row r="1554" spans="1:16" s="58" customFormat="1" ht="21.95" customHeight="1">
      <c r="A1554" s="10">
        <v>7</v>
      </c>
      <c r="B1554" s="34" t="s">
        <v>834</v>
      </c>
      <c r="C1554" s="12" t="s">
        <v>613</v>
      </c>
      <c r="D1554" s="13">
        <v>7470</v>
      </c>
      <c r="E1554" s="13"/>
      <c r="F1554" s="13"/>
      <c r="G1554" s="127"/>
      <c r="H1554" s="127"/>
      <c r="I1554" s="127"/>
      <c r="J1554" s="127"/>
      <c r="K1554" s="25" t="str">
        <f t="shared" si="367"/>
        <v>đ/mét</v>
      </c>
      <c r="L1554" s="19">
        <f t="shared" si="367"/>
        <v>7470</v>
      </c>
      <c r="M1554" s="120"/>
      <c r="N1554" s="120"/>
      <c r="O1554" s="71">
        <f>D1554</f>
        <v>7470</v>
      </c>
      <c r="P1554" s="71">
        <f>L1554</f>
        <v>7470</v>
      </c>
    </row>
    <row r="1555" spans="1:16" s="58" customFormat="1" ht="21.95" customHeight="1">
      <c r="A1555" s="10">
        <v>8</v>
      </c>
      <c r="B1555" s="34" t="s">
        <v>835</v>
      </c>
      <c r="C1555" s="12" t="s">
        <v>613</v>
      </c>
      <c r="D1555" s="13">
        <v>27000</v>
      </c>
      <c r="E1555" s="13"/>
      <c r="F1555" s="13"/>
      <c r="G1555" s="127"/>
      <c r="H1555" s="127"/>
      <c r="I1555" s="127"/>
      <c r="J1555" s="127"/>
      <c r="K1555" s="25" t="str">
        <f t="shared" si="367"/>
        <v>đ/mét</v>
      </c>
      <c r="L1555" s="19">
        <f t="shared" si="367"/>
        <v>27000</v>
      </c>
      <c r="M1555" s="120"/>
      <c r="N1555" s="120"/>
      <c r="O1555" s="71">
        <f>D1555</f>
        <v>27000</v>
      </c>
      <c r="P1555" s="71">
        <f>L1555</f>
        <v>27000</v>
      </c>
    </row>
    <row r="1556" spans="1:16" s="66" customFormat="1" ht="23.45" customHeight="1">
      <c r="A1556" s="52"/>
      <c r="B1556" s="50" t="s">
        <v>836</v>
      </c>
      <c r="C1556" s="57"/>
      <c r="D1556" s="56"/>
      <c r="E1556" s="56"/>
      <c r="F1556" s="56"/>
      <c r="G1556" s="128"/>
      <c r="H1556" s="128"/>
      <c r="I1556" s="128"/>
      <c r="J1556" s="128"/>
      <c r="K1556" s="117"/>
      <c r="L1556" s="124"/>
      <c r="M1556" s="124"/>
      <c r="N1556" s="124"/>
      <c r="O1556" s="70"/>
      <c r="P1556" s="70"/>
    </row>
    <row r="1557" spans="1:16" s="58" customFormat="1" ht="21.95" customHeight="1">
      <c r="A1557" s="10">
        <v>9</v>
      </c>
      <c r="B1557" s="34" t="s">
        <v>837</v>
      </c>
      <c r="C1557" s="12" t="s">
        <v>613</v>
      </c>
      <c r="D1557" s="13">
        <v>3390</v>
      </c>
      <c r="E1557" s="13"/>
      <c r="F1557" s="13"/>
      <c r="G1557" s="127"/>
      <c r="H1557" s="127"/>
      <c r="I1557" s="127"/>
      <c r="J1557" s="127"/>
      <c r="K1557" s="25" t="str">
        <f t="shared" ref="K1557:L1562" si="368">C1557</f>
        <v>đ/mét</v>
      </c>
      <c r="L1557" s="19">
        <f t="shared" si="368"/>
        <v>3390</v>
      </c>
      <c r="M1557" s="120"/>
      <c r="N1557" s="120"/>
      <c r="O1557" s="71">
        <f t="shared" ref="O1557:O1562" si="369">D1557</f>
        <v>3390</v>
      </c>
      <c r="P1557" s="71">
        <f t="shared" ref="P1557:P1562" si="370">L1557</f>
        <v>3390</v>
      </c>
    </row>
    <row r="1558" spans="1:16" s="58" customFormat="1" ht="21.95" customHeight="1">
      <c r="A1558" s="10">
        <v>10</v>
      </c>
      <c r="B1558" s="34" t="s">
        <v>838</v>
      </c>
      <c r="C1558" s="12" t="s">
        <v>613</v>
      </c>
      <c r="D1558" s="13">
        <v>5600</v>
      </c>
      <c r="E1558" s="13"/>
      <c r="F1558" s="13"/>
      <c r="G1558" s="127"/>
      <c r="H1558" s="127"/>
      <c r="I1558" s="127"/>
      <c r="J1558" s="127"/>
      <c r="K1558" s="25" t="str">
        <f t="shared" si="368"/>
        <v>đ/mét</v>
      </c>
      <c r="L1558" s="19">
        <f t="shared" si="368"/>
        <v>5600</v>
      </c>
      <c r="M1558" s="120"/>
      <c r="N1558" s="120"/>
      <c r="O1558" s="71">
        <f t="shared" si="369"/>
        <v>5600</v>
      </c>
      <c r="P1558" s="71">
        <f t="shared" si="370"/>
        <v>5600</v>
      </c>
    </row>
    <row r="1559" spans="1:16" s="58" customFormat="1" ht="21.95" customHeight="1">
      <c r="A1559" s="10">
        <v>11</v>
      </c>
      <c r="B1559" s="34" t="s">
        <v>839</v>
      </c>
      <c r="C1559" s="12" t="s">
        <v>613</v>
      </c>
      <c r="D1559" s="13">
        <v>20500</v>
      </c>
      <c r="E1559" s="13"/>
      <c r="F1559" s="13"/>
      <c r="G1559" s="127"/>
      <c r="H1559" s="127"/>
      <c r="I1559" s="127"/>
      <c r="J1559" s="127"/>
      <c r="K1559" s="25" t="str">
        <f t="shared" si="368"/>
        <v>đ/mét</v>
      </c>
      <c r="L1559" s="19">
        <f t="shared" si="368"/>
        <v>20500</v>
      </c>
      <c r="M1559" s="120"/>
      <c r="N1559" s="120"/>
      <c r="O1559" s="71">
        <f t="shared" si="369"/>
        <v>20500</v>
      </c>
      <c r="P1559" s="71">
        <f t="shared" si="370"/>
        <v>20500</v>
      </c>
    </row>
    <row r="1560" spans="1:16" s="58" customFormat="1" ht="21.95" customHeight="1">
      <c r="A1560" s="10">
        <f>+A1559+1</f>
        <v>12</v>
      </c>
      <c r="B1560" s="34" t="s">
        <v>840</v>
      </c>
      <c r="C1560" s="12" t="s">
        <v>613</v>
      </c>
      <c r="D1560" s="13">
        <v>91800</v>
      </c>
      <c r="E1560" s="13"/>
      <c r="F1560" s="13"/>
      <c r="G1560" s="127"/>
      <c r="H1560" s="127"/>
      <c r="I1560" s="127"/>
      <c r="J1560" s="127"/>
      <c r="K1560" s="25" t="str">
        <f t="shared" si="368"/>
        <v>đ/mét</v>
      </c>
      <c r="L1560" s="19">
        <f t="shared" si="368"/>
        <v>91800</v>
      </c>
      <c r="M1560" s="120"/>
      <c r="N1560" s="120"/>
      <c r="O1560" s="71">
        <f t="shared" si="369"/>
        <v>91800</v>
      </c>
      <c r="P1560" s="71">
        <f t="shared" si="370"/>
        <v>91800</v>
      </c>
    </row>
    <row r="1561" spans="1:16" s="58" customFormat="1" ht="21.95" customHeight="1">
      <c r="A1561" s="10">
        <v>13</v>
      </c>
      <c r="B1561" s="34" t="s">
        <v>841</v>
      </c>
      <c r="C1561" s="12" t="s">
        <v>613</v>
      </c>
      <c r="D1561" s="13">
        <v>461800</v>
      </c>
      <c r="E1561" s="13"/>
      <c r="F1561" s="13"/>
      <c r="G1561" s="127"/>
      <c r="H1561" s="127"/>
      <c r="I1561" s="127"/>
      <c r="J1561" s="127"/>
      <c r="K1561" s="25" t="str">
        <f t="shared" si="368"/>
        <v>đ/mét</v>
      </c>
      <c r="L1561" s="19">
        <f t="shared" si="368"/>
        <v>461800</v>
      </c>
      <c r="M1561" s="120"/>
      <c r="N1561" s="120"/>
      <c r="O1561" s="71">
        <f t="shared" si="369"/>
        <v>461800</v>
      </c>
      <c r="P1561" s="71">
        <f t="shared" si="370"/>
        <v>461800</v>
      </c>
    </row>
    <row r="1562" spans="1:16" s="58" customFormat="1" ht="21.95" customHeight="1">
      <c r="A1562" s="10">
        <v>14</v>
      </c>
      <c r="B1562" s="34" t="s">
        <v>842</v>
      </c>
      <c r="C1562" s="12" t="s">
        <v>613</v>
      </c>
      <c r="D1562" s="13">
        <v>579200</v>
      </c>
      <c r="E1562" s="13"/>
      <c r="F1562" s="13"/>
      <c r="G1562" s="127"/>
      <c r="H1562" s="127"/>
      <c r="I1562" s="127"/>
      <c r="J1562" s="127"/>
      <c r="K1562" s="25" t="str">
        <f t="shared" si="368"/>
        <v>đ/mét</v>
      </c>
      <c r="L1562" s="19">
        <f t="shared" si="368"/>
        <v>579200</v>
      </c>
      <c r="M1562" s="120"/>
      <c r="N1562" s="120"/>
      <c r="O1562" s="71">
        <f t="shared" si="369"/>
        <v>579200</v>
      </c>
      <c r="P1562" s="71">
        <f t="shared" si="370"/>
        <v>579200</v>
      </c>
    </row>
    <row r="1563" spans="1:16" s="66" customFormat="1" ht="21.95" customHeight="1">
      <c r="A1563" s="52"/>
      <c r="B1563" s="50" t="s">
        <v>843</v>
      </c>
      <c r="C1563" s="57"/>
      <c r="D1563" s="56"/>
      <c r="E1563" s="56"/>
      <c r="F1563" s="56"/>
      <c r="G1563" s="128"/>
      <c r="H1563" s="128"/>
      <c r="I1563" s="128"/>
      <c r="J1563" s="128"/>
      <c r="K1563" s="117"/>
      <c r="L1563" s="124"/>
      <c r="M1563" s="124"/>
      <c r="N1563" s="124"/>
      <c r="O1563" s="70"/>
      <c r="P1563" s="70"/>
    </row>
    <row r="1564" spans="1:16" s="58" customFormat="1" ht="21" customHeight="1">
      <c r="A1564" s="10">
        <v>15</v>
      </c>
      <c r="B1564" s="34" t="s">
        <v>844</v>
      </c>
      <c r="C1564" s="12" t="s">
        <v>163</v>
      </c>
      <c r="D1564" s="13">
        <v>60400</v>
      </c>
      <c r="E1564" s="13"/>
      <c r="F1564" s="13"/>
      <c r="G1564" s="127"/>
      <c r="H1564" s="127"/>
      <c r="I1564" s="127"/>
      <c r="J1564" s="127"/>
      <c r="K1564" s="25" t="str">
        <f t="shared" ref="K1564:L1566" si="371">C1564</f>
        <v>đ/kg</v>
      </c>
      <c r="L1564" s="19">
        <f t="shared" si="371"/>
        <v>60400</v>
      </c>
      <c r="M1564" s="120"/>
      <c r="N1564" s="120"/>
      <c r="O1564" s="71">
        <f>D1564</f>
        <v>60400</v>
      </c>
      <c r="P1564" s="71">
        <f>L1564</f>
        <v>60400</v>
      </c>
    </row>
    <row r="1565" spans="1:16" s="58" customFormat="1" ht="21.95" customHeight="1">
      <c r="A1565" s="10">
        <v>16</v>
      </c>
      <c r="B1565" s="34" t="s">
        <v>845</v>
      </c>
      <c r="C1565" s="12" t="s">
        <v>163</v>
      </c>
      <c r="D1565" s="13">
        <v>60000</v>
      </c>
      <c r="E1565" s="13"/>
      <c r="F1565" s="13"/>
      <c r="G1565" s="127"/>
      <c r="H1565" s="127"/>
      <c r="I1565" s="127"/>
      <c r="J1565" s="127"/>
      <c r="K1565" s="25" t="str">
        <f t="shared" si="371"/>
        <v>đ/kg</v>
      </c>
      <c r="L1565" s="19">
        <f t="shared" si="371"/>
        <v>60000</v>
      </c>
      <c r="M1565" s="120"/>
      <c r="N1565" s="120"/>
      <c r="O1565" s="71">
        <f>D1565</f>
        <v>60000</v>
      </c>
      <c r="P1565" s="71">
        <f>L1565</f>
        <v>60000</v>
      </c>
    </row>
    <row r="1566" spans="1:16" s="58" customFormat="1" ht="21.95" customHeight="1">
      <c r="A1566" s="10">
        <v>17</v>
      </c>
      <c r="B1566" s="34" t="s">
        <v>846</v>
      </c>
      <c r="C1566" s="12" t="s">
        <v>163</v>
      </c>
      <c r="D1566" s="13">
        <v>61900</v>
      </c>
      <c r="E1566" s="13"/>
      <c r="F1566" s="13"/>
      <c r="G1566" s="127"/>
      <c r="H1566" s="127"/>
      <c r="I1566" s="127"/>
      <c r="J1566" s="127"/>
      <c r="K1566" s="25" t="str">
        <f t="shared" si="371"/>
        <v>đ/kg</v>
      </c>
      <c r="L1566" s="19">
        <f t="shared" si="371"/>
        <v>61900</v>
      </c>
      <c r="M1566" s="120"/>
      <c r="N1566" s="120"/>
      <c r="O1566" s="71">
        <f>D1566</f>
        <v>61900</v>
      </c>
      <c r="P1566" s="71">
        <f>L1566</f>
        <v>61900</v>
      </c>
    </row>
    <row r="1567" spans="1:16" s="66" customFormat="1" ht="36" customHeight="1">
      <c r="A1567" s="51"/>
      <c r="B1567" s="246" t="s">
        <v>847</v>
      </c>
      <c r="C1567" s="247"/>
      <c r="D1567" s="247"/>
      <c r="E1567" s="247"/>
      <c r="F1567" s="247"/>
      <c r="G1567" s="247"/>
      <c r="H1567" s="247"/>
      <c r="I1567" s="247"/>
      <c r="J1567" s="247"/>
      <c r="K1567" s="247"/>
      <c r="L1567" s="247"/>
      <c r="M1567" s="247"/>
      <c r="N1567" s="248"/>
      <c r="O1567" s="70"/>
      <c r="P1567" s="70"/>
    </row>
    <row r="1568" spans="1:16" s="66" customFormat="1" ht="18.75">
      <c r="A1568" s="52"/>
      <c r="B1568" s="53" t="s">
        <v>848</v>
      </c>
      <c r="C1568" s="57"/>
      <c r="D1568" s="56"/>
      <c r="E1568" s="56"/>
      <c r="F1568" s="56"/>
      <c r="G1568" s="128"/>
      <c r="H1568" s="128"/>
      <c r="I1568" s="128"/>
      <c r="J1568" s="128"/>
      <c r="K1568" s="117"/>
      <c r="L1568" s="124"/>
      <c r="M1568" s="124"/>
      <c r="N1568" s="124"/>
      <c r="O1568" s="70"/>
      <c r="P1568" s="70"/>
    </row>
    <row r="1569" spans="1:16" s="58" customFormat="1" ht="49.5">
      <c r="A1569" s="10">
        <v>1</v>
      </c>
      <c r="B1569" s="23" t="s">
        <v>849</v>
      </c>
      <c r="C1569" s="10" t="s">
        <v>84</v>
      </c>
      <c r="D1569" s="13">
        <v>14400</v>
      </c>
      <c r="E1569" s="10"/>
      <c r="F1569" s="10"/>
      <c r="G1569" s="127"/>
      <c r="H1569" s="127"/>
      <c r="I1569" s="127"/>
      <c r="J1569" s="127"/>
      <c r="K1569" s="10" t="str">
        <f>C1569</f>
        <v>đ/cái</v>
      </c>
      <c r="L1569" s="19">
        <f>D1569</f>
        <v>14400</v>
      </c>
      <c r="M1569" s="120"/>
      <c r="N1569" s="120"/>
      <c r="O1569" s="71">
        <f t="shared" ref="O1569:O1586" si="372">D1569</f>
        <v>14400</v>
      </c>
      <c r="P1569" s="71">
        <f t="shared" ref="P1569:P1586" si="373">L1569</f>
        <v>14400</v>
      </c>
    </row>
    <row r="1570" spans="1:16" s="58" customFormat="1" ht="49.5">
      <c r="A1570" s="10">
        <v>2</v>
      </c>
      <c r="B1570" s="23" t="s">
        <v>850</v>
      </c>
      <c r="C1570" s="10" t="s">
        <v>84</v>
      </c>
      <c r="D1570" s="13">
        <v>23400</v>
      </c>
      <c r="E1570" s="10"/>
      <c r="F1570" s="10"/>
      <c r="G1570" s="127"/>
      <c r="H1570" s="127"/>
      <c r="I1570" s="127"/>
      <c r="J1570" s="127"/>
      <c r="K1570" s="10" t="str">
        <f>C1570</f>
        <v>đ/cái</v>
      </c>
      <c r="L1570" s="19">
        <f>D1570</f>
        <v>23400</v>
      </c>
      <c r="M1570" s="120"/>
      <c r="N1570" s="120"/>
      <c r="O1570" s="71">
        <f t="shared" si="372"/>
        <v>23400</v>
      </c>
      <c r="P1570" s="71">
        <f t="shared" si="373"/>
        <v>23400</v>
      </c>
    </row>
    <row r="1571" spans="1:16" s="58" customFormat="1" ht="21" customHeight="1">
      <c r="A1571" s="10">
        <v>3</v>
      </c>
      <c r="B1571" s="23" t="s">
        <v>851</v>
      </c>
      <c r="C1571" s="10" t="s">
        <v>84</v>
      </c>
      <c r="D1571" s="13">
        <v>20700</v>
      </c>
      <c r="E1571" s="10"/>
      <c r="F1571" s="10"/>
      <c r="G1571" s="127"/>
      <c r="H1571" s="127"/>
      <c r="I1571" s="127"/>
      <c r="J1571" s="127"/>
      <c r="K1571" s="10" t="str">
        <f t="shared" ref="K1571:K1586" si="374">C1571</f>
        <v>đ/cái</v>
      </c>
      <c r="L1571" s="19">
        <f t="shared" ref="L1571:L1586" si="375">D1571</f>
        <v>20700</v>
      </c>
      <c r="M1571" s="120"/>
      <c r="N1571" s="120"/>
      <c r="O1571" s="71">
        <f t="shared" si="372"/>
        <v>20700</v>
      </c>
      <c r="P1571" s="71">
        <f t="shared" si="373"/>
        <v>20700</v>
      </c>
    </row>
    <row r="1572" spans="1:16" s="58" customFormat="1" ht="21" customHeight="1">
      <c r="A1572" s="10">
        <v>4</v>
      </c>
      <c r="B1572" s="23" t="s">
        <v>852</v>
      </c>
      <c r="C1572" s="10" t="s">
        <v>84</v>
      </c>
      <c r="D1572" s="13">
        <v>33100</v>
      </c>
      <c r="E1572" s="10"/>
      <c r="F1572" s="10"/>
      <c r="G1572" s="127"/>
      <c r="H1572" s="127"/>
      <c r="I1572" s="127"/>
      <c r="J1572" s="127"/>
      <c r="K1572" s="10" t="str">
        <f t="shared" si="374"/>
        <v>đ/cái</v>
      </c>
      <c r="L1572" s="19">
        <f t="shared" si="375"/>
        <v>33100</v>
      </c>
      <c r="M1572" s="120"/>
      <c r="N1572" s="120"/>
      <c r="O1572" s="71">
        <f t="shared" si="372"/>
        <v>33100</v>
      </c>
      <c r="P1572" s="71">
        <f t="shared" si="373"/>
        <v>33100</v>
      </c>
    </row>
    <row r="1573" spans="1:16" s="58" customFormat="1" ht="21" customHeight="1">
      <c r="A1573" s="10">
        <v>5</v>
      </c>
      <c r="B1573" s="23" t="s">
        <v>853</v>
      </c>
      <c r="C1573" s="10" t="s">
        <v>84</v>
      </c>
      <c r="D1573" s="13">
        <v>46800</v>
      </c>
      <c r="E1573" s="10"/>
      <c r="F1573" s="10"/>
      <c r="G1573" s="127"/>
      <c r="H1573" s="127"/>
      <c r="I1573" s="127"/>
      <c r="J1573" s="127"/>
      <c r="K1573" s="10" t="str">
        <f t="shared" si="374"/>
        <v>đ/cái</v>
      </c>
      <c r="L1573" s="19">
        <f t="shared" si="375"/>
        <v>46800</v>
      </c>
      <c r="M1573" s="120"/>
      <c r="N1573" s="120"/>
      <c r="O1573" s="71">
        <f t="shared" si="372"/>
        <v>46800</v>
      </c>
      <c r="P1573" s="71">
        <f t="shared" si="373"/>
        <v>46800</v>
      </c>
    </row>
    <row r="1574" spans="1:16" s="58" customFormat="1" ht="21" customHeight="1">
      <c r="A1574" s="10">
        <v>6</v>
      </c>
      <c r="B1574" s="23" t="s">
        <v>854</v>
      </c>
      <c r="C1574" s="10" t="s">
        <v>84</v>
      </c>
      <c r="D1574" s="13">
        <v>20700</v>
      </c>
      <c r="E1574" s="10"/>
      <c r="F1574" s="10"/>
      <c r="G1574" s="127"/>
      <c r="H1574" s="127"/>
      <c r="I1574" s="127"/>
      <c r="J1574" s="127"/>
      <c r="K1574" s="10" t="str">
        <f t="shared" si="374"/>
        <v>đ/cái</v>
      </c>
      <c r="L1574" s="19">
        <f t="shared" si="375"/>
        <v>20700</v>
      </c>
      <c r="M1574" s="120"/>
      <c r="N1574" s="120"/>
      <c r="O1574" s="71">
        <f t="shared" si="372"/>
        <v>20700</v>
      </c>
      <c r="P1574" s="71">
        <f t="shared" si="373"/>
        <v>20700</v>
      </c>
    </row>
    <row r="1575" spans="1:16" s="58" customFormat="1" ht="21" customHeight="1">
      <c r="A1575" s="10">
        <v>7</v>
      </c>
      <c r="B1575" s="23" t="s">
        <v>855</v>
      </c>
      <c r="C1575" s="10" t="s">
        <v>84</v>
      </c>
      <c r="D1575" s="13">
        <v>26600</v>
      </c>
      <c r="E1575" s="10"/>
      <c r="F1575" s="10"/>
      <c r="G1575" s="127"/>
      <c r="H1575" s="127"/>
      <c r="I1575" s="127"/>
      <c r="J1575" s="127"/>
      <c r="K1575" s="10" t="str">
        <f t="shared" si="374"/>
        <v>đ/cái</v>
      </c>
      <c r="L1575" s="19">
        <f t="shared" si="375"/>
        <v>26600</v>
      </c>
      <c r="M1575" s="120"/>
      <c r="N1575" s="120"/>
      <c r="O1575" s="71">
        <f t="shared" si="372"/>
        <v>26600</v>
      </c>
      <c r="P1575" s="71">
        <f t="shared" si="373"/>
        <v>26600</v>
      </c>
    </row>
    <row r="1576" spans="1:16" s="58" customFormat="1" ht="21" customHeight="1">
      <c r="A1576" s="10">
        <v>8</v>
      </c>
      <c r="B1576" s="23" t="s">
        <v>856</v>
      </c>
      <c r="C1576" s="10" t="s">
        <v>84</v>
      </c>
      <c r="D1576" s="13">
        <v>43600</v>
      </c>
      <c r="E1576" s="10"/>
      <c r="F1576" s="10"/>
      <c r="G1576" s="127"/>
      <c r="H1576" s="127"/>
      <c r="I1576" s="127"/>
      <c r="J1576" s="127"/>
      <c r="K1576" s="10" t="str">
        <f t="shared" si="374"/>
        <v>đ/cái</v>
      </c>
      <c r="L1576" s="19">
        <f t="shared" si="375"/>
        <v>43600</v>
      </c>
      <c r="M1576" s="120"/>
      <c r="N1576" s="120"/>
      <c r="O1576" s="71">
        <f t="shared" si="372"/>
        <v>43600</v>
      </c>
      <c r="P1576" s="71">
        <f t="shared" si="373"/>
        <v>43600</v>
      </c>
    </row>
    <row r="1577" spans="1:16" s="58" customFormat="1" ht="21" customHeight="1">
      <c r="A1577" s="10">
        <v>9</v>
      </c>
      <c r="B1577" s="23" t="s">
        <v>857</v>
      </c>
      <c r="C1577" s="10" t="s">
        <v>84</v>
      </c>
      <c r="D1577" s="13">
        <v>52200</v>
      </c>
      <c r="E1577" s="10"/>
      <c r="F1577" s="10"/>
      <c r="G1577" s="127"/>
      <c r="H1577" s="127"/>
      <c r="I1577" s="127"/>
      <c r="J1577" s="127"/>
      <c r="K1577" s="10" t="str">
        <f t="shared" si="374"/>
        <v>đ/cái</v>
      </c>
      <c r="L1577" s="19">
        <f t="shared" si="375"/>
        <v>52200</v>
      </c>
      <c r="M1577" s="120"/>
      <c r="N1577" s="120"/>
      <c r="O1577" s="71">
        <f t="shared" si="372"/>
        <v>52200</v>
      </c>
      <c r="P1577" s="71">
        <f t="shared" si="373"/>
        <v>52200</v>
      </c>
    </row>
    <row r="1578" spans="1:16" s="58" customFormat="1" ht="21" customHeight="1">
      <c r="A1578" s="10">
        <v>10</v>
      </c>
      <c r="B1578" s="23" t="s">
        <v>858</v>
      </c>
      <c r="C1578" s="10" t="s">
        <v>84</v>
      </c>
      <c r="D1578" s="13">
        <v>106200</v>
      </c>
      <c r="E1578" s="10"/>
      <c r="F1578" s="10"/>
      <c r="G1578" s="127"/>
      <c r="H1578" s="127"/>
      <c r="I1578" s="127"/>
      <c r="J1578" s="127"/>
      <c r="K1578" s="10" t="str">
        <f t="shared" si="374"/>
        <v>đ/cái</v>
      </c>
      <c r="L1578" s="19">
        <f t="shared" si="375"/>
        <v>106200</v>
      </c>
      <c r="M1578" s="120"/>
      <c r="N1578" s="120"/>
      <c r="O1578" s="71">
        <f t="shared" si="372"/>
        <v>106200</v>
      </c>
      <c r="P1578" s="71">
        <f t="shared" si="373"/>
        <v>106200</v>
      </c>
    </row>
    <row r="1579" spans="1:16" s="58" customFormat="1" ht="21" customHeight="1">
      <c r="A1579" s="10">
        <v>11</v>
      </c>
      <c r="B1579" s="23" t="s">
        <v>859</v>
      </c>
      <c r="C1579" s="10" t="s">
        <v>84</v>
      </c>
      <c r="D1579" s="13">
        <v>84200</v>
      </c>
      <c r="E1579" s="10"/>
      <c r="F1579" s="10"/>
      <c r="G1579" s="127"/>
      <c r="H1579" s="127"/>
      <c r="I1579" s="127"/>
      <c r="J1579" s="127"/>
      <c r="K1579" s="10" t="str">
        <f t="shared" si="374"/>
        <v>đ/cái</v>
      </c>
      <c r="L1579" s="19">
        <f t="shared" si="375"/>
        <v>84200</v>
      </c>
      <c r="M1579" s="120"/>
      <c r="N1579" s="120"/>
      <c r="O1579" s="71">
        <f t="shared" si="372"/>
        <v>84200</v>
      </c>
      <c r="P1579" s="71">
        <f t="shared" si="373"/>
        <v>84200</v>
      </c>
    </row>
    <row r="1580" spans="1:16" s="58" customFormat="1" ht="21" customHeight="1">
      <c r="A1580" s="10">
        <v>12</v>
      </c>
      <c r="B1580" s="23" t="s">
        <v>860</v>
      </c>
      <c r="C1580" s="10" t="s">
        <v>84</v>
      </c>
      <c r="D1580" s="13">
        <v>84200</v>
      </c>
      <c r="E1580" s="10"/>
      <c r="F1580" s="10"/>
      <c r="G1580" s="127"/>
      <c r="H1580" s="127"/>
      <c r="I1580" s="127"/>
      <c r="J1580" s="127"/>
      <c r="K1580" s="10" t="str">
        <f t="shared" si="374"/>
        <v>đ/cái</v>
      </c>
      <c r="L1580" s="19">
        <f t="shared" si="375"/>
        <v>84200</v>
      </c>
      <c r="M1580" s="120"/>
      <c r="N1580" s="120"/>
      <c r="O1580" s="71">
        <f t="shared" si="372"/>
        <v>84200</v>
      </c>
      <c r="P1580" s="71">
        <f t="shared" si="373"/>
        <v>84200</v>
      </c>
    </row>
    <row r="1581" spans="1:16" s="58" customFormat="1" ht="21" customHeight="1">
      <c r="A1581" s="10">
        <v>13</v>
      </c>
      <c r="B1581" s="23" t="s">
        <v>861</v>
      </c>
      <c r="C1581" s="10" t="s">
        <v>84</v>
      </c>
      <c r="D1581" s="13">
        <v>14400</v>
      </c>
      <c r="E1581" s="10"/>
      <c r="F1581" s="10"/>
      <c r="G1581" s="127"/>
      <c r="H1581" s="127"/>
      <c r="I1581" s="127"/>
      <c r="J1581" s="127"/>
      <c r="K1581" s="10" t="str">
        <f t="shared" si="374"/>
        <v>đ/cái</v>
      </c>
      <c r="L1581" s="19">
        <f t="shared" si="375"/>
        <v>14400</v>
      </c>
      <c r="M1581" s="120"/>
      <c r="N1581" s="120"/>
      <c r="O1581" s="71">
        <f t="shared" si="372"/>
        <v>14400</v>
      </c>
      <c r="P1581" s="71">
        <f t="shared" si="373"/>
        <v>14400</v>
      </c>
    </row>
    <row r="1582" spans="1:16" s="58" customFormat="1" ht="21" customHeight="1">
      <c r="A1582" s="10">
        <v>14</v>
      </c>
      <c r="B1582" s="23" t="s">
        <v>862</v>
      </c>
      <c r="C1582" s="10" t="s">
        <v>84</v>
      </c>
      <c r="D1582" s="13">
        <v>14400</v>
      </c>
      <c r="E1582" s="10"/>
      <c r="F1582" s="10"/>
      <c r="G1582" s="127"/>
      <c r="H1582" s="127"/>
      <c r="I1582" s="127"/>
      <c r="J1582" s="127"/>
      <c r="K1582" s="10" t="str">
        <f t="shared" si="374"/>
        <v>đ/cái</v>
      </c>
      <c r="L1582" s="19">
        <f t="shared" si="375"/>
        <v>14400</v>
      </c>
      <c r="M1582" s="120"/>
      <c r="N1582" s="120"/>
      <c r="O1582" s="71">
        <f t="shared" si="372"/>
        <v>14400</v>
      </c>
      <c r="P1582" s="71">
        <f t="shared" si="373"/>
        <v>14400</v>
      </c>
    </row>
    <row r="1583" spans="1:16" s="58" customFormat="1" ht="21" customHeight="1">
      <c r="A1583" s="10">
        <v>15</v>
      </c>
      <c r="B1583" s="23" t="s">
        <v>863</v>
      </c>
      <c r="C1583" s="10" t="s">
        <v>84</v>
      </c>
      <c r="D1583" s="13">
        <v>19400</v>
      </c>
      <c r="E1583" s="10"/>
      <c r="F1583" s="10"/>
      <c r="G1583" s="127"/>
      <c r="H1583" s="127"/>
      <c r="I1583" s="127"/>
      <c r="J1583" s="127"/>
      <c r="K1583" s="10" t="str">
        <f t="shared" si="374"/>
        <v>đ/cái</v>
      </c>
      <c r="L1583" s="19">
        <f t="shared" si="375"/>
        <v>19400</v>
      </c>
      <c r="M1583" s="120"/>
      <c r="N1583" s="120"/>
      <c r="O1583" s="71">
        <f t="shared" si="372"/>
        <v>19400</v>
      </c>
      <c r="P1583" s="71">
        <f t="shared" si="373"/>
        <v>19400</v>
      </c>
    </row>
    <row r="1584" spans="1:16" s="58" customFormat="1" ht="21" customHeight="1">
      <c r="A1584" s="10">
        <v>16</v>
      </c>
      <c r="B1584" s="23" t="s">
        <v>864</v>
      </c>
      <c r="C1584" s="10" t="s">
        <v>84</v>
      </c>
      <c r="D1584" s="13">
        <v>16900</v>
      </c>
      <c r="E1584" s="10"/>
      <c r="F1584" s="10"/>
      <c r="G1584" s="127"/>
      <c r="H1584" s="127"/>
      <c r="I1584" s="127"/>
      <c r="J1584" s="127"/>
      <c r="K1584" s="10" t="str">
        <f t="shared" si="374"/>
        <v>đ/cái</v>
      </c>
      <c r="L1584" s="19">
        <f t="shared" si="375"/>
        <v>16900</v>
      </c>
      <c r="M1584" s="120"/>
      <c r="N1584" s="120"/>
      <c r="O1584" s="71">
        <f t="shared" si="372"/>
        <v>16900</v>
      </c>
      <c r="P1584" s="71">
        <f t="shared" si="373"/>
        <v>16900</v>
      </c>
    </row>
    <row r="1585" spans="1:16" s="58" customFormat="1" ht="21" customHeight="1">
      <c r="A1585" s="10">
        <v>17</v>
      </c>
      <c r="B1585" s="23" t="s">
        <v>865</v>
      </c>
      <c r="C1585" s="10" t="s">
        <v>84</v>
      </c>
      <c r="D1585" s="13">
        <v>8100</v>
      </c>
      <c r="E1585" s="10"/>
      <c r="F1585" s="10"/>
      <c r="G1585" s="127"/>
      <c r="H1585" s="127"/>
      <c r="I1585" s="127"/>
      <c r="J1585" s="127"/>
      <c r="K1585" s="10" t="str">
        <f t="shared" si="374"/>
        <v>đ/cái</v>
      </c>
      <c r="L1585" s="19">
        <f t="shared" si="375"/>
        <v>8100</v>
      </c>
      <c r="M1585" s="120"/>
      <c r="N1585" s="120"/>
      <c r="O1585" s="71">
        <f t="shared" si="372"/>
        <v>8100</v>
      </c>
      <c r="P1585" s="71">
        <f t="shared" si="373"/>
        <v>8100</v>
      </c>
    </row>
    <row r="1586" spans="1:16" s="58" customFormat="1" ht="21" customHeight="1">
      <c r="A1586" s="10">
        <v>18</v>
      </c>
      <c r="B1586" s="23" t="s">
        <v>866</v>
      </c>
      <c r="C1586" s="10" t="s">
        <v>84</v>
      </c>
      <c r="D1586" s="13">
        <v>13200</v>
      </c>
      <c r="E1586" s="10"/>
      <c r="F1586" s="10"/>
      <c r="G1586" s="127"/>
      <c r="H1586" s="127"/>
      <c r="I1586" s="127"/>
      <c r="J1586" s="127"/>
      <c r="K1586" s="10" t="str">
        <f t="shared" si="374"/>
        <v>đ/cái</v>
      </c>
      <c r="L1586" s="19">
        <f t="shared" si="375"/>
        <v>13200</v>
      </c>
      <c r="M1586" s="120"/>
      <c r="N1586" s="120"/>
      <c r="O1586" s="71">
        <f t="shared" si="372"/>
        <v>13200</v>
      </c>
      <c r="P1586" s="71">
        <f t="shared" si="373"/>
        <v>13200</v>
      </c>
    </row>
    <row r="1587" spans="1:16" s="66" customFormat="1" ht="21" customHeight="1">
      <c r="A1587" s="52"/>
      <c r="B1587" s="53" t="s">
        <v>867</v>
      </c>
      <c r="C1587" s="52"/>
      <c r="D1587" s="56"/>
      <c r="E1587" s="52"/>
      <c r="F1587" s="52"/>
      <c r="G1587" s="128"/>
      <c r="H1587" s="128"/>
      <c r="I1587" s="128"/>
      <c r="J1587" s="128"/>
      <c r="K1587" s="117"/>
      <c r="L1587" s="124"/>
      <c r="M1587" s="124"/>
      <c r="N1587" s="124"/>
      <c r="O1587" s="70"/>
      <c r="P1587" s="70"/>
    </row>
    <row r="1588" spans="1:16" s="58" customFormat="1" ht="21" customHeight="1">
      <c r="A1588" s="10">
        <v>1</v>
      </c>
      <c r="B1588" s="23" t="s">
        <v>868</v>
      </c>
      <c r="C1588" s="10" t="s">
        <v>259</v>
      </c>
      <c r="D1588" s="13">
        <v>94300</v>
      </c>
      <c r="E1588" s="10"/>
      <c r="F1588" s="10"/>
      <c r="G1588" s="127"/>
      <c r="H1588" s="127"/>
      <c r="I1588" s="127"/>
      <c r="J1588" s="127"/>
      <c r="K1588" s="10" t="str">
        <f t="shared" ref="K1588:L1590" si="376">C1588</f>
        <v>đ/bộ</v>
      </c>
      <c r="L1588" s="19">
        <f t="shared" si="376"/>
        <v>94300</v>
      </c>
      <c r="M1588" s="120"/>
      <c r="N1588" s="120"/>
      <c r="O1588" s="71">
        <f>D1588</f>
        <v>94300</v>
      </c>
      <c r="P1588" s="71">
        <f>L1588</f>
        <v>94300</v>
      </c>
    </row>
    <row r="1589" spans="1:16" s="58" customFormat="1" ht="21" customHeight="1">
      <c r="A1589" s="10">
        <v>2</v>
      </c>
      <c r="B1589" s="23" t="s">
        <v>869</v>
      </c>
      <c r="C1589" s="10" t="s">
        <v>259</v>
      </c>
      <c r="D1589" s="13">
        <v>115200</v>
      </c>
      <c r="E1589" s="10"/>
      <c r="F1589" s="10"/>
      <c r="G1589" s="127"/>
      <c r="H1589" s="127"/>
      <c r="I1589" s="127"/>
      <c r="J1589" s="127"/>
      <c r="K1589" s="10" t="str">
        <f t="shared" si="376"/>
        <v>đ/bộ</v>
      </c>
      <c r="L1589" s="19">
        <f t="shared" si="376"/>
        <v>115200</v>
      </c>
      <c r="M1589" s="120"/>
      <c r="N1589" s="120"/>
      <c r="O1589" s="71">
        <f>D1589</f>
        <v>115200</v>
      </c>
      <c r="P1589" s="71">
        <f>L1589</f>
        <v>115200</v>
      </c>
    </row>
    <row r="1590" spans="1:16" s="58" customFormat="1" ht="21" customHeight="1">
      <c r="A1590" s="10">
        <v>3</v>
      </c>
      <c r="B1590" s="23" t="s">
        <v>870</v>
      </c>
      <c r="C1590" s="10" t="s">
        <v>259</v>
      </c>
      <c r="D1590" s="13">
        <v>135700</v>
      </c>
      <c r="E1590" s="10"/>
      <c r="F1590" s="10"/>
      <c r="G1590" s="127"/>
      <c r="H1590" s="127"/>
      <c r="I1590" s="127"/>
      <c r="J1590" s="127"/>
      <c r="K1590" s="10" t="str">
        <f t="shared" si="376"/>
        <v>đ/bộ</v>
      </c>
      <c r="L1590" s="19">
        <f t="shared" si="376"/>
        <v>135700</v>
      </c>
      <c r="M1590" s="120"/>
      <c r="N1590" s="120"/>
      <c r="O1590" s="71">
        <f>D1590</f>
        <v>135700</v>
      </c>
      <c r="P1590" s="71">
        <f>L1590</f>
        <v>135700</v>
      </c>
    </row>
    <row r="1591" spans="1:16" s="58" customFormat="1" ht="21" customHeight="1">
      <c r="A1591" s="10"/>
      <c r="B1591" s="27" t="s">
        <v>1300</v>
      </c>
      <c r="C1591" s="10"/>
      <c r="D1591" s="13"/>
      <c r="E1591" s="10"/>
      <c r="F1591" s="10"/>
      <c r="G1591" s="127"/>
      <c r="H1591" s="127"/>
      <c r="I1591" s="127"/>
      <c r="J1591" s="127"/>
      <c r="K1591" s="116"/>
      <c r="L1591" s="120"/>
      <c r="M1591" s="120"/>
      <c r="N1591" s="120"/>
      <c r="O1591" s="69"/>
      <c r="P1591" s="69"/>
    </row>
    <row r="1592" spans="1:16" s="58" customFormat="1" ht="21" customHeight="1">
      <c r="A1592" s="10">
        <v>1</v>
      </c>
      <c r="B1592" s="23" t="s">
        <v>871</v>
      </c>
      <c r="C1592" s="10" t="s">
        <v>259</v>
      </c>
      <c r="D1592" s="13">
        <v>1938000</v>
      </c>
      <c r="E1592" s="10"/>
      <c r="F1592" s="10"/>
      <c r="G1592" s="127"/>
      <c r="H1592" s="127"/>
      <c r="I1592" s="127"/>
      <c r="J1592" s="127"/>
      <c r="K1592" s="10" t="str">
        <f>C1592</f>
        <v>đ/bộ</v>
      </c>
      <c r="L1592" s="19">
        <f>D1592</f>
        <v>1938000</v>
      </c>
      <c r="M1592" s="120"/>
      <c r="N1592" s="120"/>
      <c r="O1592" s="71">
        <f>D1592</f>
        <v>1938000</v>
      </c>
      <c r="P1592" s="71">
        <f>L1592</f>
        <v>1938000</v>
      </c>
    </row>
    <row r="1593" spans="1:16" s="58" customFormat="1" ht="21" customHeight="1">
      <c r="A1593" s="10"/>
      <c r="B1593" s="27" t="s">
        <v>872</v>
      </c>
      <c r="C1593" s="10"/>
      <c r="D1593" s="13"/>
      <c r="E1593" s="10"/>
      <c r="F1593" s="10"/>
      <c r="G1593" s="127"/>
      <c r="H1593" s="127"/>
      <c r="I1593" s="127"/>
      <c r="J1593" s="127"/>
      <c r="K1593" s="116"/>
      <c r="L1593" s="120"/>
      <c r="M1593" s="120"/>
      <c r="N1593" s="120"/>
      <c r="O1593" s="69"/>
      <c r="P1593" s="69"/>
    </row>
    <row r="1594" spans="1:16" s="58" customFormat="1" ht="21" customHeight="1">
      <c r="A1594" s="10">
        <v>1</v>
      </c>
      <c r="B1594" s="23" t="s">
        <v>873</v>
      </c>
      <c r="C1594" s="10" t="s">
        <v>259</v>
      </c>
      <c r="D1594" s="13">
        <v>506000</v>
      </c>
      <c r="E1594" s="10"/>
      <c r="F1594" s="10"/>
      <c r="G1594" s="127"/>
      <c r="H1594" s="127"/>
      <c r="I1594" s="127"/>
      <c r="J1594" s="127"/>
      <c r="K1594" s="10" t="str">
        <f t="shared" ref="K1594:K1600" si="377">C1594</f>
        <v>đ/bộ</v>
      </c>
      <c r="L1594" s="19">
        <f t="shared" ref="L1594:L1600" si="378">D1594</f>
        <v>506000</v>
      </c>
      <c r="M1594" s="120"/>
      <c r="N1594" s="120"/>
      <c r="O1594" s="71">
        <f>D1594</f>
        <v>506000</v>
      </c>
      <c r="P1594" s="71">
        <f>L1594</f>
        <v>506000</v>
      </c>
    </row>
    <row r="1595" spans="1:16" s="58" customFormat="1" ht="21" customHeight="1">
      <c r="A1595" s="10">
        <v>2</v>
      </c>
      <c r="B1595" s="23" t="s">
        <v>874</v>
      </c>
      <c r="C1595" s="10" t="s">
        <v>259</v>
      </c>
      <c r="D1595" s="13">
        <v>1758000</v>
      </c>
      <c r="E1595" s="10"/>
      <c r="F1595" s="10"/>
      <c r="G1595" s="127"/>
      <c r="H1595" s="127"/>
      <c r="I1595" s="127"/>
      <c r="J1595" s="127"/>
      <c r="K1595" s="10" t="str">
        <f t="shared" si="377"/>
        <v>đ/bộ</v>
      </c>
      <c r="L1595" s="19">
        <f t="shared" si="378"/>
        <v>1758000</v>
      </c>
      <c r="M1595" s="120"/>
      <c r="N1595" s="120"/>
      <c r="O1595" s="71">
        <f>D1595</f>
        <v>1758000</v>
      </c>
      <c r="P1595" s="71">
        <f>L1595</f>
        <v>1758000</v>
      </c>
    </row>
    <row r="1596" spans="1:16" s="58" customFormat="1" ht="21" customHeight="1">
      <c r="A1596" s="10">
        <v>3</v>
      </c>
      <c r="B1596" s="23" t="s">
        <v>875</v>
      </c>
      <c r="C1596" s="10" t="s">
        <v>259</v>
      </c>
      <c r="D1596" s="13">
        <v>120000</v>
      </c>
      <c r="E1596" s="10"/>
      <c r="F1596" s="10"/>
      <c r="G1596" s="127"/>
      <c r="H1596" s="127"/>
      <c r="I1596" s="127"/>
      <c r="J1596" s="127"/>
      <c r="K1596" s="10" t="str">
        <f t="shared" si="377"/>
        <v>đ/bộ</v>
      </c>
      <c r="L1596" s="19">
        <f t="shared" si="378"/>
        <v>120000</v>
      </c>
      <c r="M1596" s="120"/>
      <c r="N1596" s="120"/>
      <c r="O1596" s="71">
        <f>D1596</f>
        <v>120000</v>
      </c>
      <c r="P1596" s="71">
        <f>L1596</f>
        <v>120000</v>
      </c>
    </row>
    <row r="1597" spans="1:16" s="58" customFormat="1" ht="21" customHeight="1">
      <c r="A1597" s="10">
        <v>4</v>
      </c>
      <c r="B1597" s="23" t="s">
        <v>876</v>
      </c>
      <c r="C1597" s="10" t="s">
        <v>259</v>
      </c>
      <c r="D1597" s="13">
        <v>440000</v>
      </c>
      <c r="E1597" s="10"/>
      <c r="F1597" s="10"/>
      <c r="G1597" s="127"/>
      <c r="H1597" s="127"/>
      <c r="I1597" s="127"/>
      <c r="J1597" s="127"/>
      <c r="K1597" s="10" t="str">
        <f t="shared" si="377"/>
        <v>đ/bộ</v>
      </c>
      <c r="L1597" s="19">
        <f t="shared" si="378"/>
        <v>440000</v>
      </c>
      <c r="M1597" s="120"/>
      <c r="N1597" s="120"/>
      <c r="O1597" s="71">
        <f>D1597</f>
        <v>440000</v>
      </c>
      <c r="P1597" s="71">
        <f>L1597</f>
        <v>440000</v>
      </c>
    </row>
    <row r="1598" spans="1:16" s="58" customFormat="1" ht="33">
      <c r="A1598" s="10">
        <v>5</v>
      </c>
      <c r="B1598" s="23" t="s">
        <v>877</v>
      </c>
      <c r="C1598" s="10" t="s">
        <v>259</v>
      </c>
      <c r="D1598" s="13">
        <v>260000</v>
      </c>
      <c r="E1598" s="10"/>
      <c r="F1598" s="10"/>
      <c r="G1598" s="127"/>
      <c r="H1598" s="127"/>
      <c r="I1598" s="127"/>
      <c r="J1598" s="127"/>
      <c r="K1598" s="10" t="str">
        <f t="shared" si="377"/>
        <v>đ/bộ</v>
      </c>
      <c r="L1598" s="19">
        <f t="shared" si="378"/>
        <v>260000</v>
      </c>
      <c r="M1598" s="120"/>
      <c r="N1598" s="120"/>
      <c r="O1598" s="71">
        <f>D1598</f>
        <v>260000</v>
      </c>
      <c r="P1598" s="71">
        <f>L1598</f>
        <v>260000</v>
      </c>
    </row>
    <row r="1599" spans="1:16" s="66" customFormat="1" ht="21" customHeight="1">
      <c r="A1599" s="52"/>
      <c r="B1599" s="53" t="s">
        <v>878</v>
      </c>
      <c r="C1599" s="52"/>
      <c r="D1599" s="56"/>
      <c r="E1599" s="52"/>
      <c r="F1599" s="52"/>
      <c r="G1599" s="128"/>
      <c r="H1599" s="128"/>
      <c r="I1599" s="128"/>
      <c r="J1599" s="128"/>
      <c r="K1599" s="10"/>
      <c r="L1599" s="19"/>
      <c r="M1599" s="124"/>
      <c r="N1599" s="124"/>
      <c r="O1599" s="70"/>
      <c r="P1599" s="70"/>
    </row>
    <row r="1600" spans="1:16" s="58" customFormat="1" ht="21" customHeight="1">
      <c r="A1600" s="10">
        <v>1</v>
      </c>
      <c r="B1600" s="23" t="s">
        <v>879</v>
      </c>
      <c r="C1600" s="10" t="s">
        <v>259</v>
      </c>
      <c r="D1600" s="13">
        <v>378000</v>
      </c>
      <c r="E1600" s="10"/>
      <c r="F1600" s="10"/>
      <c r="G1600" s="127"/>
      <c r="H1600" s="127"/>
      <c r="I1600" s="127"/>
      <c r="J1600" s="127"/>
      <c r="K1600" s="10" t="str">
        <f t="shared" si="377"/>
        <v>đ/bộ</v>
      </c>
      <c r="L1600" s="19">
        <f t="shared" si="378"/>
        <v>378000</v>
      </c>
      <c r="M1600" s="120"/>
      <c r="N1600" s="120"/>
      <c r="O1600" s="71">
        <f>D1600</f>
        <v>378000</v>
      </c>
      <c r="P1600" s="71">
        <f>L1600</f>
        <v>378000</v>
      </c>
    </row>
    <row r="1601" spans="1:16" s="58" customFormat="1" ht="21" customHeight="1">
      <c r="A1601" s="10"/>
      <c r="B1601" s="27" t="s">
        <v>880</v>
      </c>
      <c r="C1601" s="10"/>
      <c r="D1601" s="13"/>
      <c r="E1601" s="10"/>
      <c r="F1601" s="10"/>
      <c r="G1601" s="127"/>
      <c r="H1601" s="127"/>
      <c r="I1601" s="127"/>
      <c r="J1601" s="127"/>
      <c r="K1601" s="10"/>
      <c r="L1601" s="19"/>
      <c r="M1601" s="120"/>
      <c r="N1601" s="120"/>
      <c r="O1601" s="69"/>
      <c r="P1601" s="69"/>
    </row>
    <row r="1602" spans="1:16" s="58" customFormat="1" ht="21" customHeight="1">
      <c r="A1602" s="10">
        <v>1</v>
      </c>
      <c r="B1602" s="23" t="s">
        <v>881</v>
      </c>
      <c r="C1602" s="10" t="s">
        <v>259</v>
      </c>
      <c r="D1602" s="13">
        <v>416000</v>
      </c>
      <c r="E1602" s="10"/>
      <c r="F1602" s="10"/>
      <c r="G1602" s="127"/>
      <c r="H1602" s="127"/>
      <c r="I1602" s="127"/>
      <c r="J1602" s="127"/>
      <c r="K1602" s="10" t="str">
        <f>C1602</f>
        <v>đ/bộ</v>
      </c>
      <c r="L1602" s="19">
        <f>D1602</f>
        <v>416000</v>
      </c>
      <c r="M1602" s="120"/>
      <c r="N1602" s="120"/>
      <c r="O1602" s="71">
        <f>D1602</f>
        <v>416000</v>
      </c>
      <c r="P1602" s="71">
        <f>L1602</f>
        <v>416000</v>
      </c>
    </row>
    <row r="1603" spans="1:16" s="66" customFormat="1" ht="44.25" customHeight="1">
      <c r="A1603" s="51"/>
      <c r="B1603" s="246" t="s">
        <v>1091</v>
      </c>
      <c r="C1603" s="247"/>
      <c r="D1603" s="247"/>
      <c r="E1603" s="247"/>
      <c r="F1603" s="247"/>
      <c r="G1603" s="247"/>
      <c r="H1603" s="247"/>
      <c r="I1603" s="247"/>
      <c r="J1603" s="247"/>
      <c r="K1603" s="247"/>
      <c r="L1603" s="247"/>
      <c r="M1603" s="247"/>
      <c r="N1603" s="248"/>
      <c r="O1603" s="70"/>
      <c r="P1603" s="70"/>
    </row>
    <row r="1604" spans="1:16" s="58" customFormat="1" ht="150" customHeight="1">
      <c r="A1604" s="10">
        <v>1</v>
      </c>
      <c r="B1604" s="23" t="s">
        <v>1090</v>
      </c>
      <c r="C1604" s="10" t="s">
        <v>259</v>
      </c>
      <c r="D1604" s="13"/>
      <c r="E1604" s="13">
        <v>44285714</v>
      </c>
      <c r="F1604" s="10"/>
      <c r="G1604" s="127"/>
      <c r="H1604" s="127"/>
      <c r="I1604" s="127"/>
      <c r="J1604" s="127"/>
      <c r="K1604" s="10" t="str">
        <f>C1604</f>
        <v>đ/bộ</v>
      </c>
      <c r="L1604" s="19"/>
      <c r="M1604" s="19">
        <f>E1604</f>
        <v>44285714</v>
      </c>
      <c r="N1604" s="120"/>
      <c r="O1604" s="13">
        <f>E1604</f>
        <v>44285714</v>
      </c>
      <c r="P1604" s="13">
        <f>M1604</f>
        <v>44285714</v>
      </c>
    </row>
    <row r="1605" spans="1:16" s="66" customFormat="1" ht="53.45" customHeight="1">
      <c r="A1605" s="51"/>
      <c r="B1605" s="246" t="s">
        <v>882</v>
      </c>
      <c r="C1605" s="247"/>
      <c r="D1605" s="247"/>
      <c r="E1605" s="247"/>
      <c r="F1605" s="247"/>
      <c r="G1605" s="247"/>
      <c r="H1605" s="247"/>
      <c r="I1605" s="247"/>
      <c r="J1605" s="247"/>
      <c r="K1605" s="247"/>
      <c r="L1605" s="247"/>
      <c r="M1605" s="247"/>
      <c r="N1605" s="248"/>
      <c r="O1605" s="70"/>
      <c r="P1605" s="70"/>
    </row>
    <row r="1606" spans="1:16" s="66" customFormat="1" ht="21.95" customHeight="1">
      <c r="A1606" s="52"/>
      <c r="B1606" s="53" t="s">
        <v>883</v>
      </c>
      <c r="C1606" s="55"/>
      <c r="D1606" s="56"/>
      <c r="E1606" s="52"/>
      <c r="F1606" s="52"/>
      <c r="G1606" s="128"/>
      <c r="H1606" s="128"/>
      <c r="I1606" s="128"/>
      <c r="J1606" s="128"/>
      <c r="K1606" s="117"/>
      <c r="L1606" s="124"/>
      <c r="M1606" s="124"/>
      <c r="N1606" s="124"/>
      <c r="O1606" s="70"/>
      <c r="P1606" s="70"/>
    </row>
    <row r="1607" spans="1:16" s="58" customFormat="1" ht="21.95" customHeight="1">
      <c r="A1607" s="10">
        <v>1</v>
      </c>
      <c r="B1607" s="23" t="s">
        <v>884</v>
      </c>
      <c r="C1607" s="10" t="s">
        <v>84</v>
      </c>
      <c r="D1607" s="45">
        <f>2750000/1.1</f>
        <v>2500000</v>
      </c>
      <c r="E1607" s="10"/>
      <c r="F1607" s="10"/>
      <c r="G1607" s="127"/>
      <c r="H1607" s="127"/>
      <c r="I1607" s="127"/>
      <c r="J1607" s="127"/>
      <c r="K1607" s="10" t="str">
        <f>C1607</f>
        <v>đ/cái</v>
      </c>
      <c r="L1607" s="19">
        <f>D1607</f>
        <v>2500000</v>
      </c>
      <c r="M1607" s="19"/>
      <c r="N1607" s="120"/>
      <c r="O1607" s="71">
        <f>D1607</f>
        <v>2500000</v>
      </c>
      <c r="P1607" s="71">
        <f>L1607</f>
        <v>2500000</v>
      </c>
    </row>
    <row r="1608" spans="1:16" s="58" customFormat="1" ht="21.95" customHeight="1">
      <c r="A1608" s="10">
        <v>2</v>
      </c>
      <c r="B1608" s="23" t="s">
        <v>885</v>
      </c>
      <c r="C1608" s="10" t="s">
        <v>84</v>
      </c>
      <c r="D1608" s="45">
        <f>3600000/1.1</f>
        <v>3272727.2727272725</v>
      </c>
      <c r="E1608" s="10"/>
      <c r="F1608" s="10"/>
      <c r="G1608" s="127"/>
      <c r="H1608" s="127"/>
      <c r="I1608" s="127"/>
      <c r="J1608" s="127"/>
      <c r="K1608" s="10" t="str">
        <f>C1608</f>
        <v>đ/cái</v>
      </c>
      <c r="L1608" s="19">
        <f>D1608</f>
        <v>3272727.2727272725</v>
      </c>
      <c r="M1608" s="120"/>
      <c r="N1608" s="120"/>
      <c r="O1608" s="71">
        <f>D1608</f>
        <v>3272727.2727272725</v>
      </c>
      <c r="P1608" s="71">
        <f>L1608</f>
        <v>3272727.2727272725</v>
      </c>
    </row>
    <row r="1609" spans="1:16" s="66" customFormat="1" ht="21.95" customHeight="1">
      <c r="A1609" s="52"/>
      <c r="B1609" s="53" t="s">
        <v>883</v>
      </c>
      <c r="C1609" s="52"/>
      <c r="D1609" s="54"/>
      <c r="E1609" s="52"/>
      <c r="F1609" s="52"/>
      <c r="G1609" s="128"/>
      <c r="H1609" s="128"/>
      <c r="I1609" s="128"/>
      <c r="J1609" s="128"/>
      <c r="K1609" s="117"/>
      <c r="L1609" s="124"/>
      <c r="M1609" s="124"/>
      <c r="N1609" s="124"/>
      <c r="O1609" s="70"/>
      <c r="P1609" s="70"/>
    </row>
    <row r="1610" spans="1:16" s="58" customFormat="1" ht="21.95" customHeight="1">
      <c r="A1610" s="10">
        <v>1</v>
      </c>
      <c r="B1610" s="23" t="s">
        <v>886</v>
      </c>
      <c r="C1610" s="10" t="s">
        <v>84</v>
      </c>
      <c r="D1610" s="45">
        <v>4800000</v>
      </c>
      <c r="E1610" s="10"/>
      <c r="F1610" s="10"/>
      <c r="G1610" s="127"/>
      <c r="H1610" s="127"/>
      <c r="I1610" s="127"/>
      <c r="J1610" s="127"/>
      <c r="K1610" s="10" t="str">
        <f>C1610</f>
        <v>đ/cái</v>
      </c>
      <c r="L1610" s="19">
        <f>D1610</f>
        <v>4800000</v>
      </c>
      <c r="M1610" s="120"/>
      <c r="N1610" s="120"/>
      <c r="O1610" s="71">
        <f>D1610</f>
        <v>4800000</v>
      </c>
      <c r="P1610" s="71">
        <f>L1610</f>
        <v>4800000</v>
      </c>
    </row>
    <row r="1611" spans="1:16" s="58" customFormat="1" ht="21.95" customHeight="1">
      <c r="A1611" s="10">
        <v>2</v>
      </c>
      <c r="B1611" s="23" t="s">
        <v>887</v>
      </c>
      <c r="C1611" s="10" t="s">
        <v>84</v>
      </c>
      <c r="D1611" s="45">
        <v>8400000</v>
      </c>
      <c r="E1611" s="10"/>
      <c r="F1611" s="10"/>
      <c r="G1611" s="127"/>
      <c r="H1611" s="127"/>
      <c r="I1611" s="127"/>
      <c r="J1611" s="127"/>
      <c r="K1611" s="10" t="str">
        <f>C1611</f>
        <v>đ/cái</v>
      </c>
      <c r="L1611" s="19">
        <f>D1611</f>
        <v>8400000</v>
      </c>
      <c r="M1611" s="120"/>
      <c r="N1611" s="120"/>
      <c r="O1611" s="71">
        <f>D1611</f>
        <v>8400000</v>
      </c>
      <c r="P1611" s="71">
        <f>L1611</f>
        <v>8400000</v>
      </c>
    </row>
    <row r="1612" spans="1:16" s="66" customFormat="1" ht="21.95" customHeight="1">
      <c r="A1612" s="52"/>
      <c r="B1612" s="53" t="s">
        <v>888</v>
      </c>
      <c r="C1612" s="52"/>
      <c r="D1612" s="54"/>
      <c r="E1612" s="52"/>
      <c r="F1612" s="52"/>
      <c r="G1612" s="128"/>
      <c r="H1612" s="128"/>
      <c r="I1612" s="128"/>
      <c r="J1612" s="128"/>
      <c r="K1612" s="117"/>
      <c r="L1612" s="124"/>
      <c r="M1612" s="124"/>
      <c r="N1612" s="124"/>
      <c r="O1612" s="70"/>
      <c r="P1612" s="70"/>
    </row>
    <row r="1613" spans="1:16" s="58" customFormat="1" ht="21.95" customHeight="1">
      <c r="A1613" s="10">
        <v>1</v>
      </c>
      <c r="B1613" s="23" t="s">
        <v>889</v>
      </c>
      <c r="C1613" s="10" t="s">
        <v>84</v>
      </c>
      <c r="D1613" s="47">
        <v>285000</v>
      </c>
      <c r="E1613" s="10"/>
      <c r="F1613" s="10"/>
      <c r="G1613" s="127"/>
      <c r="H1613" s="127"/>
      <c r="I1613" s="127"/>
      <c r="J1613" s="127"/>
      <c r="K1613" s="10" t="str">
        <f t="shared" ref="K1613:L1615" si="379">C1613</f>
        <v>đ/cái</v>
      </c>
      <c r="L1613" s="19">
        <f t="shared" si="379"/>
        <v>285000</v>
      </c>
      <c r="M1613" s="120"/>
      <c r="N1613" s="120"/>
      <c r="O1613" s="71">
        <f>D1613</f>
        <v>285000</v>
      </c>
      <c r="P1613" s="71">
        <f>L1613</f>
        <v>285000</v>
      </c>
    </row>
    <row r="1614" spans="1:16" s="58" customFormat="1" ht="21.95" customHeight="1">
      <c r="A1614" s="10">
        <v>2</v>
      </c>
      <c r="B1614" s="23" t="s">
        <v>890</v>
      </c>
      <c r="C1614" s="10" t="s">
        <v>84</v>
      </c>
      <c r="D1614" s="47">
        <v>370000</v>
      </c>
      <c r="E1614" s="10"/>
      <c r="F1614" s="10"/>
      <c r="G1614" s="127"/>
      <c r="H1614" s="127"/>
      <c r="I1614" s="127"/>
      <c r="J1614" s="127"/>
      <c r="K1614" s="10" t="str">
        <f t="shared" si="379"/>
        <v>đ/cái</v>
      </c>
      <c r="L1614" s="19">
        <f t="shared" si="379"/>
        <v>370000</v>
      </c>
      <c r="M1614" s="120"/>
      <c r="N1614" s="120"/>
      <c r="O1614" s="71">
        <f>D1614</f>
        <v>370000</v>
      </c>
      <c r="P1614" s="71">
        <f>L1614</f>
        <v>370000</v>
      </c>
    </row>
    <row r="1615" spans="1:16" s="58" customFormat="1" ht="21.95" customHeight="1">
      <c r="A1615" s="10">
        <v>3</v>
      </c>
      <c r="B1615" s="23" t="s">
        <v>891</v>
      </c>
      <c r="C1615" s="10" t="s">
        <v>84</v>
      </c>
      <c r="D1615" s="47">
        <v>530000</v>
      </c>
      <c r="E1615" s="10"/>
      <c r="F1615" s="10"/>
      <c r="G1615" s="127"/>
      <c r="H1615" s="127"/>
      <c r="I1615" s="127"/>
      <c r="J1615" s="127"/>
      <c r="K1615" s="10" t="str">
        <f t="shared" si="379"/>
        <v>đ/cái</v>
      </c>
      <c r="L1615" s="19">
        <f t="shared" si="379"/>
        <v>530000</v>
      </c>
      <c r="M1615" s="120"/>
      <c r="N1615" s="120"/>
      <c r="O1615" s="71">
        <f>D1615</f>
        <v>530000</v>
      </c>
      <c r="P1615" s="71">
        <f>L1615</f>
        <v>530000</v>
      </c>
    </row>
    <row r="1616" spans="1:16" s="58" customFormat="1" ht="21.95" customHeight="1">
      <c r="A1616" s="10"/>
      <c r="B1616" s="27" t="s">
        <v>892</v>
      </c>
      <c r="C1616" s="10"/>
      <c r="D1616" s="46"/>
      <c r="E1616" s="10"/>
      <c r="F1616" s="10"/>
      <c r="G1616" s="127"/>
      <c r="H1616" s="127"/>
      <c r="I1616" s="127"/>
      <c r="J1616" s="127"/>
      <c r="K1616" s="116"/>
      <c r="L1616" s="120"/>
      <c r="M1616" s="120"/>
      <c r="N1616" s="120"/>
      <c r="O1616" s="69"/>
      <c r="P1616" s="69"/>
    </row>
    <row r="1617" spans="1:16" s="58" customFormat="1" ht="21.95" customHeight="1">
      <c r="A1617" s="10">
        <v>1</v>
      </c>
      <c r="B1617" s="23" t="s">
        <v>893</v>
      </c>
      <c r="C1617" s="10" t="s">
        <v>90</v>
      </c>
      <c r="D1617" s="48">
        <v>2010</v>
      </c>
      <c r="E1617" s="10"/>
      <c r="F1617" s="10"/>
      <c r="G1617" s="127"/>
      <c r="H1617" s="127"/>
      <c r="I1617" s="127"/>
      <c r="J1617" s="127"/>
      <c r="K1617" s="10" t="str">
        <f t="shared" ref="K1617:K1628" si="380">C1617</f>
        <v>đ/m</v>
      </c>
      <c r="L1617" s="19">
        <f t="shared" ref="L1617:L1628" si="381">D1617</f>
        <v>2010</v>
      </c>
      <c r="M1617" s="120"/>
      <c r="N1617" s="120"/>
      <c r="O1617" s="71">
        <f t="shared" ref="O1617:O1628" si="382">D1617</f>
        <v>2010</v>
      </c>
      <c r="P1617" s="71">
        <f t="shared" ref="P1617:P1628" si="383">L1617</f>
        <v>2010</v>
      </c>
    </row>
    <row r="1618" spans="1:16" s="58" customFormat="1" ht="21.95" customHeight="1">
      <c r="A1618" s="10">
        <v>2</v>
      </c>
      <c r="B1618" s="23" t="s">
        <v>894</v>
      </c>
      <c r="C1618" s="10" t="s">
        <v>90</v>
      </c>
      <c r="D1618" s="48">
        <v>4070</v>
      </c>
      <c r="E1618" s="10"/>
      <c r="F1618" s="10"/>
      <c r="G1618" s="127"/>
      <c r="H1618" s="127"/>
      <c r="I1618" s="127"/>
      <c r="J1618" s="127"/>
      <c r="K1618" s="10" t="str">
        <f t="shared" si="380"/>
        <v>đ/m</v>
      </c>
      <c r="L1618" s="19">
        <f t="shared" si="381"/>
        <v>4070</v>
      </c>
      <c r="M1618" s="120"/>
      <c r="N1618" s="120"/>
      <c r="O1618" s="71">
        <f t="shared" si="382"/>
        <v>4070</v>
      </c>
      <c r="P1618" s="71">
        <f t="shared" si="383"/>
        <v>4070</v>
      </c>
    </row>
    <row r="1619" spans="1:16" s="58" customFormat="1" ht="21.95" customHeight="1">
      <c r="A1619" s="10">
        <v>3</v>
      </c>
      <c r="B1619" s="23" t="s">
        <v>895</v>
      </c>
      <c r="C1619" s="10" t="s">
        <v>90</v>
      </c>
      <c r="D1619" s="48">
        <v>5820</v>
      </c>
      <c r="E1619" s="10"/>
      <c r="F1619" s="10"/>
      <c r="G1619" s="127"/>
      <c r="H1619" s="127"/>
      <c r="I1619" s="127"/>
      <c r="J1619" s="127"/>
      <c r="K1619" s="10" t="str">
        <f t="shared" si="380"/>
        <v>đ/m</v>
      </c>
      <c r="L1619" s="19">
        <f t="shared" si="381"/>
        <v>5820</v>
      </c>
      <c r="M1619" s="120"/>
      <c r="N1619" s="120"/>
      <c r="O1619" s="71">
        <f t="shared" si="382"/>
        <v>5820</v>
      </c>
      <c r="P1619" s="71">
        <f t="shared" si="383"/>
        <v>5820</v>
      </c>
    </row>
    <row r="1620" spans="1:16" s="58" customFormat="1" ht="21.95" customHeight="1">
      <c r="A1620" s="10">
        <v>4</v>
      </c>
      <c r="B1620" s="23" t="s">
        <v>896</v>
      </c>
      <c r="C1620" s="10" t="s">
        <v>90</v>
      </c>
      <c r="D1620" s="48">
        <v>9940</v>
      </c>
      <c r="E1620" s="10"/>
      <c r="F1620" s="10"/>
      <c r="G1620" s="127"/>
      <c r="H1620" s="127"/>
      <c r="I1620" s="127"/>
      <c r="J1620" s="127"/>
      <c r="K1620" s="10" t="str">
        <f t="shared" si="380"/>
        <v>đ/m</v>
      </c>
      <c r="L1620" s="19">
        <f t="shared" si="381"/>
        <v>9940</v>
      </c>
      <c r="M1620" s="120"/>
      <c r="N1620" s="120"/>
      <c r="O1620" s="71">
        <f t="shared" si="382"/>
        <v>9940</v>
      </c>
      <c r="P1620" s="71">
        <f t="shared" si="383"/>
        <v>9940</v>
      </c>
    </row>
    <row r="1621" spans="1:16" s="58" customFormat="1" ht="21.95" customHeight="1">
      <c r="A1621" s="10">
        <v>5</v>
      </c>
      <c r="B1621" s="23" t="s">
        <v>897</v>
      </c>
      <c r="C1621" s="10" t="s">
        <v>90</v>
      </c>
      <c r="D1621" s="49">
        <v>700</v>
      </c>
      <c r="E1621" s="10"/>
      <c r="F1621" s="10"/>
      <c r="G1621" s="127"/>
      <c r="H1621" s="127"/>
      <c r="I1621" s="127"/>
      <c r="J1621" s="127"/>
      <c r="K1621" s="10" t="str">
        <f t="shared" si="380"/>
        <v>đ/m</v>
      </c>
      <c r="L1621" s="19">
        <f t="shared" si="381"/>
        <v>700</v>
      </c>
      <c r="M1621" s="120"/>
      <c r="N1621" s="120"/>
      <c r="O1621" s="71">
        <f t="shared" si="382"/>
        <v>700</v>
      </c>
      <c r="P1621" s="71">
        <f t="shared" si="383"/>
        <v>700</v>
      </c>
    </row>
    <row r="1622" spans="1:16" s="58" customFormat="1" ht="21.95" customHeight="1">
      <c r="A1622" s="10">
        <v>6</v>
      </c>
      <c r="B1622" s="23" t="s">
        <v>898</v>
      </c>
      <c r="C1622" s="10" t="s">
        <v>90</v>
      </c>
      <c r="D1622" s="48">
        <v>1240</v>
      </c>
      <c r="E1622" s="10"/>
      <c r="F1622" s="10"/>
      <c r="G1622" s="127"/>
      <c r="H1622" s="127"/>
      <c r="I1622" s="127"/>
      <c r="J1622" s="127"/>
      <c r="K1622" s="10" t="str">
        <f t="shared" si="380"/>
        <v>đ/m</v>
      </c>
      <c r="L1622" s="19">
        <f t="shared" si="381"/>
        <v>1240</v>
      </c>
      <c r="M1622" s="120"/>
      <c r="N1622" s="120"/>
      <c r="O1622" s="71">
        <f t="shared" si="382"/>
        <v>1240</v>
      </c>
      <c r="P1622" s="71">
        <f t="shared" si="383"/>
        <v>1240</v>
      </c>
    </row>
    <row r="1623" spans="1:16" s="58" customFormat="1" ht="21.95" customHeight="1">
      <c r="A1623" s="10">
        <v>7</v>
      </c>
      <c r="B1623" s="23" t="s">
        <v>899</v>
      </c>
      <c r="C1623" s="10" t="s">
        <v>90</v>
      </c>
      <c r="D1623" s="48">
        <v>1640</v>
      </c>
      <c r="E1623" s="10"/>
      <c r="F1623" s="10"/>
      <c r="G1623" s="127"/>
      <c r="H1623" s="127"/>
      <c r="I1623" s="127"/>
      <c r="J1623" s="127"/>
      <c r="K1623" s="10" t="str">
        <f t="shared" si="380"/>
        <v>đ/m</v>
      </c>
      <c r="L1623" s="19">
        <f t="shared" si="381"/>
        <v>1640</v>
      </c>
      <c r="M1623" s="120"/>
      <c r="N1623" s="120"/>
      <c r="O1623" s="71">
        <f t="shared" si="382"/>
        <v>1640</v>
      </c>
      <c r="P1623" s="71">
        <f t="shared" si="383"/>
        <v>1640</v>
      </c>
    </row>
    <row r="1624" spans="1:16" s="58" customFormat="1" ht="21.95" customHeight="1">
      <c r="A1624" s="10">
        <v>8</v>
      </c>
      <c r="B1624" s="23" t="s">
        <v>900</v>
      </c>
      <c r="C1624" s="10" t="s">
        <v>90</v>
      </c>
      <c r="D1624" s="48">
        <v>2090</v>
      </c>
      <c r="E1624" s="10"/>
      <c r="F1624" s="10"/>
      <c r="G1624" s="127"/>
      <c r="H1624" s="127"/>
      <c r="I1624" s="127"/>
      <c r="J1624" s="127"/>
      <c r="K1624" s="10" t="str">
        <f t="shared" si="380"/>
        <v>đ/m</v>
      </c>
      <c r="L1624" s="19">
        <f t="shared" si="381"/>
        <v>2090</v>
      </c>
      <c r="M1624" s="120"/>
      <c r="N1624" s="120"/>
      <c r="O1624" s="71">
        <f t="shared" si="382"/>
        <v>2090</v>
      </c>
      <c r="P1624" s="71">
        <f t="shared" si="383"/>
        <v>2090</v>
      </c>
    </row>
    <row r="1625" spans="1:16" s="58" customFormat="1" ht="21.95" customHeight="1">
      <c r="A1625" s="10">
        <v>9</v>
      </c>
      <c r="B1625" s="23" t="s">
        <v>901</v>
      </c>
      <c r="C1625" s="10" t="s">
        <v>90</v>
      </c>
      <c r="D1625" s="48">
        <v>1480</v>
      </c>
      <c r="E1625" s="10"/>
      <c r="F1625" s="10"/>
      <c r="G1625" s="127"/>
      <c r="H1625" s="127"/>
      <c r="I1625" s="127"/>
      <c r="J1625" s="127"/>
      <c r="K1625" s="10" t="str">
        <f t="shared" si="380"/>
        <v>đ/m</v>
      </c>
      <c r="L1625" s="19">
        <f t="shared" si="381"/>
        <v>1480</v>
      </c>
      <c r="M1625" s="120"/>
      <c r="N1625" s="120"/>
      <c r="O1625" s="71">
        <f t="shared" si="382"/>
        <v>1480</v>
      </c>
      <c r="P1625" s="71">
        <f t="shared" si="383"/>
        <v>1480</v>
      </c>
    </row>
    <row r="1626" spans="1:16" s="58" customFormat="1" ht="21.95" customHeight="1">
      <c r="A1626" s="10">
        <v>10</v>
      </c>
      <c r="B1626" s="23" t="s">
        <v>902</v>
      </c>
      <c r="C1626" s="10" t="s">
        <v>90</v>
      </c>
      <c r="D1626" s="48">
        <v>2330</v>
      </c>
      <c r="E1626" s="10"/>
      <c r="F1626" s="10"/>
      <c r="G1626" s="127"/>
      <c r="H1626" s="127"/>
      <c r="I1626" s="127"/>
      <c r="J1626" s="127"/>
      <c r="K1626" s="10" t="str">
        <f t="shared" si="380"/>
        <v>đ/m</v>
      </c>
      <c r="L1626" s="19">
        <f t="shared" si="381"/>
        <v>2330</v>
      </c>
      <c r="M1626" s="120"/>
      <c r="N1626" s="120"/>
      <c r="O1626" s="71">
        <f t="shared" si="382"/>
        <v>2330</v>
      </c>
      <c r="P1626" s="71">
        <f t="shared" si="383"/>
        <v>2330</v>
      </c>
    </row>
    <row r="1627" spans="1:16" s="58" customFormat="1" ht="21.95" customHeight="1">
      <c r="A1627" s="142">
        <v>11</v>
      </c>
      <c r="B1627" s="143" t="s">
        <v>903</v>
      </c>
      <c r="C1627" s="142" t="s">
        <v>90</v>
      </c>
      <c r="D1627" s="144">
        <v>3290</v>
      </c>
      <c r="E1627" s="142"/>
      <c r="F1627" s="142"/>
      <c r="G1627" s="145"/>
      <c r="H1627" s="145"/>
      <c r="I1627" s="145"/>
      <c r="J1627" s="145"/>
      <c r="K1627" s="142" t="str">
        <f t="shared" si="380"/>
        <v>đ/m</v>
      </c>
      <c r="L1627" s="146">
        <f t="shared" si="381"/>
        <v>3290</v>
      </c>
      <c r="M1627" s="147"/>
      <c r="N1627" s="147"/>
      <c r="O1627" s="136">
        <f t="shared" si="382"/>
        <v>3290</v>
      </c>
      <c r="P1627" s="71">
        <f t="shared" si="383"/>
        <v>3290</v>
      </c>
    </row>
    <row r="1628" spans="1:16" s="58" customFormat="1" ht="21.95" customHeight="1">
      <c r="A1628" s="142">
        <v>12</v>
      </c>
      <c r="B1628" s="143" t="s">
        <v>904</v>
      </c>
      <c r="C1628" s="142" t="s">
        <v>90</v>
      </c>
      <c r="D1628" s="144">
        <v>4220</v>
      </c>
      <c r="E1628" s="142"/>
      <c r="F1628" s="142"/>
      <c r="G1628" s="145"/>
      <c r="H1628" s="145"/>
      <c r="I1628" s="145"/>
      <c r="J1628" s="145"/>
      <c r="K1628" s="142" t="str">
        <f t="shared" si="380"/>
        <v>đ/m</v>
      </c>
      <c r="L1628" s="146">
        <f t="shared" si="381"/>
        <v>4220</v>
      </c>
      <c r="M1628" s="147"/>
      <c r="N1628" s="147"/>
      <c r="O1628" s="136">
        <f t="shared" si="382"/>
        <v>4220</v>
      </c>
      <c r="P1628" s="71">
        <f t="shared" si="383"/>
        <v>4220</v>
      </c>
    </row>
    <row r="1629" spans="1:16" s="66" customFormat="1" ht="21.95" customHeight="1">
      <c r="A1629" s="148"/>
      <c r="B1629" s="149" t="s">
        <v>905</v>
      </c>
      <c r="C1629" s="148"/>
      <c r="D1629" s="150"/>
      <c r="E1629" s="148"/>
      <c r="F1629" s="148"/>
      <c r="G1629" s="151"/>
      <c r="H1629" s="151"/>
      <c r="I1629" s="151"/>
      <c r="J1629" s="151"/>
      <c r="K1629" s="152"/>
      <c r="L1629" s="153"/>
      <c r="M1629" s="153"/>
      <c r="N1629" s="153"/>
      <c r="O1629" s="137"/>
      <c r="P1629" s="70"/>
    </row>
    <row r="1630" spans="1:16" s="58" customFormat="1" ht="21" customHeight="1">
      <c r="A1630" s="142">
        <v>1</v>
      </c>
      <c r="B1630" s="143" t="s">
        <v>906</v>
      </c>
      <c r="C1630" s="142" t="s">
        <v>84</v>
      </c>
      <c r="D1630" s="144">
        <v>31000</v>
      </c>
      <c r="E1630" s="142"/>
      <c r="F1630" s="142"/>
      <c r="G1630" s="145"/>
      <c r="H1630" s="145"/>
      <c r="I1630" s="145"/>
      <c r="J1630" s="145"/>
      <c r="K1630" s="142" t="str">
        <f t="shared" ref="K1630:K1636" si="384">C1630</f>
        <v>đ/cái</v>
      </c>
      <c r="L1630" s="146">
        <f t="shared" ref="L1630:L1636" si="385">D1630</f>
        <v>31000</v>
      </c>
      <c r="M1630" s="147"/>
      <c r="N1630" s="147"/>
      <c r="O1630" s="136">
        <f t="shared" ref="O1630:O1636" si="386">D1630</f>
        <v>31000</v>
      </c>
      <c r="P1630" s="71">
        <f t="shared" ref="P1630:P1636" si="387">L1630</f>
        <v>31000</v>
      </c>
    </row>
    <row r="1631" spans="1:16" s="58" customFormat="1" ht="21" customHeight="1">
      <c r="A1631" s="142">
        <v>2</v>
      </c>
      <c r="B1631" s="143" t="s">
        <v>907</v>
      </c>
      <c r="C1631" s="142" t="s">
        <v>84</v>
      </c>
      <c r="D1631" s="154">
        <v>35500</v>
      </c>
      <c r="E1631" s="142"/>
      <c r="F1631" s="142"/>
      <c r="G1631" s="145"/>
      <c r="H1631" s="145"/>
      <c r="I1631" s="145"/>
      <c r="J1631" s="145"/>
      <c r="K1631" s="142" t="str">
        <f t="shared" si="384"/>
        <v>đ/cái</v>
      </c>
      <c r="L1631" s="146">
        <f t="shared" si="385"/>
        <v>35500</v>
      </c>
      <c r="M1631" s="147"/>
      <c r="N1631" s="147"/>
      <c r="O1631" s="136">
        <f t="shared" si="386"/>
        <v>35500</v>
      </c>
      <c r="P1631" s="71">
        <f t="shared" si="387"/>
        <v>35500</v>
      </c>
    </row>
    <row r="1632" spans="1:16" s="58" customFormat="1" ht="21" customHeight="1">
      <c r="A1632" s="142">
        <v>3</v>
      </c>
      <c r="B1632" s="143" t="s">
        <v>908</v>
      </c>
      <c r="C1632" s="142" t="s">
        <v>84</v>
      </c>
      <c r="D1632" s="154">
        <v>40500</v>
      </c>
      <c r="E1632" s="142"/>
      <c r="F1632" s="142"/>
      <c r="G1632" s="145"/>
      <c r="H1632" s="145"/>
      <c r="I1632" s="145"/>
      <c r="J1632" s="145"/>
      <c r="K1632" s="142" t="str">
        <f t="shared" si="384"/>
        <v>đ/cái</v>
      </c>
      <c r="L1632" s="146">
        <f t="shared" si="385"/>
        <v>40500</v>
      </c>
      <c r="M1632" s="147"/>
      <c r="N1632" s="147"/>
      <c r="O1632" s="136">
        <f t="shared" si="386"/>
        <v>40500</v>
      </c>
      <c r="P1632" s="71">
        <f t="shared" si="387"/>
        <v>40500</v>
      </c>
    </row>
    <row r="1633" spans="1:16" s="58" customFormat="1" ht="21" customHeight="1">
      <c r="A1633" s="142">
        <v>4</v>
      </c>
      <c r="B1633" s="143" t="s">
        <v>909</v>
      </c>
      <c r="C1633" s="142" t="s">
        <v>84</v>
      </c>
      <c r="D1633" s="154">
        <v>41000</v>
      </c>
      <c r="E1633" s="142"/>
      <c r="F1633" s="142"/>
      <c r="G1633" s="145"/>
      <c r="H1633" s="145"/>
      <c r="I1633" s="145"/>
      <c r="J1633" s="145"/>
      <c r="K1633" s="142" t="str">
        <f t="shared" si="384"/>
        <v>đ/cái</v>
      </c>
      <c r="L1633" s="146">
        <f t="shared" si="385"/>
        <v>41000</v>
      </c>
      <c r="M1633" s="147"/>
      <c r="N1633" s="147"/>
      <c r="O1633" s="136">
        <f t="shared" si="386"/>
        <v>41000</v>
      </c>
      <c r="P1633" s="71">
        <f t="shared" si="387"/>
        <v>41000</v>
      </c>
    </row>
    <row r="1634" spans="1:16" s="58" customFormat="1" ht="21" customHeight="1">
      <c r="A1634" s="142">
        <v>5</v>
      </c>
      <c r="B1634" s="143" t="s">
        <v>910</v>
      </c>
      <c r="C1634" s="142" t="s">
        <v>84</v>
      </c>
      <c r="D1634" s="154">
        <v>36500</v>
      </c>
      <c r="E1634" s="142"/>
      <c r="F1634" s="142"/>
      <c r="G1634" s="145"/>
      <c r="H1634" s="145"/>
      <c r="I1634" s="145"/>
      <c r="J1634" s="145"/>
      <c r="K1634" s="142" t="str">
        <f t="shared" si="384"/>
        <v>đ/cái</v>
      </c>
      <c r="L1634" s="146">
        <f t="shared" si="385"/>
        <v>36500</v>
      </c>
      <c r="M1634" s="147"/>
      <c r="N1634" s="147"/>
      <c r="O1634" s="136">
        <f t="shared" si="386"/>
        <v>36500</v>
      </c>
      <c r="P1634" s="71">
        <f t="shared" si="387"/>
        <v>36500</v>
      </c>
    </row>
    <row r="1635" spans="1:16" s="58" customFormat="1" ht="21" customHeight="1">
      <c r="A1635" s="142">
        <v>6</v>
      </c>
      <c r="B1635" s="143" t="s">
        <v>911</v>
      </c>
      <c r="C1635" s="142" t="s">
        <v>84</v>
      </c>
      <c r="D1635" s="154">
        <v>37000</v>
      </c>
      <c r="E1635" s="142"/>
      <c r="F1635" s="142"/>
      <c r="G1635" s="145"/>
      <c r="H1635" s="145"/>
      <c r="I1635" s="145"/>
      <c r="J1635" s="145"/>
      <c r="K1635" s="142" t="str">
        <f t="shared" si="384"/>
        <v>đ/cái</v>
      </c>
      <c r="L1635" s="146">
        <f t="shared" si="385"/>
        <v>37000</v>
      </c>
      <c r="M1635" s="147"/>
      <c r="N1635" s="147"/>
      <c r="O1635" s="136">
        <f t="shared" si="386"/>
        <v>37000</v>
      </c>
      <c r="P1635" s="71">
        <f t="shared" si="387"/>
        <v>37000</v>
      </c>
    </row>
    <row r="1636" spans="1:16" s="58" customFormat="1" ht="21" customHeight="1">
      <c r="A1636" s="142">
        <v>7</v>
      </c>
      <c r="B1636" s="143" t="s">
        <v>912</v>
      </c>
      <c r="C1636" s="142" t="s">
        <v>84</v>
      </c>
      <c r="D1636" s="154">
        <v>45500</v>
      </c>
      <c r="E1636" s="142"/>
      <c r="F1636" s="142"/>
      <c r="G1636" s="145"/>
      <c r="H1636" s="145"/>
      <c r="I1636" s="145"/>
      <c r="J1636" s="145"/>
      <c r="K1636" s="142" t="str">
        <f t="shared" si="384"/>
        <v>đ/cái</v>
      </c>
      <c r="L1636" s="146">
        <f t="shared" si="385"/>
        <v>45500</v>
      </c>
      <c r="M1636" s="147"/>
      <c r="N1636" s="147"/>
      <c r="O1636" s="136">
        <f t="shared" si="386"/>
        <v>45500</v>
      </c>
      <c r="P1636" s="71">
        <f t="shared" si="387"/>
        <v>45500</v>
      </c>
    </row>
    <row r="1637" spans="1:16" s="66" customFormat="1" ht="21" customHeight="1">
      <c r="A1637" s="148"/>
      <c r="B1637" s="149" t="s">
        <v>913</v>
      </c>
      <c r="C1637" s="148"/>
      <c r="D1637" s="155"/>
      <c r="E1637" s="148"/>
      <c r="F1637" s="148"/>
      <c r="G1637" s="151"/>
      <c r="H1637" s="151"/>
      <c r="I1637" s="151"/>
      <c r="J1637" s="151"/>
      <c r="K1637" s="152"/>
      <c r="L1637" s="153"/>
      <c r="M1637" s="153"/>
      <c r="N1637" s="153"/>
      <c r="O1637" s="137"/>
      <c r="P1637" s="70"/>
    </row>
    <row r="1638" spans="1:16" s="58" customFormat="1" ht="21" customHeight="1">
      <c r="A1638" s="142">
        <v>1</v>
      </c>
      <c r="B1638" s="143" t="s">
        <v>914</v>
      </c>
      <c r="C1638" s="142" t="s">
        <v>259</v>
      </c>
      <c r="D1638" s="154">
        <v>37000</v>
      </c>
      <c r="E1638" s="142"/>
      <c r="F1638" s="142"/>
      <c r="G1638" s="145"/>
      <c r="H1638" s="145"/>
      <c r="I1638" s="145"/>
      <c r="J1638" s="145"/>
      <c r="K1638" s="142" t="str">
        <f t="shared" ref="K1638:L1643" si="388">C1638</f>
        <v>đ/bộ</v>
      </c>
      <c r="L1638" s="146">
        <f t="shared" si="388"/>
        <v>37000</v>
      </c>
      <c r="M1638" s="147"/>
      <c r="N1638" s="147"/>
      <c r="O1638" s="136">
        <f t="shared" ref="O1638:O1643" si="389">D1638</f>
        <v>37000</v>
      </c>
      <c r="P1638" s="71">
        <f t="shared" ref="P1638:P1643" si="390">L1638</f>
        <v>37000</v>
      </c>
    </row>
    <row r="1639" spans="1:16" s="58" customFormat="1" ht="21" customHeight="1">
      <c r="A1639" s="142">
        <v>2</v>
      </c>
      <c r="B1639" s="143" t="s">
        <v>915</v>
      </c>
      <c r="C1639" s="142" t="s">
        <v>259</v>
      </c>
      <c r="D1639" s="154">
        <v>36000</v>
      </c>
      <c r="E1639" s="142"/>
      <c r="F1639" s="142"/>
      <c r="G1639" s="145"/>
      <c r="H1639" s="145"/>
      <c r="I1639" s="145"/>
      <c r="J1639" s="145"/>
      <c r="K1639" s="142" t="str">
        <f t="shared" si="388"/>
        <v>đ/bộ</v>
      </c>
      <c r="L1639" s="146">
        <f t="shared" si="388"/>
        <v>36000</v>
      </c>
      <c r="M1639" s="147"/>
      <c r="N1639" s="147"/>
      <c r="O1639" s="136">
        <f t="shared" si="389"/>
        <v>36000</v>
      </c>
      <c r="P1639" s="71">
        <f t="shared" si="390"/>
        <v>36000</v>
      </c>
    </row>
    <row r="1640" spans="1:16" s="58" customFormat="1" ht="21" customHeight="1">
      <c r="A1640" s="142">
        <v>3</v>
      </c>
      <c r="B1640" s="143" t="s">
        <v>916</v>
      </c>
      <c r="C1640" s="142" t="s">
        <v>259</v>
      </c>
      <c r="D1640" s="154">
        <v>33000</v>
      </c>
      <c r="E1640" s="142"/>
      <c r="F1640" s="142"/>
      <c r="G1640" s="145"/>
      <c r="H1640" s="145"/>
      <c r="I1640" s="145"/>
      <c r="J1640" s="145"/>
      <c r="K1640" s="142" t="str">
        <f t="shared" si="388"/>
        <v>đ/bộ</v>
      </c>
      <c r="L1640" s="146">
        <f t="shared" si="388"/>
        <v>33000</v>
      </c>
      <c r="M1640" s="147"/>
      <c r="N1640" s="147"/>
      <c r="O1640" s="136">
        <f t="shared" si="389"/>
        <v>33000</v>
      </c>
      <c r="P1640" s="71">
        <f t="shared" si="390"/>
        <v>33000</v>
      </c>
    </row>
    <row r="1641" spans="1:16" s="58" customFormat="1" ht="21" customHeight="1">
      <c r="A1641" s="142">
        <v>4</v>
      </c>
      <c r="B1641" s="143" t="s">
        <v>917</v>
      </c>
      <c r="C1641" s="142" t="s">
        <v>259</v>
      </c>
      <c r="D1641" s="154">
        <v>12000</v>
      </c>
      <c r="E1641" s="142"/>
      <c r="F1641" s="142"/>
      <c r="G1641" s="145"/>
      <c r="H1641" s="145"/>
      <c r="I1641" s="145"/>
      <c r="J1641" s="145"/>
      <c r="K1641" s="142" t="str">
        <f t="shared" si="388"/>
        <v>đ/bộ</v>
      </c>
      <c r="L1641" s="146">
        <f t="shared" si="388"/>
        <v>12000</v>
      </c>
      <c r="M1641" s="147"/>
      <c r="N1641" s="147"/>
      <c r="O1641" s="136">
        <f t="shared" si="389"/>
        <v>12000</v>
      </c>
      <c r="P1641" s="71">
        <f t="shared" si="390"/>
        <v>12000</v>
      </c>
    </row>
    <row r="1642" spans="1:16" s="58" customFormat="1" ht="21" customHeight="1">
      <c r="A1642" s="142">
        <v>5</v>
      </c>
      <c r="B1642" s="143" t="s">
        <v>918</v>
      </c>
      <c r="C1642" s="142" t="s">
        <v>259</v>
      </c>
      <c r="D1642" s="154">
        <v>12000</v>
      </c>
      <c r="E1642" s="142"/>
      <c r="F1642" s="142"/>
      <c r="G1642" s="145"/>
      <c r="H1642" s="145"/>
      <c r="I1642" s="145"/>
      <c r="J1642" s="145"/>
      <c r="K1642" s="142" t="str">
        <f t="shared" si="388"/>
        <v>đ/bộ</v>
      </c>
      <c r="L1642" s="146">
        <f t="shared" si="388"/>
        <v>12000</v>
      </c>
      <c r="M1642" s="147"/>
      <c r="N1642" s="147"/>
      <c r="O1642" s="136">
        <f t="shared" si="389"/>
        <v>12000</v>
      </c>
      <c r="P1642" s="71">
        <f t="shared" si="390"/>
        <v>12000</v>
      </c>
    </row>
    <row r="1643" spans="1:16" s="58" customFormat="1" ht="21" customHeight="1">
      <c r="A1643" s="142">
        <v>6</v>
      </c>
      <c r="B1643" s="143" t="s">
        <v>919</v>
      </c>
      <c r="C1643" s="142" t="s">
        <v>259</v>
      </c>
      <c r="D1643" s="154">
        <v>14000</v>
      </c>
      <c r="E1643" s="142"/>
      <c r="F1643" s="142"/>
      <c r="G1643" s="145"/>
      <c r="H1643" s="145"/>
      <c r="I1643" s="145"/>
      <c r="J1643" s="145"/>
      <c r="K1643" s="142" t="str">
        <f t="shared" si="388"/>
        <v>đ/bộ</v>
      </c>
      <c r="L1643" s="146">
        <f t="shared" si="388"/>
        <v>14000</v>
      </c>
      <c r="M1643" s="147"/>
      <c r="N1643" s="147"/>
      <c r="O1643" s="136">
        <f t="shared" si="389"/>
        <v>14000</v>
      </c>
      <c r="P1643" s="71">
        <f t="shared" si="390"/>
        <v>14000</v>
      </c>
    </row>
    <row r="1644" spans="1:16" s="66" customFormat="1" ht="21" customHeight="1">
      <c r="A1644" s="148"/>
      <c r="B1644" s="149" t="s">
        <v>920</v>
      </c>
      <c r="C1644" s="148"/>
      <c r="D1644" s="155"/>
      <c r="E1644" s="148"/>
      <c r="F1644" s="148"/>
      <c r="G1644" s="151"/>
      <c r="H1644" s="151"/>
      <c r="I1644" s="151"/>
      <c r="J1644" s="151"/>
      <c r="K1644" s="152"/>
      <c r="L1644" s="153"/>
      <c r="M1644" s="153"/>
      <c r="N1644" s="153"/>
      <c r="O1644" s="137"/>
      <c r="P1644" s="70"/>
    </row>
    <row r="1645" spans="1:16" s="58" customFormat="1" ht="21" customHeight="1">
      <c r="A1645" s="142">
        <v>1</v>
      </c>
      <c r="B1645" s="143" t="s">
        <v>921</v>
      </c>
      <c r="C1645" s="142" t="s">
        <v>922</v>
      </c>
      <c r="D1645" s="154">
        <v>81000</v>
      </c>
      <c r="E1645" s="142"/>
      <c r="F1645" s="142"/>
      <c r="G1645" s="145"/>
      <c r="H1645" s="145"/>
      <c r="I1645" s="145"/>
      <c r="J1645" s="145"/>
      <c r="K1645" s="142" t="str">
        <f t="shared" ref="K1645:L1647" si="391">C1645</f>
        <v xml:space="preserve">đ/cái </v>
      </c>
      <c r="L1645" s="146">
        <f t="shared" si="391"/>
        <v>81000</v>
      </c>
      <c r="M1645" s="147"/>
      <c r="N1645" s="147"/>
      <c r="O1645" s="136">
        <f>D1645</f>
        <v>81000</v>
      </c>
      <c r="P1645" s="71">
        <f>L1645</f>
        <v>81000</v>
      </c>
    </row>
    <row r="1646" spans="1:16" s="58" customFormat="1" ht="21" customHeight="1">
      <c r="A1646" s="142">
        <v>2</v>
      </c>
      <c r="B1646" s="143" t="s">
        <v>923</v>
      </c>
      <c r="C1646" s="142" t="s">
        <v>922</v>
      </c>
      <c r="D1646" s="154">
        <v>100000</v>
      </c>
      <c r="E1646" s="142"/>
      <c r="F1646" s="142"/>
      <c r="G1646" s="145"/>
      <c r="H1646" s="145"/>
      <c r="I1646" s="145"/>
      <c r="J1646" s="145"/>
      <c r="K1646" s="142" t="str">
        <f t="shared" si="391"/>
        <v xml:space="preserve">đ/cái </v>
      </c>
      <c r="L1646" s="146">
        <f t="shared" si="391"/>
        <v>100000</v>
      </c>
      <c r="M1646" s="147"/>
      <c r="N1646" s="147"/>
      <c r="O1646" s="136">
        <f>D1646</f>
        <v>100000</v>
      </c>
      <c r="P1646" s="71">
        <f>L1646</f>
        <v>100000</v>
      </c>
    </row>
    <row r="1647" spans="1:16" s="58" customFormat="1" ht="21" customHeight="1">
      <c r="A1647" s="142">
        <v>3</v>
      </c>
      <c r="B1647" s="143" t="s">
        <v>924</v>
      </c>
      <c r="C1647" s="142" t="s">
        <v>922</v>
      </c>
      <c r="D1647" s="154">
        <v>83000</v>
      </c>
      <c r="E1647" s="142"/>
      <c r="F1647" s="142"/>
      <c r="G1647" s="145"/>
      <c r="H1647" s="145"/>
      <c r="I1647" s="145"/>
      <c r="J1647" s="145"/>
      <c r="K1647" s="142" t="str">
        <f t="shared" si="391"/>
        <v xml:space="preserve">đ/cái </v>
      </c>
      <c r="L1647" s="146">
        <f t="shared" si="391"/>
        <v>83000</v>
      </c>
      <c r="M1647" s="147"/>
      <c r="N1647" s="147"/>
      <c r="O1647" s="136">
        <f>D1647</f>
        <v>83000</v>
      </c>
      <c r="P1647" s="71">
        <f>L1647</f>
        <v>83000</v>
      </c>
    </row>
    <row r="1648" spans="1:16" s="66" customFormat="1" ht="21" customHeight="1">
      <c r="A1648" s="148"/>
      <c r="B1648" s="156" t="s">
        <v>1209</v>
      </c>
      <c r="C1648" s="148"/>
      <c r="D1648" s="155"/>
      <c r="E1648" s="148"/>
      <c r="F1648" s="148"/>
      <c r="G1648" s="151"/>
      <c r="H1648" s="151"/>
      <c r="I1648" s="151"/>
      <c r="J1648" s="151"/>
      <c r="K1648" s="152"/>
      <c r="L1648" s="153"/>
      <c r="M1648" s="153"/>
      <c r="N1648" s="153"/>
      <c r="O1648" s="137"/>
      <c r="P1648" s="70"/>
    </row>
    <row r="1649" spans="1:16" s="58" customFormat="1" ht="21" customHeight="1">
      <c r="A1649" s="142">
        <v>1</v>
      </c>
      <c r="B1649" s="143" t="s">
        <v>925</v>
      </c>
      <c r="C1649" s="142" t="s">
        <v>922</v>
      </c>
      <c r="D1649" s="154">
        <v>1250000</v>
      </c>
      <c r="E1649" s="142"/>
      <c r="F1649" s="142"/>
      <c r="G1649" s="145"/>
      <c r="H1649" s="145"/>
      <c r="I1649" s="145"/>
      <c r="J1649" s="145"/>
      <c r="K1649" s="142" t="str">
        <f t="shared" ref="K1649:L1651" si="392">C1649</f>
        <v xml:space="preserve">đ/cái </v>
      </c>
      <c r="L1649" s="146">
        <f t="shared" si="392"/>
        <v>1250000</v>
      </c>
      <c r="M1649" s="147"/>
      <c r="N1649" s="147"/>
      <c r="O1649" s="136">
        <f>D1649</f>
        <v>1250000</v>
      </c>
      <c r="P1649" s="71">
        <f>L1649</f>
        <v>1250000</v>
      </c>
    </row>
    <row r="1650" spans="1:16" s="58" customFormat="1" ht="21" customHeight="1">
      <c r="A1650" s="142">
        <v>2</v>
      </c>
      <c r="B1650" s="143" t="s">
        <v>926</v>
      </c>
      <c r="C1650" s="142" t="s">
        <v>922</v>
      </c>
      <c r="D1650" s="154">
        <v>1580000</v>
      </c>
      <c r="E1650" s="142"/>
      <c r="F1650" s="142"/>
      <c r="G1650" s="145"/>
      <c r="H1650" s="145"/>
      <c r="I1650" s="145"/>
      <c r="J1650" s="145"/>
      <c r="K1650" s="142" t="str">
        <f t="shared" si="392"/>
        <v xml:space="preserve">đ/cái </v>
      </c>
      <c r="L1650" s="146">
        <f t="shared" si="392"/>
        <v>1580000</v>
      </c>
      <c r="M1650" s="147"/>
      <c r="N1650" s="147"/>
      <c r="O1650" s="136">
        <f>D1650</f>
        <v>1580000</v>
      </c>
      <c r="P1650" s="71">
        <f>L1650</f>
        <v>1580000</v>
      </c>
    </row>
    <row r="1651" spans="1:16" s="58" customFormat="1" ht="21" customHeight="1">
      <c r="A1651" s="142">
        <v>3</v>
      </c>
      <c r="B1651" s="143" t="s">
        <v>927</v>
      </c>
      <c r="C1651" s="142" t="s">
        <v>922</v>
      </c>
      <c r="D1651" s="154">
        <v>1080000</v>
      </c>
      <c r="E1651" s="142"/>
      <c r="F1651" s="142"/>
      <c r="G1651" s="145"/>
      <c r="H1651" s="145"/>
      <c r="I1651" s="145"/>
      <c r="J1651" s="145"/>
      <c r="K1651" s="142" t="str">
        <f t="shared" si="392"/>
        <v xml:space="preserve">đ/cái </v>
      </c>
      <c r="L1651" s="146">
        <f t="shared" si="392"/>
        <v>1080000</v>
      </c>
      <c r="M1651" s="147"/>
      <c r="N1651" s="147"/>
      <c r="O1651" s="136">
        <f>D1651</f>
        <v>1080000</v>
      </c>
      <c r="P1651" s="71">
        <f>L1651</f>
        <v>1080000</v>
      </c>
    </row>
    <row r="1652" spans="1:16" s="58" customFormat="1" ht="33.75" customHeight="1">
      <c r="A1652" s="142"/>
      <c r="B1652" s="291" t="s">
        <v>2075</v>
      </c>
      <c r="C1652" s="292"/>
      <c r="D1652" s="292"/>
      <c r="E1652" s="292"/>
      <c r="F1652" s="292"/>
      <c r="G1652" s="292"/>
      <c r="H1652" s="292"/>
      <c r="I1652" s="292"/>
      <c r="J1652" s="292"/>
      <c r="K1652" s="292"/>
      <c r="L1652" s="292"/>
      <c r="M1652" s="292"/>
      <c r="N1652" s="293"/>
      <c r="O1652" s="136">
        <f>D1652</f>
        <v>0</v>
      </c>
      <c r="P1652" s="71">
        <f>L1652</f>
        <v>0</v>
      </c>
    </row>
    <row r="1653" spans="1:16" s="58" customFormat="1" ht="33">
      <c r="A1653" s="142"/>
      <c r="B1653" s="236" t="s">
        <v>1943</v>
      </c>
      <c r="C1653" s="142"/>
      <c r="D1653" s="154"/>
      <c r="E1653" s="142"/>
      <c r="F1653" s="142"/>
      <c r="G1653" s="145"/>
      <c r="H1653" s="145"/>
      <c r="I1653" s="146"/>
      <c r="J1653" s="145"/>
      <c r="K1653" s="142"/>
      <c r="L1653" s="146"/>
      <c r="M1653" s="147"/>
      <c r="N1653" s="147"/>
      <c r="O1653" s="136">
        <f t="shared" ref="O1653:O1716" si="393">E1653</f>
        <v>0</v>
      </c>
      <c r="P1653" s="71">
        <f t="shared" ref="P1653:P1716" si="394">M1653</f>
        <v>0</v>
      </c>
    </row>
    <row r="1654" spans="1:16" s="58" customFormat="1" ht="21" customHeight="1">
      <c r="A1654" s="142">
        <v>1</v>
      </c>
      <c r="B1654" s="143" t="s">
        <v>1944</v>
      </c>
      <c r="C1654" s="142" t="s">
        <v>1945</v>
      </c>
      <c r="D1654" s="154"/>
      <c r="E1654" s="142"/>
      <c r="F1654" s="142"/>
      <c r="G1654" s="145"/>
      <c r="H1654" s="145"/>
      <c r="I1654" s="146">
        <v>8988000</v>
      </c>
      <c r="J1654" s="146">
        <f>I1654</f>
        <v>8988000</v>
      </c>
      <c r="K1654" s="142" t="s">
        <v>1945</v>
      </c>
      <c r="L1654" s="146"/>
      <c r="M1654" s="147">
        <f>I1654</f>
        <v>8988000</v>
      </c>
      <c r="N1654" s="147">
        <f>J1654</f>
        <v>8988000</v>
      </c>
      <c r="O1654" s="136">
        <f t="shared" si="393"/>
        <v>0</v>
      </c>
      <c r="P1654" s="71">
        <f t="shared" si="394"/>
        <v>8988000</v>
      </c>
    </row>
    <row r="1655" spans="1:16" s="58" customFormat="1" ht="21" customHeight="1">
      <c r="A1655" s="142">
        <f>A1654+1</f>
        <v>2</v>
      </c>
      <c r="B1655" s="143" t="s">
        <v>1946</v>
      </c>
      <c r="C1655" s="142" t="s">
        <v>1945</v>
      </c>
      <c r="D1655" s="154"/>
      <c r="E1655" s="142"/>
      <c r="F1655" s="142"/>
      <c r="G1655" s="145"/>
      <c r="H1655" s="145"/>
      <c r="I1655" s="146">
        <v>9976000</v>
      </c>
      <c r="J1655" s="146">
        <f t="shared" ref="J1655:J1718" si="395">I1655</f>
        <v>9976000</v>
      </c>
      <c r="K1655" s="142" t="s">
        <v>1945</v>
      </c>
      <c r="L1655" s="146"/>
      <c r="M1655" s="147">
        <f t="shared" ref="M1655:M1718" si="396">I1655</f>
        <v>9976000</v>
      </c>
      <c r="N1655" s="147">
        <f t="shared" ref="N1655:N1718" si="397">J1655</f>
        <v>9976000</v>
      </c>
      <c r="O1655" s="136">
        <f t="shared" si="393"/>
        <v>0</v>
      </c>
      <c r="P1655" s="71">
        <f t="shared" si="394"/>
        <v>9976000</v>
      </c>
    </row>
    <row r="1656" spans="1:16" s="58" customFormat="1" ht="21" customHeight="1">
      <c r="A1656" s="142">
        <f t="shared" ref="A1656:A1674" si="398">A1655+1</f>
        <v>3</v>
      </c>
      <c r="B1656" s="143" t="s">
        <v>1947</v>
      </c>
      <c r="C1656" s="142" t="s">
        <v>1945</v>
      </c>
      <c r="D1656" s="154"/>
      <c r="E1656" s="142"/>
      <c r="F1656" s="142"/>
      <c r="G1656" s="145"/>
      <c r="H1656" s="145"/>
      <c r="I1656" s="146">
        <v>11050000</v>
      </c>
      <c r="J1656" s="146">
        <f t="shared" si="395"/>
        <v>11050000</v>
      </c>
      <c r="K1656" s="142" t="s">
        <v>1945</v>
      </c>
      <c r="L1656" s="146"/>
      <c r="M1656" s="147">
        <f t="shared" si="396"/>
        <v>11050000</v>
      </c>
      <c r="N1656" s="147">
        <f t="shared" si="397"/>
        <v>11050000</v>
      </c>
      <c r="O1656" s="136">
        <f t="shared" si="393"/>
        <v>0</v>
      </c>
      <c r="P1656" s="71">
        <f t="shared" si="394"/>
        <v>11050000</v>
      </c>
    </row>
    <row r="1657" spans="1:16" s="58" customFormat="1" ht="21" customHeight="1">
      <c r="A1657" s="142">
        <f t="shared" si="398"/>
        <v>4</v>
      </c>
      <c r="B1657" s="143" t="s">
        <v>1948</v>
      </c>
      <c r="C1657" s="142" t="s">
        <v>1945</v>
      </c>
      <c r="D1657" s="154"/>
      <c r="E1657" s="142"/>
      <c r="F1657" s="142"/>
      <c r="G1657" s="145"/>
      <c r="H1657" s="145"/>
      <c r="I1657" s="146">
        <v>12886000</v>
      </c>
      <c r="J1657" s="146">
        <f t="shared" si="395"/>
        <v>12886000</v>
      </c>
      <c r="K1657" s="142" t="s">
        <v>1945</v>
      </c>
      <c r="L1657" s="146"/>
      <c r="M1657" s="147">
        <f t="shared" si="396"/>
        <v>12886000</v>
      </c>
      <c r="N1657" s="147">
        <f t="shared" si="397"/>
        <v>12886000</v>
      </c>
      <c r="O1657" s="136">
        <f t="shared" si="393"/>
        <v>0</v>
      </c>
      <c r="P1657" s="71">
        <f t="shared" si="394"/>
        <v>12886000</v>
      </c>
    </row>
    <row r="1658" spans="1:16" s="58" customFormat="1" ht="21" customHeight="1">
      <c r="A1658" s="142">
        <f t="shared" si="398"/>
        <v>5</v>
      </c>
      <c r="B1658" s="143" t="s">
        <v>1949</v>
      </c>
      <c r="C1658" s="142" t="s">
        <v>1945</v>
      </c>
      <c r="D1658" s="154"/>
      <c r="E1658" s="142"/>
      <c r="F1658" s="142"/>
      <c r="G1658" s="145"/>
      <c r="H1658" s="145"/>
      <c r="I1658" s="146">
        <v>7800000</v>
      </c>
      <c r="J1658" s="146">
        <f t="shared" si="395"/>
        <v>7800000</v>
      </c>
      <c r="K1658" s="142" t="s">
        <v>1945</v>
      </c>
      <c r="L1658" s="146"/>
      <c r="M1658" s="147">
        <f t="shared" si="396"/>
        <v>7800000</v>
      </c>
      <c r="N1658" s="147">
        <f t="shared" si="397"/>
        <v>7800000</v>
      </c>
      <c r="O1658" s="136">
        <f t="shared" si="393"/>
        <v>0</v>
      </c>
      <c r="P1658" s="71">
        <f t="shared" si="394"/>
        <v>7800000</v>
      </c>
    </row>
    <row r="1659" spans="1:16" s="58" customFormat="1" ht="21" customHeight="1">
      <c r="A1659" s="142">
        <f t="shared" si="398"/>
        <v>6</v>
      </c>
      <c r="B1659" s="143" t="s">
        <v>1950</v>
      </c>
      <c r="C1659" s="142" t="s">
        <v>1945</v>
      </c>
      <c r="D1659" s="154"/>
      <c r="E1659" s="142"/>
      <c r="F1659" s="142"/>
      <c r="G1659" s="145"/>
      <c r="H1659" s="145"/>
      <c r="I1659" s="146">
        <v>9980000</v>
      </c>
      <c r="J1659" s="146">
        <f t="shared" si="395"/>
        <v>9980000</v>
      </c>
      <c r="K1659" s="142" t="s">
        <v>1945</v>
      </c>
      <c r="L1659" s="146"/>
      <c r="M1659" s="147">
        <f t="shared" si="396"/>
        <v>9980000</v>
      </c>
      <c r="N1659" s="147">
        <f t="shared" si="397"/>
        <v>9980000</v>
      </c>
      <c r="O1659" s="136">
        <f t="shared" si="393"/>
        <v>0</v>
      </c>
      <c r="P1659" s="71">
        <f t="shared" si="394"/>
        <v>9980000</v>
      </c>
    </row>
    <row r="1660" spans="1:16" s="58" customFormat="1" ht="21" customHeight="1">
      <c r="A1660" s="142">
        <f t="shared" si="398"/>
        <v>7</v>
      </c>
      <c r="B1660" s="143" t="s">
        <v>1951</v>
      </c>
      <c r="C1660" s="142" t="s">
        <v>1945</v>
      </c>
      <c r="D1660" s="154"/>
      <c r="E1660" s="142"/>
      <c r="F1660" s="142"/>
      <c r="G1660" s="145"/>
      <c r="H1660" s="145"/>
      <c r="I1660" s="146">
        <v>12950000</v>
      </c>
      <c r="J1660" s="146">
        <f t="shared" si="395"/>
        <v>12950000</v>
      </c>
      <c r="K1660" s="142" t="s">
        <v>1945</v>
      </c>
      <c r="L1660" s="146"/>
      <c r="M1660" s="147">
        <f t="shared" si="396"/>
        <v>12950000</v>
      </c>
      <c r="N1660" s="147">
        <f t="shared" si="397"/>
        <v>12950000</v>
      </c>
      <c r="O1660" s="136">
        <f t="shared" si="393"/>
        <v>0</v>
      </c>
      <c r="P1660" s="71">
        <f t="shared" si="394"/>
        <v>12950000</v>
      </c>
    </row>
    <row r="1661" spans="1:16" s="58" customFormat="1" ht="21" customHeight="1">
      <c r="A1661" s="142">
        <f t="shared" si="398"/>
        <v>8</v>
      </c>
      <c r="B1661" s="143" t="s">
        <v>1952</v>
      </c>
      <c r="C1661" s="142" t="s">
        <v>1945</v>
      </c>
      <c r="D1661" s="154"/>
      <c r="E1661" s="142"/>
      <c r="F1661" s="142"/>
      <c r="G1661" s="145"/>
      <c r="H1661" s="145"/>
      <c r="I1661" s="146">
        <v>5450000</v>
      </c>
      <c r="J1661" s="146">
        <f t="shared" si="395"/>
        <v>5450000</v>
      </c>
      <c r="K1661" s="142" t="s">
        <v>1945</v>
      </c>
      <c r="L1661" s="146"/>
      <c r="M1661" s="147">
        <f t="shared" si="396"/>
        <v>5450000</v>
      </c>
      <c r="N1661" s="147">
        <f t="shared" si="397"/>
        <v>5450000</v>
      </c>
      <c r="O1661" s="136">
        <f t="shared" si="393"/>
        <v>0</v>
      </c>
      <c r="P1661" s="71">
        <f t="shared" si="394"/>
        <v>5450000</v>
      </c>
    </row>
    <row r="1662" spans="1:16" s="58" customFormat="1" ht="21" customHeight="1">
      <c r="A1662" s="142">
        <f t="shared" si="398"/>
        <v>9</v>
      </c>
      <c r="B1662" s="143" t="s">
        <v>1953</v>
      </c>
      <c r="C1662" s="142" t="s">
        <v>1945</v>
      </c>
      <c r="D1662" s="154"/>
      <c r="E1662" s="142"/>
      <c r="F1662" s="142"/>
      <c r="G1662" s="145"/>
      <c r="H1662" s="145"/>
      <c r="I1662" s="146">
        <v>6470000</v>
      </c>
      <c r="J1662" s="146">
        <f t="shared" si="395"/>
        <v>6470000</v>
      </c>
      <c r="K1662" s="142" t="s">
        <v>1945</v>
      </c>
      <c r="L1662" s="146"/>
      <c r="M1662" s="147">
        <f t="shared" si="396"/>
        <v>6470000</v>
      </c>
      <c r="N1662" s="147">
        <f t="shared" si="397"/>
        <v>6470000</v>
      </c>
      <c r="O1662" s="136">
        <f t="shared" si="393"/>
        <v>0</v>
      </c>
      <c r="P1662" s="71">
        <f t="shared" si="394"/>
        <v>6470000</v>
      </c>
    </row>
    <row r="1663" spans="1:16" s="58" customFormat="1" ht="21" customHeight="1">
      <c r="A1663" s="142">
        <f t="shared" si="398"/>
        <v>10</v>
      </c>
      <c r="B1663" s="143" t="s">
        <v>1954</v>
      </c>
      <c r="C1663" s="142" t="s">
        <v>1945</v>
      </c>
      <c r="D1663" s="154"/>
      <c r="E1663" s="142"/>
      <c r="F1663" s="142"/>
      <c r="G1663" s="145"/>
      <c r="H1663" s="145"/>
      <c r="I1663" s="146">
        <v>7120000</v>
      </c>
      <c r="J1663" s="146">
        <f t="shared" si="395"/>
        <v>7120000</v>
      </c>
      <c r="K1663" s="142" t="s">
        <v>1945</v>
      </c>
      <c r="L1663" s="146"/>
      <c r="M1663" s="147">
        <f t="shared" si="396"/>
        <v>7120000</v>
      </c>
      <c r="N1663" s="147">
        <f t="shared" si="397"/>
        <v>7120000</v>
      </c>
      <c r="O1663" s="136">
        <f t="shared" si="393"/>
        <v>0</v>
      </c>
      <c r="P1663" s="71">
        <f t="shared" si="394"/>
        <v>7120000</v>
      </c>
    </row>
    <row r="1664" spans="1:16" s="58" customFormat="1" ht="21" customHeight="1">
      <c r="A1664" s="142">
        <f t="shared" si="398"/>
        <v>11</v>
      </c>
      <c r="B1664" s="143" t="s">
        <v>1955</v>
      </c>
      <c r="C1664" s="142" t="s">
        <v>1945</v>
      </c>
      <c r="D1664" s="154"/>
      <c r="E1664" s="142"/>
      <c r="F1664" s="142"/>
      <c r="G1664" s="145"/>
      <c r="H1664" s="145"/>
      <c r="I1664" s="146">
        <v>8760000</v>
      </c>
      <c r="J1664" s="146">
        <f t="shared" si="395"/>
        <v>8760000</v>
      </c>
      <c r="K1664" s="142" t="s">
        <v>1945</v>
      </c>
      <c r="L1664" s="146"/>
      <c r="M1664" s="147">
        <f t="shared" si="396"/>
        <v>8760000</v>
      </c>
      <c r="N1664" s="147">
        <f t="shared" si="397"/>
        <v>8760000</v>
      </c>
      <c r="O1664" s="136">
        <f t="shared" si="393"/>
        <v>0</v>
      </c>
      <c r="P1664" s="71">
        <f t="shared" si="394"/>
        <v>8760000</v>
      </c>
    </row>
    <row r="1665" spans="1:16" s="58" customFormat="1" ht="21" customHeight="1">
      <c r="A1665" s="142">
        <f t="shared" si="398"/>
        <v>12</v>
      </c>
      <c r="B1665" s="143" t="s">
        <v>1956</v>
      </c>
      <c r="C1665" s="142" t="s">
        <v>1945</v>
      </c>
      <c r="D1665" s="154"/>
      <c r="E1665" s="142"/>
      <c r="F1665" s="142"/>
      <c r="G1665" s="145"/>
      <c r="H1665" s="145"/>
      <c r="I1665" s="146">
        <v>9760000</v>
      </c>
      <c r="J1665" s="146">
        <f t="shared" si="395"/>
        <v>9760000</v>
      </c>
      <c r="K1665" s="142" t="s">
        <v>1945</v>
      </c>
      <c r="L1665" s="146"/>
      <c r="M1665" s="147">
        <f t="shared" si="396"/>
        <v>9760000</v>
      </c>
      <c r="N1665" s="147">
        <f t="shared" si="397"/>
        <v>9760000</v>
      </c>
      <c r="O1665" s="136">
        <f t="shared" si="393"/>
        <v>0</v>
      </c>
      <c r="P1665" s="71">
        <f t="shared" si="394"/>
        <v>9760000</v>
      </c>
    </row>
    <row r="1666" spans="1:16" s="58" customFormat="1" ht="21" customHeight="1">
      <c r="A1666" s="142">
        <f t="shared" si="398"/>
        <v>13</v>
      </c>
      <c r="B1666" s="143" t="s">
        <v>1957</v>
      </c>
      <c r="C1666" s="142" t="s">
        <v>1945</v>
      </c>
      <c r="D1666" s="154"/>
      <c r="E1666" s="142"/>
      <c r="F1666" s="142"/>
      <c r="G1666" s="145"/>
      <c r="H1666" s="145"/>
      <c r="I1666" s="146">
        <v>7456000</v>
      </c>
      <c r="J1666" s="146">
        <f t="shared" si="395"/>
        <v>7456000</v>
      </c>
      <c r="K1666" s="142" t="s">
        <v>1945</v>
      </c>
      <c r="L1666" s="146"/>
      <c r="M1666" s="147">
        <f t="shared" si="396"/>
        <v>7456000</v>
      </c>
      <c r="N1666" s="147">
        <f t="shared" si="397"/>
        <v>7456000</v>
      </c>
      <c r="O1666" s="136">
        <f t="shared" si="393"/>
        <v>0</v>
      </c>
      <c r="P1666" s="71">
        <f t="shared" si="394"/>
        <v>7456000</v>
      </c>
    </row>
    <row r="1667" spans="1:16" s="58" customFormat="1" ht="21" customHeight="1">
      <c r="A1667" s="142">
        <f t="shared" si="398"/>
        <v>14</v>
      </c>
      <c r="B1667" s="143" t="s">
        <v>1958</v>
      </c>
      <c r="C1667" s="142" t="s">
        <v>1945</v>
      </c>
      <c r="D1667" s="154"/>
      <c r="E1667" s="142"/>
      <c r="F1667" s="142"/>
      <c r="G1667" s="145"/>
      <c r="H1667" s="145"/>
      <c r="I1667" s="146">
        <v>9480000</v>
      </c>
      <c r="J1667" s="146">
        <f t="shared" si="395"/>
        <v>9480000</v>
      </c>
      <c r="K1667" s="142" t="s">
        <v>1945</v>
      </c>
      <c r="L1667" s="146"/>
      <c r="M1667" s="147">
        <f t="shared" si="396"/>
        <v>9480000</v>
      </c>
      <c r="N1667" s="147">
        <f t="shared" si="397"/>
        <v>9480000</v>
      </c>
      <c r="O1667" s="136">
        <f t="shared" si="393"/>
        <v>0</v>
      </c>
      <c r="P1667" s="71">
        <f t="shared" si="394"/>
        <v>9480000</v>
      </c>
    </row>
    <row r="1668" spans="1:16" s="58" customFormat="1" ht="21" customHeight="1">
      <c r="A1668" s="142">
        <f t="shared" si="398"/>
        <v>15</v>
      </c>
      <c r="B1668" s="143" t="s">
        <v>1959</v>
      </c>
      <c r="C1668" s="142" t="s">
        <v>1945</v>
      </c>
      <c r="D1668" s="154"/>
      <c r="E1668" s="142"/>
      <c r="F1668" s="142"/>
      <c r="G1668" s="145"/>
      <c r="H1668" s="145"/>
      <c r="I1668" s="146">
        <v>12160000</v>
      </c>
      <c r="J1668" s="146">
        <f t="shared" si="395"/>
        <v>12160000</v>
      </c>
      <c r="K1668" s="142" t="s">
        <v>1945</v>
      </c>
      <c r="L1668" s="146"/>
      <c r="M1668" s="147">
        <f t="shared" si="396"/>
        <v>12160000</v>
      </c>
      <c r="N1668" s="147">
        <f t="shared" si="397"/>
        <v>12160000</v>
      </c>
      <c r="O1668" s="136">
        <f t="shared" si="393"/>
        <v>0</v>
      </c>
      <c r="P1668" s="71">
        <f t="shared" si="394"/>
        <v>12160000</v>
      </c>
    </row>
    <row r="1669" spans="1:16" s="58" customFormat="1" ht="21" customHeight="1">
      <c r="A1669" s="142">
        <f t="shared" si="398"/>
        <v>16</v>
      </c>
      <c r="B1669" s="143" t="s">
        <v>1960</v>
      </c>
      <c r="C1669" s="142" t="s">
        <v>1945</v>
      </c>
      <c r="D1669" s="154"/>
      <c r="E1669" s="142"/>
      <c r="F1669" s="142"/>
      <c r="G1669" s="145"/>
      <c r="H1669" s="145"/>
      <c r="I1669" s="146">
        <v>12990000</v>
      </c>
      <c r="J1669" s="146">
        <f t="shared" si="395"/>
        <v>12990000</v>
      </c>
      <c r="K1669" s="142" t="s">
        <v>1945</v>
      </c>
      <c r="L1669" s="146"/>
      <c r="M1669" s="147">
        <f t="shared" si="396"/>
        <v>12990000</v>
      </c>
      <c r="N1669" s="147">
        <f t="shared" si="397"/>
        <v>12990000</v>
      </c>
      <c r="O1669" s="136">
        <f t="shared" si="393"/>
        <v>0</v>
      </c>
      <c r="P1669" s="71">
        <f t="shared" si="394"/>
        <v>12990000</v>
      </c>
    </row>
    <row r="1670" spans="1:16" s="58" customFormat="1" ht="21" customHeight="1">
      <c r="A1670" s="142">
        <f t="shared" si="398"/>
        <v>17</v>
      </c>
      <c r="B1670" s="143" t="s">
        <v>1961</v>
      </c>
      <c r="C1670" s="142" t="s">
        <v>1945</v>
      </c>
      <c r="D1670" s="154"/>
      <c r="E1670" s="142"/>
      <c r="F1670" s="142"/>
      <c r="G1670" s="145"/>
      <c r="H1670" s="145"/>
      <c r="I1670" s="146">
        <v>17896000</v>
      </c>
      <c r="J1670" s="146">
        <f t="shared" si="395"/>
        <v>17896000</v>
      </c>
      <c r="K1670" s="142" t="s">
        <v>1945</v>
      </c>
      <c r="L1670" s="146"/>
      <c r="M1670" s="147">
        <f t="shared" si="396"/>
        <v>17896000</v>
      </c>
      <c r="N1670" s="147">
        <f t="shared" si="397"/>
        <v>17896000</v>
      </c>
      <c r="O1670" s="136">
        <f t="shared" si="393"/>
        <v>0</v>
      </c>
      <c r="P1670" s="71">
        <f t="shared" si="394"/>
        <v>17896000</v>
      </c>
    </row>
    <row r="1671" spans="1:16" s="58" customFormat="1" ht="21" customHeight="1">
      <c r="A1671" s="142">
        <f t="shared" si="398"/>
        <v>18</v>
      </c>
      <c r="B1671" s="143" t="s">
        <v>1962</v>
      </c>
      <c r="C1671" s="142" t="s">
        <v>1945</v>
      </c>
      <c r="D1671" s="154"/>
      <c r="E1671" s="142"/>
      <c r="F1671" s="142"/>
      <c r="G1671" s="145"/>
      <c r="H1671" s="145"/>
      <c r="I1671" s="146">
        <v>18070000</v>
      </c>
      <c r="J1671" s="146">
        <f t="shared" si="395"/>
        <v>18070000</v>
      </c>
      <c r="K1671" s="142" t="s">
        <v>1945</v>
      </c>
      <c r="L1671" s="146"/>
      <c r="M1671" s="147">
        <f t="shared" si="396"/>
        <v>18070000</v>
      </c>
      <c r="N1671" s="147">
        <f t="shared" si="397"/>
        <v>18070000</v>
      </c>
      <c r="O1671" s="136">
        <f t="shared" si="393"/>
        <v>0</v>
      </c>
      <c r="P1671" s="71">
        <f t="shared" si="394"/>
        <v>18070000</v>
      </c>
    </row>
    <row r="1672" spans="1:16" s="58" customFormat="1" ht="21" customHeight="1">
      <c r="A1672" s="142">
        <f t="shared" si="398"/>
        <v>19</v>
      </c>
      <c r="B1672" s="143" t="s">
        <v>1963</v>
      </c>
      <c r="C1672" s="142" t="s">
        <v>1945</v>
      </c>
      <c r="D1672" s="154"/>
      <c r="E1672" s="142"/>
      <c r="F1672" s="142"/>
      <c r="G1672" s="145"/>
      <c r="H1672" s="145"/>
      <c r="I1672" s="146">
        <v>150000</v>
      </c>
      <c r="J1672" s="146">
        <f t="shared" si="395"/>
        <v>150000</v>
      </c>
      <c r="K1672" s="142" t="s">
        <v>1945</v>
      </c>
      <c r="L1672" s="146"/>
      <c r="M1672" s="147">
        <f t="shared" si="396"/>
        <v>150000</v>
      </c>
      <c r="N1672" s="147">
        <f t="shared" si="397"/>
        <v>150000</v>
      </c>
      <c r="O1672" s="136">
        <f t="shared" si="393"/>
        <v>0</v>
      </c>
      <c r="P1672" s="71">
        <f t="shared" si="394"/>
        <v>150000</v>
      </c>
    </row>
    <row r="1673" spans="1:16" s="58" customFormat="1" ht="21" customHeight="1">
      <c r="A1673" s="142">
        <f t="shared" si="398"/>
        <v>20</v>
      </c>
      <c r="B1673" s="143" t="s">
        <v>1964</v>
      </c>
      <c r="C1673" s="142" t="s">
        <v>1945</v>
      </c>
      <c r="D1673" s="154"/>
      <c r="E1673" s="142"/>
      <c r="F1673" s="142"/>
      <c r="G1673" s="145"/>
      <c r="H1673" s="145"/>
      <c r="I1673" s="146">
        <v>215000</v>
      </c>
      <c r="J1673" s="146">
        <f t="shared" si="395"/>
        <v>215000</v>
      </c>
      <c r="K1673" s="142" t="s">
        <v>1945</v>
      </c>
      <c r="L1673" s="146"/>
      <c r="M1673" s="147">
        <f t="shared" si="396"/>
        <v>215000</v>
      </c>
      <c r="N1673" s="147">
        <f t="shared" si="397"/>
        <v>215000</v>
      </c>
      <c r="O1673" s="136">
        <f t="shared" si="393"/>
        <v>0</v>
      </c>
      <c r="P1673" s="71">
        <f t="shared" si="394"/>
        <v>215000</v>
      </c>
    </row>
    <row r="1674" spans="1:16" s="58" customFormat="1" ht="21" customHeight="1">
      <c r="A1674" s="142">
        <f t="shared" si="398"/>
        <v>21</v>
      </c>
      <c r="B1674" s="143" t="s">
        <v>1965</v>
      </c>
      <c r="C1674" s="142" t="s">
        <v>1945</v>
      </c>
      <c r="D1674" s="154"/>
      <c r="E1674" s="142"/>
      <c r="F1674" s="142"/>
      <c r="G1674" s="145"/>
      <c r="H1674" s="145"/>
      <c r="I1674" s="146">
        <v>300000</v>
      </c>
      <c r="J1674" s="146">
        <f t="shared" si="395"/>
        <v>300000</v>
      </c>
      <c r="K1674" s="142" t="s">
        <v>1945</v>
      </c>
      <c r="L1674" s="146"/>
      <c r="M1674" s="147">
        <f t="shared" si="396"/>
        <v>300000</v>
      </c>
      <c r="N1674" s="147">
        <f t="shared" si="397"/>
        <v>300000</v>
      </c>
      <c r="O1674" s="136">
        <f t="shared" si="393"/>
        <v>0</v>
      </c>
      <c r="P1674" s="71">
        <f t="shared" si="394"/>
        <v>300000</v>
      </c>
    </row>
    <row r="1675" spans="1:16" s="58" customFormat="1" ht="21" customHeight="1">
      <c r="A1675" s="142"/>
      <c r="B1675" s="236" t="s">
        <v>1966</v>
      </c>
      <c r="C1675" s="142"/>
      <c r="D1675" s="154"/>
      <c r="E1675" s="142"/>
      <c r="F1675" s="142"/>
      <c r="G1675" s="145"/>
      <c r="H1675" s="145"/>
      <c r="I1675" s="145"/>
      <c r="J1675" s="146">
        <f t="shared" si="395"/>
        <v>0</v>
      </c>
      <c r="K1675" s="142"/>
      <c r="L1675" s="146"/>
      <c r="M1675" s="147"/>
      <c r="N1675" s="147"/>
      <c r="O1675" s="136">
        <f t="shared" si="393"/>
        <v>0</v>
      </c>
      <c r="P1675" s="71">
        <f t="shared" si="394"/>
        <v>0</v>
      </c>
    </row>
    <row r="1676" spans="1:16" s="58" customFormat="1" ht="21" customHeight="1">
      <c r="A1676" s="142">
        <f>A1674+1</f>
        <v>22</v>
      </c>
      <c r="B1676" s="143" t="s">
        <v>1967</v>
      </c>
      <c r="C1676" s="142" t="s">
        <v>1945</v>
      </c>
      <c r="D1676" s="154"/>
      <c r="E1676" s="142"/>
      <c r="F1676" s="142"/>
      <c r="G1676" s="145"/>
      <c r="H1676" s="145"/>
      <c r="I1676" s="146">
        <v>2645400</v>
      </c>
      <c r="J1676" s="146">
        <f t="shared" si="395"/>
        <v>2645400</v>
      </c>
      <c r="K1676" s="142" t="s">
        <v>1945</v>
      </c>
      <c r="L1676" s="146"/>
      <c r="M1676" s="147">
        <f t="shared" si="396"/>
        <v>2645400</v>
      </c>
      <c r="N1676" s="147">
        <f t="shared" si="397"/>
        <v>2645400</v>
      </c>
      <c r="O1676" s="136">
        <f t="shared" si="393"/>
        <v>0</v>
      </c>
      <c r="P1676" s="71">
        <f t="shared" si="394"/>
        <v>2645400</v>
      </c>
    </row>
    <row r="1677" spans="1:16" s="58" customFormat="1" ht="21" customHeight="1">
      <c r="A1677" s="142">
        <f>A1676+1</f>
        <v>23</v>
      </c>
      <c r="B1677" s="143" t="s">
        <v>1968</v>
      </c>
      <c r="C1677" s="142" t="s">
        <v>1945</v>
      </c>
      <c r="D1677" s="154"/>
      <c r="E1677" s="142"/>
      <c r="F1677" s="142"/>
      <c r="G1677" s="145"/>
      <c r="H1677" s="145"/>
      <c r="I1677" s="146">
        <v>2890000</v>
      </c>
      <c r="J1677" s="146">
        <f t="shared" si="395"/>
        <v>2890000</v>
      </c>
      <c r="K1677" s="142" t="s">
        <v>1945</v>
      </c>
      <c r="L1677" s="146"/>
      <c r="M1677" s="147">
        <f t="shared" si="396"/>
        <v>2890000</v>
      </c>
      <c r="N1677" s="147">
        <f t="shared" si="397"/>
        <v>2890000</v>
      </c>
      <c r="O1677" s="136">
        <f t="shared" si="393"/>
        <v>0</v>
      </c>
      <c r="P1677" s="71">
        <f t="shared" si="394"/>
        <v>2890000</v>
      </c>
    </row>
    <row r="1678" spans="1:16" s="58" customFormat="1" ht="21" customHeight="1">
      <c r="A1678" s="142">
        <f t="shared" ref="A1678:A1738" si="399">A1677+1</f>
        <v>24</v>
      </c>
      <c r="B1678" s="143" t="s">
        <v>1969</v>
      </c>
      <c r="C1678" s="142" t="s">
        <v>1945</v>
      </c>
      <c r="D1678" s="154"/>
      <c r="E1678" s="142"/>
      <c r="F1678" s="142"/>
      <c r="G1678" s="145"/>
      <c r="H1678" s="145"/>
      <c r="I1678" s="146">
        <v>3354000</v>
      </c>
      <c r="J1678" s="146">
        <f t="shared" si="395"/>
        <v>3354000</v>
      </c>
      <c r="K1678" s="142" t="s">
        <v>1945</v>
      </c>
      <c r="L1678" s="146"/>
      <c r="M1678" s="147">
        <f t="shared" si="396"/>
        <v>3354000</v>
      </c>
      <c r="N1678" s="147">
        <f t="shared" si="397"/>
        <v>3354000</v>
      </c>
      <c r="O1678" s="136">
        <f t="shared" si="393"/>
        <v>0</v>
      </c>
      <c r="P1678" s="71">
        <f t="shared" si="394"/>
        <v>3354000</v>
      </c>
    </row>
    <row r="1679" spans="1:16" s="58" customFormat="1" ht="21" customHeight="1">
      <c r="A1679" s="142">
        <f t="shared" si="399"/>
        <v>25</v>
      </c>
      <c r="B1679" s="143" t="s">
        <v>1970</v>
      </c>
      <c r="C1679" s="142" t="s">
        <v>1945</v>
      </c>
      <c r="D1679" s="154"/>
      <c r="E1679" s="142"/>
      <c r="F1679" s="142"/>
      <c r="G1679" s="145"/>
      <c r="H1679" s="145"/>
      <c r="I1679" s="146">
        <v>3804000</v>
      </c>
      <c r="J1679" s="146">
        <f t="shared" si="395"/>
        <v>3804000</v>
      </c>
      <c r="K1679" s="142" t="s">
        <v>1945</v>
      </c>
      <c r="L1679" s="146"/>
      <c r="M1679" s="147">
        <f t="shared" si="396"/>
        <v>3804000</v>
      </c>
      <c r="N1679" s="147">
        <f t="shared" si="397"/>
        <v>3804000</v>
      </c>
      <c r="O1679" s="136">
        <f t="shared" si="393"/>
        <v>0</v>
      </c>
      <c r="P1679" s="71">
        <f t="shared" si="394"/>
        <v>3804000</v>
      </c>
    </row>
    <row r="1680" spans="1:16" s="58" customFormat="1" ht="21" customHeight="1">
      <c r="A1680" s="142">
        <f t="shared" si="399"/>
        <v>26</v>
      </c>
      <c r="B1680" s="143" t="s">
        <v>1971</v>
      </c>
      <c r="C1680" s="142" t="s">
        <v>1945</v>
      </c>
      <c r="D1680" s="154"/>
      <c r="E1680" s="142"/>
      <c r="F1680" s="142"/>
      <c r="G1680" s="145"/>
      <c r="H1680" s="145"/>
      <c r="I1680" s="146">
        <v>4139000</v>
      </c>
      <c r="J1680" s="146">
        <f t="shared" si="395"/>
        <v>4139000</v>
      </c>
      <c r="K1680" s="142" t="s">
        <v>1945</v>
      </c>
      <c r="L1680" s="146"/>
      <c r="M1680" s="147">
        <f t="shared" si="396"/>
        <v>4139000</v>
      </c>
      <c r="N1680" s="147">
        <f t="shared" si="397"/>
        <v>4139000</v>
      </c>
      <c r="O1680" s="136">
        <f t="shared" si="393"/>
        <v>0</v>
      </c>
      <c r="P1680" s="71">
        <f t="shared" si="394"/>
        <v>4139000</v>
      </c>
    </row>
    <row r="1681" spans="1:16" s="58" customFormat="1" ht="21" customHeight="1">
      <c r="A1681" s="142">
        <f t="shared" si="399"/>
        <v>27</v>
      </c>
      <c r="B1681" s="143" t="s">
        <v>1972</v>
      </c>
      <c r="C1681" s="142" t="s">
        <v>1945</v>
      </c>
      <c r="D1681" s="154"/>
      <c r="E1681" s="142"/>
      <c r="F1681" s="142"/>
      <c r="G1681" s="145"/>
      <c r="H1681" s="145"/>
      <c r="I1681" s="146">
        <v>3354000</v>
      </c>
      <c r="J1681" s="146">
        <f t="shared" si="395"/>
        <v>3354000</v>
      </c>
      <c r="K1681" s="142" t="s">
        <v>1945</v>
      </c>
      <c r="L1681" s="146"/>
      <c r="M1681" s="147">
        <f t="shared" si="396"/>
        <v>3354000</v>
      </c>
      <c r="N1681" s="147">
        <f t="shared" si="397"/>
        <v>3354000</v>
      </c>
      <c r="O1681" s="136">
        <f t="shared" si="393"/>
        <v>0</v>
      </c>
      <c r="P1681" s="71">
        <f t="shared" si="394"/>
        <v>3354000</v>
      </c>
    </row>
    <row r="1682" spans="1:16" s="58" customFormat="1" ht="21" customHeight="1">
      <c r="A1682" s="142">
        <f t="shared" si="399"/>
        <v>28</v>
      </c>
      <c r="B1682" s="143" t="s">
        <v>1973</v>
      </c>
      <c r="C1682" s="142" t="s">
        <v>1945</v>
      </c>
      <c r="D1682" s="154"/>
      <c r="E1682" s="142"/>
      <c r="F1682" s="142"/>
      <c r="G1682" s="145"/>
      <c r="H1682" s="145"/>
      <c r="I1682" s="146">
        <v>3781000</v>
      </c>
      <c r="J1682" s="146">
        <f t="shared" si="395"/>
        <v>3781000</v>
      </c>
      <c r="K1682" s="142" t="s">
        <v>1945</v>
      </c>
      <c r="L1682" s="146"/>
      <c r="M1682" s="147">
        <f t="shared" si="396"/>
        <v>3781000</v>
      </c>
      <c r="N1682" s="147">
        <f t="shared" si="397"/>
        <v>3781000</v>
      </c>
      <c r="O1682" s="136">
        <f t="shared" si="393"/>
        <v>0</v>
      </c>
      <c r="P1682" s="71">
        <f t="shared" si="394"/>
        <v>3781000</v>
      </c>
    </row>
    <row r="1683" spans="1:16" s="58" customFormat="1" ht="21" customHeight="1">
      <c r="A1683" s="142">
        <f t="shared" si="399"/>
        <v>29</v>
      </c>
      <c r="B1683" s="143" t="s">
        <v>1974</v>
      </c>
      <c r="C1683" s="142" t="s">
        <v>1945</v>
      </c>
      <c r="D1683" s="154"/>
      <c r="E1683" s="142"/>
      <c r="F1683" s="142"/>
      <c r="G1683" s="145"/>
      <c r="H1683" s="145"/>
      <c r="I1683" s="146">
        <v>4150000</v>
      </c>
      <c r="J1683" s="146">
        <f t="shared" si="395"/>
        <v>4150000</v>
      </c>
      <c r="K1683" s="142" t="s">
        <v>1945</v>
      </c>
      <c r="L1683" s="146"/>
      <c r="M1683" s="147">
        <f t="shared" si="396"/>
        <v>4150000</v>
      </c>
      <c r="N1683" s="147">
        <f t="shared" si="397"/>
        <v>4150000</v>
      </c>
      <c r="O1683" s="136">
        <f t="shared" si="393"/>
        <v>0</v>
      </c>
      <c r="P1683" s="71">
        <f t="shared" si="394"/>
        <v>4150000</v>
      </c>
    </row>
    <row r="1684" spans="1:16" s="58" customFormat="1" ht="21" customHeight="1">
      <c r="A1684" s="142">
        <f t="shared" si="399"/>
        <v>30</v>
      </c>
      <c r="B1684" s="143" t="s">
        <v>1975</v>
      </c>
      <c r="C1684" s="142" t="s">
        <v>1945</v>
      </c>
      <c r="D1684" s="154"/>
      <c r="E1684" s="142"/>
      <c r="F1684" s="142"/>
      <c r="G1684" s="145"/>
      <c r="H1684" s="145"/>
      <c r="I1684" s="146">
        <v>4589000</v>
      </c>
      <c r="J1684" s="146">
        <f t="shared" si="395"/>
        <v>4589000</v>
      </c>
      <c r="K1684" s="142" t="s">
        <v>1945</v>
      </c>
      <c r="L1684" s="146"/>
      <c r="M1684" s="147">
        <f t="shared" si="396"/>
        <v>4589000</v>
      </c>
      <c r="N1684" s="147">
        <f t="shared" si="397"/>
        <v>4589000</v>
      </c>
      <c r="O1684" s="136">
        <f t="shared" si="393"/>
        <v>0</v>
      </c>
      <c r="P1684" s="71">
        <f t="shared" si="394"/>
        <v>4589000</v>
      </c>
    </row>
    <row r="1685" spans="1:16" s="58" customFormat="1" ht="21" customHeight="1">
      <c r="A1685" s="142">
        <f t="shared" si="399"/>
        <v>31</v>
      </c>
      <c r="B1685" s="143" t="s">
        <v>1976</v>
      </c>
      <c r="C1685" s="142" t="s">
        <v>1945</v>
      </c>
      <c r="D1685" s="154"/>
      <c r="E1685" s="142"/>
      <c r="F1685" s="142"/>
      <c r="G1685" s="145"/>
      <c r="H1685" s="145"/>
      <c r="I1685" s="146">
        <v>5082000</v>
      </c>
      <c r="J1685" s="146">
        <f t="shared" si="395"/>
        <v>5082000</v>
      </c>
      <c r="K1685" s="142" t="s">
        <v>1945</v>
      </c>
      <c r="L1685" s="146"/>
      <c r="M1685" s="147">
        <f t="shared" si="396"/>
        <v>5082000</v>
      </c>
      <c r="N1685" s="147">
        <f t="shared" si="397"/>
        <v>5082000</v>
      </c>
      <c r="O1685" s="136">
        <f t="shared" si="393"/>
        <v>0</v>
      </c>
      <c r="P1685" s="71">
        <f t="shared" si="394"/>
        <v>5082000</v>
      </c>
    </row>
    <row r="1686" spans="1:16" s="58" customFormat="1" ht="21" customHeight="1">
      <c r="A1686" s="142">
        <f t="shared" si="399"/>
        <v>32</v>
      </c>
      <c r="B1686" s="143" t="s">
        <v>1977</v>
      </c>
      <c r="C1686" s="142" t="s">
        <v>1945</v>
      </c>
      <c r="D1686" s="154"/>
      <c r="E1686" s="142"/>
      <c r="F1686" s="142"/>
      <c r="G1686" s="145"/>
      <c r="H1686" s="145"/>
      <c r="I1686" s="146">
        <v>4560000</v>
      </c>
      <c r="J1686" s="146">
        <f t="shared" si="395"/>
        <v>4560000</v>
      </c>
      <c r="K1686" s="142" t="s">
        <v>1945</v>
      </c>
      <c r="L1686" s="146"/>
      <c r="M1686" s="147">
        <f t="shared" si="396"/>
        <v>4560000</v>
      </c>
      <c r="N1686" s="147">
        <f t="shared" si="397"/>
        <v>4560000</v>
      </c>
      <c r="O1686" s="136">
        <f t="shared" si="393"/>
        <v>0</v>
      </c>
      <c r="P1686" s="71">
        <f t="shared" si="394"/>
        <v>4560000</v>
      </c>
    </row>
    <row r="1687" spans="1:16" s="58" customFormat="1" ht="21" customHeight="1">
      <c r="A1687" s="142">
        <f t="shared" si="399"/>
        <v>33</v>
      </c>
      <c r="B1687" s="143" t="s">
        <v>1978</v>
      </c>
      <c r="C1687" s="142" t="s">
        <v>1945</v>
      </c>
      <c r="D1687" s="154"/>
      <c r="E1687" s="142"/>
      <c r="F1687" s="142"/>
      <c r="G1687" s="145"/>
      <c r="H1687" s="145"/>
      <c r="I1687" s="146">
        <v>5061000</v>
      </c>
      <c r="J1687" s="146">
        <f t="shared" si="395"/>
        <v>5061000</v>
      </c>
      <c r="K1687" s="142" t="s">
        <v>1945</v>
      </c>
      <c r="L1687" s="146"/>
      <c r="M1687" s="147">
        <f t="shared" si="396"/>
        <v>5061000</v>
      </c>
      <c r="N1687" s="147">
        <f t="shared" si="397"/>
        <v>5061000</v>
      </c>
      <c r="O1687" s="136">
        <f t="shared" si="393"/>
        <v>0</v>
      </c>
      <c r="P1687" s="71">
        <f t="shared" si="394"/>
        <v>5061000</v>
      </c>
    </row>
    <row r="1688" spans="1:16" s="58" customFormat="1" ht="21" customHeight="1">
      <c r="A1688" s="142">
        <f t="shared" si="399"/>
        <v>34</v>
      </c>
      <c r="B1688" s="143" t="s">
        <v>1979</v>
      </c>
      <c r="C1688" s="142" t="s">
        <v>1945</v>
      </c>
      <c r="D1688" s="154"/>
      <c r="E1688" s="142"/>
      <c r="F1688" s="142"/>
      <c r="G1688" s="145"/>
      <c r="H1688" s="145"/>
      <c r="I1688" s="146">
        <v>5435000</v>
      </c>
      <c r="J1688" s="146">
        <f t="shared" si="395"/>
        <v>5435000</v>
      </c>
      <c r="K1688" s="142" t="s">
        <v>1945</v>
      </c>
      <c r="L1688" s="146"/>
      <c r="M1688" s="147">
        <f t="shared" si="396"/>
        <v>5435000</v>
      </c>
      <c r="N1688" s="147">
        <f t="shared" si="397"/>
        <v>5435000</v>
      </c>
      <c r="O1688" s="136">
        <f t="shared" si="393"/>
        <v>0</v>
      </c>
      <c r="P1688" s="71">
        <f t="shared" si="394"/>
        <v>5435000</v>
      </c>
    </row>
    <row r="1689" spans="1:16" s="58" customFormat="1" ht="21" customHeight="1">
      <c r="A1689" s="142">
        <f t="shared" si="399"/>
        <v>35</v>
      </c>
      <c r="B1689" s="143" t="s">
        <v>1980</v>
      </c>
      <c r="C1689" s="142" t="s">
        <v>1945</v>
      </c>
      <c r="D1689" s="154"/>
      <c r="E1689" s="142"/>
      <c r="F1689" s="142"/>
      <c r="G1689" s="145"/>
      <c r="H1689" s="145"/>
      <c r="I1689" s="146">
        <v>12536000</v>
      </c>
      <c r="J1689" s="146">
        <f t="shared" si="395"/>
        <v>12536000</v>
      </c>
      <c r="K1689" s="142" t="s">
        <v>1945</v>
      </c>
      <c r="L1689" s="146"/>
      <c r="M1689" s="147">
        <f t="shared" si="396"/>
        <v>12536000</v>
      </c>
      <c r="N1689" s="147">
        <f t="shared" si="397"/>
        <v>12536000</v>
      </c>
      <c r="O1689" s="136">
        <f t="shared" si="393"/>
        <v>0</v>
      </c>
      <c r="P1689" s="71">
        <f t="shared" si="394"/>
        <v>12536000</v>
      </c>
    </row>
    <row r="1690" spans="1:16" s="58" customFormat="1" ht="21" customHeight="1">
      <c r="A1690" s="142">
        <f t="shared" si="399"/>
        <v>36</v>
      </c>
      <c r="B1690" s="143" t="s">
        <v>1981</v>
      </c>
      <c r="C1690" s="142" t="s">
        <v>1945</v>
      </c>
      <c r="D1690" s="154"/>
      <c r="E1690" s="142"/>
      <c r="F1690" s="142"/>
      <c r="G1690" s="145"/>
      <c r="H1690" s="145"/>
      <c r="I1690" s="146">
        <v>2554000</v>
      </c>
      <c r="J1690" s="146">
        <f t="shared" si="395"/>
        <v>2554000</v>
      </c>
      <c r="K1690" s="142" t="s">
        <v>1945</v>
      </c>
      <c r="L1690" s="146"/>
      <c r="M1690" s="147">
        <f t="shared" si="396"/>
        <v>2554000</v>
      </c>
      <c r="N1690" s="147">
        <f t="shared" si="397"/>
        <v>2554000</v>
      </c>
      <c r="O1690" s="136">
        <f t="shared" si="393"/>
        <v>0</v>
      </c>
      <c r="P1690" s="71">
        <f t="shared" si="394"/>
        <v>2554000</v>
      </c>
    </row>
    <row r="1691" spans="1:16" s="58" customFormat="1" ht="21" customHeight="1">
      <c r="A1691" s="142">
        <f t="shared" si="399"/>
        <v>37</v>
      </c>
      <c r="B1691" s="143" t="s">
        <v>1982</v>
      </c>
      <c r="C1691" s="142" t="s">
        <v>1945</v>
      </c>
      <c r="D1691" s="154"/>
      <c r="E1691" s="142"/>
      <c r="F1691" s="142"/>
      <c r="G1691" s="145"/>
      <c r="H1691" s="145"/>
      <c r="I1691" s="146">
        <v>3000000</v>
      </c>
      <c r="J1691" s="146">
        <f t="shared" si="395"/>
        <v>3000000</v>
      </c>
      <c r="K1691" s="142" t="s">
        <v>1945</v>
      </c>
      <c r="L1691" s="146"/>
      <c r="M1691" s="147">
        <f t="shared" si="396"/>
        <v>3000000</v>
      </c>
      <c r="N1691" s="147">
        <f t="shared" si="397"/>
        <v>3000000</v>
      </c>
      <c r="O1691" s="136">
        <f t="shared" si="393"/>
        <v>0</v>
      </c>
      <c r="P1691" s="71">
        <f t="shared" si="394"/>
        <v>3000000</v>
      </c>
    </row>
    <row r="1692" spans="1:16" s="58" customFormat="1" ht="21" customHeight="1">
      <c r="A1692" s="142">
        <f t="shared" si="399"/>
        <v>38</v>
      </c>
      <c r="B1692" s="143" t="s">
        <v>1983</v>
      </c>
      <c r="C1692" s="142" t="s">
        <v>1945</v>
      </c>
      <c r="D1692" s="154"/>
      <c r="E1692" s="142"/>
      <c r="F1692" s="142"/>
      <c r="G1692" s="145"/>
      <c r="H1692" s="145"/>
      <c r="I1692" s="146">
        <v>3329000</v>
      </c>
      <c r="J1692" s="146">
        <f t="shared" si="395"/>
        <v>3329000</v>
      </c>
      <c r="K1692" s="142" t="s">
        <v>1945</v>
      </c>
      <c r="L1692" s="146"/>
      <c r="M1692" s="147">
        <f t="shared" si="396"/>
        <v>3329000</v>
      </c>
      <c r="N1692" s="147">
        <f t="shared" si="397"/>
        <v>3329000</v>
      </c>
      <c r="O1692" s="136">
        <f t="shared" si="393"/>
        <v>0</v>
      </c>
      <c r="P1692" s="71">
        <f t="shared" si="394"/>
        <v>3329000</v>
      </c>
    </row>
    <row r="1693" spans="1:16" s="58" customFormat="1" ht="21" customHeight="1">
      <c r="A1693" s="142">
        <f t="shared" si="399"/>
        <v>39</v>
      </c>
      <c r="B1693" s="143" t="s">
        <v>1984</v>
      </c>
      <c r="C1693" s="142" t="s">
        <v>1945</v>
      </c>
      <c r="D1693" s="154"/>
      <c r="E1693" s="142"/>
      <c r="F1693" s="142"/>
      <c r="G1693" s="145"/>
      <c r="H1693" s="145"/>
      <c r="I1693" s="146">
        <v>3718000</v>
      </c>
      <c r="J1693" s="146">
        <f t="shared" si="395"/>
        <v>3718000</v>
      </c>
      <c r="K1693" s="142" t="s">
        <v>1945</v>
      </c>
      <c r="L1693" s="146"/>
      <c r="M1693" s="147">
        <f t="shared" si="396"/>
        <v>3718000</v>
      </c>
      <c r="N1693" s="147">
        <f t="shared" si="397"/>
        <v>3718000</v>
      </c>
      <c r="O1693" s="136">
        <f t="shared" si="393"/>
        <v>0</v>
      </c>
      <c r="P1693" s="71">
        <f t="shared" si="394"/>
        <v>3718000</v>
      </c>
    </row>
    <row r="1694" spans="1:16" s="58" customFormat="1" ht="21" customHeight="1">
      <c r="A1694" s="142">
        <f t="shared" si="399"/>
        <v>40</v>
      </c>
      <c r="B1694" s="143" t="s">
        <v>1985</v>
      </c>
      <c r="C1694" s="142" t="s">
        <v>1945</v>
      </c>
      <c r="D1694" s="154"/>
      <c r="E1694" s="142"/>
      <c r="F1694" s="142"/>
      <c r="G1694" s="145"/>
      <c r="H1694" s="145"/>
      <c r="I1694" s="146">
        <v>4215000</v>
      </c>
      <c r="J1694" s="146">
        <f t="shared" si="395"/>
        <v>4215000</v>
      </c>
      <c r="K1694" s="142" t="s">
        <v>1945</v>
      </c>
      <c r="L1694" s="146"/>
      <c r="M1694" s="147">
        <f t="shared" si="396"/>
        <v>4215000</v>
      </c>
      <c r="N1694" s="147">
        <f t="shared" si="397"/>
        <v>4215000</v>
      </c>
      <c r="O1694" s="136">
        <f t="shared" si="393"/>
        <v>0</v>
      </c>
      <c r="P1694" s="71">
        <f t="shared" si="394"/>
        <v>4215000</v>
      </c>
    </row>
    <row r="1695" spans="1:16" s="58" customFormat="1" ht="21" customHeight="1">
      <c r="A1695" s="142">
        <f t="shared" si="399"/>
        <v>41</v>
      </c>
      <c r="B1695" s="143" t="s">
        <v>1986</v>
      </c>
      <c r="C1695" s="142" t="s">
        <v>1945</v>
      </c>
      <c r="D1695" s="154"/>
      <c r="E1695" s="142"/>
      <c r="F1695" s="142"/>
      <c r="G1695" s="145"/>
      <c r="H1695" s="145"/>
      <c r="I1695" s="146">
        <v>4560000</v>
      </c>
      <c r="J1695" s="146">
        <f t="shared" si="395"/>
        <v>4560000</v>
      </c>
      <c r="K1695" s="142" t="s">
        <v>1945</v>
      </c>
      <c r="L1695" s="146"/>
      <c r="M1695" s="147">
        <f t="shared" si="396"/>
        <v>4560000</v>
      </c>
      <c r="N1695" s="147">
        <f t="shared" si="397"/>
        <v>4560000</v>
      </c>
      <c r="O1695" s="136">
        <f t="shared" si="393"/>
        <v>0</v>
      </c>
      <c r="P1695" s="71">
        <f t="shared" si="394"/>
        <v>4560000</v>
      </c>
    </row>
    <row r="1696" spans="1:16" s="58" customFormat="1" ht="21" customHeight="1">
      <c r="A1696" s="142">
        <f t="shared" si="399"/>
        <v>42</v>
      </c>
      <c r="B1696" s="143" t="s">
        <v>1987</v>
      </c>
      <c r="C1696" s="142" t="s">
        <v>1945</v>
      </c>
      <c r="D1696" s="154"/>
      <c r="E1696" s="142"/>
      <c r="F1696" s="142"/>
      <c r="G1696" s="145"/>
      <c r="H1696" s="145"/>
      <c r="I1696" s="146">
        <v>4220000</v>
      </c>
      <c r="J1696" s="146">
        <f t="shared" si="395"/>
        <v>4220000</v>
      </c>
      <c r="K1696" s="142" t="s">
        <v>1945</v>
      </c>
      <c r="L1696" s="146"/>
      <c r="M1696" s="147">
        <f t="shared" si="396"/>
        <v>4220000</v>
      </c>
      <c r="N1696" s="147">
        <f t="shared" si="397"/>
        <v>4220000</v>
      </c>
      <c r="O1696" s="136">
        <f t="shared" si="393"/>
        <v>0</v>
      </c>
      <c r="P1696" s="71">
        <f t="shared" si="394"/>
        <v>4220000</v>
      </c>
    </row>
    <row r="1697" spans="1:16" s="58" customFormat="1" ht="21" customHeight="1">
      <c r="A1697" s="142">
        <f t="shared" si="399"/>
        <v>43</v>
      </c>
      <c r="B1697" s="143" t="s">
        <v>1988</v>
      </c>
      <c r="C1697" s="142" t="s">
        <v>1945</v>
      </c>
      <c r="D1697" s="154"/>
      <c r="E1697" s="142"/>
      <c r="F1697" s="142"/>
      <c r="G1697" s="145"/>
      <c r="H1697" s="145"/>
      <c r="I1697" s="146">
        <v>4968400</v>
      </c>
      <c r="J1697" s="146">
        <f t="shared" si="395"/>
        <v>4968400</v>
      </c>
      <c r="K1697" s="142" t="s">
        <v>1945</v>
      </c>
      <c r="L1697" s="146"/>
      <c r="M1697" s="147">
        <f t="shared" si="396"/>
        <v>4968400</v>
      </c>
      <c r="N1697" s="147">
        <f t="shared" si="397"/>
        <v>4968400</v>
      </c>
      <c r="O1697" s="136">
        <f t="shared" si="393"/>
        <v>0</v>
      </c>
      <c r="P1697" s="71">
        <f t="shared" si="394"/>
        <v>4968400</v>
      </c>
    </row>
    <row r="1698" spans="1:16" s="58" customFormat="1" ht="21" customHeight="1">
      <c r="A1698" s="142">
        <f t="shared" si="399"/>
        <v>44</v>
      </c>
      <c r="B1698" s="143" t="s">
        <v>1989</v>
      </c>
      <c r="C1698" s="142" t="s">
        <v>1945</v>
      </c>
      <c r="D1698" s="154"/>
      <c r="E1698" s="142"/>
      <c r="F1698" s="142"/>
      <c r="G1698" s="145"/>
      <c r="H1698" s="145"/>
      <c r="I1698" s="146">
        <v>5120000</v>
      </c>
      <c r="J1698" s="146">
        <f t="shared" si="395"/>
        <v>5120000</v>
      </c>
      <c r="K1698" s="142" t="s">
        <v>1945</v>
      </c>
      <c r="L1698" s="146"/>
      <c r="M1698" s="147">
        <f t="shared" si="396"/>
        <v>5120000</v>
      </c>
      <c r="N1698" s="147">
        <f t="shared" si="397"/>
        <v>5120000</v>
      </c>
      <c r="O1698" s="136">
        <f t="shared" si="393"/>
        <v>0</v>
      </c>
      <c r="P1698" s="71">
        <f t="shared" si="394"/>
        <v>5120000</v>
      </c>
    </row>
    <row r="1699" spans="1:16" s="58" customFormat="1" ht="21" customHeight="1">
      <c r="A1699" s="142">
        <f t="shared" si="399"/>
        <v>45</v>
      </c>
      <c r="B1699" s="143" t="s">
        <v>1990</v>
      </c>
      <c r="C1699" s="142" t="s">
        <v>1945</v>
      </c>
      <c r="D1699" s="154"/>
      <c r="E1699" s="142"/>
      <c r="F1699" s="142"/>
      <c r="G1699" s="145"/>
      <c r="H1699" s="145"/>
      <c r="I1699" s="146">
        <v>5830000</v>
      </c>
      <c r="J1699" s="146">
        <f t="shared" si="395"/>
        <v>5830000</v>
      </c>
      <c r="K1699" s="142" t="s">
        <v>1945</v>
      </c>
      <c r="L1699" s="146"/>
      <c r="M1699" s="147">
        <f t="shared" si="396"/>
        <v>5830000</v>
      </c>
      <c r="N1699" s="147">
        <f t="shared" si="397"/>
        <v>5830000</v>
      </c>
      <c r="O1699" s="136">
        <f t="shared" si="393"/>
        <v>0</v>
      </c>
      <c r="P1699" s="71">
        <f t="shared" si="394"/>
        <v>5830000</v>
      </c>
    </row>
    <row r="1700" spans="1:16" s="58" customFormat="1" ht="21" customHeight="1">
      <c r="A1700" s="142">
        <f t="shared" si="399"/>
        <v>46</v>
      </c>
      <c r="B1700" s="143" t="s">
        <v>1991</v>
      </c>
      <c r="C1700" s="142" t="s">
        <v>1945</v>
      </c>
      <c r="D1700" s="154"/>
      <c r="E1700" s="142"/>
      <c r="F1700" s="142"/>
      <c r="G1700" s="145"/>
      <c r="H1700" s="145"/>
      <c r="I1700" s="146">
        <v>980500</v>
      </c>
      <c r="J1700" s="146">
        <f t="shared" si="395"/>
        <v>980500</v>
      </c>
      <c r="K1700" s="142" t="s">
        <v>1945</v>
      </c>
      <c r="L1700" s="146"/>
      <c r="M1700" s="147">
        <f t="shared" si="396"/>
        <v>980500</v>
      </c>
      <c r="N1700" s="147">
        <f t="shared" si="397"/>
        <v>980500</v>
      </c>
      <c r="O1700" s="136">
        <f t="shared" si="393"/>
        <v>0</v>
      </c>
      <c r="P1700" s="71">
        <f t="shared" si="394"/>
        <v>980500</v>
      </c>
    </row>
    <row r="1701" spans="1:16" s="58" customFormat="1" ht="33">
      <c r="A1701" s="142">
        <f t="shared" si="399"/>
        <v>47</v>
      </c>
      <c r="B1701" s="143" t="s">
        <v>1992</v>
      </c>
      <c r="C1701" s="142" t="s">
        <v>1945</v>
      </c>
      <c r="D1701" s="154"/>
      <c r="E1701" s="142"/>
      <c r="F1701" s="142"/>
      <c r="G1701" s="145"/>
      <c r="H1701" s="145"/>
      <c r="I1701" s="146">
        <v>1048200</v>
      </c>
      <c r="J1701" s="146">
        <f t="shared" si="395"/>
        <v>1048200</v>
      </c>
      <c r="K1701" s="142" t="s">
        <v>1945</v>
      </c>
      <c r="L1701" s="146"/>
      <c r="M1701" s="147">
        <f t="shared" si="396"/>
        <v>1048200</v>
      </c>
      <c r="N1701" s="147">
        <f t="shared" si="397"/>
        <v>1048200</v>
      </c>
      <c r="O1701" s="136">
        <f t="shared" si="393"/>
        <v>0</v>
      </c>
      <c r="P1701" s="71">
        <f t="shared" si="394"/>
        <v>1048200</v>
      </c>
    </row>
    <row r="1702" spans="1:16" s="58" customFormat="1" ht="33">
      <c r="A1702" s="142">
        <f t="shared" si="399"/>
        <v>48</v>
      </c>
      <c r="B1702" s="143" t="s">
        <v>1993</v>
      </c>
      <c r="C1702" s="142" t="s">
        <v>1945</v>
      </c>
      <c r="D1702" s="154"/>
      <c r="E1702" s="142"/>
      <c r="F1702" s="142"/>
      <c r="G1702" s="145"/>
      <c r="H1702" s="145"/>
      <c r="I1702" s="146">
        <v>1036300</v>
      </c>
      <c r="J1702" s="146">
        <f t="shared" si="395"/>
        <v>1036300</v>
      </c>
      <c r="K1702" s="142" t="s">
        <v>1945</v>
      </c>
      <c r="L1702" s="146"/>
      <c r="M1702" s="147">
        <f t="shared" si="396"/>
        <v>1036300</v>
      </c>
      <c r="N1702" s="147">
        <f t="shared" si="397"/>
        <v>1036300</v>
      </c>
      <c r="O1702" s="136">
        <f t="shared" si="393"/>
        <v>0</v>
      </c>
      <c r="P1702" s="71">
        <f t="shared" si="394"/>
        <v>1036300</v>
      </c>
    </row>
    <row r="1703" spans="1:16" s="58" customFormat="1" ht="21" customHeight="1">
      <c r="A1703" s="142">
        <f t="shared" si="399"/>
        <v>49</v>
      </c>
      <c r="B1703" s="143" t="s">
        <v>1994</v>
      </c>
      <c r="C1703" s="142" t="s">
        <v>1945</v>
      </c>
      <c r="D1703" s="154"/>
      <c r="E1703" s="142"/>
      <c r="F1703" s="142"/>
      <c r="G1703" s="145"/>
      <c r="H1703" s="145"/>
      <c r="I1703" s="146">
        <v>1820300</v>
      </c>
      <c r="J1703" s="146">
        <f t="shared" si="395"/>
        <v>1820300</v>
      </c>
      <c r="K1703" s="142" t="s">
        <v>1945</v>
      </c>
      <c r="L1703" s="146"/>
      <c r="M1703" s="147">
        <f t="shared" si="396"/>
        <v>1820300</v>
      </c>
      <c r="N1703" s="147">
        <f t="shared" si="397"/>
        <v>1820300</v>
      </c>
      <c r="O1703" s="136">
        <f t="shared" si="393"/>
        <v>0</v>
      </c>
      <c r="P1703" s="71">
        <f t="shared" si="394"/>
        <v>1820300</v>
      </c>
    </row>
    <row r="1704" spans="1:16" s="58" customFormat="1" ht="21" customHeight="1">
      <c r="A1704" s="142">
        <f t="shared" si="399"/>
        <v>50</v>
      </c>
      <c r="B1704" s="143" t="s">
        <v>1995</v>
      </c>
      <c r="C1704" s="142" t="s">
        <v>1945</v>
      </c>
      <c r="D1704" s="154"/>
      <c r="E1704" s="142"/>
      <c r="F1704" s="142"/>
      <c r="G1704" s="145"/>
      <c r="H1704" s="145"/>
      <c r="I1704" s="146">
        <v>1595600</v>
      </c>
      <c r="J1704" s="146">
        <f t="shared" si="395"/>
        <v>1595600</v>
      </c>
      <c r="K1704" s="142" t="s">
        <v>1945</v>
      </c>
      <c r="L1704" s="146"/>
      <c r="M1704" s="147">
        <f t="shared" si="396"/>
        <v>1595600</v>
      </c>
      <c r="N1704" s="147">
        <f t="shared" si="397"/>
        <v>1595600</v>
      </c>
      <c r="O1704" s="136">
        <f t="shared" si="393"/>
        <v>0</v>
      </c>
      <c r="P1704" s="71">
        <f t="shared" si="394"/>
        <v>1595600</v>
      </c>
    </row>
    <row r="1705" spans="1:16" s="58" customFormat="1" ht="21" customHeight="1">
      <c r="A1705" s="142">
        <f t="shared" si="399"/>
        <v>51</v>
      </c>
      <c r="B1705" s="143" t="s">
        <v>1996</v>
      </c>
      <c r="C1705" s="142" t="s">
        <v>1945</v>
      </c>
      <c r="D1705" s="154"/>
      <c r="E1705" s="142"/>
      <c r="F1705" s="142"/>
      <c r="G1705" s="145"/>
      <c r="H1705" s="145"/>
      <c r="I1705" s="146">
        <v>1986700</v>
      </c>
      <c r="J1705" s="146">
        <f t="shared" si="395"/>
        <v>1986700</v>
      </c>
      <c r="K1705" s="142" t="s">
        <v>1945</v>
      </c>
      <c r="L1705" s="146"/>
      <c r="M1705" s="147">
        <f t="shared" si="396"/>
        <v>1986700</v>
      </c>
      <c r="N1705" s="147">
        <f t="shared" si="397"/>
        <v>1986700</v>
      </c>
      <c r="O1705" s="136">
        <f t="shared" si="393"/>
        <v>0</v>
      </c>
      <c r="P1705" s="71">
        <f t="shared" si="394"/>
        <v>1986700</v>
      </c>
    </row>
    <row r="1706" spans="1:16" s="58" customFormat="1" ht="21" customHeight="1">
      <c r="A1706" s="142">
        <f t="shared" si="399"/>
        <v>52</v>
      </c>
      <c r="B1706" s="143" t="s">
        <v>1997</v>
      </c>
      <c r="C1706" s="142" t="s">
        <v>1945</v>
      </c>
      <c r="D1706" s="154"/>
      <c r="E1706" s="142"/>
      <c r="F1706" s="142"/>
      <c r="G1706" s="145"/>
      <c r="H1706" s="145"/>
      <c r="I1706" s="146">
        <v>2345600</v>
      </c>
      <c r="J1706" s="146">
        <f t="shared" si="395"/>
        <v>2345600</v>
      </c>
      <c r="K1706" s="142" t="s">
        <v>1945</v>
      </c>
      <c r="L1706" s="146"/>
      <c r="M1706" s="147">
        <f t="shared" si="396"/>
        <v>2345600</v>
      </c>
      <c r="N1706" s="147">
        <f t="shared" si="397"/>
        <v>2345600</v>
      </c>
      <c r="O1706" s="136">
        <f t="shared" si="393"/>
        <v>0</v>
      </c>
      <c r="P1706" s="71">
        <f t="shared" si="394"/>
        <v>2345600</v>
      </c>
    </row>
    <row r="1707" spans="1:16" s="58" customFormat="1" ht="21" customHeight="1">
      <c r="A1707" s="142">
        <f t="shared" si="399"/>
        <v>53</v>
      </c>
      <c r="B1707" s="143" t="s">
        <v>1998</v>
      </c>
      <c r="C1707" s="142" t="s">
        <v>1945</v>
      </c>
      <c r="D1707" s="154"/>
      <c r="E1707" s="142"/>
      <c r="F1707" s="142"/>
      <c r="G1707" s="145"/>
      <c r="H1707" s="145"/>
      <c r="I1707" s="146">
        <v>1820500</v>
      </c>
      <c r="J1707" s="146">
        <f t="shared" si="395"/>
        <v>1820500</v>
      </c>
      <c r="K1707" s="142" t="s">
        <v>1945</v>
      </c>
      <c r="L1707" s="146"/>
      <c r="M1707" s="147">
        <f t="shared" si="396"/>
        <v>1820500</v>
      </c>
      <c r="N1707" s="147">
        <f t="shared" si="397"/>
        <v>1820500</v>
      </c>
      <c r="O1707" s="136">
        <f t="shared" si="393"/>
        <v>0</v>
      </c>
      <c r="P1707" s="71">
        <f t="shared" si="394"/>
        <v>1820500</v>
      </c>
    </row>
    <row r="1708" spans="1:16" s="58" customFormat="1" ht="33">
      <c r="A1708" s="142">
        <f t="shared" si="399"/>
        <v>54</v>
      </c>
      <c r="B1708" s="143" t="s">
        <v>1999</v>
      </c>
      <c r="C1708" s="142" t="s">
        <v>1945</v>
      </c>
      <c r="D1708" s="154"/>
      <c r="E1708" s="142"/>
      <c r="F1708" s="142"/>
      <c r="G1708" s="145"/>
      <c r="H1708" s="145"/>
      <c r="I1708" s="146">
        <v>2054300</v>
      </c>
      <c r="J1708" s="146">
        <f t="shared" si="395"/>
        <v>2054300</v>
      </c>
      <c r="K1708" s="142" t="s">
        <v>1945</v>
      </c>
      <c r="L1708" s="146"/>
      <c r="M1708" s="147">
        <f t="shared" si="396"/>
        <v>2054300</v>
      </c>
      <c r="N1708" s="147">
        <f t="shared" si="397"/>
        <v>2054300</v>
      </c>
      <c r="O1708" s="136">
        <f t="shared" si="393"/>
        <v>0</v>
      </c>
      <c r="P1708" s="71">
        <f t="shared" si="394"/>
        <v>2054300</v>
      </c>
    </row>
    <row r="1709" spans="1:16" s="58" customFormat="1" ht="21" customHeight="1">
      <c r="A1709" s="142">
        <f t="shared" si="399"/>
        <v>55</v>
      </c>
      <c r="B1709" s="143" t="s">
        <v>2000</v>
      </c>
      <c r="C1709" s="142" t="s">
        <v>1945</v>
      </c>
      <c r="D1709" s="154"/>
      <c r="E1709" s="142"/>
      <c r="F1709" s="142"/>
      <c r="G1709" s="145"/>
      <c r="H1709" s="145"/>
      <c r="I1709" s="146">
        <v>2566400</v>
      </c>
      <c r="J1709" s="146">
        <f t="shared" si="395"/>
        <v>2566400</v>
      </c>
      <c r="K1709" s="142" t="s">
        <v>1945</v>
      </c>
      <c r="L1709" s="146"/>
      <c r="M1709" s="147">
        <f t="shared" si="396"/>
        <v>2566400</v>
      </c>
      <c r="N1709" s="147">
        <f t="shared" si="397"/>
        <v>2566400</v>
      </c>
      <c r="O1709" s="136">
        <f t="shared" si="393"/>
        <v>0</v>
      </c>
      <c r="P1709" s="71">
        <f t="shared" si="394"/>
        <v>2566400</v>
      </c>
    </row>
    <row r="1710" spans="1:16" s="58" customFormat="1" ht="21" customHeight="1">
      <c r="A1710" s="142">
        <f t="shared" si="399"/>
        <v>56</v>
      </c>
      <c r="B1710" s="143" t="s">
        <v>2001</v>
      </c>
      <c r="C1710" s="142" t="s">
        <v>1945</v>
      </c>
      <c r="D1710" s="154"/>
      <c r="E1710" s="142"/>
      <c r="F1710" s="142"/>
      <c r="G1710" s="145"/>
      <c r="H1710" s="145"/>
      <c r="I1710" s="146">
        <v>9660000</v>
      </c>
      <c r="J1710" s="146">
        <f t="shared" si="395"/>
        <v>9660000</v>
      </c>
      <c r="K1710" s="142" t="s">
        <v>1945</v>
      </c>
      <c r="L1710" s="146"/>
      <c r="M1710" s="147">
        <f t="shared" si="396"/>
        <v>9660000</v>
      </c>
      <c r="N1710" s="147">
        <f t="shared" si="397"/>
        <v>9660000</v>
      </c>
      <c r="O1710" s="136">
        <f t="shared" si="393"/>
        <v>0</v>
      </c>
      <c r="P1710" s="71">
        <f t="shared" si="394"/>
        <v>9660000</v>
      </c>
    </row>
    <row r="1711" spans="1:16" s="58" customFormat="1" ht="21" customHeight="1">
      <c r="A1711" s="142">
        <f t="shared" si="399"/>
        <v>57</v>
      </c>
      <c r="B1711" s="143" t="s">
        <v>2002</v>
      </c>
      <c r="C1711" s="142" t="s">
        <v>1945</v>
      </c>
      <c r="D1711" s="154"/>
      <c r="E1711" s="142"/>
      <c r="F1711" s="142"/>
      <c r="G1711" s="145"/>
      <c r="H1711" s="145"/>
      <c r="I1711" s="146">
        <v>10360000</v>
      </c>
      <c r="J1711" s="146">
        <f t="shared" si="395"/>
        <v>10360000</v>
      </c>
      <c r="K1711" s="142" t="s">
        <v>1945</v>
      </c>
      <c r="L1711" s="146"/>
      <c r="M1711" s="147">
        <f t="shared" si="396"/>
        <v>10360000</v>
      </c>
      <c r="N1711" s="147">
        <f t="shared" si="397"/>
        <v>10360000</v>
      </c>
      <c r="O1711" s="136">
        <f t="shared" si="393"/>
        <v>0</v>
      </c>
      <c r="P1711" s="71">
        <f t="shared" si="394"/>
        <v>10360000</v>
      </c>
    </row>
    <row r="1712" spans="1:16" s="58" customFormat="1" ht="21" customHeight="1">
      <c r="A1712" s="142">
        <f t="shared" si="399"/>
        <v>58</v>
      </c>
      <c r="B1712" s="143" t="s">
        <v>2003</v>
      </c>
      <c r="C1712" s="142" t="s">
        <v>1945</v>
      </c>
      <c r="D1712" s="154"/>
      <c r="E1712" s="142"/>
      <c r="F1712" s="142"/>
      <c r="G1712" s="145"/>
      <c r="H1712" s="145"/>
      <c r="I1712" s="146">
        <v>10080000</v>
      </c>
      <c r="J1712" s="146">
        <f t="shared" si="395"/>
        <v>10080000</v>
      </c>
      <c r="K1712" s="142" t="s">
        <v>1945</v>
      </c>
      <c r="L1712" s="146"/>
      <c r="M1712" s="147">
        <f t="shared" si="396"/>
        <v>10080000</v>
      </c>
      <c r="N1712" s="147">
        <f t="shared" si="397"/>
        <v>10080000</v>
      </c>
      <c r="O1712" s="136">
        <f t="shared" si="393"/>
        <v>0</v>
      </c>
      <c r="P1712" s="71">
        <f t="shared" si="394"/>
        <v>10080000</v>
      </c>
    </row>
    <row r="1713" spans="1:16" s="58" customFormat="1" ht="21" customHeight="1">
      <c r="A1713" s="142">
        <f t="shared" si="399"/>
        <v>59</v>
      </c>
      <c r="B1713" s="143" t="s">
        <v>2004</v>
      </c>
      <c r="C1713" s="142" t="s">
        <v>1945</v>
      </c>
      <c r="D1713" s="154"/>
      <c r="E1713" s="142"/>
      <c r="F1713" s="142"/>
      <c r="G1713" s="145"/>
      <c r="H1713" s="145"/>
      <c r="I1713" s="146">
        <v>10780000</v>
      </c>
      <c r="J1713" s="146">
        <f t="shared" si="395"/>
        <v>10780000</v>
      </c>
      <c r="K1713" s="142" t="s">
        <v>1945</v>
      </c>
      <c r="L1713" s="146"/>
      <c r="M1713" s="147">
        <f t="shared" si="396"/>
        <v>10780000</v>
      </c>
      <c r="N1713" s="147">
        <f t="shared" si="397"/>
        <v>10780000</v>
      </c>
      <c r="O1713" s="136">
        <f t="shared" si="393"/>
        <v>0</v>
      </c>
      <c r="P1713" s="71">
        <f t="shared" si="394"/>
        <v>10780000</v>
      </c>
    </row>
    <row r="1714" spans="1:16" s="58" customFormat="1" ht="21" customHeight="1">
      <c r="A1714" s="142">
        <f t="shared" si="399"/>
        <v>60</v>
      </c>
      <c r="B1714" s="143" t="s">
        <v>2005</v>
      </c>
      <c r="C1714" s="142" t="s">
        <v>1945</v>
      </c>
      <c r="D1714" s="154"/>
      <c r="E1714" s="142"/>
      <c r="F1714" s="142"/>
      <c r="G1714" s="145"/>
      <c r="H1714" s="145"/>
      <c r="I1714" s="146">
        <v>11340000</v>
      </c>
      <c r="J1714" s="146">
        <f t="shared" si="395"/>
        <v>11340000</v>
      </c>
      <c r="K1714" s="142" t="s">
        <v>1945</v>
      </c>
      <c r="L1714" s="146"/>
      <c r="M1714" s="147">
        <f t="shared" si="396"/>
        <v>11340000</v>
      </c>
      <c r="N1714" s="147">
        <f t="shared" si="397"/>
        <v>11340000</v>
      </c>
      <c r="O1714" s="136">
        <f t="shared" si="393"/>
        <v>0</v>
      </c>
      <c r="P1714" s="71">
        <f t="shared" si="394"/>
        <v>11340000</v>
      </c>
    </row>
    <row r="1715" spans="1:16" s="58" customFormat="1" ht="21" customHeight="1">
      <c r="A1715" s="142">
        <f t="shared" si="399"/>
        <v>61</v>
      </c>
      <c r="B1715" s="143" t="s">
        <v>2006</v>
      </c>
      <c r="C1715" s="142" t="s">
        <v>1945</v>
      </c>
      <c r="D1715" s="154"/>
      <c r="E1715" s="142"/>
      <c r="F1715" s="142"/>
      <c r="G1715" s="145"/>
      <c r="H1715" s="145"/>
      <c r="I1715" s="146">
        <v>10500000</v>
      </c>
      <c r="J1715" s="146">
        <f t="shared" si="395"/>
        <v>10500000</v>
      </c>
      <c r="K1715" s="142" t="s">
        <v>1945</v>
      </c>
      <c r="L1715" s="146"/>
      <c r="M1715" s="147">
        <f t="shared" si="396"/>
        <v>10500000</v>
      </c>
      <c r="N1715" s="147">
        <f t="shared" si="397"/>
        <v>10500000</v>
      </c>
      <c r="O1715" s="136">
        <f t="shared" si="393"/>
        <v>0</v>
      </c>
      <c r="P1715" s="71">
        <f t="shared" si="394"/>
        <v>10500000</v>
      </c>
    </row>
    <row r="1716" spans="1:16" s="58" customFormat="1" ht="21" customHeight="1">
      <c r="A1716" s="142">
        <f t="shared" si="399"/>
        <v>62</v>
      </c>
      <c r="B1716" s="143" t="s">
        <v>2007</v>
      </c>
      <c r="C1716" s="142" t="s">
        <v>1945</v>
      </c>
      <c r="D1716" s="154"/>
      <c r="E1716" s="142"/>
      <c r="F1716" s="142"/>
      <c r="G1716" s="145"/>
      <c r="H1716" s="145"/>
      <c r="I1716" s="146">
        <v>11200000</v>
      </c>
      <c r="J1716" s="146">
        <f t="shared" si="395"/>
        <v>11200000</v>
      </c>
      <c r="K1716" s="142" t="s">
        <v>1945</v>
      </c>
      <c r="L1716" s="146"/>
      <c r="M1716" s="147">
        <f t="shared" si="396"/>
        <v>11200000</v>
      </c>
      <c r="N1716" s="147">
        <f t="shared" si="397"/>
        <v>11200000</v>
      </c>
      <c r="O1716" s="136">
        <f t="shared" si="393"/>
        <v>0</v>
      </c>
      <c r="P1716" s="71">
        <f t="shared" si="394"/>
        <v>11200000</v>
      </c>
    </row>
    <row r="1717" spans="1:16" s="58" customFormat="1" ht="21" customHeight="1">
      <c r="A1717" s="142">
        <f t="shared" si="399"/>
        <v>63</v>
      </c>
      <c r="B1717" s="143" t="s">
        <v>2008</v>
      </c>
      <c r="C1717" s="142" t="s">
        <v>1945</v>
      </c>
      <c r="D1717" s="154"/>
      <c r="E1717" s="142"/>
      <c r="F1717" s="142"/>
      <c r="G1717" s="145"/>
      <c r="H1717" s="145"/>
      <c r="I1717" s="146">
        <v>11620000</v>
      </c>
      <c r="J1717" s="146">
        <f t="shared" si="395"/>
        <v>11620000</v>
      </c>
      <c r="K1717" s="142" t="s">
        <v>1945</v>
      </c>
      <c r="L1717" s="146"/>
      <c r="M1717" s="147">
        <f t="shared" si="396"/>
        <v>11620000</v>
      </c>
      <c r="N1717" s="147">
        <f t="shared" si="397"/>
        <v>11620000</v>
      </c>
      <c r="O1717" s="136">
        <f t="shared" ref="O1717:O1780" si="400">E1717</f>
        <v>0</v>
      </c>
      <c r="P1717" s="71">
        <f t="shared" ref="P1717:P1780" si="401">M1717</f>
        <v>11620000</v>
      </c>
    </row>
    <row r="1718" spans="1:16" s="58" customFormat="1" ht="21" customHeight="1">
      <c r="A1718" s="142">
        <f t="shared" si="399"/>
        <v>64</v>
      </c>
      <c r="B1718" s="143" t="s">
        <v>2009</v>
      </c>
      <c r="C1718" s="142" t="s">
        <v>1945</v>
      </c>
      <c r="D1718" s="154"/>
      <c r="E1718" s="142"/>
      <c r="F1718" s="142"/>
      <c r="G1718" s="145"/>
      <c r="H1718" s="145"/>
      <c r="I1718" s="146">
        <v>14825600</v>
      </c>
      <c r="J1718" s="146">
        <f t="shared" si="395"/>
        <v>14825600</v>
      </c>
      <c r="K1718" s="142" t="s">
        <v>1945</v>
      </c>
      <c r="L1718" s="146"/>
      <c r="M1718" s="147">
        <f t="shared" si="396"/>
        <v>14825600</v>
      </c>
      <c r="N1718" s="147">
        <f t="shared" si="397"/>
        <v>14825600</v>
      </c>
      <c r="O1718" s="136">
        <f t="shared" si="400"/>
        <v>0</v>
      </c>
      <c r="P1718" s="71">
        <f t="shared" si="401"/>
        <v>14825600</v>
      </c>
    </row>
    <row r="1719" spans="1:16" s="58" customFormat="1" ht="21" customHeight="1">
      <c r="A1719" s="142">
        <f t="shared" si="399"/>
        <v>65</v>
      </c>
      <c r="B1719" s="143" t="s">
        <v>2010</v>
      </c>
      <c r="C1719" s="142" t="s">
        <v>1945</v>
      </c>
      <c r="D1719" s="154"/>
      <c r="E1719" s="142"/>
      <c r="F1719" s="142"/>
      <c r="G1719" s="145"/>
      <c r="H1719" s="145"/>
      <c r="I1719" s="146">
        <v>21022300</v>
      </c>
      <c r="J1719" s="146">
        <f t="shared" ref="J1719:J1782" si="402">I1719</f>
        <v>21022300</v>
      </c>
      <c r="K1719" s="142" t="s">
        <v>1945</v>
      </c>
      <c r="L1719" s="146"/>
      <c r="M1719" s="147">
        <f t="shared" ref="M1719:M1782" si="403">I1719</f>
        <v>21022300</v>
      </c>
      <c r="N1719" s="147">
        <f t="shared" ref="N1719:N1782" si="404">J1719</f>
        <v>21022300</v>
      </c>
      <c r="O1719" s="136">
        <f t="shared" si="400"/>
        <v>0</v>
      </c>
      <c r="P1719" s="71">
        <f t="shared" si="401"/>
        <v>21022300</v>
      </c>
    </row>
    <row r="1720" spans="1:16" s="58" customFormat="1" ht="21" customHeight="1">
      <c r="A1720" s="142">
        <f t="shared" si="399"/>
        <v>66</v>
      </c>
      <c r="B1720" s="143" t="s">
        <v>2011</v>
      </c>
      <c r="C1720" s="142" t="s">
        <v>1945</v>
      </c>
      <c r="D1720" s="154"/>
      <c r="E1720" s="142"/>
      <c r="F1720" s="142"/>
      <c r="G1720" s="145"/>
      <c r="H1720" s="145"/>
      <c r="I1720" s="146">
        <v>31161200</v>
      </c>
      <c r="J1720" s="146">
        <f t="shared" si="402"/>
        <v>31161200</v>
      </c>
      <c r="K1720" s="142" t="s">
        <v>1945</v>
      </c>
      <c r="L1720" s="146"/>
      <c r="M1720" s="147">
        <f t="shared" si="403"/>
        <v>31161200</v>
      </c>
      <c r="N1720" s="147">
        <f t="shared" si="404"/>
        <v>31161200</v>
      </c>
      <c r="O1720" s="136">
        <f t="shared" si="400"/>
        <v>0</v>
      </c>
      <c r="P1720" s="71">
        <f t="shared" si="401"/>
        <v>31161200</v>
      </c>
    </row>
    <row r="1721" spans="1:16" s="58" customFormat="1" ht="33">
      <c r="A1721" s="142">
        <f t="shared" si="399"/>
        <v>67</v>
      </c>
      <c r="B1721" s="143" t="s">
        <v>2012</v>
      </c>
      <c r="C1721" s="142" t="s">
        <v>1945</v>
      </c>
      <c r="D1721" s="154"/>
      <c r="E1721" s="142"/>
      <c r="F1721" s="142"/>
      <c r="G1721" s="145"/>
      <c r="H1721" s="145"/>
      <c r="I1721" s="146">
        <v>182562000</v>
      </c>
      <c r="J1721" s="146">
        <f t="shared" si="402"/>
        <v>182562000</v>
      </c>
      <c r="K1721" s="142" t="s">
        <v>1945</v>
      </c>
      <c r="L1721" s="146"/>
      <c r="M1721" s="147">
        <f t="shared" si="403"/>
        <v>182562000</v>
      </c>
      <c r="N1721" s="147">
        <f t="shared" si="404"/>
        <v>182562000</v>
      </c>
      <c r="O1721" s="136">
        <f t="shared" si="400"/>
        <v>0</v>
      </c>
      <c r="P1721" s="71">
        <f t="shared" si="401"/>
        <v>182562000</v>
      </c>
    </row>
    <row r="1722" spans="1:16" s="58" customFormat="1" ht="33">
      <c r="A1722" s="142">
        <f t="shared" si="399"/>
        <v>68</v>
      </c>
      <c r="B1722" s="143" t="s">
        <v>2013</v>
      </c>
      <c r="C1722" s="142" t="s">
        <v>1945</v>
      </c>
      <c r="D1722" s="154"/>
      <c r="E1722" s="142"/>
      <c r="F1722" s="142"/>
      <c r="G1722" s="145"/>
      <c r="H1722" s="145"/>
      <c r="I1722" s="146">
        <v>196795000</v>
      </c>
      <c r="J1722" s="146">
        <f t="shared" si="402"/>
        <v>196795000</v>
      </c>
      <c r="K1722" s="142" t="s">
        <v>1945</v>
      </c>
      <c r="L1722" s="146"/>
      <c r="M1722" s="147">
        <f t="shared" si="403"/>
        <v>196795000</v>
      </c>
      <c r="N1722" s="147">
        <f t="shared" si="404"/>
        <v>196795000</v>
      </c>
      <c r="O1722" s="136">
        <f t="shared" si="400"/>
        <v>0</v>
      </c>
      <c r="P1722" s="71">
        <f t="shared" si="401"/>
        <v>196795000</v>
      </c>
    </row>
    <row r="1723" spans="1:16" s="58" customFormat="1" ht="21" customHeight="1">
      <c r="A1723" s="142">
        <f t="shared" si="399"/>
        <v>69</v>
      </c>
      <c r="B1723" s="143" t="s">
        <v>2014</v>
      </c>
      <c r="C1723" s="142" t="s">
        <v>1945</v>
      </c>
      <c r="D1723" s="154"/>
      <c r="E1723" s="142"/>
      <c r="F1723" s="142"/>
      <c r="G1723" s="145"/>
      <c r="H1723" s="145"/>
      <c r="I1723" s="146">
        <v>48285714.285714298</v>
      </c>
      <c r="J1723" s="146">
        <f t="shared" si="402"/>
        <v>48285714.285714298</v>
      </c>
      <c r="K1723" s="142" t="s">
        <v>1945</v>
      </c>
      <c r="L1723" s="146"/>
      <c r="M1723" s="147">
        <f t="shared" si="403"/>
        <v>48285714.285714298</v>
      </c>
      <c r="N1723" s="147">
        <f t="shared" si="404"/>
        <v>48285714.285714298</v>
      </c>
      <c r="O1723" s="136">
        <f t="shared" si="400"/>
        <v>0</v>
      </c>
      <c r="P1723" s="71">
        <f t="shared" si="401"/>
        <v>48285714.285714298</v>
      </c>
    </row>
    <row r="1724" spans="1:16" s="58" customFormat="1" ht="21" customHeight="1">
      <c r="A1724" s="142">
        <f t="shared" si="399"/>
        <v>70</v>
      </c>
      <c r="B1724" s="143" t="s">
        <v>2015</v>
      </c>
      <c r="C1724" s="142" t="s">
        <v>1945</v>
      </c>
      <c r="D1724" s="154"/>
      <c r="E1724" s="142"/>
      <c r="F1724" s="142"/>
      <c r="G1724" s="145"/>
      <c r="H1724" s="145"/>
      <c r="I1724" s="146">
        <v>6285714.2857142864</v>
      </c>
      <c r="J1724" s="146">
        <f t="shared" si="402"/>
        <v>6285714.2857142864</v>
      </c>
      <c r="K1724" s="142" t="s">
        <v>1945</v>
      </c>
      <c r="L1724" s="146"/>
      <c r="M1724" s="147">
        <f t="shared" si="403"/>
        <v>6285714.2857142864</v>
      </c>
      <c r="N1724" s="147">
        <f t="shared" si="404"/>
        <v>6285714.2857142864</v>
      </c>
      <c r="O1724" s="136">
        <f t="shared" si="400"/>
        <v>0</v>
      </c>
      <c r="P1724" s="71">
        <f t="shared" si="401"/>
        <v>6285714.2857142864</v>
      </c>
    </row>
    <row r="1725" spans="1:16" s="58" customFormat="1" ht="21" customHeight="1">
      <c r="A1725" s="142">
        <f t="shared" si="399"/>
        <v>71</v>
      </c>
      <c r="B1725" s="143" t="s">
        <v>2016</v>
      </c>
      <c r="C1725" s="142" t="s">
        <v>1945</v>
      </c>
      <c r="D1725" s="154"/>
      <c r="E1725" s="142"/>
      <c r="F1725" s="142"/>
      <c r="G1725" s="145"/>
      <c r="H1725" s="145"/>
      <c r="I1725" s="146">
        <v>6928571.4285714291</v>
      </c>
      <c r="J1725" s="146">
        <f t="shared" si="402"/>
        <v>6928571.4285714291</v>
      </c>
      <c r="K1725" s="142" t="s">
        <v>1945</v>
      </c>
      <c r="L1725" s="146"/>
      <c r="M1725" s="147">
        <f t="shared" si="403"/>
        <v>6928571.4285714291</v>
      </c>
      <c r="N1725" s="147">
        <f t="shared" si="404"/>
        <v>6928571.4285714291</v>
      </c>
      <c r="O1725" s="136">
        <f t="shared" si="400"/>
        <v>0</v>
      </c>
      <c r="P1725" s="71">
        <f t="shared" si="401"/>
        <v>6928571.4285714291</v>
      </c>
    </row>
    <row r="1726" spans="1:16" s="58" customFormat="1" ht="49.5">
      <c r="A1726" s="142"/>
      <c r="B1726" s="236" t="s">
        <v>2017</v>
      </c>
      <c r="C1726" s="142"/>
      <c r="D1726" s="154"/>
      <c r="E1726" s="142"/>
      <c r="F1726" s="142"/>
      <c r="G1726" s="145"/>
      <c r="H1726" s="145"/>
      <c r="I1726" s="146"/>
      <c r="J1726" s="146">
        <f t="shared" si="402"/>
        <v>0</v>
      </c>
      <c r="K1726" s="142"/>
      <c r="L1726" s="146"/>
      <c r="M1726" s="147"/>
      <c r="N1726" s="147"/>
      <c r="O1726" s="136">
        <f t="shared" si="400"/>
        <v>0</v>
      </c>
      <c r="P1726" s="71">
        <f t="shared" si="401"/>
        <v>0</v>
      </c>
    </row>
    <row r="1727" spans="1:16" s="58" customFormat="1" ht="21" customHeight="1">
      <c r="A1727" s="142">
        <f>A1725+1</f>
        <v>72</v>
      </c>
      <c r="B1727" s="143" t="s">
        <v>2018</v>
      </c>
      <c r="C1727" s="142" t="s">
        <v>1945</v>
      </c>
      <c r="D1727" s="154"/>
      <c r="E1727" s="142"/>
      <c r="F1727" s="142"/>
      <c r="G1727" s="145"/>
      <c r="H1727" s="145"/>
      <c r="I1727" s="146">
        <v>6724995</v>
      </c>
      <c r="J1727" s="146">
        <f t="shared" si="402"/>
        <v>6724995</v>
      </c>
      <c r="K1727" s="142" t="s">
        <v>1945</v>
      </c>
      <c r="L1727" s="146"/>
      <c r="M1727" s="147">
        <f t="shared" si="403"/>
        <v>6724995</v>
      </c>
      <c r="N1727" s="147">
        <f t="shared" si="404"/>
        <v>6724995</v>
      </c>
      <c r="O1727" s="136">
        <f t="shared" si="400"/>
        <v>0</v>
      </c>
      <c r="P1727" s="71">
        <f t="shared" si="401"/>
        <v>6724995</v>
      </c>
    </row>
    <row r="1728" spans="1:16" s="58" customFormat="1" ht="21" customHeight="1">
      <c r="A1728" s="142">
        <f t="shared" si="399"/>
        <v>73</v>
      </c>
      <c r="B1728" s="143" t="s">
        <v>2019</v>
      </c>
      <c r="C1728" s="142" t="s">
        <v>1945</v>
      </c>
      <c r="D1728" s="154"/>
      <c r="E1728" s="142"/>
      <c r="F1728" s="142"/>
      <c r="G1728" s="145"/>
      <c r="H1728" s="145"/>
      <c r="I1728" s="146">
        <v>3777897</v>
      </c>
      <c r="J1728" s="146">
        <f t="shared" si="402"/>
        <v>3777897</v>
      </c>
      <c r="K1728" s="142" t="s">
        <v>1945</v>
      </c>
      <c r="L1728" s="146"/>
      <c r="M1728" s="147">
        <f t="shared" si="403"/>
        <v>3777897</v>
      </c>
      <c r="N1728" s="147">
        <f t="shared" si="404"/>
        <v>3777897</v>
      </c>
      <c r="O1728" s="136">
        <f t="shared" si="400"/>
        <v>0</v>
      </c>
      <c r="P1728" s="71">
        <f t="shared" si="401"/>
        <v>3777897</v>
      </c>
    </row>
    <row r="1729" spans="1:16" s="58" customFormat="1" ht="21" customHeight="1">
      <c r="A1729" s="142">
        <f t="shared" si="399"/>
        <v>74</v>
      </c>
      <c r="B1729" s="143" t="s">
        <v>2020</v>
      </c>
      <c r="C1729" s="142" t="s">
        <v>1945</v>
      </c>
      <c r="D1729" s="154"/>
      <c r="E1729" s="142"/>
      <c r="F1729" s="142"/>
      <c r="G1729" s="145"/>
      <c r="H1729" s="145"/>
      <c r="I1729" s="146">
        <v>8520000</v>
      </c>
      <c r="J1729" s="146">
        <f t="shared" si="402"/>
        <v>8520000</v>
      </c>
      <c r="K1729" s="142" t="s">
        <v>1945</v>
      </c>
      <c r="L1729" s="146"/>
      <c r="M1729" s="147">
        <f t="shared" si="403"/>
        <v>8520000</v>
      </c>
      <c r="N1729" s="147">
        <f t="shared" si="404"/>
        <v>8520000</v>
      </c>
      <c r="O1729" s="136">
        <f t="shared" si="400"/>
        <v>0</v>
      </c>
      <c r="P1729" s="71">
        <f t="shared" si="401"/>
        <v>8520000</v>
      </c>
    </row>
    <row r="1730" spans="1:16" s="58" customFormat="1" ht="21" customHeight="1">
      <c r="A1730" s="142">
        <f t="shared" si="399"/>
        <v>75</v>
      </c>
      <c r="B1730" s="143" t="s">
        <v>2021</v>
      </c>
      <c r="C1730" s="142" t="s">
        <v>1945</v>
      </c>
      <c r="D1730" s="154"/>
      <c r="E1730" s="142"/>
      <c r="F1730" s="142"/>
      <c r="G1730" s="145"/>
      <c r="H1730" s="145"/>
      <c r="I1730" s="146">
        <v>5455400</v>
      </c>
      <c r="J1730" s="146">
        <f t="shared" si="402"/>
        <v>5455400</v>
      </c>
      <c r="K1730" s="142" t="s">
        <v>1945</v>
      </c>
      <c r="L1730" s="146"/>
      <c r="M1730" s="147">
        <f t="shared" si="403"/>
        <v>5455400</v>
      </c>
      <c r="N1730" s="147">
        <f t="shared" si="404"/>
        <v>5455400</v>
      </c>
      <c r="O1730" s="136">
        <f t="shared" si="400"/>
        <v>0</v>
      </c>
      <c r="P1730" s="71">
        <f t="shared" si="401"/>
        <v>5455400</v>
      </c>
    </row>
    <row r="1731" spans="1:16" s="58" customFormat="1" ht="21" customHeight="1">
      <c r="A1731" s="142">
        <f t="shared" si="399"/>
        <v>76</v>
      </c>
      <c r="B1731" s="143" t="s">
        <v>2022</v>
      </c>
      <c r="C1731" s="142" t="s">
        <v>1945</v>
      </c>
      <c r="D1731" s="154"/>
      <c r="E1731" s="142"/>
      <c r="F1731" s="142"/>
      <c r="G1731" s="145"/>
      <c r="H1731" s="145"/>
      <c r="I1731" s="146">
        <v>1423000</v>
      </c>
      <c r="J1731" s="146">
        <f t="shared" si="402"/>
        <v>1423000</v>
      </c>
      <c r="K1731" s="142" t="s">
        <v>1945</v>
      </c>
      <c r="L1731" s="146"/>
      <c r="M1731" s="147">
        <f t="shared" si="403"/>
        <v>1423000</v>
      </c>
      <c r="N1731" s="147">
        <f t="shared" si="404"/>
        <v>1423000</v>
      </c>
      <c r="O1731" s="136">
        <f t="shared" si="400"/>
        <v>0</v>
      </c>
      <c r="P1731" s="71">
        <f t="shared" si="401"/>
        <v>1423000</v>
      </c>
    </row>
    <row r="1732" spans="1:16" s="58" customFormat="1" ht="21" customHeight="1">
      <c r="A1732" s="142">
        <f t="shared" si="399"/>
        <v>77</v>
      </c>
      <c r="B1732" s="143" t="s">
        <v>2023</v>
      </c>
      <c r="C1732" s="142" t="s">
        <v>1945</v>
      </c>
      <c r="D1732" s="154"/>
      <c r="E1732" s="142"/>
      <c r="F1732" s="142"/>
      <c r="G1732" s="145"/>
      <c r="H1732" s="145"/>
      <c r="I1732" s="146">
        <v>1666666.6666666667</v>
      </c>
      <c r="J1732" s="146">
        <f t="shared" si="402"/>
        <v>1666666.6666666667</v>
      </c>
      <c r="K1732" s="142" t="s">
        <v>1945</v>
      </c>
      <c r="L1732" s="146"/>
      <c r="M1732" s="147">
        <f t="shared" si="403"/>
        <v>1666666.6666666667</v>
      </c>
      <c r="N1732" s="147">
        <f t="shared" si="404"/>
        <v>1666666.6666666667</v>
      </c>
      <c r="O1732" s="136">
        <f t="shared" si="400"/>
        <v>0</v>
      </c>
      <c r="P1732" s="71">
        <f t="shared" si="401"/>
        <v>1666666.6666666667</v>
      </c>
    </row>
    <row r="1733" spans="1:16" s="58" customFormat="1" ht="21" customHeight="1">
      <c r="A1733" s="142">
        <f t="shared" si="399"/>
        <v>78</v>
      </c>
      <c r="B1733" s="143" t="s">
        <v>2024</v>
      </c>
      <c r="C1733" s="142" t="s">
        <v>1945</v>
      </c>
      <c r="D1733" s="154"/>
      <c r="E1733" s="142"/>
      <c r="F1733" s="142"/>
      <c r="G1733" s="145"/>
      <c r="H1733" s="145"/>
      <c r="I1733" s="146">
        <v>2166666.666666667</v>
      </c>
      <c r="J1733" s="146">
        <f t="shared" si="402"/>
        <v>2166666.666666667</v>
      </c>
      <c r="K1733" s="142" t="s">
        <v>1945</v>
      </c>
      <c r="L1733" s="146"/>
      <c r="M1733" s="147">
        <f t="shared" si="403"/>
        <v>2166666.666666667</v>
      </c>
      <c r="N1733" s="147">
        <f t="shared" si="404"/>
        <v>2166666.666666667</v>
      </c>
      <c r="O1733" s="136">
        <f t="shared" si="400"/>
        <v>0</v>
      </c>
      <c r="P1733" s="71">
        <f t="shared" si="401"/>
        <v>2166666.666666667</v>
      </c>
    </row>
    <row r="1734" spans="1:16" s="58" customFormat="1" ht="21" customHeight="1">
      <c r="A1734" s="142">
        <f t="shared" si="399"/>
        <v>79</v>
      </c>
      <c r="B1734" s="143" t="s">
        <v>2025</v>
      </c>
      <c r="C1734" s="142" t="s">
        <v>1945</v>
      </c>
      <c r="D1734" s="154"/>
      <c r="E1734" s="142"/>
      <c r="F1734" s="142"/>
      <c r="G1734" s="145"/>
      <c r="H1734" s="145"/>
      <c r="I1734" s="146">
        <v>3583333.3333333335</v>
      </c>
      <c r="J1734" s="146">
        <f t="shared" si="402"/>
        <v>3583333.3333333335</v>
      </c>
      <c r="K1734" s="142" t="s">
        <v>1945</v>
      </c>
      <c r="L1734" s="146"/>
      <c r="M1734" s="147">
        <f t="shared" si="403"/>
        <v>3583333.3333333335</v>
      </c>
      <c r="N1734" s="147">
        <f t="shared" si="404"/>
        <v>3583333.3333333335</v>
      </c>
      <c r="O1734" s="136">
        <f t="shared" si="400"/>
        <v>0</v>
      </c>
      <c r="P1734" s="71">
        <f t="shared" si="401"/>
        <v>3583333.3333333335</v>
      </c>
    </row>
    <row r="1735" spans="1:16" s="58" customFormat="1" ht="21" customHeight="1">
      <c r="A1735" s="142">
        <f t="shared" si="399"/>
        <v>80</v>
      </c>
      <c r="B1735" s="143" t="s">
        <v>2026</v>
      </c>
      <c r="C1735" s="142" t="s">
        <v>1945</v>
      </c>
      <c r="D1735" s="154"/>
      <c r="E1735" s="142"/>
      <c r="F1735" s="142"/>
      <c r="G1735" s="145"/>
      <c r="H1735" s="145"/>
      <c r="I1735" s="146">
        <v>2816666.666666667</v>
      </c>
      <c r="J1735" s="146">
        <f t="shared" si="402"/>
        <v>2816666.666666667</v>
      </c>
      <c r="K1735" s="142" t="s">
        <v>1945</v>
      </c>
      <c r="L1735" s="146"/>
      <c r="M1735" s="147">
        <f t="shared" si="403"/>
        <v>2816666.666666667</v>
      </c>
      <c r="N1735" s="147">
        <f t="shared" si="404"/>
        <v>2816666.666666667</v>
      </c>
      <c r="O1735" s="136">
        <f t="shared" si="400"/>
        <v>0</v>
      </c>
      <c r="P1735" s="71">
        <f t="shared" si="401"/>
        <v>2816666.666666667</v>
      </c>
    </row>
    <row r="1736" spans="1:16" s="58" customFormat="1" ht="21" customHeight="1">
      <c r="A1736" s="142">
        <f t="shared" si="399"/>
        <v>81</v>
      </c>
      <c r="B1736" s="143" t="s">
        <v>2027</v>
      </c>
      <c r="C1736" s="142" t="s">
        <v>1945</v>
      </c>
      <c r="D1736" s="154"/>
      <c r="E1736" s="142"/>
      <c r="F1736" s="142"/>
      <c r="G1736" s="145"/>
      <c r="H1736" s="145"/>
      <c r="I1736" s="146">
        <v>2416666.666666667</v>
      </c>
      <c r="J1736" s="146">
        <f t="shared" si="402"/>
        <v>2416666.666666667</v>
      </c>
      <c r="K1736" s="142" t="s">
        <v>1945</v>
      </c>
      <c r="L1736" s="146"/>
      <c r="M1736" s="147">
        <f t="shared" si="403"/>
        <v>2416666.666666667</v>
      </c>
      <c r="N1736" s="147">
        <f t="shared" si="404"/>
        <v>2416666.666666667</v>
      </c>
      <c r="O1736" s="136">
        <f t="shared" si="400"/>
        <v>0</v>
      </c>
      <c r="P1736" s="71">
        <f t="shared" si="401"/>
        <v>2416666.666666667</v>
      </c>
    </row>
    <row r="1737" spans="1:16" s="58" customFormat="1" ht="21" customHeight="1">
      <c r="A1737" s="142">
        <f t="shared" si="399"/>
        <v>82</v>
      </c>
      <c r="B1737" s="143" t="s">
        <v>2028</v>
      </c>
      <c r="C1737" s="142" t="s">
        <v>1945</v>
      </c>
      <c r="D1737" s="154"/>
      <c r="E1737" s="142"/>
      <c r="F1737" s="142"/>
      <c r="G1737" s="145"/>
      <c r="H1737" s="145"/>
      <c r="I1737" s="146">
        <v>266666.66666666669</v>
      </c>
      <c r="J1737" s="146">
        <f t="shared" si="402"/>
        <v>266666.66666666669</v>
      </c>
      <c r="K1737" s="142" t="s">
        <v>1945</v>
      </c>
      <c r="L1737" s="146"/>
      <c r="M1737" s="147">
        <f t="shared" si="403"/>
        <v>266666.66666666669</v>
      </c>
      <c r="N1737" s="147">
        <f t="shared" si="404"/>
        <v>266666.66666666669</v>
      </c>
      <c r="O1737" s="136">
        <f t="shared" si="400"/>
        <v>0</v>
      </c>
      <c r="P1737" s="71">
        <f t="shared" si="401"/>
        <v>266666.66666666669</v>
      </c>
    </row>
    <row r="1738" spans="1:16" s="58" customFormat="1" ht="21" customHeight="1">
      <c r="A1738" s="142">
        <f t="shared" si="399"/>
        <v>83</v>
      </c>
      <c r="B1738" s="143" t="s">
        <v>2029</v>
      </c>
      <c r="C1738" s="142" t="s">
        <v>1945</v>
      </c>
      <c r="D1738" s="154"/>
      <c r="E1738" s="142"/>
      <c r="F1738" s="142"/>
      <c r="G1738" s="145"/>
      <c r="H1738" s="145"/>
      <c r="I1738" s="146">
        <v>500000</v>
      </c>
      <c r="J1738" s="146">
        <f t="shared" si="402"/>
        <v>500000</v>
      </c>
      <c r="K1738" s="142" t="s">
        <v>1945</v>
      </c>
      <c r="L1738" s="146"/>
      <c r="M1738" s="147">
        <f t="shared" si="403"/>
        <v>500000</v>
      </c>
      <c r="N1738" s="147">
        <f t="shared" si="404"/>
        <v>500000</v>
      </c>
      <c r="O1738" s="136">
        <f t="shared" si="400"/>
        <v>0</v>
      </c>
      <c r="P1738" s="71">
        <f t="shared" si="401"/>
        <v>500000</v>
      </c>
    </row>
    <row r="1739" spans="1:16" s="58" customFormat="1" ht="33">
      <c r="A1739" s="142"/>
      <c r="B1739" s="236" t="s">
        <v>2030</v>
      </c>
      <c r="C1739" s="142"/>
      <c r="D1739" s="154"/>
      <c r="E1739" s="142"/>
      <c r="F1739" s="142"/>
      <c r="G1739" s="145"/>
      <c r="H1739" s="145"/>
      <c r="I1739" s="146"/>
      <c r="J1739" s="146">
        <f t="shared" si="402"/>
        <v>0</v>
      </c>
      <c r="K1739" s="142"/>
      <c r="L1739" s="146"/>
      <c r="M1739" s="147">
        <f t="shared" si="403"/>
        <v>0</v>
      </c>
      <c r="N1739" s="147">
        <f t="shared" si="404"/>
        <v>0</v>
      </c>
      <c r="O1739" s="136">
        <f t="shared" si="400"/>
        <v>0</v>
      </c>
      <c r="P1739" s="71">
        <f t="shared" si="401"/>
        <v>0</v>
      </c>
    </row>
    <row r="1740" spans="1:16" s="58" customFormat="1" ht="21" customHeight="1">
      <c r="A1740" s="142">
        <f>A1738+1</f>
        <v>84</v>
      </c>
      <c r="B1740" s="143" t="s">
        <v>2031</v>
      </c>
      <c r="C1740" s="142" t="s">
        <v>1945</v>
      </c>
      <c r="D1740" s="154"/>
      <c r="E1740" s="142"/>
      <c r="F1740" s="142"/>
      <c r="G1740" s="145"/>
      <c r="H1740" s="145"/>
      <c r="I1740" s="146">
        <v>1969230.7692307692</v>
      </c>
      <c r="J1740" s="146">
        <f t="shared" si="402"/>
        <v>1969230.7692307692</v>
      </c>
      <c r="K1740" s="142" t="s">
        <v>1945</v>
      </c>
      <c r="L1740" s="146"/>
      <c r="M1740" s="147">
        <f t="shared" si="403"/>
        <v>1969230.7692307692</v>
      </c>
      <c r="N1740" s="147">
        <f t="shared" si="404"/>
        <v>1969230.7692307692</v>
      </c>
      <c r="O1740" s="136">
        <f t="shared" si="400"/>
        <v>0</v>
      </c>
      <c r="P1740" s="71">
        <f t="shared" si="401"/>
        <v>1969230.7692307692</v>
      </c>
    </row>
    <row r="1741" spans="1:16" s="58" customFormat="1" ht="21" customHeight="1">
      <c r="A1741" s="142">
        <f t="shared" ref="A1741:A1759" si="405">A1740+1</f>
        <v>85</v>
      </c>
      <c r="B1741" s="143" t="s">
        <v>2032</v>
      </c>
      <c r="C1741" s="142" t="s">
        <v>1945</v>
      </c>
      <c r="D1741" s="154"/>
      <c r="E1741" s="142"/>
      <c r="F1741" s="142"/>
      <c r="G1741" s="145"/>
      <c r="H1741" s="145"/>
      <c r="I1741" s="146">
        <v>2230769.2307692305</v>
      </c>
      <c r="J1741" s="146">
        <f t="shared" si="402"/>
        <v>2230769.2307692305</v>
      </c>
      <c r="K1741" s="142" t="s">
        <v>1945</v>
      </c>
      <c r="L1741" s="146"/>
      <c r="M1741" s="147">
        <f t="shared" si="403"/>
        <v>2230769.2307692305</v>
      </c>
      <c r="N1741" s="147">
        <f t="shared" si="404"/>
        <v>2230769.2307692305</v>
      </c>
      <c r="O1741" s="136">
        <f t="shared" si="400"/>
        <v>0</v>
      </c>
      <c r="P1741" s="71">
        <f t="shared" si="401"/>
        <v>2230769.2307692305</v>
      </c>
    </row>
    <row r="1742" spans="1:16" s="58" customFormat="1" ht="21" customHeight="1">
      <c r="A1742" s="142">
        <f t="shared" si="405"/>
        <v>86</v>
      </c>
      <c r="B1742" s="143" t="s">
        <v>2033</v>
      </c>
      <c r="C1742" s="142" t="s">
        <v>1945</v>
      </c>
      <c r="D1742" s="154"/>
      <c r="E1742" s="142"/>
      <c r="F1742" s="142"/>
      <c r="G1742" s="145"/>
      <c r="H1742" s="145"/>
      <c r="I1742" s="146">
        <v>3000000</v>
      </c>
      <c r="J1742" s="146">
        <f t="shared" si="402"/>
        <v>3000000</v>
      </c>
      <c r="K1742" s="142" t="s">
        <v>1945</v>
      </c>
      <c r="L1742" s="146"/>
      <c r="M1742" s="147">
        <f t="shared" si="403"/>
        <v>3000000</v>
      </c>
      <c r="N1742" s="147">
        <f t="shared" si="404"/>
        <v>3000000</v>
      </c>
      <c r="O1742" s="136">
        <f t="shared" si="400"/>
        <v>0</v>
      </c>
      <c r="P1742" s="71">
        <f t="shared" si="401"/>
        <v>3000000</v>
      </c>
    </row>
    <row r="1743" spans="1:16" s="58" customFormat="1" ht="21" customHeight="1">
      <c r="A1743" s="142">
        <f t="shared" si="405"/>
        <v>87</v>
      </c>
      <c r="B1743" s="143" t="s">
        <v>2034</v>
      </c>
      <c r="C1743" s="142" t="s">
        <v>1945</v>
      </c>
      <c r="D1743" s="154"/>
      <c r="E1743" s="142"/>
      <c r="F1743" s="142"/>
      <c r="G1743" s="145"/>
      <c r="H1743" s="145"/>
      <c r="I1743" s="146">
        <v>2615384.6153846155</v>
      </c>
      <c r="J1743" s="146">
        <f t="shared" si="402"/>
        <v>2615384.6153846155</v>
      </c>
      <c r="K1743" s="142" t="s">
        <v>1945</v>
      </c>
      <c r="L1743" s="146"/>
      <c r="M1743" s="147">
        <f t="shared" si="403"/>
        <v>2615384.6153846155</v>
      </c>
      <c r="N1743" s="147">
        <f t="shared" si="404"/>
        <v>2615384.6153846155</v>
      </c>
      <c r="O1743" s="136">
        <f t="shared" si="400"/>
        <v>0</v>
      </c>
      <c r="P1743" s="71">
        <f t="shared" si="401"/>
        <v>2615384.6153846155</v>
      </c>
    </row>
    <row r="1744" spans="1:16" s="58" customFormat="1" ht="21" customHeight="1">
      <c r="A1744" s="142">
        <f t="shared" si="405"/>
        <v>88</v>
      </c>
      <c r="B1744" s="143" t="s">
        <v>2035</v>
      </c>
      <c r="C1744" s="142" t="s">
        <v>1945</v>
      </c>
      <c r="D1744" s="154"/>
      <c r="E1744" s="142"/>
      <c r="F1744" s="142"/>
      <c r="G1744" s="145"/>
      <c r="H1744" s="145"/>
      <c r="I1744" s="146">
        <v>2769230.769230769</v>
      </c>
      <c r="J1744" s="146">
        <f t="shared" si="402"/>
        <v>2769230.769230769</v>
      </c>
      <c r="K1744" s="142" t="s">
        <v>1945</v>
      </c>
      <c r="L1744" s="146"/>
      <c r="M1744" s="147">
        <f t="shared" si="403"/>
        <v>2769230.769230769</v>
      </c>
      <c r="N1744" s="147">
        <f t="shared" si="404"/>
        <v>2769230.769230769</v>
      </c>
      <c r="O1744" s="136">
        <f t="shared" si="400"/>
        <v>0</v>
      </c>
      <c r="P1744" s="71">
        <f t="shared" si="401"/>
        <v>2769230.769230769</v>
      </c>
    </row>
    <row r="1745" spans="1:16" s="58" customFormat="1" ht="21" customHeight="1">
      <c r="A1745" s="142">
        <f t="shared" si="405"/>
        <v>89</v>
      </c>
      <c r="B1745" s="143" t="s">
        <v>2036</v>
      </c>
      <c r="C1745" s="142" t="s">
        <v>1945</v>
      </c>
      <c r="D1745" s="154"/>
      <c r="E1745" s="142"/>
      <c r="F1745" s="142"/>
      <c r="G1745" s="145"/>
      <c r="H1745" s="145"/>
      <c r="I1745" s="146">
        <v>3307692.3076923075</v>
      </c>
      <c r="J1745" s="146">
        <f t="shared" si="402"/>
        <v>3307692.3076923075</v>
      </c>
      <c r="K1745" s="142" t="s">
        <v>1945</v>
      </c>
      <c r="L1745" s="146"/>
      <c r="M1745" s="147">
        <f t="shared" si="403"/>
        <v>3307692.3076923075</v>
      </c>
      <c r="N1745" s="147">
        <f t="shared" si="404"/>
        <v>3307692.3076923075</v>
      </c>
      <c r="O1745" s="136">
        <f t="shared" si="400"/>
        <v>0</v>
      </c>
      <c r="P1745" s="71">
        <f t="shared" si="401"/>
        <v>3307692.3076923075</v>
      </c>
    </row>
    <row r="1746" spans="1:16" s="58" customFormat="1" ht="21" customHeight="1">
      <c r="A1746" s="142">
        <f t="shared" si="405"/>
        <v>90</v>
      </c>
      <c r="B1746" s="143" t="s">
        <v>2037</v>
      </c>
      <c r="C1746" s="142" t="s">
        <v>1945</v>
      </c>
      <c r="D1746" s="154"/>
      <c r="E1746" s="142"/>
      <c r="F1746" s="142"/>
      <c r="G1746" s="145"/>
      <c r="H1746" s="145"/>
      <c r="I1746" s="146">
        <v>1146153.84615385</v>
      </c>
      <c r="J1746" s="146">
        <f t="shared" si="402"/>
        <v>1146153.84615385</v>
      </c>
      <c r="K1746" s="142" t="s">
        <v>1945</v>
      </c>
      <c r="L1746" s="146"/>
      <c r="M1746" s="147">
        <f t="shared" si="403"/>
        <v>1146153.84615385</v>
      </c>
      <c r="N1746" s="147">
        <f t="shared" si="404"/>
        <v>1146153.84615385</v>
      </c>
      <c r="O1746" s="136">
        <f t="shared" si="400"/>
        <v>0</v>
      </c>
      <c r="P1746" s="71">
        <f t="shared" si="401"/>
        <v>1146153.84615385</v>
      </c>
    </row>
    <row r="1747" spans="1:16" s="58" customFormat="1" ht="21" customHeight="1">
      <c r="A1747" s="142">
        <f t="shared" si="405"/>
        <v>91</v>
      </c>
      <c r="B1747" s="143" t="s">
        <v>2038</v>
      </c>
      <c r="C1747" s="142" t="s">
        <v>1945</v>
      </c>
      <c r="D1747" s="154"/>
      <c r="E1747" s="142"/>
      <c r="F1747" s="142"/>
      <c r="G1747" s="145"/>
      <c r="H1747" s="145"/>
      <c r="I1747" s="146">
        <v>1407692.3076923101</v>
      </c>
      <c r="J1747" s="146">
        <f t="shared" si="402"/>
        <v>1407692.3076923101</v>
      </c>
      <c r="K1747" s="142" t="s">
        <v>1945</v>
      </c>
      <c r="L1747" s="146"/>
      <c r="M1747" s="147">
        <f t="shared" si="403"/>
        <v>1407692.3076923101</v>
      </c>
      <c r="N1747" s="147">
        <f t="shared" si="404"/>
        <v>1407692.3076923101</v>
      </c>
      <c r="O1747" s="136">
        <f t="shared" si="400"/>
        <v>0</v>
      </c>
      <c r="P1747" s="71">
        <f t="shared" si="401"/>
        <v>1407692.3076923101</v>
      </c>
    </row>
    <row r="1748" spans="1:16" s="58" customFormat="1" ht="21" customHeight="1">
      <c r="A1748" s="142">
        <f t="shared" si="405"/>
        <v>92</v>
      </c>
      <c r="B1748" s="143" t="s">
        <v>2039</v>
      </c>
      <c r="C1748" s="142" t="s">
        <v>1945</v>
      </c>
      <c r="D1748" s="154"/>
      <c r="E1748" s="142"/>
      <c r="F1748" s="142"/>
      <c r="G1748" s="145"/>
      <c r="H1748" s="145"/>
      <c r="I1748" s="146">
        <v>1584615.3846153801</v>
      </c>
      <c r="J1748" s="146">
        <f t="shared" si="402"/>
        <v>1584615.3846153801</v>
      </c>
      <c r="K1748" s="142" t="s">
        <v>1945</v>
      </c>
      <c r="L1748" s="146"/>
      <c r="M1748" s="147">
        <f t="shared" si="403"/>
        <v>1584615.3846153801</v>
      </c>
      <c r="N1748" s="147">
        <f t="shared" si="404"/>
        <v>1584615.3846153801</v>
      </c>
      <c r="O1748" s="136">
        <f t="shared" si="400"/>
        <v>0</v>
      </c>
      <c r="P1748" s="71">
        <f t="shared" si="401"/>
        <v>1584615.3846153801</v>
      </c>
    </row>
    <row r="1749" spans="1:16" s="58" customFormat="1" ht="21" customHeight="1">
      <c r="A1749" s="142">
        <f t="shared" si="405"/>
        <v>93</v>
      </c>
      <c r="B1749" s="143" t="s">
        <v>2040</v>
      </c>
      <c r="C1749" s="142" t="s">
        <v>1945</v>
      </c>
      <c r="D1749" s="154"/>
      <c r="E1749" s="142"/>
      <c r="F1749" s="142"/>
      <c r="G1749" s="145"/>
      <c r="H1749" s="145"/>
      <c r="I1749" s="146">
        <v>2076923.0769230768</v>
      </c>
      <c r="J1749" s="146">
        <f t="shared" si="402"/>
        <v>2076923.0769230768</v>
      </c>
      <c r="K1749" s="142" t="s">
        <v>1945</v>
      </c>
      <c r="L1749" s="146"/>
      <c r="M1749" s="147">
        <f t="shared" si="403"/>
        <v>2076923.0769230768</v>
      </c>
      <c r="N1749" s="147">
        <f t="shared" si="404"/>
        <v>2076923.0769230768</v>
      </c>
      <c r="O1749" s="136">
        <f t="shared" si="400"/>
        <v>0</v>
      </c>
      <c r="P1749" s="71">
        <f t="shared" si="401"/>
        <v>2076923.0769230768</v>
      </c>
    </row>
    <row r="1750" spans="1:16" s="58" customFormat="1" ht="21" customHeight="1">
      <c r="A1750" s="142">
        <f t="shared" si="405"/>
        <v>94</v>
      </c>
      <c r="B1750" s="143" t="s">
        <v>2041</v>
      </c>
      <c r="C1750" s="142" t="s">
        <v>1945</v>
      </c>
      <c r="D1750" s="154"/>
      <c r="E1750" s="142"/>
      <c r="F1750" s="142"/>
      <c r="G1750" s="145"/>
      <c r="H1750" s="145"/>
      <c r="I1750" s="146">
        <v>2307692.3076923075</v>
      </c>
      <c r="J1750" s="146">
        <f t="shared" si="402"/>
        <v>2307692.3076923075</v>
      </c>
      <c r="K1750" s="142" t="s">
        <v>1945</v>
      </c>
      <c r="L1750" s="146"/>
      <c r="M1750" s="147">
        <f t="shared" si="403"/>
        <v>2307692.3076923075</v>
      </c>
      <c r="N1750" s="147">
        <f t="shared" si="404"/>
        <v>2307692.3076923075</v>
      </c>
      <c r="O1750" s="136">
        <f t="shared" si="400"/>
        <v>0</v>
      </c>
      <c r="P1750" s="71">
        <f t="shared" si="401"/>
        <v>2307692.3076923075</v>
      </c>
    </row>
    <row r="1751" spans="1:16" s="58" customFormat="1" ht="21" customHeight="1">
      <c r="A1751" s="142">
        <f t="shared" si="405"/>
        <v>95</v>
      </c>
      <c r="B1751" s="143" t="s">
        <v>2042</v>
      </c>
      <c r="C1751" s="142" t="s">
        <v>1945</v>
      </c>
      <c r="D1751" s="154"/>
      <c r="E1751" s="142"/>
      <c r="F1751" s="142"/>
      <c r="G1751" s="145"/>
      <c r="H1751" s="145"/>
      <c r="I1751" s="146">
        <v>2461538.4615384615</v>
      </c>
      <c r="J1751" s="146">
        <f t="shared" si="402"/>
        <v>2461538.4615384615</v>
      </c>
      <c r="K1751" s="142" t="s">
        <v>1945</v>
      </c>
      <c r="L1751" s="146"/>
      <c r="M1751" s="147">
        <f t="shared" si="403"/>
        <v>2461538.4615384615</v>
      </c>
      <c r="N1751" s="147">
        <f t="shared" si="404"/>
        <v>2461538.4615384615</v>
      </c>
      <c r="O1751" s="136">
        <f t="shared" si="400"/>
        <v>0</v>
      </c>
      <c r="P1751" s="71">
        <f t="shared" si="401"/>
        <v>2461538.4615384615</v>
      </c>
    </row>
    <row r="1752" spans="1:16" s="58" customFormat="1" ht="21" customHeight="1">
      <c r="A1752" s="142">
        <f t="shared" si="405"/>
        <v>96</v>
      </c>
      <c r="B1752" s="143" t="s">
        <v>2043</v>
      </c>
      <c r="C1752" s="142" t="s">
        <v>1945</v>
      </c>
      <c r="D1752" s="154"/>
      <c r="E1752" s="142"/>
      <c r="F1752" s="142"/>
      <c r="G1752" s="145"/>
      <c r="H1752" s="145"/>
      <c r="I1752" s="146">
        <v>3000000</v>
      </c>
      <c r="J1752" s="146">
        <f t="shared" si="402"/>
        <v>3000000</v>
      </c>
      <c r="K1752" s="142" t="s">
        <v>1945</v>
      </c>
      <c r="L1752" s="146"/>
      <c r="M1752" s="147">
        <f t="shared" si="403"/>
        <v>3000000</v>
      </c>
      <c r="N1752" s="147">
        <f t="shared" si="404"/>
        <v>3000000</v>
      </c>
      <c r="O1752" s="136">
        <f t="shared" si="400"/>
        <v>0</v>
      </c>
      <c r="P1752" s="71">
        <f t="shared" si="401"/>
        <v>3000000</v>
      </c>
    </row>
    <row r="1753" spans="1:16" s="58" customFormat="1" ht="21" customHeight="1">
      <c r="A1753" s="142">
        <f t="shared" si="405"/>
        <v>97</v>
      </c>
      <c r="B1753" s="143" t="s">
        <v>2044</v>
      </c>
      <c r="C1753" s="142" t="s">
        <v>1945</v>
      </c>
      <c r="D1753" s="154"/>
      <c r="E1753" s="142"/>
      <c r="F1753" s="142"/>
      <c r="G1753" s="145"/>
      <c r="H1753" s="145"/>
      <c r="I1753" s="146">
        <v>3153846.1538461535</v>
      </c>
      <c r="J1753" s="146">
        <f t="shared" si="402"/>
        <v>3153846.1538461535</v>
      </c>
      <c r="K1753" s="142" t="s">
        <v>1945</v>
      </c>
      <c r="L1753" s="146"/>
      <c r="M1753" s="147">
        <f t="shared" si="403"/>
        <v>3153846.1538461535</v>
      </c>
      <c r="N1753" s="147">
        <f t="shared" si="404"/>
        <v>3153846.1538461535</v>
      </c>
      <c r="O1753" s="136">
        <f t="shared" si="400"/>
        <v>0</v>
      </c>
      <c r="P1753" s="71">
        <f t="shared" si="401"/>
        <v>3153846.1538461535</v>
      </c>
    </row>
    <row r="1754" spans="1:16" s="58" customFormat="1" ht="21" customHeight="1">
      <c r="A1754" s="142">
        <f t="shared" si="405"/>
        <v>98</v>
      </c>
      <c r="B1754" s="143" t="s">
        <v>2045</v>
      </c>
      <c r="C1754" s="142" t="s">
        <v>1945</v>
      </c>
      <c r="D1754" s="154"/>
      <c r="E1754" s="142"/>
      <c r="F1754" s="142"/>
      <c r="G1754" s="145"/>
      <c r="H1754" s="145"/>
      <c r="I1754" s="146">
        <v>3615384.6153846155</v>
      </c>
      <c r="J1754" s="146">
        <f t="shared" si="402"/>
        <v>3615384.6153846155</v>
      </c>
      <c r="K1754" s="142" t="s">
        <v>1945</v>
      </c>
      <c r="L1754" s="146"/>
      <c r="M1754" s="147">
        <f t="shared" si="403"/>
        <v>3615384.6153846155</v>
      </c>
      <c r="N1754" s="147">
        <f t="shared" si="404"/>
        <v>3615384.6153846155</v>
      </c>
      <c r="O1754" s="136">
        <f t="shared" si="400"/>
        <v>0</v>
      </c>
      <c r="P1754" s="71">
        <f t="shared" si="401"/>
        <v>3615384.6153846155</v>
      </c>
    </row>
    <row r="1755" spans="1:16" s="58" customFormat="1" ht="21" customHeight="1">
      <c r="A1755" s="142">
        <f t="shared" si="405"/>
        <v>99</v>
      </c>
      <c r="B1755" s="143" t="s">
        <v>2046</v>
      </c>
      <c r="C1755" s="142" t="s">
        <v>1945</v>
      </c>
      <c r="D1755" s="154"/>
      <c r="E1755" s="142"/>
      <c r="F1755" s="142"/>
      <c r="G1755" s="145"/>
      <c r="H1755" s="145"/>
      <c r="I1755" s="146">
        <v>4307692.3076923098</v>
      </c>
      <c r="J1755" s="146">
        <f t="shared" si="402"/>
        <v>4307692.3076923098</v>
      </c>
      <c r="K1755" s="142" t="s">
        <v>1945</v>
      </c>
      <c r="L1755" s="146"/>
      <c r="M1755" s="147">
        <f t="shared" si="403"/>
        <v>4307692.3076923098</v>
      </c>
      <c r="N1755" s="147">
        <f t="shared" si="404"/>
        <v>4307692.3076923098</v>
      </c>
      <c r="O1755" s="136">
        <f t="shared" si="400"/>
        <v>0</v>
      </c>
      <c r="P1755" s="71">
        <f t="shared" si="401"/>
        <v>4307692.3076923098</v>
      </c>
    </row>
    <row r="1756" spans="1:16" s="58" customFormat="1" ht="21" customHeight="1">
      <c r="A1756" s="142">
        <f t="shared" si="405"/>
        <v>100</v>
      </c>
      <c r="B1756" s="143" t="s">
        <v>2047</v>
      </c>
      <c r="C1756" s="142" t="s">
        <v>1945</v>
      </c>
      <c r="D1756" s="154"/>
      <c r="E1756" s="142"/>
      <c r="F1756" s="142"/>
      <c r="G1756" s="145"/>
      <c r="H1756" s="145"/>
      <c r="I1756" s="146">
        <v>1093300</v>
      </c>
      <c r="J1756" s="146">
        <f t="shared" si="402"/>
        <v>1093300</v>
      </c>
      <c r="K1756" s="142" t="s">
        <v>1945</v>
      </c>
      <c r="L1756" s="146"/>
      <c r="M1756" s="147">
        <f t="shared" si="403"/>
        <v>1093300</v>
      </c>
      <c r="N1756" s="147">
        <f t="shared" si="404"/>
        <v>1093300</v>
      </c>
      <c r="O1756" s="136">
        <f t="shared" si="400"/>
        <v>0</v>
      </c>
      <c r="P1756" s="71">
        <f t="shared" si="401"/>
        <v>1093300</v>
      </c>
    </row>
    <row r="1757" spans="1:16" s="58" customFormat="1" ht="21" customHeight="1">
      <c r="A1757" s="142">
        <f t="shared" si="405"/>
        <v>101</v>
      </c>
      <c r="B1757" s="143" t="s">
        <v>2048</v>
      </c>
      <c r="C1757" s="142" t="s">
        <v>1945</v>
      </c>
      <c r="D1757" s="154"/>
      <c r="E1757" s="142"/>
      <c r="F1757" s="142"/>
      <c r="G1757" s="145"/>
      <c r="H1757" s="145"/>
      <c r="I1757" s="146">
        <v>6133300</v>
      </c>
      <c r="J1757" s="146">
        <f t="shared" si="402"/>
        <v>6133300</v>
      </c>
      <c r="K1757" s="142" t="s">
        <v>1945</v>
      </c>
      <c r="L1757" s="146"/>
      <c r="M1757" s="147">
        <f t="shared" si="403"/>
        <v>6133300</v>
      </c>
      <c r="N1757" s="147">
        <f t="shared" si="404"/>
        <v>6133300</v>
      </c>
      <c r="O1757" s="136">
        <f t="shared" si="400"/>
        <v>0</v>
      </c>
      <c r="P1757" s="71">
        <f t="shared" si="401"/>
        <v>6133300</v>
      </c>
    </row>
    <row r="1758" spans="1:16" s="58" customFormat="1" ht="21" customHeight="1">
      <c r="A1758" s="142">
        <f t="shared" si="405"/>
        <v>102</v>
      </c>
      <c r="B1758" s="143" t="s">
        <v>2049</v>
      </c>
      <c r="C1758" s="142" t="s">
        <v>1945</v>
      </c>
      <c r="D1758" s="154"/>
      <c r="E1758" s="142"/>
      <c r="F1758" s="142"/>
      <c r="G1758" s="145"/>
      <c r="H1758" s="145"/>
      <c r="I1758" s="146">
        <v>8533333.333333334</v>
      </c>
      <c r="J1758" s="146">
        <f t="shared" si="402"/>
        <v>8533333.333333334</v>
      </c>
      <c r="K1758" s="142" t="s">
        <v>1945</v>
      </c>
      <c r="L1758" s="146"/>
      <c r="M1758" s="147">
        <f t="shared" si="403"/>
        <v>8533333.333333334</v>
      </c>
      <c r="N1758" s="147">
        <f t="shared" si="404"/>
        <v>8533333.333333334</v>
      </c>
      <c r="O1758" s="136">
        <f t="shared" si="400"/>
        <v>0</v>
      </c>
      <c r="P1758" s="71">
        <f t="shared" si="401"/>
        <v>8533333.333333334</v>
      </c>
    </row>
    <row r="1759" spans="1:16" s="58" customFormat="1" ht="21" customHeight="1">
      <c r="A1759" s="142">
        <f t="shared" si="405"/>
        <v>103</v>
      </c>
      <c r="B1759" s="143" t="s">
        <v>2050</v>
      </c>
      <c r="C1759" s="142" t="s">
        <v>1945</v>
      </c>
      <c r="D1759" s="154"/>
      <c r="E1759" s="142"/>
      <c r="F1759" s="142"/>
      <c r="G1759" s="145"/>
      <c r="H1759" s="145"/>
      <c r="I1759" s="146">
        <v>16000000</v>
      </c>
      <c r="J1759" s="146">
        <f t="shared" si="402"/>
        <v>16000000</v>
      </c>
      <c r="K1759" s="142" t="s">
        <v>1945</v>
      </c>
      <c r="L1759" s="146"/>
      <c r="M1759" s="147">
        <f t="shared" si="403"/>
        <v>16000000</v>
      </c>
      <c r="N1759" s="147">
        <f t="shared" si="404"/>
        <v>16000000</v>
      </c>
      <c r="O1759" s="136">
        <f t="shared" si="400"/>
        <v>0</v>
      </c>
      <c r="P1759" s="71">
        <f t="shared" si="401"/>
        <v>16000000</v>
      </c>
    </row>
    <row r="1760" spans="1:16" s="58" customFormat="1" ht="21" customHeight="1">
      <c r="A1760" s="142"/>
      <c r="B1760" s="236" t="s">
        <v>2051</v>
      </c>
      <c r="C1760" s="142"/>
      <c r="D1760" s="154"/>
      <c r="E1760" s="142"/>
      <c r="F1760" s="142"/>
      <c r="G1760" s="145"/>
      <c r="H1760" s="145"/>
      <c r="I1760" s="146"/>
      <c r="J1760" s="146">
        <f t="shared" si="402"/>
        <v>0</v>
      </c>
      <c r="K1760" s="142"/>
      <c r="L1760" s="146"/>
      <c r="M1760" s="147"/>
      <c r="N1760" s="147"/>
      <c r="O1760" s="136">
        <f t="shared" si="400"/>
        <v>0</v>
      </c>
      <c r="P1760" s="71">
        <f t="shared" si="401"/>
        <v>0</v>
      </c>
    </row>
    <row r="1761" spans="1:16" s="58" customFormat="1" ht="21" customHeight="1">
      <c r="A1761" s="142">
        <f>A1759+1</f>
        <v>104</v>
      </c>
      <c r="B1761" s="143" t="s">
        <v>2052</v>
      </c>
      <c r="C1761" s="142" t="s">
        <v>1945</v>
      </c>
      <c r="D1761" s="154"/>
      <c r="E1761" s="142"/>
      <c r="F1761" s="142"/>
      <c r="G1761" s="145"/>
      <c r="H1761" s="145"/>
      <c r="I1761" s="146">
        <v>487674</v>
      </c>
      <c r="J1761" s="146">
        <f t="shared" si="402"/>
        <v>487674</v>
      </c>
      <c r="K1761" s="142" t="s">
        <v>1945</v>
      </c>
      <c r="L1761" s="146"/>
      <c r="M1761" s="147">
        <f t="shared" si="403"/>
        <v>487674</v>
      </c>
      <c r="N1761" s="147">
        <f t="shared" si="404"/>
        <v>487674</v>
      </c>
      <c r="O1761" s="136">
        <f t="shared" si="400"/>
        <v>0</v>
      </c>
      <c r="P1761" s="71">
        <f t="shared" si="401"/>
        <v>487674</v>
      </c>
    </row>
    <row r="1762" spans="1:16" s="58" customFormat="1" ht="21" customHeight="1">
      <c r="A1762" s="142">
        <f t="shared" ref="A1762:A1784" si="406">A1761+1</f>
        <v>105</v>
      </c>
      <c r="B1762" s="143" t="s">
        <v>2053</v>
      </c>
      <c r="C1762" s="142" t="s">
        <v>1945</v>
      </c>
      <c r="D1762" s="154"/>
      <c r="E1762" s="142"/>
      <c r="F1762" s="142"/>
      <c r="G1762" s="145"/>
      <c r="H1762" s="145"/>
      <c r="I1762" s="146">
        <v>270000</v>
      </c>
      <c r="J1762" s="146">
        <f t="shared" si="402"/>
        <v>270000</v>
      </c>
      <c r="K1762" s="142" t="s">
        <v>1945</v>
      </c>
      <c r="L1762" s="146"/>
      <c r="M1762" s="147">
        <f t="shared" si="403"/>
        <v>270000</v>
      </c>
      <c r="N1762" s="147">
        <f t="shared" si="404"/>
        <v>270000</v>
      </c>
      <c r="O1762" s="136">
        <f t="shared" si="400"/>
        <v>0</v>
      </c>
      <c r="P1762" s="71">
        <f t="shared" si="401"/>
        <v>270000</v>
      </c>
    </row>
    <row r="1763" spans="1:16" s="58" customFormat="1" ht="21" customHeight="1">
      <c r="A1763" s="142">
        <f t="shared" si="406"/>
        <v>106</v>
      </c>
      <c r="B1763" s="143" t="s">
        <v>2054</v>
      </c>
      <c r="C1763" s="142" t="s">
        <v>1945</v>
      </c>
      <c r="D1763" s="154"/>
      <c r="E1763" s="142"/>
      <c r="F1763" s="142"/>
      <c r="G1763" s="145"/>
      <c r="H1763" s="145"/>
      <c r="I1763" s="146">
        <v>260000</v>
      </c>
      <c r="J1763" s="146">
        <f t="shared" si="402"/>
        <v>260000</v>
      </c>
      <c r="K1763" s="142" t="s">
        <v>1945</v>
      </c>
      <c r="L1763" s="146"/>
      <c r="M1763" s="147">
        <f t="shared" si="403"/>
        <v>260000</v>
      </c>
      <c r="N1763" s="147">
        <f t="shared" si="404"/>
        <v>260000</v>
      </c>
      <c r="O1763" s="136">
        <f t="shared" si="400"/>
        <v>0</v>
      </c>
      <c r="P1763" s="71">
        <f t="shared" si="401"/>
        <v>260000</v>
      </c>
    </row>
    <row r="1764" spans="1:16" s="58" customFormat="1" ht="21" customHeight="1">
      <c r="A1764" s="142">
        <f t="shared" si="406"/>
        <v>107</v>
      </c>
      <c r="B1764" s="143" t="s">
        <v>2055</v>
      </c>
      <c r="C1764" s="142" t="s">
        <v>1945</v>
      </c>
      <c r="D1764" s="154"/>
      <c r="E1764" s="142"/>
      <c r="F1764" s="142"/>
      <c r="G1764" s="145"/>
      <c r="H1764" s="145"/>
      <c r="I1764" s="146">
        <v>260000</v>
      </c>
      <c r="J1764" s="146">
        <f t="shared" si="402"/>
        <v>260000</v>
      </c>
      <c r="K1764" s="142" t="s">
        <v>1945</v>
      </c>
      <c r="L1764" s="146"/>
      <c r="M1764" s="147">
        <f t="shared" si="403"/>
        <v>260000</v>
      </c>
      <c r="N1764" s="147">
        <f t="shared" si="404"/>
        <v>260000</v>
      </c>
      <c r="O1764" s="136">
        <f t="shared" si="400"/>
        <v>0</v>
      </c>
      <c r="P1764" s="71">
        <f t="shared" si="401"/>
        <v>260000</v>
      </c>
    </row>
    <row r="1765" spans="1:16" s="58" customFormat="1" ht="21" customHeight="1">
      <c r="A1765" s="142">
        <f t="shared" si="406"/>
        <v>108</v>
      </c>
      <c r="B1765" s="143" t="s">
        <v>2056</v>
      </c>
      <c r="C1765" s="142" t="s">
        <v>1945</v>
      </c>
      <c r="D1765" s="154"/>
      <c r="E1765" s="142"/>
      <c r="F1765" s="142"/>
      <c r="G1765" s="145"/>
      <c r="H1765" s="145"/>
      <c r="I1765" s="146">
        <v>545037</v>
      </c>
      <c r="J1765" s="146">
        <f t="shared" si="402"/>
        <v>545037</v>
      </c>
      <c r="K1765" s="142" t="s">
        <v>1945</v>
      </c>
      <c r="L1765" s="146"/>
      <c r="M1765" s="147">
        <f t="shared" si="403"/>
        <v>545037</v>
      </c>
      <c r="N1765" s="147">
        <f t="shared" si="404"/>
        <v>545037</v>
      </c>
      <c r="O1765" s="136">
        <f t="shared" si="400"/>
        <v>0</v>
      </c>
      <c r="P1765" s="71">
        <f t="shared" si="401"/>
        <v>545037</v>
      </c>
    </row>
    <row r="1766" spans="1:16" s="58" customFormat="1" ht="21" customHeight="1">
      <c r="A1766" s="142">
        <f t="shared" si="406"/>
        <v>109</v>
      </c>
      <c r="B1766" s="143" t="s">
        <v>2057</v>
      </c>
      <c r="C1766" s="142" t="s">
        <v>1945</v>
      </c>
      <c r="D1766" s="154"/>
      <c r="E1766" s="142"/>
      <c r="F1766" s="142"/>
      <c r="G1766" s="145"/>
      <c r="H1766" s="145"/>
      <c r="I1766" s="146">
        <v>1685000</v>
      </c>
      <c r="J1766" s="146">
        <f t="shared" si="402"/>
        <v>1685000</v>
      </c>
      <c r="K1766" s="142" t="s">
        <v>1945</v>
      </c>
      <c r="L1766" s="146"/>
      <c r="M1766" s="147">
        <f t="shared" si="403"/>
        <v>1685000</v>
      </c>
      <c r="N1766" s="147">
        <f t="shared" si="404"/>
        <v>1685000</v>
      </c>
      <c r="O1766" s="136">
        <f t="shared" si="400"/>
        <v>0</v>
      </c>
      <c r="P1766" s="71">
        <f t="shared" si="401"/>
        <v>1685000</v>
      </c>
    </row>
    <row r="1767" spans="1:16" s="58" customFormat="1" ht="21" customHeight="1">
      <c r="A1767" s="142">
        <f t="shared" si="406"/>
        <v>110</v>
      </c>
      <c r="B1767" s="143" t="s">
        <v>2058</v>
      </c>
      <c r="C1767" s="142" t="s">
        <v>1945</v>
      </c>
      <c r="D1767" s="154"/>
      <c r="E1767" s="142"/>
      <c r="F1767" s="142"/>
      <c r="G1767" s="145"/>
      <c r="H1767" s="145"/>
      <c r="I1767" s="146">
        <v>4700000</v>
      </c>
      <c r="J1767" s="146">
        <f t="shared" si="402"/>
        <v>4700000</v>
      </c>
      <c r="K1767" s="142" t="s">
        <v>1945</v>
      </c>
      <c r="L1767" s="146"/>
      <c r="M1767" s="147">
        <f t="shared" si="403"/>
        <v>4700000</v>
      </c>
      <c r="N1767" s="147">
        <f t="shared" si="404"/>
        <v>4700000</v>
      </c>
      <c r="O1767" s="136">
        <f t="shared" si="400"/>
        <v>0</v>
      </c>
      <c r="P1767" s="71">
        <f t="shared" si="401"/>
        <v>4700000</v>
      </c>
    </row>
    <row r="1768" spans="1:16" s="58" customFormat="1" ht="21" customHeight="1">
      <c r="A1768" s="142">
        <f t="shared" si="406"/>
        <v>111</v>
      </c>
      <c r="B1768" s="143" t="s">
        <v>2059</v>
      </c>
      <c r="C1768" s="142" t="s">
        <v>1945</v>
      </c>
      <c r="D1768" s="154"/>
      <c r="E1768" s="142"/>
      <c r="F1768" s="142"/>
      <c r="G1768" s="145"/>
      <c r="H1768" s="145"/>
      <c r="I1768" s="146">
        <v>13950000</v>
      </c>
      <c r="J1768" s="146">
        <f t="shared" si="402"/>
        <v>13950000</v>
      </c>
      <c r="K1768" s="142" t="s">
        <v>1945</v>
      </c>
      <c r="L1768" s="146"/>
      <c r="M1768" s="147">
        <f t="shared" si="403"/>
        <v>13950000</v>
      </c>
      <c r="N1768" s="147">
        <f t="shared" si="404"/>
        <v>13950000</v>
      </c>
      <c r="O1768" s="136">
        <f t="shared" si="400"/>
        <v>0</v>
      </c>
      <c r="P1768" s="71">
        <f t="shared" si="401"/>
        <v>13950000</v>
      </c>
    </row>
    <row r="1769" spans="1:16" s="58" customFormat="1" ht="21" customHeight="1">
      <c r="A1769" s="142">
        <f t="shared" si="406"/>
        <v>112</v>
      </c>
      <c r="B1769" s="143" t="s">
        <v>2059</v>
      </c>
      <c r="C1769" s="142" t="s">
        <v>1945</v>
      </c>
      <c r="D1769" s="154"/>
      <c r="E1769" s="142"/>
      <c r="F1769" s="142"/>
      <c r="G1769" s="145"/>
      <c r="H1769" s="145"/>
      <c r="I1769" s="146">
        <v>13310000</v>
      </c>
      <c r="J1769" s="146">
        <f t="shared" si="402"/>
        <v>13310000</v>
      </c>
      <c r="K1769" s="142" t="s">
        <v>1945</v>
      </c>
      <c r="L1769" s="146"/>
      <c r="M1769" s="147">
        <f t="shared" si="403"/>
        <v>13310000</v>
      </c>
      <c r="N1769" s="147">
        <f t="shared" si="404"/>
        <v>13310000</v>
      </c>
      <c r="O1769" s="136">
        <f t="shared" si="400"/>
        <v>0</v>
      </c>
      <c r="P1769" s="71">
        <f t="shared" si="401"/>
        <v>13310000</v>
      </c>
    </row>
    <row r="1770" spans="1:16" s="58" customFormat="1" ht="21" customHeight="1">
      <c r="A1770" s="142">
        <f t="shared" si="406"/>
        <v>113</v>
      </c>
      <c r="B1770" s="143" t="s">
        <v>2060</v>
      </c>
      <c r="C1770" s="142" t="s">
        <v>1945</v>
      </c>
      <c r="D1770" s="154"/>
      <c r="E1770" s="142"/>
      <c r="F1770" s="142"/>
      <c r="G1770" s="145"/>
      <c r="H1770" s="145"/>
      <c r="I1770" s="146">
        <v>338733.43151693698</v>
      </c>
      <c r="J1770" s="146">
        <f t="shared" si="402"/>
        <v>338733.43151693698</v>
      </c>
      <c r="K1770" s="142" t="s">
        <v>1945</v>
      </c>
      <c r="L1770" s="146"/>
      <c r="M1770" s="147">
        <f t="shared" si="403"/>
        <v>338733.43151693698</v>
      </c>
      <c r="N1770" s="147">
        <f t="shared" si="404"/>
        <v>338733.43151693698</v>
      </c>
      <c r="O1770" s="136">
        <f t="shared" si="400"/>
        <v>0</v>
      </c>
      <c r="P1770" s="71">
        <f t="shared" si="401"/>
        <v>338733.43151693698</v>
      </c>
    </row>
    <row r="1771" spans="1:16" s="58" customFormat="1" ht="21" customHeight="1">
      <c r="A1771" s="142">
        <f t="shared" si="406"/>
        <v>114</v>
      </c>
      <c r="B1771" s="143" t="s">
        <v>2061</v>
      </c>
      <c r="C1771" s="142" t="s">
        <v>1945</v>
      </c>
      <c r="D1771" s="154"/>
      <c r="E1771" s="142"/>
      <c r="F1771" s="142"/>
      <c r="G1771" s="145"/>
      <c r="H1771" s="145"/>
      <c r="I1771" s="146">
        <v>360824.74226804124</v>
      </c>
      <c r="J1771" s="146">
        <f t="shared" si="402"/>
        <v>360824.74226804124</v>
      </c>
      <c r="K1771" s="142" t="s">
        <v>1945</v>
      </c>
      <c r="L1771" s="146"/>
      <c r="M1771" s="147">
        <f t="shared" si="403"/>
        <v>360824.74226804124</v>
      </c>
      <c r="N1771" s="147">
        <f t="shared" si="404"/>
        <v>360824.74226804124</v>
      </c>
      <c r="O1771" s="136">
        <f t="shared" si="400"/>
        <v>0</v>
      </c>
      <c r="P1771" s="71">
        <f t="shared" si="401"/>
        <v>360824.74226804124</v>
      </c>
    </row>
    <row r="1772" spans="1:16" s="58" customFormat="1" ht="21" customHeight="1">
      <c r="A1772" s="142">
        <f t="shared" si="406"/>
        <v>115</v>
      </c>
      <c r="B1772" s="143" t="s">
        <v>2062</v>
      </c>
      <c r="C1772" s="142" t="s">
        <v>1945</v>
      </c>
      <c r="D1772" s="154"/>
      <c r="E1772" s="142"/>
      <c r="F1772" s="142"/>
      <c r="G1772" s="145"/>
      <c r="H1772" s="145"/>
      <c r="I1772" s="146">
        <v>456553.75552282773</v>
      </c>
      <c r="J1772" s="146">
        <f t="shared" si="402"/>
        <v>456553.75552282773</v>
      </c>
      <c r="K1772" s="142" t="s">
        <v>1945</v>
      </c>
      <c r="L1772" s="146"/>
      <c r="M1772" s="147">
        <f t="shared" si="403"/>
        <v>456553.75552282773</v>
      </c>
      <c r="N1772" s="147">
        <f t="shared" si="404"/>
        <v>456553.75552282773</v>
      </c>
      <c r="O1772" s="136">
        <f t="shared" si="400"/>
        <v>0</v>
      </c>
      <c r="P1772" s="71">
        <f t="shared" si="401"/>
        <v>456553.75552282773</v>
      </c>
    </row>
    <row r="1773" spans="1:16" s="58" customFormat="1" ht="21" customHeight="1">
      <c r="A1773" s="142">
        <f t="shared" si="406"/>
        <v>116</v>
      </c>
      <c r="B1773" s="143" t="s">
        <v>2063</v>
      </c>
      <c r="C1773" s="142" t="s">
        <v>1945</v>
      </c>
      <c r="D1773" s="154"/>
      <c r="E1773" s="142"/>
      <c r="F1773" s="142"/>
      <c r="G1773" s="145"/>
      <c r="H1773" s="145"/>
      <c r="I1773" s="146">
        <v>2135493.3726067748</v>
      </c>
      <c r="J1773" s="146">
        <f t="shared" si="402"/>
        <v>2135493.3726067748</v>
      </c>
      <c r="K1773" s="142" t="s">
        <v>1945</v>
      </c>
      <c r="L1773" s="146"/>
      <c r="M1773" s="147">
        <f t="shared" si="403"/>
        <v>2135493.3726067748</v>
      </c>
      <c r="N1773" s="147">
        <f t="shared" si="404"/>
        <v>2135493.3726067748</v>
      </c>
      <c r="O1773" s="136">
        <f t="shared" si="400"/>
        <v>0</v>
      </c>
      <c r="P1773" s="71">
        <f t="shared" si="401"/>
        <v>2135493.3726067748</v>
      </c>
    </row>
    <row r="1774" spans="1:16" s="58" customFormat="1" ht="21" customHeight="1">
      <c r="A1774" s="142">
        <f t="shared" si="406"/>
        <v>117</v>
      </c>
      <c r="B1774" s="143" t="s">
        <v>2064</v>
      </c>
      <c r="C1774" s="142" t="s">
        <v>1945</v>
      </c>
      <c r="D1774" s="154"/>
      <c r="E1774" s="142"/>
      <c r="F1774" s="142"/>
      <c r="G1774" s="145"/>
      <c r="H1774" s="145"/>
      <c r="I1774" s="146">
        <v>382916.05301914585</v>
      </c>
      <c r="J1774" s="146">
        <f t="shared" si="402"/>
        <v>382916.05301914585</v>
      </c>
      <c r="K1774" s="142" t="s">
        <v>1945</v>
      </c>
      <c r="L1774" s="146"/>
      <c r="M1774" s="147">
        <f t="shared" si="403"/>
        <v>382916.05301914585</v>
      </c>
      <c r="N1774" s="147">
        <f t="shared" si="404"/>
        <v>382916.05301914585</v>
      </c>
      <c r="O1774" s="136">
        <f t="shared" si="400"/>
        <v>0</v>
      </c>
      <c r="P1774" s="71">
        <f t="shared" si="401"/>
        <v>382916.05301914585</v>
      </c>
    </row>
    <row r="1775" spans="1:16" s="58" customFormat="1" ht="21" customHeight="1">
      <c r="A1775" s="142">
        <f t="shared" si="406"/>
        <v>118</v>
      </c>
      <c r="B1775" s="143" t="s">
        <v>2065</v>
      </c>
      <c r="C1775" s="142" t="s">
        <v>1945</v>
      </c>
      <c r="D1775" s="154"/>
      <c r="E1775" s="142"/>
      <c r="F1775" s="142"/>
      <c r="G1775" s="145"/>
      <c r="H1775" s="145"/>
      <c r="I1775" s="146">
        <v>574374.07952871872</v>
      </c>
      <c r="J1775" s="146">
        <f t="shared" si="402"/>
        <v>574374.07952871872</v>
      </c>
      <c r="K1775" s="142" t="s">
        <v>1945</v>
      </c>
      <c r="L1775" s="146"/>
      <c r="M1775" s="147">
        <f t="shared" si="403"/>
        <v>574374.07952871872</v>
      </c>
      <c r="N1775" s="147">
        <f t="shared" si="404"/>
        <v>574374.07952871872</v>
      </c>
      <c r="O1775" s="136">
        <f t="shared" si="400"/>
        <v>0</v>
      </c>
      <c r="P1775" s="71">
        <f t="shared" si="401"/>
        <v>574374.07952871872</v>
      </c>
    </row>
    <row r="1776" spans="1:16" s="58" customFormat="1" ht="21" customHeight="1">
      <c r="A1776" s="142">
        <f t="shared" si="406"/>
        <v>119</v>
      </c>
      <c r="B1776" s="143" t="s">
        <v>2066</v>
      </c>
      <c r="C1776" s="142" t="s">
        <v>1945</v>
      </c>
      <c r="D1776" s="154"/>
      <c r="E1776" s="142"/>
      <c r="F1776" s="142"/>
      <c r="G1776" s="145"/>
      <c r="H1776" s="145"/>
      <c r="I1776" s="146">
        <v>839469.80854197359</v>
      </c>
      <c r="J1776" s="146">
        <f t="shared" si="402"/>
        <v>839469.80854197359</v>
      </c>
      <c r="K1776" s="142" t="s">
        <v>1945</v>
      </c>
      <c r="L1776" s="146"/>
      <c r="M1776" s="147">
        <f t="shared" si="403"/>
        <v>839469.80854197359</v>
      </c>
      <c r="N1776" s="147">
        <f t="shared" si="404"/>
        <v>839469.80854197359</v>
      </c>
      <c r="O1776" s="136">
        <f t="shared" si="400"/>
        <v>0</v>
      </c>
      <c r="P1776" s="71">
        <f t="shared" si="401"/>
        <v>839469.80854197359</v>
      </c>
    </row>
    <row r="1777" spans="1:16" s="58" customFormat="1" ht="21" customHeight="1">
      <c r="A1777" s="142">
        <f t="shared" si="406"/>
        <v>120</v>
      </c>
      <c r="B1777" s="143" t="s">
        <v>2067</v>
      </c>
      <c r="C1777" s="142" t="s">
        <v>1945</v>
      </c>
      <c r="D1777" s="154"/>
      <c r="E1777" s="142"/>
      <c r="F1777" s="142"/>
      <c r="G1777" s="145"/>
      <c r="H1777" s="145"/>
      <c r="I1777" s="146">
        <v>169366.71575846834</v>
      </c>
      <c r="J1777" s="146">
        <f t="shared" si="402"/>
        <v>169366.71575846834</v>
      </c>
      <c r="K1777" s="142" t="s">
        <v>1945</v>
      </c>
      <c r="L1777" s="146"/>
      <c r="M1777" s="147">
        <f t="shared" si="403"/>
        <v>169366.71575846834</v>
      </c>
      <c r="N1777" s="147">
        <f t="shared" si="404"/>
        <v>169366.71575846834</v>
      </c>
      <c r="O1777" s="136">
        <f t="shared" si="400"/>
        <v>0</v>
      </c>
      <c r="P1777" s="71">
        <f t="shared" si="401"/>
        <v>169366.71575846834</v>
      </c>
    </row>
    <row r="1778" spans="1:16" s="58" customFormat="1" ht="21" customHeight="1">
      <c r="A1778" s="142">
        <f t="shared" si="406"/>
        <v>121</v>
      </c>
      <c r="B1778" s="143" t="s">
        <v>2068</v>
      </c>
      <c r="C1778" s="142" t="s">
        <v>1945</v>
      </c>
      <c r="D1778" s="154"/>
      <c r="E1778" s="142"/>
      <c r="F1778" s="142"/>
      <c r="G1778" s="145"/>
      <c r="H1778" s="145"/>
      <c r="I1778" s="146">
        <v>176730.48600883654</v>
      </c>
      <c r="J1778" s="146">
        <f t="shared" si="402"/>
        <v>176730.48600883654</v>
      </c>
      <c r="K1778" s="142" t="s">
        <v>1945</v>
      </c>
      <c r="L1778" s="146"/>
      <c r="M1778" s="147">
        <f t="shared" si="403"/>
        <v>176730.48600883654</v>
      </c>
      <c r="N1778" s="147">
        <f t="shared" si="404"/>
        <v>176730.48600883654</v>
      </c>
      <c r="O1778" s="136">
        <f t="shared" si="400"/>
        <v>0</v>
      </c>
      <c r="P1778" s="71">
        <f t="shared" si="401"/>
        <v>176730.48600883654</v>
      </c>
    </row>
    <row r="1779" spans="1:16" s="58" customFormat="1" ht="21" customHeight="1">
      <c r="A1779" s="142">
        <f t="shared" si="406"/>
        <v>122</v>
      </c>
      <c r="B1779" s="143" t="s">
        <v>2069</v>
      </c>
      <c r="C1779" s="142" t="s">
        <v>1945</v>
      </c>
      <c r="D1779" s="154"/>
      <c r="E1779" s="142"/>
      <c r="F1779" s="142"/>
      <c r="G1779" s="145"/>
      <c r="H1779" s="145"/>
      <c r="I1779" s="146">
        <v>191458.02650957293</v>
      </c>
      <c r="J1779" s="146">
        <f t="shared" si="402"/>
        <v>191458.02650957293</v>
      </c>
      <c r="K1779" s="142" t="s">
        <v>1945</v>
      </c>
      <c r="L1779" s="146"/>
      <c r="M1779" s="147">
        <f t="shared" si="403"/>
        <v>191458.02650957293</v>
      </c>
      <c r="N1779" s="147">
        <f t="shared" si="404"/>
        <v>191458.02650957293</v>
      </c>
      <c r="O1779" s="136">
        <f t="shared" si="400"/>
        <v>0</v>
      </c>
      <c r="P1779" s="71">
        <f t="shared" si="401"/>
        <v>191458.02650957293</v>
      </c>
    </row>
    <row r="1780" spans="1:16" s="58" customFormat="1" ht="21" customHeight="1">
      <c r="A1780" s="142">
        <f t="shared" si="406"/>
        <v>123</v>
      </c>
      <c r="B1780" s="143" t="s">
        <v>2070</v>
      </c>
      <c r="C1780" s="142" t="s">
        <v>1945</v>
      </c>
      <c r="D1780" s="154"/>
      <c r="E1780" s="142"/>
      <c r="F1780" s="142"/>
      <c r="G1780" s="145"/>
      <c r="H1780" s="145"/>
      <c r="I1780" s="146">
        <v>235640.64801178206</v>
      </c>
      <c r="J1780" s="146">
        <f t="shared" si="402"/>
        <v>235640.64801178206</v>
      </c>
      <c r="K1780" s="142" t="s">
        <v>1945</v>
      </c>
      <c r="L1780" s="146"/>
      <c r="M1780" s="147">
        <f t="shared" si="403"/>
        <v>235640.64801178206</v>
      </c>
      <c r="N1780" s="147">
        <f t="shared" si="404"/>
        <v>235640.64801178206</v>
      </c>
      <c r="O1780" s="136">
        <f t="shared" si="400"/>
        <v>0</v>
      </c>
      <c r="P1780" s="71">
        <f t="shared" si="401"/>
        <v>235640.64801178206</v>
      </c>
    </row>
    <row r="1781" spans="1:16" s="58" customFormat="1" ht="21" customHeight="1">
      <c r="A1781" s="142">
        <f t="shared" si="406"/>
        <v>124</v>
      </c>
      <c r="B1781" s="143" t="s">
        <v>2071</v>
      </c>
      <c r="C1781" s="142" t="s">
        <v>1945</v>
      </c>
      <c r="D1781" s="154"/>
      <c r="E1781" s="142"/>
      <c r="F1781" s="142"/>
      <c r="G1781" s="145"/>
      <c r="H1781" s="145"/>
      <c r="I1781" s="146">
        <v>1325478.6450662739</v>
      </c>
      <c r="J1781" s="146">
        <f t="shared" si="402"/>
        <v>1325478.6450662739</v>
      </c>
      <c r="K1781" s="142" t="s">
        <v>1945</v>
      </c>
      <c r="L1781" s="146"/>
      <c r="M1781" s="147">
        <f t="shared" si="403"/>
        <v>1325478.6450662739</v>
      </c>
      <c r="N1781" s="147">
        <f t="shared" si="404"/>
        <v>1325478.6450662739</v>
      </c>
      <c r="O1781" s="136">
        <f>E1781</f>
        <v>0</v>
      </c>
      <c r="P1781" s="71">
        <f>M1781</f>
        <v>1325478.6450662739</v>
      </c>
    </row>
    <row r="1782" spans="1:16" s="58" customFormat="1" ht="21" customHeight="1">
      <c r="A1782" s="142">
        <f t="shared" si="406"/>
        <v>125</v>
      </c>
      <c r="B1782" s="143" t="s">
        <v>2072</v>
      </c>
      <c r="C1782" s="142" t="s">
        <v>1945</v>
      </c>
      <c r="D1782" s="154"/>
      <c r="E1782" s="142"/>
      <c r="F1782" s="142"/>
      <c r="G1782" s="145"/>
      <c r="H1782" s="145"/>
      <c r="I1782" s="146">
        <v>220913.10751104567</v>
      </c>
      <c r="J1782" s="146">
        <f t="shared" si="402"/>
        <v>220913.10751104567</v>
      </c>
      <c r="K1782" s="142" t="s">
        <v>1945</v>
      </c>
      <c r="L1782" s="146"/>
      <c r="M1782" s="147">
        <f t="shared" si="403"/>
        <v>220913.10751104567</v>
      </c>
      <c r="N1782" s="147">
        <f t="shared" si="404"/>
        <v>220913.10751104567</v>
      </c>
      <c r="O1782" s="136">
        <f>E1782</f>
        <v>0</v>
      </c>
      <c r="P1782" s="71">
        <f>M1782</f>
        <v>220913.10751104567</v>
      </c>
    </row>
    <row r="1783" spans="1:16" s="58" customFormat="1" ht="21" customHeight="1">
      <c r="A1783" s="142">
        <f t="shared" si="406"/>
        <v>126</v>
      </c>
      <c r="B1783" s="143" t="s">
        <v>2073</v>
      </c>
      <c r="C1783" s="142" t="s">
        <v>1945</v>
      </c>
      <c r="D1783" s="154"/>
      <c r="E1783" s="142"/>
      <c r="F1783" s="142"/>
      <c r="G1783" s="145"/>
      <c r="H1783" s="145"/>
      <c r="I1783" s="146">
        <v>110456.55375552284</v>
      </c>
      <c r="J1783" s="146">
        <f>I1783</f>
        <v>110456.55375552284</v>
      </c>
      <c r="K1783" s="142" t="s">
        <v>1945</v>
      </c>
      <c r="L1783" s="146"/>
      <c r="M1783" s="147">
        <f>I1783</f>
        <v>110456.55375552284</v>
      </c>
      <c r="N1783" s="147">
        <f>J1783</f>
        <v>110456.55375552284</v>
      </c>
      <c r="O1783" s="136">
        <f>E1783</f>
        <v>0</v>
      </c>
      <c r="P1783" s="71">
        <f>M1783</f>
        <v>110456.55375552284</v>
      </c>
    </row>
    <row r="1784" spans="1:16" s="58" customFormat="1" ht="21" customHeight="1">
      <c r="A1784" s="142">
        <f t="shared" si="406"/>
        <v>127</v>
      </c>
      <c r="B1784" s="143" t="s">
        <v>2074</v>
      </c>
      <c r="C1784" s="142" t="s">
        <v>1945</v>
      </c>
      <c r="D1784" s="154"/>
      <c r="E1784" s="142"/>
      <c r="F1784" s="142"/>
      <c r="G1784" s="145"/>
      <c r="H1784" s="145"/>
      <c r="I1784" s="146">
        <v>125184.09425625921</v>
      </c>
      <c r="J1784" s="146">
        <f>I1784</f>
        <v>125184.09425625921</v>
      </c>
      <c r="K1784" s="142" t="s">
        <v>1945</v>
      </c>
      <c r="L1784" s="146"/>
      <c r="M1784" s="147">
        <f>I1784</f>
        <v>125184.09425625921</v>
      </c>
      <c r="N1784" s="147">
        <f>J1784</f>
        <v>125184.09425625921</v>
      </c>
      <c r="O1784" s="136">
        <f>E1784</f>
        <v>0</v>
      </c>
      <c r="P1784" s="71">
        <f>M1784</f>
        <v>125184.09425625921</v>
      </c>
    </row>
    <row r="1785" spans="1:16" s="66" customFormat="1" ht="24" customHeight="1">
      <c r="A1785" s="157" t="s">
        <v>928</v>
      </c>
      <c r="B1785" s="253" t="s">
        <v>929</v>
      </c>
      <c r="C1785" s="253"/>
      <c r="D1785" s="253"/>
      <c r="E1785" s="253"/>
      <c r="F1785" s="253"/>
      <c r="G1785" s="151"/>
      <c r="H1785" s="151"/>
      <c r="I1785" s="151"/>
      <c r="J1785" s="151"/>
      <c r="K1785" s="152"/>
      <c r="L1785" s="153"/>
      <c r="M1785" s="153"/>
      <c r="N1785" s="153"/>
      <c r="O1785" s="137"/>
      <c r="P1785" s="70"/>
    </row>
    <row r="1786" spans="1:16" s="58" customFormat="1" ht="42.75" customHeight="1">
      <c r="A1786" s="158"/>
      <c r="B1786" s="256" t="s">
        <v>930</v>
      </c>
      <c r="C1786" s="257"/>
      <c r="D1786" s="257"/>
      <c r="E1786" s="257"/>
      <c r="F1786" s="257"/>
      <c r="G1786" s="257"/>
      <c r="H1786" s="257"/>
      <c r="I1786" s="257"/>
      <c r="J1786" s="257"/>
      <c r="K1786" s="257"/>
      <c r="L1786" s="257"/>
      <c r="M1786" s="257"/>
      <c r="N1786" s="258"/>
      <c r="O1786" s="135"/>
      <c r="P1786" s="69"/>
    </row>
    <row r="1787" spans="1:16" s="58" customFormat="1" ht="18.75">
      <c r="A1787" s="142"/>
      <c r="B1787" s="288" t="s">
        <v>931</v>
      </c>
      <c r="C1787" s="289"/>
      <c r="D1787" s="289"/>
      <c r="E1787" s="289"/>
      <c r="F1787" s="289"/>
      <c r="G1787" s="289"/>
      <c r="H1787" s="289"/>
      <c r="I1787" s="289"/>
      <c r="J1787" s="289"/>
      <c r="K1787" s="289"/>
      <c r="L1787" s="289"/>
      <c r="M1787" s="289"/>
      <c r="N1787" s="290"/>
      <c r="O1787" s="135"/>
      <c r="P1787" s="69"/>
    </row>
    <row r="1788" spans="1:16" s="58" customFormat="1" ht="21.95" customHeight="1">
      <c r="A1788" s="142">
        <v>1</v>
      </c>
      <c r="B1788" s="159" t="s">
        <v>932</v>
      </c>
      <c r="C1788" s="160" t="s">
        <v>1132</v>
      </c>
      <c r="D1788" s="161"/>
      <c r="E1788" s="161">
        <v>1670000</v>
      </c>
      <c r="F1788" s="161"/>
      <c r="G1788" s="212" t="s">
        <v>1769</v>
      </c>
      <c r="H1788" s="145"/>
      <c r="I1788" s="145"/>
      <c r="J1788" s="145"/>
      <c r="K1788" s="142" t="str">
        <f>C1788</f>
        <v>đ/m2</v>
      </c>
      <c r="L1788" s="146"/>
      <c r="M1788" s="146">
        <f>E1788</f>
        <v>1670000</v>
      </c>
      <c r="N1788" s="147"/>
      <c r="O1788" s="138">
        <f t="shared" ref="O1788:O1794" si="407">E1788</f>
        <v>1670000</v>
      </c>
      <c r="P1788" s="13">
        <f t="shared" ref="P1788:P1794" si="408">M1788</f>
        <v>1670000</v>
      </c>
    </row>
    <row r="1789" spans="1:16" s="58" customFormat="1" ht="21.95" customHeight="1">
      <c r="A1789" s="142">
        <f t="shared" ref="A1789:A1794" si="409">+A1788+1</f>
        <v>2</v>
      </c>
      <c r="B1789" s="159" t="s">
        <v>933</v>
      </c>
      <c r="C1789" s="160" t="s">
        <v>1132</v>
      </c>
      <c r="D1789" s="161"/>
      <c r="E1789" s="161">
        <v>2050000</v>
      </c>
      <c r="F1789" s="161"/>
      <c r="G1789" s="212" t="s">
        <v>1769</v>
      </c>
      <c r="H1789" s="145"/>
      <c r="I1789" s="145"/>
      <c r="J1789" s="145"/>
      <c r="K1789" s="142" t="str">
        <f t="shared" ref="K1789:K1794" si="410">C1789</f>
        <v>đ/m2</v>
      </c>
      <c r="L1789" s="146"/>
      <c r="M1789" s="146">
        <f t="shared" ref="M1789:M1794" si="411">E1789</f>
        <v>2050000</v>
      </c>
      <c r="N1789" s="147"/>
      <c r="O1789" s="138">
        <f t="shared" si="407"/>
        <v>2050000</v>
      </c>
      <c r="P1789" s="13">
        <f t="shared" si="408"/>
        <v>2050000</v>
      </c>
    </row>
    <row r="1790" spans="1:16" s="58" customFormat="1" ht="21.95" customHeight="1">
      <c r="A1790" s="142">
        <f t="shared" si="409"/>
        <v>3</v>
      </c>
      <c r="B1790" s="159" t="s">
        <v>934</v>
      </c>
      <c r="C1790" s="160" t="s">
        <v>1132</v>
      </c>
      <c r="D1790" s="161"/>
      <c r="E1790" s="161">
        <v>2540000</v>
      </c>
      <c r="F1790" s="161"/>
      <c r="G1790" s="212" t="s">
        <v>1769</v>
      </c>
      <c r="H1790" s="145"/>
      <c r="I1790" s="145"/>
      <c r="J1790" s="145"/>
      <c r="K1790" s="142" t="str">
        <f t="shared" si="410"/>
        <v>đ/m2</v>
      </c>
      <c r="L1790" s="146"/>
      <c r="M1790" s="146">
        <f t="shared" si="411"/>
        <v>2540000</v>
      </c>
      <c r="N1790" s="147"/>
      <c r="O1790" s="138">
        <f t="shared" si="407"/>
        <v>2540000</v>
      </c>
      <c r="P1790" s="13">
        <f t="shared" si="408"/>
        <v>2540000</v>
      </c>
    </row>
    <row r="1791" spans="1:16" s="58" customFormat="1" ht="21.95" customHeight="1">
      <c r="A1791" s="142">
        <f t="shared" si="409"/>
        <v>4</v>
      </c>
      <c r="B1791" s="159" t="s">
        <v>935</v>
      </c>
      <c r="C1791" s="160" t="s">
        <v>1132</v>
      </c>
      <c r="D1791" s="161"/>
      <c r="E1791" s="161">
        <v>3200000</v>
      </c>
      <c r="F1791" s="161"/>
      <c r="G1791" s="212" t="s">
        <v>1769</v>
      </c>
      <c r="H1791" s="145"/>
      <c r="I1791" s="145"/>
      <c r="J1791" s="145"/>
      <c r="K1791" s="142" t="str">
        <f t="shared" si="410"/>
        <v>đ/m2</v>
      </c>
      <c r="L1791" s="146"/>
      <c r="M1791" s="146">
        <f t="shared" si="411"/>
        <v>3200000</v>
      </c>
      <c r="N1791" s="147"/>
      <c r="O1791" s="138">
        <f t="shared" si="407"/>
        <v>3200000</v>
      </c>
      <c r="P1791" s="13">
        <f t="shared" si="408"/>
        <v>3200000</v>
      </c>
    </row>
    <row r="1792" spans="1:16" s="58" customFormat="1" ht="21.95" customHeight="1">
      <c r="A1792" s="142">
        <f t="shared" si="409"/>
        <v>5</v>
      </c>
      <c r="B1792" s="159" t="s">
        <v>936</v>
      </c>
      <c r="C1792" s="160" t="s">
        <v>1132</v>
      </c>
      <c r="D1792" s="161"/>
      <c r="E1792" s="161">
        <v>3230000</v>
      </c>
      <c r="F1792" s="161"/>
      <c r="G1792" s="212" t="s">
        <v>1769</v>
      </c>
      <c r="H1792" s="145"/>
      <c r="I1792" s="145"/>
      <c r="J1792" s="145"/>
      <c r="K1792" s="142" t="str">
        <f t="shared" si="410"/>
        <v>đ/m2</v>
      </c>
      <c r="L1792" s="146"/>
      <c r="M1792" s="146">
        <f t="shared" si="411"/>
        <v>3230000</v>
      </c>
      <c r="N1792" s="147"/>
      <c r="O1792" s="138">
        <f t="shared" si="407"/>
        <v>3230000</v>
      </c>
      <c r="P1792" s="13">
        <f t="shared" si="408"/>
        <v>3230000</v>
      </c>
    </row>
    <row r="1793" spans="1:16" s="58" customFormat="1" ht="21.95" customHeight="1">
      <c r="A1793" s="142">
        <f t="shared" si="409"/>
        <v>6</v>
      </c>
      <c r="B1793" s="159" t="s">
        <v>937</v>
      </c>
      <c r="C1793" s="160" t="s">
        <v>1132</v>
      </c>
      <c r="D1793" s="161"/>
      <c r="E1793" s="161">
        <v>3610000</v>
      </c>
      <c r="F1793" s="161"/>
      <c r="G1793" s="212" t="s">
        <v>1769</v>
      </c>
      <c r="H1793" s="145"/>
      <c r="I1793" s="145"/>
      <c r="J1793" s="145"/>
      <c r="K1793" s="142" t="str">
        <f t="shared" si="410"/>
        <v>đ/m2</v>
      </c>
      <c r="L1793" s="146"/>
      <c r="M1793" s="146">
        <f t="shared" si="411"/>
        <v>3610000</v>
      </c>
      <c r="N1793" s="147"/>
      <c r="O1793" s="138">
        <f t="shared" si="407"/>
        <v>3610000</v>
      </c>
      <c r="P1793" s="13">
        <f t="shared" si="408"/>
        <v>3610000</v>
      </c>
    </row>
    <row r="1794" spans="1:16" s="58" customFormat="1" ht="21.95" customHeight="1">
      <c r="A1794" s="142">
        <f t="shared" si="409"/>
        <v>7</v>
      </c>
      <c r="B1794" s="159" t="s">
        <v>938</v>
      </c>
      <c r="C1794" s="160" t="s">
        <v>1132</v>
      </c>
      <c r="D1794" s="161"/>
      <c r="E1794" s="161">
        <v>2420000</v>
      </c>
      <c r="F1794" s="161"/>
      <c r="G1794" s="212" t="s">
        <v>1769</v>
      </c>
      <c r="H1794" s="145"/>
      <c r="I1794" s="145"/>
      <c r="J1794" s="145"/>
      <c r="K1794" s="142" t="str">
        <f t="shared" si="410"/>
        <v>đ/m2</v>
      </c>
      <c r="L1794" s="146"/>
      <c r="M1794" s="146">
        <f t="shared" si="411"/>
        <v>2420000</v>
      </c>
      <c r="N1794" s="147"/>
      <c r="O1794" s="138">
        <f t="shared" si="407"/>
        <v>2420000</v>
      </c>
      <c r="P1794" s="13">
        <f t="shared" si="408"/>
        <v>2420000</v>
      </c>
    </row>
    <row r="1795" spans="1:16" s="58" customFormat="1" ht="24.95" customHeight="1">
      <c r="A1795" s="142"/>
      <c r="B1795" s="162" t="s">
        <v>939</v>
      </c>
      <c r="C1795" s="163"/>
      <c r="D1795" s="164"/>
      <c r="E1795" s="164"/>
      <c r="F1795" s="164"/>
      <c r="G1795" s="212"/>
      <c r="H1795" s="145"/>
      <c r="I1795" s="145"/>
      <c r="J1795" s="145"/>
      <c r="K1795" s="165"/>
      <c r="L1795" s="147"/>
      <c r="M1795" s="147"/>
      <c r="N1795" s="147"/>
      <c r="O1795" s="135"/>
      <c r="P1795" s="69"/>
    </row>
    <row r="1796" spans="1:16" s="58" customFormat="1" ht="24.95" customHeight="1">
      <c r="A1796" s="142">
        <f>+A1794+1</f>
        <v>8</v>
      </c>
      <c r="B1796" s="159" t="s">
        <v>940</v>
      </c>
      <c r="C1796" s="160" t="s">
        <v>1132</v>
      </c>
      <c r="D1796" s="161"/>
      <c r="E1796" s="161">
        <v>740000</v>
      </c>
      <c r="F1796" s="161"/>
      <c r="G1796" s="212" t="s">
        <v>1769</v>
      </c>
      <c r="H1796" s="145"/>
      <c r="I1796" s="145"/>
      <c r="J1796" s="145"/>
      <c r="K1796" s="142" t="str">
        <f>C1796</f>
        <v>đ/m2</v>
      </c>
      <c r="L1796" s="146"/>
      <c r="M1796" s="146">
        <f>E1796</f>
        <v>740000</v>
      </c>
      <c r="N1796" s="147"/>
      <c r="O1796" s="138">
        <f>E1796</f>
        <v>740000</v>
      </c>
      <c r="P1796" s="13">
        <f>M1796</f>
        <v>740000</v>
      </c>
    </row>
    <row r="1797" spans="1:16" s="58" customFormat="1" ht="24.95" customHeight="1">
      <c r="A1797" s="142">
        <f>+A1796+1</f>
        <v>9</v>
      </c>
      <c r="B1797" s="159" t="s">
        <v>941</v>
      </c>
      <c r="C1797" s="160" t="s">
        <v>1132</v>
      </c>
      <c r="D1797" s="161"/>
      <c r="E1797" s="161">
        <v>1140000</v>
      </c>
      <c r="F1797" s="161"/>
      <c r="G1797" s="212" t="s">
        <v>1769</v>
      </c>
      <c r="H1797" s="145"/>
      <c r="I1797" s="145"/>
      <c r="J1797" s="145"/>
      <c r="K1797" s="142" t="str">
        <f>C1797</f>
        <v>đ/m2</v>
      </c>
      <c r="L1797" s="146"/>
      <c r="M1797" s="146">
        <f>E1797</f>
        <v>1140000</v>
      </c>
      <c r="N1797" s="147"/>
      <c r="O1797" s="138">
        <f>E1797</f>
        <v>1140000</v>
      </c>
      <c r="P1797" s="13">
        <f>M1797</f>
        <v>1140000</v>
      </c>
    </row>
    <row r="1798" spans="1:16" s="58" customFormat="1" ht="24.95" customHeight="1">
      <c r="A1798" s="142">
        <f>+A1797+1</f>
        <v>10</v>
      </c>
      <c r="B1798" s="159" t="s">
        <v>942</v>
      </c>
      <c r="C1798" s="160" t="s">
        <v>1132</v>
      </c>
      <c r="D1798" s="161"/>
      <c r="E1798" s="161">
        <v>1640000</v>
      </c>
      <c r="F1798" s="161"/>
      <c r="G1798" s="212" t="s">
        <v>1769</v>
      </c>
      <c r="H1798" s="145"/>
      <c r="I1798" s="145"/>
      <c r="J1798" s="145"/>
      <c r="K1798" s="142" t="str">
        <f>C1798</f>
        <v>đ/m2</v>
      </c>
      <c r="L1798" s="146"/>
      <c r="M1798" s="146">
        <f>E1798</f>
        <v>1640000</v>
      </c>
      <c r="N1798" s="147"/>
      <c r="O1798" s="138">
        <f>E1798</f>
        <v>1640000</v>
      </c>
      <c r="P1798" s="13">
        <f>M1798</f>
        <v>1640000</v>
      </c>
    </row>
    <row r="1799" spans="1:16" s="66" customFormat="1" ht="38.25" customHeight="1">
      <c r="A1799" s="168"/>
      <c r="B1799" s="256" t="s">
        <v>943</v>
      </c>
      <c r="C1799" s="257"/>
      <c r="D1799" s="257"/>
      <c r="E1799" s="257"/>
      <c r="F1799" s="257"/>
      <c r="G1799" s="257"/>
      <c r="H1799" s="257"/>
      <c r="I1799" s="257"/>
      <c r="J1799" s="257"/>
      <c r="K1799" s="257"/>
      <c r="L1799" s="257"/>
      <c r="M1799" s="257"/>
      <c r="N1799" s="258"/>
      <c r="O1799" s="137"/>
      <c r="P1799" s="70"/>
    </row>
    <row r="1800" spans="1:16" s="58" customFormat="1" ht="21.95" customHeight="1">
      <c r="A1800" s="142">
        <v>1</v>
      </c>
      <c r="B1800" s="159" t="s">
        <v>944</v>
      </c>
      <c r="C1800" s="160" t="s">
        <v>1132</v>
      </c>
      <c r="D1800" s="169"/>
      <c r="E1800" s="161">
        <v>1450000</v>
      </c>
      <c r="F1800" s="161"/>
      <c r="G1800" s="213" t="str">
        <f>C1800</f>
        <v>đ/m2</v>
      </c>
      <c r="H1800" s="145"/>
      <c r="I1800" s="145"/>
      <c r="J1800" s="145"/>
      <c r="K1800" s="142" t="str">
        <f t="shared" ref="K1800:K1808" si="412">C1800</f>
        <v>đ/m2</v>
      </c>
      <c r="L1800" s="146"/>
      <c r="M1800" s="146">
        <f>E1800</f>
        <v>1450000</v>
      </c>
      <c r="N1800" s="147"/>
      <c r="O1800" s="138">
        <f t="shared" ref="O1800:O1809" si="413">E1800</f>
        <v>1450000</v>
      </c>
      <c r="P1800" s="13">
        <f t="shared" ref="P1800:P1809" si="414">M1800</f>
        <v>1450000</v>
      </c>
    </row>
    <row r="1801" spans="1:16" s="58" customFormat="1" ht="21.95" customHeight="1">
      <c r="A1801" s="142">
        <v>2</v>
      </c>
      <c r="B1801" s="159" t="s">
        <v>945</v>
      </c>
      <c r="C1801" s="160" t="s">
        <v>1132</v>
      </c>
      <c r="D1801" s="169"/>
      <c r="E1801" s="161">
        <v>1800000</v>
      </c>
      <c r="F1801" s="161"/>
      <c r="G1801" s="213" t="str">
        <f t="shared" ref="G1801:G1809" si="415">C1801</f>
        <v>đ/m2</v>
      </c>
      <c r="H1801" s="145"/>
      <c r="I1801" s="145"/>
      <c r="J1801" s="145"/>
      <c r="K1801" s="142" t="str">
        <f t="shared" si="412"/>
        <v>đ/m2</v>
      </c>
      <c r="L1801" s="146"/>
      <c r="M1801" s="146">
        <f t="shared" ref="M1801:M1808" si="416">E1801</f>
        <v>1800000</v>
      </c>
      <c r="N1801" s="147"/>
      <c r="O1801" s="138">
        <f t="shared" si="413"/>
        <v>1800000</v>
      </c>
      <c r="P1801" s="13">
        <f t="shared" si="414"/>
        <v>1800000</v>
      </c>
    </row>
    <row r="1802" spans="1:16" s="58" customFormat="1" ht="21.95" customHeight="1">
      <c r="A1802" s="142">
        <v>3</v>
      </c>
      <c r="B1802" s="159" t="s">
        <v>946</v>
      </c>
      <c r="C1802" s="160" t="s">
        <v>1132</v>
      </c>
      <c r="D1802" s="169"/>
      <c r="E1802" s="161">
        <v>1800000</v>
      </c>
      <c r="F1802" s="161"/>
      <c r="G1802" s="213" t="str">
        <f t="shared" si="415"/>
        <v>đ/m2</v>
      </c>
      <c r="H1802" s="145"/>
      <c r="I1802" s="145"/>
      <c r="J1802" s="145"/>
      <c r="K1802" s="142" t="str">
        <f t="shared" si="412"/>
        <v>đ/m2</v>
      </c>
      <c r="L1802" s="146"/>
      <c r="M1802" s="146">
        <f t="shared" si="416"/>
        <v>1800000</v>
      </c>
      <c r="N1802" s="147"/>
      <c r="O1802" s="138">
        <f t="shared" si="413"/>
        <v>1800000</v>
      </c>
      <c r="P1802" s="13">
        <f t="shared" si="414"/>
        <v>1800000</v>
      </c>
    </row>
    <row r="1803" spans="1:16" s="58" customFormat="1" ht="21.95" customHeight="1">
      <c r="A1803" s="142">
        <v>4</v>
      </c>
      <c r="B1803" s="159" t="s">
        <v>947</v>
      </c>
      <c r="C1803" s="160" t="s">
        <v>1132</v>
      </c>
      <c r="D1803" s="169"/>
      <c r="E1803" s="161">
        <v>1800000</v>
      </c>
      <c r="F1803" s="161"/>
      <c r="G1803" s="213" t="str">
        <f t="shared" si="415"/>
        <v>đ/m2</v>
      </c>
      <c r="H1803" s="145"/>
      <c r="I1803" s="145"/>
      <c r="J1803" s="145"/>
      <c r="K1803" s="142" t="str">
        <f t="shared" si="412"/>
        <v>đ/m2</v>
      </c>
      <c r="L1803" s="146"/>
      <c r="M1803" s="146">
        <f t="shared" si="416"/>
        <v>1800000</v>
      </c>
      <c r="N1803" s="147"/>
      <c r="O1803" s="138">
        <f t="shared" si="413"/>
        <v>1800000</v>
      </c>
      <c r="P1803" s="13">
        <f t="shared" si="414"/>
        <v>1800000</v>
      </c>
    </row>
    <row r="1804" spans="1:16" s="58" customFormat="1" ht="21.95" customHeight="1">
      <c r="A1804" s="142">
        <v>5</v>
      </c>
      <c r="B1804" s="159" t="s">
        <v>948</v>
      </c>
      <c r="C1804" s="160" t="s">
        <v>1132</v>
      </c>
      <c r="D1804" s="169"/>
      <c r="E1804" s="161">
        <v>2000000</v>
      </c>
      <c r="F1804" s="161"/>
      <c r="G1804" s="213" t="str">
        <f t="shared" si="415"/>
        <v>đ/m2</v>
      </c>
      <c r="H1804" s="145"/>
      <c r="I1804" s="145"/>
      <c r="J1804" s="145"/>
      <c r="K1804" s="142" t="str">
        <f t="shared" si="412"/>
        <v>đ/m2</v>
      </c>
      <c r="L1804" s="146"/>
      <c r="M1804" s="146">
        <f t="shared" si="416"/>
        <v>2000000</v>
      </c>
      <c r="N1804" s="147"/>
      <c r="O1804" s="138">
        <f t="shared" si="413"/>
        <v>2000000</v>
      </c>
      <c r="P1804" s="13">
        <f t="shared" si="414"/>
        <v>2000000</v>
      </c>
    </row>
    <row r="1805" spans="1:16" s="58" customFormat="1" ht="21.95" customHeight="1">
      <c r="A1805" s="142">
        <v>6</v>
      </c>
      <c r="B1805" s="159" t="s">
        <v>949</v>
      </c>
      <c r="C1805" s="160" t="s">
        <v>1132</v>
      </c>
      <c r="D1805" s="169"/>
      <c r="E1805" s="161">
        <v>1950000</v>
      </c>
      <c r="F1805" s="161"/>
      <c r="G1805" s="213" t="str">
        <f t="shared" si="415"/>
        <v>đ/m2</v>
      </c>
      <c r="H1805" s="145"/>
      <c r="I1805" s="145"/>
      <c r="J1805" s="145"/>
      <c r="K1805" s="142" t="str">
        <f t="shared" si="412"/>
        <v>đ/m2</v>
      </c>
      <c r="L1805" s="146"/>
      <c r="M1805" s="146">
        <f t="shared" si="416"/>
        <v>1950000</v>
      </c>
      <c r="N1805" s="147"/>
      <c r="O1805" s="138">
        <f t="shared" si="413"/>
        <v>1950000</v>
      </c>
      <c r="P1805" s="13">
        <f t="shared" si="414"/>
        <v>1950000</v>
      </c>
    </row>
    <row r="1806" spans="1:16" s="58" customFormat="1" ht="21.95" customHeight="1">
      <c r="A1806" s="142">
        <v>7</v>
      </c>
      <c r="B1806" s="159" t="s">
        <v>950</v>
      </c>
      <c r="C1806" s="160" t="s">
        <v>1132</v>
      </c>
      <c r="D1806" s="169"/>
      <c r="E1806" s="161">
        <v>2000000</v>
      </c>
      <c r="F1806" s="161"/>
      <c r="G1806" s="213" t="str">
        <f t="shared" si="415"/>
        <v>đ/m2</v>
      </c>
      <c r="H1806" s="145"/>
      <c r="I1806" s="145"/>
      <c r="J1806" s="145"/>
      <c r="K1806" s="142" t="str">
        <f t="shared" si="412"/>
        <v>đ/m2</v>
      </c>
      <c r="L1806" s="146"/>
      <c r="M1806" s="146">
        <f t="shared" si="416"/>
        <v>2000000</v>
      </c>
      <c r="N1806" s="147"/>
      <c r="O1806" s="138">
        <f t="shared" si="413"/>
        <v>2000000</v>
      </c>
      <c r="P1806" s="13">
        <f t="shared" si="414"/>
        <v>2000000</v>
      </c>
    </row>
    <row r="1807" spans="1:16" s="58" customFormat="1" ht="21.95" customHeight="1">
      <c r="A1807" s="142">
        <v>8</v>
      </c>
      <c r="B1807" s="159" t="s">
        <v>951</v>
      </c>
      <c r="C1807" s="160" t="s">
        <v>1132</v>
      </c>
      <c r="D1807" s="169"/>
      <c r="E1807" s="161">
        <v>2100000</v>
      </c>
      <c r="F1807" s="161"/>
      <c r="G1807" s="213" t="str">
        <f t="shared" si="415"/>
        <v>đ/m2</v>
      </c>
      <c r="H1807" s="145"/>
      <c r="I1807" s="145"/>
      <c r="J1807" s="145"/>
      <c r="K1807" s="142" t="str">
        <f t="shared" si="412"/>
        <v>đ/m2</v>
      </c>
      <c r="L1807" s="146"/>
      <c r="M1807" s="146">
        <f t="shared" si="416"/>
        <v>2100000</v>
      </c>
      <c r="N1807" s="147"/>
      <c r="O1807" s="138">
        <f t="shared" si="413"/>
        <v>2100000</v>
      </c>
      <c r="P1807" s="13">
        <f t="shared" si="414"/>
        <v>2100000</v>
      </c>
    </row>
    <row r="1808" spans="1:16" s="58" customFormat="1" ht="21.95" customHeight="1">
      <c r="A1808" s="142">
        <v>9</v>
      </c>
      <c r="B1808" s="159" t="s">
        <v>952</v>
      </c>
      <c r="C1808" s="160" t="s">
        <v>1132</v>
      </c>
      <c r="D1808" s="169"/>
      <c r="E1808" s="161">
        <v>2100000</v>
      </c>
      <c r="F1808" s="161"/>
      <c r="G1808" s="213" t="str">
        <f t="shared" si="415"/>
        <v>đ/m2</v>
      </c>
      <c r="H1808" s="145"/>
      <c r="I1808" s="145"/>
      <c r="J1808" s="145"/>
      <c r="K1808" s="142" t="str">
        <f t="shared" si="412"/>
        <v>đ/m2</v>
      </c>
      <c r="L1808" s="146"/>
      <c r="M1808" s="146">
        <f t="shared" si="416"/>
        <v>2100000</v>
      </c>
      <c r="N1808" s="147"/>
      <c r="O1808" s="138">
        <f t="shared" si="413"/>
        <v>2100000</v>
      </c>
      <c r="P1808" s="13">
        <f t="shared" si="414"/>
        <v>2100000</v>
      </c>
    </row>
    <row r="1809" spans="1:16" s="58" customFormat="1" ht="21.95" customHeight="1">
      <c r="A1809" s="142">
        <v>10</v>
      </c>
      <c r="B1809" s="159" t="s">
        <v>940</v>
      </c>
      <c r="C1809" s="160" t="s">
        <v>1132</v>
      </c>
      <c r="D1809" s="169"/>
      <c r="E1809" s="161">
        <v>1150000</v>
      </c>
      <c r="F1809" s="161"/>
      <c r="G1809" s="213" t="str">
        <f t="shared" si="415"/>
        <v>đ/m2</v>
      </c>
      <c r="H1809" s="145"/>
      <c r="I1809" s="145"/>
      <c r="J1809" s="145"/>
      <c r="K1809" s="142" t="str">
        <f>C1809</f>
        <v>đ/m2</v>
      </c>
      <c r="L1809" s="146"/>
      <c r="M1809" s="146">
        <f>E1809</f>
        <v>1150000</v>
      </c>
      <c r="N1809" s="147"/>
      <c r="O1809" s="138">
        <f t="shared" si="413"/>
        <v>1150000</v>
      </c>
      <c r="P1809" s="13">
        <f t="shared" si="414"/>
        <v>1150000</v>
      </c>
    </row>
    <row r="1810" spans="1:16" s="66" customFormat="1" ht="42" customHeight="1">
      <c r="A1810" s="168"/>
      <c r="B1810" s="270" t="s">
        <v>1280</v>
      </c>
      <c r="C1810" s="271"/>
      <c r="D1810" s="271"/>
      <c r="E1810" s="271"/>
      <c r="F1810" s="271"/>
      <c r="G1810" s="271"/>
      <c r="H1810" s="271"/>
      <c r="I1810" s="271"/>
      <c r="J1810" s="271"/>
      <c r="K1810" s="271"/>
      <c r="L1810" s="271"/>
      <c r="M1810" s="271"/>
      <c r="N1810" s="272"/>
      <c r="O1810" s="137"/>
      <c r="P1810" s="70"/>
    </row>
    <row r="1811" spans="1:16" s="58" customFormat="1" ht="27" customHeight="1">
      <c r="A1811" s="142"/>
      <c r="B1811" s="170" t="s">
        <v>953</v>
      </c>
      <c r="C1811" s="160"/>
      <c r="D1811" s="169"/>
      <c r="E1811" s="161"/>
      <c r="F1811" s="161"/>
      <c r="G1811" s="145"/>
      <c r="H1811" s="145"/>
      <c r="I1811" s="145"/>
      <c r="J1811" s="145"/>
      <c r="K1811" s="165"/>
      <c r="L1811" s="147"/>
      <c r="M1811" s="147"/>
      <c r="N1811" s="147"/>
      <c r="O1811" s="135"/>
      <c r="P1811" s="69"/>
    </row>
    <row r="1812" spans="1:16" s="58" customFormat="1" ht="48" customHeight="1">
      <c r="A1812" s="142">
        <v>1</v>
      </c>
      <c r="B1812" s="159" t="s">
        <v>954</v>
      </c>
      <c r="C1812" s="160" t="s">
        <v>1132</v>
      </c>
      <c r="D1812" s="169"/>
      <c r="E1812" s="161">
        <v>3874790</v>
      </c>
      <c r="F1812" s="161">
        <v>3898310</v>
      </c>
      <c r="G1812" s="212" t="s">
        <v>1769</v>
      </c>
      <c r="H1812" s="171"/>
      <c r="I1812" s="171"/>
      <c r="J1812" s="171"/>
      <c r="K1812" s="142" t="str">
        <f t="shared" ref="K1812:K1817" si="417">C1812</f>
        <v>đ/m2</v>
      </c>
      <c r="L1812" s="146">
        <f>E1812</f>
        <v>3874790</v>
      </c>
      <c r="M1812" s="146">
        <f>F1812</f>
        <v>3898310</v>
      </c>
      <c r="N1812" s="146"/>
      <c r="O1812" s="136">
        <f>E1812</f>
        <v>3874790</v>
      </c>
      <c r="P1812" s="71">
        <f t="shared" ref="P1812:P1817" si="418">L1812</f>
        <v>3874790</v>
      </c>
    </row>
    <row r="1813" spans="1:16" s="58" customFormat="1" ht="59.25" customHeight="1">
      <c r="A1813" s="142">
        <v>2</v>
      </c>
      <c r="B1813" s="159" t="s">
        <v>955</v>
      </c>
      <c r="C1813" s="160" t="s">
        <v>1132</v>
      </c>
      <c r="D1813" s="169"/>
      <c r="E1813" s="161">
        <v>5789742</v>
      </c>
      <c r="F1813" s="161">
        <v>5813262</v>
      </c>
      <c r="G1813" s="212" t="s">
        <v>1769</v>
      </c>
      <c r="H1813" s="171"/>
      <c r="I1813" s="171"/>
      <c r="J1813" s="171"/>
      <c r="K1813" s="142" t="str">
        <f t="shared" si="417"/>
        <v>đ/m2</v>
      </c>
      <c r="L1813" s="146">
        <f t="shared" ref="L1813:M1817" si="419">E1813</f>
        <v>5789742</v>
      </c>
      <c r="M1813" s="146">
        <f t="shared" si="419"/>
        <v>5813262</v>
      </c>
      <c r="N1813" s="146"/>
      <c r="O1813" s="136">
        <f t="shared" ref="O1813:O1824" si="420">E1813</f>
        <v>5789742</v>
      </c>
      <c r="P1813" s="71">
        <f t="shared" si="418"/>
        <v>5789742</v>
      </c>
    </row>
    <row r="1814" spans="1:16" s="58" customFormat="1" ht="41.25" customHeight="1">
      <c r="A1814" s="142">
        <v>3</v>
      </c>
      <c r="B1814" s="159" t="s">
        <v>956</v>
      </c>
      <c r="C1814" s="160" t="s">
        <v>1132</v>
      </c>
      <c r="D1814" s="169"/>
      <c r="E1814" s="161">
        <v>5265046</v>
      </c>
      <c r="F1814" s="161">
        <v>5288566</v>
      </c>
      <c r="G1814" s="212" t="s">
        <v>1769</v>
      </c>
      <c r="H1814" s="171"/>
      <c r="I1814" s="171"/>
      <c r="J1814" s="171"/>
      <c r="K1814" s="142" t="str">
        <f t="shared" si="417"/>
        <v>đ/m2</v>
      </c>
      <c r="L1814" s="146">
        <f t="shared" si="419"/>
        <v>5265046</v>
      </c>
      <c r="M1814" s="146">
        <f t="shared" si="419"/>
        <v>5288566</v>
      </c>
      <c r="N1814" s="146"/>
      <c r="O1814" s="136">
        <f t="shared" si="420"/>
        <v>5265046</v>
      </c>
      <c r="P1814" s="71">
        <f t="shared" si="418"/>
        <v>5265046</v>
      </c>
    </row>
    <row r="1815" spans="1:16" s="58" customFormat="1" ht="42.75" customHeight="1">
      <c r="A1815" s="142">
        <v>4</v>
      </c>
      <c r="B1815" s="159" t="s">
        <v>957</v>
      </c>
      <c r="C1815" s="160" t="s">
        <v>1132</v>
      </c>
      <c r="D1815" s="169"/>
      <c r="E1815" s="161">
        <v>5624818</v>
      </c>
      <c r="F1815" s="161">
        <v>5648338</v>
      </c>
      <c r="G1815" s="212" t="s">
        <v>1769</v>
      </c>
      <c r="H1815" s="171"/>
      <c r="I1815" s="171"/>
      <c r="J1815" s="171"/>
      <c r="K1815" s="142" t="str">
        <f t="shared" si="417"/>
        <v>đ/m2</v>
      </c>
      <c r="L1815" s="146">
        <f t="shared" si="419"/>
        <v>5624818</v>
      </c>
      <c r="M1815" s="146">
        <f t="shared" si="419"/>
        <v>5648338</v>
      </c>
      <c r="N1815" s="146"/>
      <c r="O1815" s="136">
        <f t="shared" si="420"/>
        <v>5624818</v>
      </c>
      <c r="P1815" s="71">
        <f t="shared" si="418"/>
        <v>5624818</v>
      </c>
    </row>
    <row r="1816" spans="1:16" s="58" customFormat="1" ht="65.25" customHeight="1">
      <c r="A1816" s="142">
        <v>5</v>
      </c>
      <c r="B1816" s="159" t="s">
        <v>958</v>
      </c>
      <c r="C1816" s="160" t="s">
        <v>1132</v>
      </c>
      <c r="D1816" s="169"/>
      <c r="E1816" s="161">
        <v>7349866</v>
      </c>
      <c r="F1816" s="161">
        <v>7373386</v>
      </c>
      <c r="G1816" s="212" t="s">
        <v>1769</v>
      </c>
      <c r="H1816" s="171"/>
      <c r="I1816" s="171"/>
      <c r="J1816" s="171"/>
      <c r="K1816" s="142" t="str">
        <f t="shared" si="417"/>
        <v>đ/m2</v>
      </c>
      <c r="L1816" s="146">
        <f t="shared" si="419"/>
        <v>7349866</v>
      </c>
      <c r="M1816" s="146">
        <f t="shared" si="419"/>
        <v>7373386</v>
      </c>
      <c r="N1816" s="146"/>
      <c r="O1816" s="136">
        <f t="shared" si="420"/>
        <v>7349866</v>
      </c>
      <c r="P1816" s="71">
        <f t="shared" si="418"/>
        <v>7349866</v>
      </c>
    </row>
    <row r="1817" spans="1:16" s="58" customFormat="1" ht="48" customHeight="1">
      <c r="A1817" s="142">
        <v>6</v>
      </c>
      <c r="B1817" s="159" t="s">
        <v>959</v>
      </c>
      <c r="C1817" s="160" t="s">
        <v>1132</v>
      </c>
      <c r="D1817" s="169"/>
      <c r="E1817" s="161">
        <v>7157070</v>
      </c>
      <c r="F1817" s="161">
        <v>7180590</v>
      </c>
      <c r="G1817" s="212" t="s">
        <v>1769</v>
      </c>
      <c r="H1817" s="171"/>
      <c r="I1817" s="171"/>
      <c r="J1817" s="171"/>
      <c r="K1817" s="142" t="str">
        <f t="shared" si="417"/>
        <v>đ/m2</v>
      </c>
      <c r="L1817" s="146">
        <f t="shared" si="419"/>
        <v>7157070</v>
      </c>
      <c r="M1817" s="146">
        <f t="shared" si="419"/>
        <v>7180590</v>
      </c>
      <c r="N1817" s="146"/>
      <c r="O1817" s="136">
        <f t="shared" si="420"/>
        <v>7157070</v>
      </c>
      <c r="P1817" s="71">
        <f t="shared" si="418"/>
        <v>7157070</v>
      </c>
    </row>
    <row r="1818" spans="1:16" s="58" customFormat="1" ht="30" customHeight="1">
      <c r="A1818" s="142"/>
      <c r="B1818" s="170" t="s">
        <v>960</v>
      </c>
      <c r="C1818" s="160"/>
      <c r="D1818" s="169"/>
      <c r="E1818" s="161"/>
      <c r="F1818" s="161"/>
      <c r="G1818" s="145"/>
      <c r="H1818" s="145"/>
      <c r="I1818" s="145"/>
      <c r="J1818" s="145"/>
      <c r="K1818" s="165"/>
      <c r="L1818" s="147"/>
      <c r="M1818" s="147"/>
      <c r="N1818" s="147"/>
      <c r="O1818" s="136">
        <f t="shared" si="420"/>
        <v>0</v>
      </c>
      <c r="P1818" s="69"/>
    </row>
    <row r="1819" spans="1:16" s="58" customFormat="1" ht="57.75" customHeight="1">
      <c r="A1819" s="142">
        <v>1</v>
      </c>
      <c r="B1819" s="159" t="s">
        <v>961</v>
      </c>
      <c r="C1819" s="160" t="s">
        <v>1132</v>
      </c>
      <c r="D1819" s="169"/>
      <c r="E1819" s="161">
        <v>3496613</v>
      </c>
      <c r="F1819" s="161">
        <v>3520133</v>
      </c>
      <c r="G1819" s="213" t="str">
        <f t="shared" ref="G1819:G1824" si="421">$C$1824</f>
        <v>đ/m2</v>
      </c>
      <c r="H1819" s="145"/>
      <c r="I1819" s="145"/>
      <c r="J1819" s="145"/>
      <c r="K1819" s="142" t="str">
        <f>C1819</f>
        <v>đ/m2</v>
      </c>
      <c r="L1819" s="146">
        <f t="shared" ref="L1819:L1824" si="422">E1819</f>
        <v>3496613</v>
      </c>
      <c r="M1819" s="146">
        <f t="shared" ref="M1819:M1824" si="423">F1819</f>
        <v>3520133</v>
      </c>
      <c r="N1819" s="147"/>
      <c r="O1819" s="136">
        <f t="shared" si="420"/>
        <v>3496613</v>
      </c>
      <c r="P1819" s="71">
        <f t="shared" ref="P1819:P1824" si="424">L1819</f>
        <v>3496613</v>
      </c>
    </row>
    <row r="1820" spans="1:16" s="58" customFormat="1" ht="49.5">
      <c r="A1820" s="142">
        <v>2</v>
      </c>
      <c r="B1820" s="159" t="s">
        <v>962</v>
      </c>
      <c r="C1820" s="160" t="s">
        <v>1132</v>
      </c>
      <c r="D1820" s="169"/>
      <c r="E1820" s="161">
        <v>3359937</v>
      </c>
      <c r="F1820" s="161">
        <v>3383457</v>
      </c>
      <c r="G1820" s="213" t="str">
        <f t="shared" si="421"/>
        <v>đ/m2</v>
      </c>
      <c r="H1820" s="145"/>
      <c r="I1820" s="145"/>
      <c r="J1820" s="145"/>
      <c r="K1820" s="142" t="str">
        <f>C1820</f>
        <v>đ/m2</v>
      </c>
      <c r="L1820" s="146">
        <f t="shared" si="422"/>
        <v>3359937</v>
      </c>
      <c r="M1820" s="146">
        <f t="shared" si="423"/>
        <v>3383457</v>
      </c>
      <c r="N1820" s="147"/>
      <c r="O1820" s="136">
        <f t="shared" si="420"/>
        <v>3359937</v>
      </c>
      <c r="P1820" s="71">
        <f t="shared" si="424"/>
        <v>3359937</v>
      </c>
    </row>
    <row r="1821" spans="1:16" s="58" customFormat="1" ht="49.5">
      <c r="A1821" s="142">
        <v>3</v>
      </c>
      <c r="B1821" s="159" t="s">
        <v>963</v>
      </c>
      <c r="C1821" s="160" t="s">
        <v>1132</v>
      </c>
      <c r="D1821" s="169"/>
      <c r="E1821" s="161">
        <v>4166769</v>
      </c>
      <c r="F1821" s="161">
        <v>4190289</v>
      </c>
      <c r="G1821" s="213" t="str">
        <f t="shared" si="421"/>
        <v>đ/m2</v>
      </c>
      <c r="H1821" s="145"/>
      <c r="I1821" s="145"/>
      <c r="J1821" s="145"/>
      <c r="K1821" s="142" t="str">
        <f>C1821</f>
        <v>đ/m2</v>
      </c>
      <c r="L1821" s="146">
        <f t="shared" si="422"/>
        <v>4166769</v>
      </c>
      <c r="M1821" s="146">
        <f t="shared" si="423"/>
        <v>4190289</v>
      </c>
      <c r="N1821" s="147"/>
      <c r="O1821" s="136">
        <f t="shared" si="420"/>
        <v>4166769</v>
      </c>
      <c r="P1821" s="71">
        <f t="shared" si="424"/>
        <v>4166769</v>
      </c>
    </row>
    <row r="1822" spans="1:16" s="58" customFormat="1" ht="45" customHeight="1">
      <c r="A1822" s="142">
        <v>4</v>
      </c>
      <c r="B1822" s="159" t="s">
        <v>964</v>
      </c>
      <c r="C1822" s="160" t="s">
        <v>1132</v>
      </c>
      <c r="D1822" s="169"/>
      <c r="E1822" s="161">
        <v>4396032</v>
      </c>
      <c r="F1822" s="161">
        <v>4419552</v>
      </c>
      <c r="G1822" s="213" t="str">
        <f t="shared" si="421"/>
        <v>đ/m2</v>
      </c>
      <c r="H1822" s="145"/>
      <c r="I1822" s="145"/>
      <c r="J1822" s="145"/>
      <c r="K1822" s="142" t="str">
        <f>C1822</f>
        <v>đ/m2</v>
      </c>
      <c r="L1822" s="146">
        <f t="shared" si="422"/>
        <v>4396032</v>
      </c>
      <c r="M1822" s="146">
        <f t="shared" si="423"/>
        <v>4419552</v>
      </c>
      <c r="N1822" s="147"/>
      <c r="O1822" s="136">
        <f t="shared" si="420"/>
        <v>4396032</v>
      </c>
      <c r="P1822" s="71">
        <f t="shared" si="424"/>
        <v>4396032</v>
      </c>
    </row>
    <row r="1823" spans="1:16" s="58" customFormat="1" ht="60.75" customHeight="1">
      <c r="A1823" s="142">
        <v>5</v>
      </c>
      <c r="B1823" s="159" t="s">
        <v>965</v>
      </c>
      <c r="C1823" s="160" t="s">
        <v>1132</v>
      </c>
      <c r="D1823" s="169"/>
      <c r="E1823" s="161">
        <v>4527940</v>
      </c>
      <c r="F1823" s="161">
        <v>4551460</v>
      </c>
      <c r="G1823" s="213" t="str">
        <f t="shared" si="421"/>
        <v>đ/m2</v>
      </c>
      <c r="H1823" s="145"/>
      <c r="I1823" s="145"/>
      <c r="J1823" s="145"/>
      <c r="K1823" s="142" t="str">
        <f>C1823</f>
        <v>đ/m2</v>
      </c>
      <c r="L1823" s="146">
        <f t="shared" si="422"/>
        <v>4527940</v>
      </c>
      <c r="M1823" s="146">
        <f t="shared" si="423"/>
        <v>4551460</v>
      </c>
      <c r="N1823" s="147"/>
      <c r="O1823" s="136">
        <f t="shared" si="420"/>
        <v>4527940</v>
      </c>
      <c r="P1823" s="71">
        <f t="shared" si="424"/>
        <v>4527940</v>
      </c>
    </row>
    <row r="1824" spans="1:16" s="58" customFormat="1" ht="62.25" customHeight="1">
      <c r="A1824" s="142">
        <v>6</v>
      </c>
      <c r="B1824" s="159" t="s">
        <v>966</v>
      </c>
      <c r="C1824" s="160" t="s">
        <v>1132</v>
      </c>
      <c r="D1824" s="169"/>
      <c r="E1824" s="161">
        <v>2948497</v>
      </c>
      <c r="F1824" s="161">
        <v>4434207</v>
      </c>
      <c r="G1824" s="213" t="str">
        <f t="shared" si="421"/>
        <v>đ/m2</v>
      </c>
      <c r="H1824" s="145"/>
      <c r="I1824" s="145"/>
      <c r="J1824" s="145"/>
      <c r="K1824" s="142" t="str">
        <f>$C$1824</f>
        <v>đ/m2</v>
      </c>
      <c r="L1824" s="146">
        <f t="shared" si="422"/>
        <v>2948497</v>
      </c>
      <c r="M1824" s="146">
        <f t="shared" si="423"/>
        <v>4434207</v>
      </c>
      <c r="N1824" s="147"/>
      <c r="O1824" s="136">
        <f t="shared" si="420"/>
        <v>2948497</v>
      </c>
      <c r="P1824" s="71">
        <f t="shared" si="424"/>
        <v>2948497</v>
      </c>
    </row>
    <row r="1825" spans="1:16" s="58" customFormat="1" ht="57" customHeight="1">
      <c r="A1825" s="142"/>
      <c r="B1825" s="270" t="s">
        <v>1546</v>
      </c>
      <c r="C1825" s="271"/>
      <c r="D1825" s="271"/>
      <c r="E1825" s="271"/>
      <c r="F1825" s="271"/>
      <c r="G1825" s="271"/>
      <c r="H1825" s="271"/>
      <c r="I1825" s="271"/>
      <c r="J1825" s="271"/>
      <c r="K1825" s="271"/>
      <c r="L1825" s="271"/>
      <c r="M1825" s="271"/>
      <c r="N1825" s="272"/>
      <c r="O1825" s="136"/>
      <c r="P1825" s="71"/>
    </row>
    <row r="1826" spans="1:16" s="58" customFormat="1" ht="25.5" customHeight="1">
      <c r="A1826" s="142"/>
      <c r="B1826" s="170" t="s">
        <v>1547</v>
      </c>
      <c r="C1826" s="160"/>
      <c r="D1826" s="169"/>
      <c r="E1826" s="161"/>
      <c r="F1826" s="161"/>
      <c r="G1826" s="213"/>
      <c r="H1826" s="145"/>
      <c r="I1826" s="171"/>
      <c r="J1826" s="145"/>
      <c r="K1826" s="142"/>
      <c r="L1826" s="146"/>
      <c r="M1826" s="146"/>
      <c r="N1826" s="146"/>
      <c r="O1826" s="136"/>
      <c r="P1826" s="71"/>
    </row>
    <row r="1827" spans="1:16" s="58" customFormat="1" ht="21" customHeight="1">
      <c r="A1827" s="142">
        <v>1</v>
      </c>
      <c r="B1827" s="166" t="s">
        <v>1558</v>
      </c>
      <c r="C1827" s="160" t="s">
        <v>1132</v>
      </c>
      <c r="D1827" s="161"/>
      <c r="E1827" s="161">
        <v>997500</v>
      </c>
      <c r="F1827" s="161"/>
      <c r="G1827" s="145" t="str">
        <f>$C$1824</f>
        <v>đ/m2</v>
      </c>
      <c r="H1827" s="145"/>
      <c r="I1827" s="145"/>
      <c r="J1827" s="145"/>
      <c r="K1827" s="142" t="str">
        <f>$C$1824</f>
        <v>đ/m2</v>
      </c>
      <c r="L1827" s="146"/>
      <c r="M1827" s="147">
        <f>E1827</f>
        <v>997500</v>
      </c>
      <c r="N1827" s="147"/>
      <c r="O1827" s="136">
        <f t="shared" ref="O1827:O1835" si="425">E1827</f>
        <v>997500</v>
      </c>
      <c r="P1827" s="71">
        <f t="shared" ref="P1827:P1834" si="426">M1827</f>
        <v>997500</v>
      </c>
    </row>
    <row r="1828" spans="1:16" s="58" customFormat="1" ht="21" customHeight="1">
      <c r="A1828" s="142">
        <v>2</v>
      </c>
      <c r="B1828" s="166" t="s">
        <v>1559</v>
      </c>
      <c r="C1828" s="160" t="s">
        <v>1132</v>
      </c>
      <c r="D1828" s="161"/>
      <c r="E1828" s="161">
        <v>1491000</v>
      </c>
      <c r="F1828" s="161"/>
      <c r="G1828" s="145" t="str">
        <f>$C$1824</f>
        <v>đ/m2</v>
      </c>
      <c r="H1828" s="145"/>
      <c r="I1828" s="145"/>
      <c r="J1828" s="145"/>
      <c r="K1828" s="142" t="str">
        <f>$C$1824</f>
        <v>đ/m2</v>
      </c>
      <c r="L1828" s="146"/>
      <c r="M1828" s="147">
        <f>E1828</f>
        <v>1491000</v>
      </c>
      <c r="N1828" s="147"/>
      <c r="O1828" s="136">
        <f t="shared" si="425"/>
        <v>1491000</v>
      </c>
      <c r="P1828" s="71">
        <f t="shared" si="426"/>
        <v>1491000</v>
      </c>
    </row>
    <row r="1829" spans="1:16" s="58" customFormat="1" ht="21" customHeight="1">
      <c r="A1829" s="142">
        <v>3</v>
      </c>
      <c r="B1829" s="166" t="s">
        <v>1560</v>
      </c>
      <c r="C1829" s="160" t="s">
        <v>1132</v>
      </c>
      <c r="D1829" s="161"/>
      <c r="E1829" s="161">
        <v>1596000</v>
      </c>
      <c r="F1829" s="161"/>
      <c r="G1829" s="145" t="str">
        <f>$C$1824</f>
        <v>đ/m2</v>
      </c>
      <c r="H1829" s="145"/>
      <c r="I1829" s="145"/>
      <c r="J1829" s="145"/>
      <c r="K1829" s="142" t="str">
        <f>$C$1824</f>
        <v>đ/m2</v>
      </c>
      <c r="L1829" s="146"/>
      <c r="M1829" s="147">
        <f>E1829</f>
        <v>1596000</v>
      </c>
      <c r="N1829" s="147"/>
      <c r="O1829" s="136">
        <f t="shared" si="425"/>
        <v>1596000</v>
      </c>
      <c r="P1829" s="71">
        <f t="shared" si="426"/>
        <v>1596000</v>
      </c>
    </row>
    <row r="1830" spans="1:16" s="58" customFormat="1" ht="21" customHeight="1">
      <c r="A1830" s="142">
        <v>4</v>
      </c>
      <c r="B1830" s="166" t="s">
        <v>1561</v>
      </c>
      <c r="C1830" s="160" t="s">
        <v>1132</v>
      </c>
      <c r="D1830" s="161"/>
      <c r="E1830" s="161">
        <v>3097500</v>
      </c>
      <c r="F1830" s="161"/>
      <c r="G1830" s="145" t="str">
        <f>$C$1824</f>
        <v>đ/m2</v>
      </c>
      <c r="H1830" s="145"/>
      <c r="I1830" s="145"/>
      <c r="J1830" s="145"/>
      <c r="K1830" s="142" t="str">
        <f>$C$1824</f>
        <v>đ/m2</v>
      </c>
      <c r="L1830" s="146"/>
      <c r="M1830" s="147">
        <f>E1830</f>
        <v>3097500</v>
      </c>
      <c r="N1830" s="147"/>
      <c r="O1830" s="136">
        <f t="shared" si="425"/>
        <v>3097500</v>
      </c>
      <c r="P1830" s="71">
        <f t="shared" si="426"/>
        <v>3097500</v>
      </c>
    </row>
    <row r="1831" spans="1:16" s="58" customFormat="1" ht="25.5" customHeight="1">
      <c r="A1831" s="142"/>
      <c r="B1831" s="170" t="s">
        <v>1548</v>
      </c>
      <c r="C1831" s="160"/>
      <c r="D1831" s="169"/>
      <c r="E1831" s="161"/>
      <c r="F1831" s="161"/>
      <c r="G1831" s="213"/>
      <c r="H1831" s="145"/>
      <c r="I1831" s="171"/>
      <c r="J1831" s="145"/>
      <c r="K1831" s="142"/>
      <c r="L1831" s="146"/>
      <c r="M1831" s="146"/>
      <c r="N1831" s="146"/>
      <c r="O1831" s="136">
        <f t="shared" si="425"/>
        <v>0</v>
      </c>
      <c r="P1831" s="71">
        <f t="shared" si="426"/>
        <v>0</v>
      </c>
    </row>
    <row r="1832" spans="1:16" s="58" customFormat="1" ht="43.5" customHeight="1">
      <c r="A1832" s="142">
        <v>1</v>
      </c>
      <c r="B1832" s="159" t="s">
        <v>1562</v>
      </c>
      <c r="C1832" s="160" t="s">
        <v>1132</v>
      </c>
      <c r="D1832" s="169"/>
      <c r="E1832" s="161">
        <v>2257500</v>
      </c>
      <c r="F1832" s="161"/>
      <c r="G1832" s="213" t="str">
        <f>$C$1824</f>
        <v>đ/m2</v>
      </c>
      <c r="H1832" s="145"/>
      <c r="I1832" s="171"/>
      <c r="J1832" s="145"/>
      <c r="K1832" s="142" t="str">
        <f>$C$1824</f>
        <v>đ/m2</v>
      </c>
      <c r="L1832" s="146"/>
      <c r="M1832" s="147">
        <f>E1832</f>
        <v>2257500</v>
      </c>
      <c r="N1832" s="146"/>
      <c r="O1832" s="136">
        <f t="shared" si="425"/>
        <v>2257500</v>
      </c>
      <c r="P1832" s="71">
        <f t="shared" si="426"/>
        <v>2257500</v>
      </c>
    </row>
    <row r="1833" spans="1:16" s="58" customFormat="1" ht="43.5" customHeight="1">
      <c r="A1833" s="142">
        <v>2</v>
      </c>
      <c r="B1833" s="159" t="s">
        <v>1563</v>
      </c>
      <c r="C1833" s="160" t="s">
        <v>1132</v>
      </c>
      <c r="D1833" s="169"/>
      <c r="E1833" s="161">
        <v>3307500</v>
      </c>
      <c r="F1833" s="161"/>
      <c r="G1833" s="213" t="str">
        <f>$C$1824</f>
        <v>đ/m2</v>
      </c>
      <c r="H1833" s="145"/>
      <c r="I1833" s="171"/>
      <c r="J1833" s="145"/>
      <c r="K1833" s="142" t="str">
        <f>$C$1824</f>
        <v>đ/m2</v>
      </c>
      <c r="L1833" s="146"/>
      <c r="M1833" s="147">
        <f>E1833</f>
        <v>3307500</v>
      </c>
      <c r="N1833" s="146"/>
      <c r="O1833" s="136">
        <f>E1833</f>
        <v>3307500</v>
      </c>
      <c r="P1833" s="71">
        <f t="shared" si="426"/>
        <v>3307500</v>
      </c>
    </row>
    <row r="1834" spans="1:16" s="58" customFormat="1" ht="43.5" customHeight="1">
      <c r="A1834" s="142">
        <v>3</v>
      </c>
      <c r="B1834" s="159" t="s">
        <v>1564</v>
      </c>
      <c r="C1834" s="160" t="s">
        <v>1132</v>
      </c>
      <c r="D1834" s="169"/>
      <c r="E1834" s="161">
        <v>3102750</v>
      </c>
      <c r="F1834" s="161"/>
      <c r="G1834" s="213" t="str">
        <f>$C$1824</f>
        <v>đ/m2</v>
      </c>
      <c r="H1834" s="145"/>
      <c r="I1834" s="171"/>
      <c r="J1834" s="145"/>
      <c r="K1834" s="142" t="str">
        <f>$C$1824</f>
        <v>đ/m2</v>
      </c>
      <c r="L1834" s="146"/>
      <c r="M1834" s="147">
        <f>E1834</f>
        <v>3102750</v>
      </c>
      <c r="N1834" s="146"/>
      <c r="O1834" s="136">
        <f>E1834</f>
        <v>3102750</v>
      </c>
      <c r="P1834" s="71">
        <f t="shared" si="426"/>
        <v>3102750</v>
      </c>
    </row>
    <row r="1835" spans="1:16" s="58" customFormat="1" ht="25.5" customHeight="1">
      <c r="A1835" s="142"/>
      <c r="B1835" s="170" t="s">
        <v>1549</v>
      </c>
      <c r="C1835" s="160"/>
      <c r="D1835" s="169"/>
      <c r="E1835" s="161"/>
      <c r="F1835" s="161"/>
      <c r="G1835" s="213"/>
      <c r="H1835" s="145"/>
      <c r="I1835" s="171"/>
      <c r="J1835" s="145"/>
      <c r="K1835" s="142"/>
      <c r="L1835" s="146"/>
      <c r="M1835" s="146"/>
      <c r="N1835" s="146"/>
      <c r="O1835" s="136">
        <f t="shared" si="425"/>
        <v>0</v>
      </c>
      <c r="P1835" s="71">
        <f>L1835</f>
        <v>0</v>
      </c>
    </row>
    <row r="1836" spans="1:16" s="58" customFormat="1" ht="21" customHeight="1">
      <c r="A1836" s="142">
        <v>1</v>
      </c>
      <c r="B1836" s="166" t="s">
        <v>1565</v>
      </c>
      <c r="C1836" s="160" t="s">
        <v>1132</v>
      </c>
      <c r="D1836" s="161"/>
      <c r="E1836" s="161">
        <v>1627500</v>
      </c>
      <c r="F1836" s="161"/>
      <c r="G1836" s="145" t="str">
        <f>$C$1824</f>
        <v>đ/m2</v>
      </c>
      <c r="H1836" s="145"/>
      <c r="I1836" s="145"/>
      <c r="J1836" s="145"/>
      <c r="K1836" s="142" t="str">
        <f>$C$1824</f>
        <v>đ/m2</v>
      </c>
      <c r="L1836" s="146"/>
      <c r="M1836" s="147">
        <f>E1836</f>
        <v>1627500</v>
      </c>
      <c r="N1836" s="147"/>
      <c r="O1836" s="136">
        <f>E1836</f>
        <v>1627500</v>
      </c>
      <c r="P1836" s="71">
        <f>M1836</f>
        <v>1627500</v>
      </c>
    </row>
    <row r="1837" spans="1:16" s="58" customFormat="1" ht="21" customHeight="1">
      <c r="A1837" s="142">
        <v>2</v>
      </c>
      <c r="B1837" s="166" t="s">
        <v>1566</v>
      </c>
      <c r="C1837" s="160" t="s">
        <v>1132</v>
      </c>
      <c r="D1837" s="161"/>
      <c r="E1837" s="161">
        <v>3202500</v>
      </c>
      <c r="F1837" s="161"/>
      <c r="G1837" s="145" t="str">
        <f>$C$1824</f>
        <v>đ/m2</v>
      </c>
      <c r="H1837" s="145"/>
      <c r="I1837" s="145"/>
      <c r="J1837" s="145"/>
      <c r="K1837" s="142" t="str">
        <f>$C$1824</f>
        <v>đ/m2</v>
      </c>
      <c r="L1837" s="146"/>
      <c r="M1837" s="147">
        <f>E1837</f>
        <v>3202500</v>
      </c>
      <c r="N1837" s="147"/>
      <c r="O1837" s="136">
        <f>E1837</f>
        <v>3202500</v>
      </c>
      <c r="P1837" s="71">
        <f>M1837</f>
        <v>3202500</v>
      </c>
    </row>
    <row r="1838" spans="1:16" s="58" customFormat="1" ht="21" customHeight="1">
      <c r="A1838" s="142">
        <v>3</v>
      </c>
      <c r="B1838" s="166" t="s">
        <v>1567</v>
      </c>
      <c r="C1838" s="160" t="s">
        <v>1132</v>
      </c>
      <c r="D1838" s="161"/>
      <c r="E1838" s="161">
        <v>2825000</v>
      </c>
      <c r="F1838" s="161"/>
      <c r="G1838" s="145" t="str">
        <f>$C$1824</f>
        <v>đ/m2</v>
      </c>
      <c r="H1838" s="145"/>
      <c r="I1838" s="145"/>
      <c r="J1838" s="145"/>
      <c r="K1838" s="142" t="str">
        <f>$C$1824</f>
        <v>đ/m2</v>
      </c>
      <c r="L1838" s="146"/>
      <c r="M1838" s="147">
        <f>E1838</f>
        <v>2825000</v>
      </c>
      <c r="N1838" s="147"/>
      <c r="O1838" s="136">
        <f>E1838</f>
        <v>2825000</v>
      </c>
      <c r="P1838" s="71">
        <f>M1838</f>
        <v>2825000</v>
      </c>
    </row>
    <row r="1839" spans="1:16" s="58" customFormat="1" ht="21" customHeight="1">
      <c r="A1839" s="142"/>
      <c r="B1839" s="262" t="s">
        <v>1766</v>
      </c>
      <c r="C1839" s="263"/>
      <c r="D1839" s="263"/>
      <c r="E1839" s="263"/>
      <c r="F1839" s="263"/>
      <c r="G1839" s="263"/>
      <c r="H1839" s="263"/>
      <c r="I1839" s="263"/>
      <c r="J1839" s="263"/>
      <c r="K1839" s="263"/>
      <c r="L1839" s="263"/>
      <c r="M1839" s="263"/>
      <c r="N1839" s="264"/>
      <c r="O1839" s="136"/>
      <c r="P1839" s="71"/>
    </row>
    <row r="1840" spans="1:16" s="58" customFormat="1" ht="21" customHeight="1">
      <c r="A1840" s="142"/>
      <c r="B1840" s="173" t="s">
        <v>1729</v>
      </c>
      <c r="C1840" s="160"/>
      <c r="D1840" s="161"/>
      <c r="E1840" s="161"/>
      <c r="F1840" s="161"/>
      <c r="G1840" s="145"/>
      <c r="H1840" s="145"/>
      <c r="I1840" s="145"/>
      <c r="J1840" s="145"/>
      <c r="K1840" s="142"/>
      <c r="L1840" s="146"/>
      <c r="M1840" s="147"/>
      <c r="N1840" s="147"/>
      <c r="O1840" s="136"/>
      <c r="P1840" s="71"/>
    </row>
    <row r="1841" spans="1:16" s="58" customFormat="1" ht="21" customHeight="1">
      <c r="A1841" s="142">
        <v>1</v>
      </c>
      <c r="B1841" s="166" t="s">
        <v>1730</v>
      </c>
      <c r="C1841" s="165" t="str">
        <f t="shared" ref="C1841:C1865" si="427">$C$1824</f>
        <v>đ/m2</v>
      </c>
      <c r="D1841" s="221">
        <v>780000</v>
      </c>
      <c r="E1841" s="147">
        <f>D1841</f>
        <v>780000</v>
      </c>
      <c r="F1841" s="161"/>
      <c r="G1841" s="220" t="str">
        <f t="shared" ref="G1841:G1865" si="428">$C$1824</f>
        <v>đ/m2</v>
      </c>
      <c r="H1841" s="221"/>
      <c r="I1841" s="221"/>
      <c r="J1841" s="145"/>
      <c r="K1841" s="142" t="str">
        <f t="shared" ref="K1841:K1865" si="429">$C$1824</f>
        <v>đ/m2</v>
      </c>
      <c r="L1841" s="146"/>
      <c r="M1841" s="147">
        <f>D1841</f>
        <v>780000</v>
      </c>
      <c r="N1841" s="147">
        <f>E1841</f>
        <v>780000</v>
      </c>
      <c r="O1841" s="136">
        <f t="shared" ref="O1841:O1865" si="430">E1841</f>
        <v>780000</v>
      </c>
      <c r="P1841" s="71">
        <f t="shared" ref="P1841:P1865" si="431">M1841</f>
        <v>780000</v>
      </c>
    </row>
    <row r="1842" spans="1:16" s="58" customFormat="1" ht="21" customHeight="1">
      <c r="A1842" s="142">
        <f>A1841+1</f>
        <v>2</v>
      </c>
      <c r="B1842" s="166" t="s">
        <v>1731</v>
      </c>
      <c r="C1842" s="165" t="str">
        <f t="shared" si="427"/>
        <v>đ/m2</v>
      </c>
      <c r="D1842" s="221">
        <v>870000</v>
      </c>
      <c r="E1842" s="147">
        <f t="shared" ref="E1842:E1856" si="432">D1842</f>
        <v>870000</v>
      </c>
      <c r="F1842" s="161"/>
      <c r="G1842" s="220" t="str">
        <f t="shared" si="428"/>
        <v>đ/m2</v>
      </c>
      <c r="H1842" s="221"/>
      <c r="I1842" s="221"/>
      <c r="J1842" s="145"/>
      <c r="K1842" s="142" t="str">
        <f t="shared" si="429"/>
        <v>đ/m2</v>
      </c>
      <c r="L1842" s="146"/>
      <c r="M1842" s="147">
        <f t="shared" ref="M1842:M1865" si="433">D1842</f>
        <v>870000</v>
      </c>
      <c r="N1842" s="147">
        <f t="shared" ref="N1842:N1865" si="434">E1842</f>
        <v>870000</v>
      </c>
      <c r="O1842" s="136">
        <f t="shared" si="430"/>
        <v>870000</v>
      </c>
      <c r="P1842" s="71">
        <f t="shared" si="431"/>
        <v>870000</v>
      </c>
    </row>
    <row r="1843" spans="1:16" s="58" customFormat="1" ht="21" customHeight="1">
      <c r="A1843" s="142">
        <f t="shared" ref="A1843:A1865" si="435">A1842+1</f>
        <v>3</v>
      </c>
      <c r="B1843" s="166" t="s">
        <v>1732</v>
      </c>
      <c r="C1843" s="165" t="str">
        <f t="shared" si="427"/>
        <v>đ/m2</v>
      </c>
      <c r="D1843" s="221">
        <v>970000</v>
      </c>
      <c r="E1843" s="147">
        <f t="shared" si="432"/>
        <v>970000</v>
      </c>
      <c r="F1843" s="161"/>
      <c r="G1843" s="220" t="str">
        <f t="shared" si="428"/>
        <v>đ/m2</v>
      </c>
      <c r="H1843" s="221"/>
      <c r="I1843" s="221"/>
      <c r="J1843" s="145"/>
      <c r="K1843" s="142" t="str">
        <f t="shared" si="429"/>
        <v>đ/m2</v>
      </c>
      <c r="L1843" s="146"/>
      <c r="M1843" s="147">
        <f t="shared" si="433"/>
        <v>970000</v>
      </c>
      <c r="N1843" s="147">
        <f t="shared" si="434"/>
        <v>970000</v>
      </c>
      <c r="O1843" s="136">
        <f t="shared" si="430"/>
        <v>970000</v>
      </c>
      <c r="P1843" s="71">
        <f t="shared" si="431"/>
        <v>970000</v>
      </c>
    </row>
    <row r="1844" spans="1:16" s="58" customFormat="1" ht="21" customHeight="1">
      <c r="A1844" s="142">
        <f t="shared" si="435"/>
        <v>4</v>
      </c>
      <c r="B1844" s="166" t="s">
        <v>1733</v>
      </c>
      <c r="C1844" s="165" t="str">
        <f t="shared" si="427"/>
        <v>đ/m2</v>
      </c>
      <c r="D1844" s="221">
        <v>870000</v>
      </c>
      <c r="E1844" s="147">
        <f t="shared" si="432"/>
        <v>870000</v>
      </c>
      <c r="F1844" s="161"/>
      <c r="G1844" s="220" t="str">
        <f t="shared" si="428"/>
        <v>đ/m2</v>
      </c>
      <c r="H1844" s="221"/>
      <c r="I1844" s="221"/>
      <c r="J1844" s="145"/>
      <c r="K1844" s="142" t="str">
        <f t="shared" si="429"/>
        <v>đ/m2</v>
      </c>
      <c r="L1844" s="146"/>
      <c r="M1844" s="147">
        <f t="shared" si="433"/>
        <v>870000</v>
      </c>
      <c r="N1844" s="147">
        <f t="shared" si="434"/>
        <v>870000</v>
      </c>
      <c r="O1844" s="136">
        <f t="shared" si="430"/>
        <v>870000</v>
      </c>
      <c r="P1844" s="71">
        <f t="shared" si="431"/>
        <v>870000</v>
      </c>
    </row>
    <row r="1845" spans="1:16" s="58" customFormat="1" ht="21" customHeight="1">
      <c r="A1845" s="142">
        <f t="shared" si="435"/>
        <v>5</v>
      </c>
      <c r="B1845" s="166" t="s">
        <v>1734</v>
      </c>
      <c r="C1845" s="165" t="str">
        <f t="shared" si="427"/>
        <v>đ/m2</v>
      </c>
      <c r="D1845" s="221">
        <v>970000</v>
      </c>
      <c r="E1845" s="147">
        <f t="shared" si="432"/>
        <v>970000</v>
      </c>
      <c r="F1845" s="161"/>
      <c r="G1845" s="220" t="str">
        <f t="shared" si="428"/>
        <v>đ/m2</v>
      </c>
      <c r="H1845" s="221"/>
      <c r="I1845" s="221"/>
      <c r="J1845" s="145"/>
      <c r="K1845" s="142" t="str">
        <f t="shared" si="429"/>
        <v>đ/m2</v>
      </c>
      <c r="L1845" s="146"/>
      <c r="M1845" s="147">
        <f t="shared" si="433"/>
        <v>970000</v>
      </c>
      <c r="N1845" s="147">
        <f t="shared" si="434"/>
        <v>970000</v>
      </c>
      <c r="O1845" s="136">
        <f t="shared" si="430"/>
        <v>970000</v>
      </c>
      <c r="P1845" s="71">
        <f t="shared" si="431"/>
        <v>970000</v>
      </c>
    </row>
    <row r="1846" spans="1:16" s="58" customFormat="1" ht="21" customHeight="1">
      <c r="A1846" s="142">
        <f t="shared" si="435"/>
        <v>6</v>
      </c>
      <c r="B1846" s="166" t="s">
        <v>1735</v>
      </c>
      <c r="C1846" s="165" t="str">
        <f t="shared" si="427"/>
        <v>đ/m2</v>
      </c>
      <c r="D1846" s="221">
        <v>1070000</v>
      </c>
      <c r="E1846" s="147">
        <f t="shared" si="432"/>
        <v>1070000</v>
      </c>
      <c r="F1846" s="161"/>
      <c r="G1846" s="220" t="str">
        <f t="shared" si="428"/>
        <v>đ/m2</v>
      </c>
      <c r="H1846" s="221"/>
      <c r="I1846" s="221"/>
      <c r="J1846" s="145"/>
      <c r="K1846" s="142" t="str">
        <f t="shared" si="429"/>
        <v>đ/m2</v>
      </c>
      <c r="L1846" s="146"/>
      <c r="M1846" s="147">
        <f t="shared" si="433"/>
        <v>1070000</v>
      </c>
      <c r="N1846" s="147">
        <f t="shared" si="434"/>
        <v>1070000</v>
      </c>
      <c r="O1846" s="136">
        <f t="shared" si="430"/>
        <v>1070000</v>
      </c>
      <c r="P1846" s="71">
        <f t="shared" si="431"/>
        <v>1070000</v>
      </c>
    </row>
    <row r="1847" spans="1:16" s="58" customFormat="1" ht="21" customHeight="1">
      <c r="A1847" s="142">
        <f t="shared" si="435"/>
        <v>7</v>
      </c>
      <c r="B1847" s="166" t="s">
        <v>1736</v>
      </c>
      <c r="C1847" s="165" t="str">
        <f t="shared" si="427"/>
        <v>đ/m2</v>
      </c>
      <c r="D1847" s="221">
        <v>760000</v>
      </c>
      <c r="E1847" s="147">
        <f t="shared" si="432"/>
        <v>760000</v>
      </c>
      <c r="F1847" s="161"/>
      <c r="G1847" s="220" t="str">
        <f t="shared" si="428"/>
        <v>đ/m2</v>
      </c>
      <c r="H1847" s="221"/>
      <c r="I1847" s="221"/>
      <c r="J1847" s="145"/>
      <c r="K1847" s="142" t="str">
        <f t="shared" si="429"/>
        <v>đ/m2</v>
      </c>
      <c r="L1847" s="146"/>
      <c r="M1847" s="147">
        <f t="shared" si="433"/>
        <v>760000</v>
      </c>
      <c r="N1847" s="147">
        <f t="shared" si="434"/>
        <v>760000</v>
      </c>
      <c r="O1847" s="136">
        <f t="shared" si="430"/>
        <v>760000</v>
      </c>
      <c r="P1847" s="71">
        <f t="shared" si="431"/>
        <v>760000</v>
      </c>
    </row>
    <row r="1848" spans="1:16" s="58" customFormat="1" ht="21" customHeight="1">
      <c r="A1848" s="142">
        <f t="shared" si="435"/>
        <v>8</v>
      </c>
      <c r="B1848" s="166" t="s">
        <v>1737</v>
      </c>
      <c r="C1848" s="165" t="str">
        <f t="shared" si="427"/>
        <v>đ/m2</v>
      </c>
      <c r="D1848" s="221">
        <v>860000</v>
      </c>
      <c r="E1848" s="147">
        <f t="shared" si="432"/>
        <v>860000</v>
      </c>
      <c r="F1848" s="161"/>
      <c r="G1848" s="220" t="str">
        <f t="shared" si="428"/>
        <v>đ/m2</v>
      </c>
      <c r="H1848" s="221"/>
      <c r="I1848" s="221"/>
      <c r="J1848" s="145"/>
      <c r="K1848" s="142" t="str">
        <f t="shared" si="429"/>
        <v>đ/m2</v>
      </c>
      <c r="L1848" s="146"/>
      <c r="M1848" s="147">
        <f t="shared" si="433"/>
        <v>860000</v>
      </c>
      <c r="N1848" s="147">
        <f t="shared" si="434"/>
        <v>860000</v>
      </c>
      <c r="O1848" s="136">
        <f t="shared" si="430"/>
        <v>860000</v>
      </c>
      <c r="P1848" s="71">
        <f t="shared" si="431"/>
        <v>860000</v>
      </c>
    </row>
    <row r="1849" spans="1:16" s="58" customFormat="1" ht="21" customHeight="1">
      <c r="A1849" s="142">
        <f t="shared" si="435"/>
        <v>9</v>
      </c>
      <c r="B1849" s="166" t="s">
        <v>1738</v>
      </c>
      <c r="C1849" s="165" t="str">
        <f t="shared" si="427"/>
        <v>đ/m2</v>
      </c>
      <c r="D1849" s="221">
        <v>1280000</v>
      </c>
      <c r="E1849" s="147">
        <f t="shared" si="432"/>
        <v>1280000</v>
      </c>
      <c r="F1849" s="161"/>
      <c r="G1849" s="220" t="str">
        <f t="shared" si="428"/>
        <v>đ/m2</v>
      </c>
      <c r="H1849" s="221"/>
      <c r="I1849" s="221"/>
      <c r="J1849" s="145"/>
      <c r="K1849" s="142" t="str">
        <f t="shared" si="429"/>
        <v>đ/m2</v>
      </c>
      <c r="L1849" s="146"/>
      <c r="M1849" s="147">
        <f t="shared" si="433"/>
        <v>1280000</v>
      </c>
      <c r="N1849" s="147">
        <f t="shared" si="434"/>
        <v>1280000</v>
      </c>
      <c r="O1849" s="136">
        <f t="shared" si="430"/>
        <v>1280000</v>
      </c>
      <c r="P1849" s="71">
        <f t="shared" si="431"/>
        <v>1280000</v>
      </c>
    </row>
    <row r="1850" spans="1:16" s="58" customFormat="1" ht="21" customHeight="1">
      <c r="A1850" s="142">
        <f t="shared" si="435"/>
        <v>10</v>
      </c>
      <c r="B1850" s="166" t="s">
        <v>1739</v>
      </c>
      <c r="C1850" s="165" t="str">
        <f t="shared" si="427"/>
        <v>đ/m2</v>
      </c>
      <c r="D1850" s="221">
        <v>1380000</v>
      </c>
      <c r="E1850" s="147">
        <f t="shared" si="432"/>
        <v>1380000</v>
      </c>
      <c r="F1850" s="161"/>
      <c r="G1850" s="220" t="str">
        <f t="shared" si="428"/>
        <v>đ/m2</v>
      </c>
      <c r="H1850" s="221"/>
      <c r="I1850" s="221"/>
      <c r="J1850" s="145"/>
      <c r="K1850" s="142" t="str">
        <f t="shared" si="429"/>
        <v>đ/m2</v>
      </c>
      <c r="L1850" s="146"/>
      <c r="M1850" s="147">
        <f t="shared" si="433"/>
        <v>1380000</v>
      </c>
      <c r="N1850" s="147">
        <f t="shared" si="434"/>
        <v>1380000</v>
      </c>
      <c r="O1850" s="136">
        <f t="shared" si="430"/>
        <v>1380000</v>
      </c>
      <c r="P1850" s="71">
        <f t="shared" si="431"/>
        <v>1380000</v>
      </c>
    </row>
    <row r="1851" spans="1:16" s="58" customFormat="1" ht="21" customHeight="1">
      <c r="A1851" s="142">
        <f t="shared" si="435"/>
        <v>11</v>
      </c>
      <c r="B1851" s="166" t="s">
        <v>1745</v>
      </c>
      <c r="C1851" s="165" t="str">
        <f t="shared" si="427"/>
        <v>đ/m2</v>
      </c>
      <c r="D1851" s="221">
        <v>750000</v>
      </c>
      <c r="E1851" s="147">
        <f t="shared" si="432"/>
        <v>750000</v>
      </c>
      <c r="F1851" s="161"/>
      <c r="G1851" s="220" t="str">
        <f t="shared" si="428"/>
        <v>đ/m2</v>
      </c>
      <c r="H1851" s="221"/>
      <c r="I1851" s="221"/>
      <c r="J1851" s="145"/>
      <c r="K1851" s="142" t="str">
        <f t="shared" si="429"/>
        <v>đ/m2</v>
      </c>
      <c r="L1851" s="146"/>
      <c r="M1851" s="147">
        <f t="shared" si="433"/>
        <v>750000</v>
      </c>
      <c r="N1851" s="147">
        <f t="shared" si="434"/>
        <v>750000</v>
      </c>
      <c r="O1851" s="136">
        <f t="shared" si="430"/>
        <v>750000</v>
      </c>
      <c r="P1851" s="71">
        <f t="shared" si="431"/>
        <v>750000</v>
      </c>
    </row>
    <row r="1852" spans="1:16" s="58" customFormat="1" ht="21" customHeight="1">
      <c r="A1852" s="142">
        <f t="shared" si="435"/>
        <v>12</v>
      </c>
      <c r="B1852" s="166" t="s">
        <v>1740</v>
      </c>
      <c r="C1852" s="165" t="str">
        <f t="shared" si="427"/>
        <v>đ/m2</v>
      </c>
      <c r="D1852" s="221">
        <v>900000</v>
      </c>
      <c r="E1852" s="147">
        <f t="shared" si="432"/>
        <v>900000</v>
      </c>
      <c r="F1852" s="161"/>
      <c r="G1852" s="220" t="str">
        <f t="shared" si="428"/>
        <v>đ/m2</v>
      </c>
      <c r="H1852" s="221"/>
      <c r="I1852" s="221"/>
      <c r="J1852" s="145"/>
      <c r="K1852" s="142" t="str">
        <f t="shared" si="429"/>
        <v>đ/m2</v>
      </c>
      <c r="L1852" s="146"/>
      <c r="M1852" s="147">
        <f t="shared" si="433"/>
        <v>900000</v>
      </c>
      <c r="N1852" s="147">
        <f t="shared" si="434"/>
        <v>900000</v>
      </c>
      <c r="O1852" s="136">
        <f t="shared" si="430"/>
        <v>900000</v>
      </c>
      <c r="P1852" s="71">
        <f t="shared" si="431"/>
        <v>900000</v>
      </c>
    </row>
    <row r="1853" spans="1:16" s="58" customFormat="1" ht="21" customHeight="1">
      <c r="A1853" s="142">
        <f t="shared" si="435"/>
        <v>13</v>
      </c>
      <c r="B1853" s="166" t="s">
        <v>1741</v>
      </c>
      <c r="C1853" s="165" t="str">
        <f t="shared" si="427"/>
        <v>đ/m2</v>
      </c>
      <c r="D1853" s="221">
        <v>980000</v>
      </c>
      <c r="E1853" s="147">
        <f t="shared" si="432"/>
        <v>980000</v>
      </c>
      <c r="F1853" s="161"/>
      <c r="G1853" s="220" t="str">
        <f t="shared" si="428"/>
        <v>đ/m2</v>
      </c>
      <c r="H1853" s="221"/>
      <c r="I1853" s="221"/>
      <c r="J1853" s="145"/>
      <c r="K1853" s="142" t="str">
        <f t="shared" si="429"/>
        <v>đ/m2</v>
      </c>
      <c r="L1853" s="146"/>
      <c r="M1853" s="147">
        <f t="shared" si="433"/>
        <v>980000</v>
      </c>
      <c r="N1853" s="147">
        <f t="shared" si="434"/>
        <v>980000</v>
      </c>
      <c r="O1853" s="136">
        <f t="shared" si="430"/>
        <v>980000</v>
      </c>
      <c r="P1853" s="71">
        <f t="shared" si="431"/>
        <v>980000</v>
      </c>
    </row>
    <row r="1854" spans="1:16" s="58" customFormat="1" ht="21" customHeight="1">
      <c r="A1854" s="142">
        <f t="shared" si="435"/>
        <v>14</v>
      </c>
      <c r="B1854" s="166" t="s">
        <v>1742</v>
      </c>
      <c r="C1854" s="165" t="str">
        <f t="shared" si="427"/>
        <v>đ/m2</v>
      </c>
      <c r="D1854" s="221">
        <v>1000000</v>
      </c>
      <c r="E1854" s="147">
        <f t="shared" si="432"/>
        <v>1000000</v>
      </c>
      <c r="F1854" s="161"/>
      <c r="G1854" s="220" t="str">
        <f t="shared" si="428"/>
        <v>đ/m2</v>
      </c>
      <c r="H1854" s="221"/>
      <c r="I1854" s="221"/>
      <c r="J1854" s="145"/>
      <c r="K1854" s="142" t="str">
        <f t="shared" si="429"/>
        <v>đ/m2</v>
      </c>
      <c r="L1854" s="146"/>
      <c r="M1854" s="147">
        <f t="shared" si="433"/>
        <v>1000000</v>
      </c>
      <c r="N1854" s="147">
        <f t="shared" si="434"/>
        <v>1000000</v>
      </c>
      <c r="O1854" s="136">
        <f t="shared" si="430"/>
        <v>1000000</v>
      </c>
      <c r="P1854" s="71">
        <f t="shared" si="431"/>
        <v>1000000</v>
      </c>
    </row>
    <row r="1855" spans="1:16" s="58" customFormat="1" ht="21" customHeight="1">
      <c r="A1855" s="142">
        <f t="shared" si="435"/>
        <v>15</v>
      </c>
      <c r="B1855" s="166" t="s">
        <v>1743</v>
      </c>
      <c r="C1855" s="165" t="str">
        <f t="shared" si="427"/>
        <v>đ/m2</v>
      </c>
      <c r="D1855" s="221">
        <v>1080000</v>
      </c>
      <c r="E1855" s="147">
        <f t="shared" si="432"/>
        <v>1080000</v>
      </c>
      <c r="F1855" s="161"/>
      <c r="G1855" s="220" t="str">
        <f t="shared" si="428"/>
        <v>đ/m2</v>
      </c>
      <c r="H1855" s="221"/>
      <c r="I1855" s="221"/>
      <c r="J1855" s="145"/>
      <c r="K1855" s="142" t="str">
        <f t="shared" si="429"/>
        <v>đ/m2</v>
      </c>
      <c r="L1855" s="146"/>
      <c r="M1855" s="147">
        <f t="shared" si="433"/>
        <v>1080000</v>
      </c>
      <c r="N1855" s="147">
        <f t="shared" si="434"/>
        <v>1080000</v>
      </c>
      <c r="O1855" s="136">
        <f t="shared" si="430"/>
        <v>1080000</v>
      </c>
      <c r="P1855" s="71">
        <f t="shared" si="431"/>
        <v>1080000</v>
      </c>
    </row>
    <row r="1856" spans="1:16" s="58" customFormat="1" ht="21" customHeight="1">
      <c r="A1856" s="142">
        <f t="shared" si="435"/>
        <v>16</v>
      </c>
      <c r="B1856" s="166" t="s">
        <v>1744</v>
      </c>
      <c r="C1856" s="165" t="str">
        <f t="shared" si="427"/>
        <v>đ/m2</v>
      </c>
      <c r="D1856" s="221">
        <v>1170000</v>
      </c>
      <c r="E1856" s="147">
        <f t="shared" si="432"/>
        <v>1170000</v>
      </c>
      <c r="F1856" s="161"/>
      <c r="G1856" s="220" t="str">
        <f t="shared" si="428"/>
        <v>đ/m2</v>
      </c>
      <c r="H1856" s="221"/>
      <c r="I1856" s="221"/>
      <c r="J1856" s="145"/>
      <c r="K1856" s="142" t="str">
        <f t="shared" si="429"/>
        <v>đ/m2</v>
      </c>
      <c r="L1856" s="146"/>
      <c r="M1856" s="147">
        <f t="shared" si="433"/>
        <v>1170000</v>
      </c>
      <c r="N1856" s="147">
        <f t="shared" si="434"/>
        <v>1170000</v>
      </c>
      <c r="O1856" s="136">
        <f t="shared" si="430"/>
        <v>1170000</v>
      </c>
      <c r="P1856" s="71">
        <f t="shared" si="431"/>
        <v>1170000</v>
      </c>
    </row>
    <row r="1857" spans="1:16" s="58" customFormat="1" ht="21" customHeight="1">
      <c r="A1857" s="142"/>
      <c r="B1857" s="173" t="s">
        <v>1748</v>
      </c>
      <c r="C1857" s="165" t="str">
        <f t="shared" si="427"/>
        <v>đ/m2</v>
      </c>
      <c r="D1857" s="221"/>
      <c r="E1857" s="147"/>
      <c r="F1857" s="161"/>
      <c r="G1857" s="220"/>
      <c r="H1857" s="221"/>
      <c r="I1857" s="221"/>
      <c r="J1857" s="145"/>
      <c r="K1857" s="142"/>
      <c r="L1857" s="146"/>
      <c r="M1857" s="147">
        <f t="shared" si="433"/>
        <v>0</v>
      </c>
      <c r="N1857" s="147">
        <f t="shared" si="434"/>
        <v>0</v>
      </c>
      <c r="O1857" s="136">
        <f t="shared" si="430"/>
        <v>0</v>
      </c>
      <c r="P1857" s="71">
        <f t="shared" si="431"/>
        <v>0</v>
      </c>
    </row>
    <row r="1858" spans="1:16" s="58" customFormat="1" ht="21" customHeight="1">
      <c r="A1858" s="142">
        <f t="shared" si="435"/>
        <v>1</v>
      </c>
      <c r="B1858" s="166" t="s">
        <v>1746</v>
      </c>
      <c r="C1858" s="165" t="str">
        <f t="shared" si="427"/>
        <v>đ/m2</v>
      </c>
      <c r="D1858" s="221">
        <v>860000</v>
      </c>
      <c r="E1858" s="147">
        <f t="shared" ref="E1858:E1865" si="436">D1858</f>
        <v>860000</v>
      </c>
      <c r="F1858" s="161"/>
      <c r="G1858" s="220" t="str">
        <f t="shared" si="428"/>
        <v>đ/m2</v>
      </c>
      <c r="H1858" s="221"/>
      <c r="I1858" s="221"/>
      <c r="J1858" s="145"/>
      <c r="K1858" s="142" t="str">
        <f t="shared" si="429"/>
        <v>đ/m2</v>
      </c>
      <c r="L1858" s="146"/>
      <c r="M1858" s="147">
        <f t="shared" si="433"/>
        <v>860000</v>
      </c>
      <c r="N1858" s="147">
        <f t="shared" si="434"/>
        <v>860000</v>
      </c>
      <c r="O1858" s="136">
        <f t="shared" si="430"/>
        <v>860000</v>
      </c>
      <c r="P1858" s="71">
        <f t="shared" si="431"/>
        <v>860000</v>
      </c>
    </row>
    <row r="1859" spans="1:16" s="58" customFormat="1" ht="21" customHeight="1">
      <c r="A1859" s="142">
        <f t="shared" si="435"/>
        <v>2</v>
      </c>
      <c r="B1859" s="166" t="s">
        <v>1747</v>
      </c>
      <c r="C1859" s="165" t="str">
        <f t="shared" si="427"/>
        <v>đ/m2</v>
      </c>
      <c r="D1859" s="221">
        <v>1020000</v>
      </c>
      <c r="E1859" s="147">
        <f t="shared" si="436"/>
        <v>1020000</v>
      </c>
      <c r="F1859" s="161"/>
      <c r="G1859" s="220" t="str">
        <f t="shared" si="428"/>
        <v>đ/m2</v>
      </c>
      <c r="H1859" s="221"/>
      <c r="I1859" s="221"/>
      <c r="J1859" s="145"/>
      <c r="K1859" s="142" t="str">
        <f t="shared" si="429"/>
        <v>đ/m2</v>
      </c>
      <c r="L1859" s="146"/>
      <c r="M1859" s="147">
        <f t="shared" si="433"/>
        <v>1020000</v>
      </c>
      <c r="N1859" s="147">
        <f t="shared" si="434"/>
        <v>1020000</v>
      </c>
      <c r="O1859" s="136">
        <f t="shared" si="430"/>
        <v>1020000</v>
      </c>
      <c r="P1859" s="71">
        <f t="shared" si="431"/>
        <v>1020000</v>
      </c>
    </row>
    <row r="1860" spans="1:16" s="58" customFormat="1" ht="21" customHeight="1">
      <c r="A1860" s="142">
        <f t="shared" si="435"/>
        <v>3</v>
      </c>
      <c r="B1860" s="166" t="s">
        <v>1749</v>
      </c>
      <c r="C1860" s="165" t="str">
        <f t="shared" si="427"/>
        <v>đ/m2</v>
      </c>
      <c r="D1860" s="221">
        <v>1240000</v>
      </c>
      <c r="E1860" s="147">
        <f t="shared" si="436"/>
        <v>1240000</v>
      </c>
      <c r="F1860" s="161"/>
      <c r="G1860" s="220" t="str">
        <f t="shared" si="428"/>
        <v>đ/m2</v>
      </c>
      <c r="H1860" s="221"/>
      <c r="I1860" s="221"/>
      <c r="J1860" s="145"/>
      <c r="K1860" s="142" t="str">
        <f t="shared" si="429"/>
        <v>đ/m2</v>
      </c>
      <c r="L1860" s="146"/>
      <c r="M1860" s="147">
        <f t="shared" si="433"/>
        <v>1240000</v>
      </c>
      <c r="N1860" s="147">
        <f t="shared" si="434"/>
        <v>1240000</v>
      </c>
      <c r="O1860" s="136">
        <f t="shared" si="430"/>
        <v>1240000</v>
      </c>
      <c r="P1860" s="71">
        <f t="shared" si="431"/>
        <v>1240000</v>
      </c>
    </row>
    <row r="1861" spans="1:16" s="58" customFormat="1" ht="21" customHeight="1">
      <c r="A1861" s="142">
        <f t="shared" si="435"/>
        <v>4</v>
      </c>
      <c r="B1861" s="166" t="s">
        <v>1753</v>
      </c>
      <c r="C1861" s="165" t="str">
        <f t="shared" si="427"/>
        <v>đ/m2</v>
      </c>
      <c r="D1861" s="221">
        <v>1370000</v>
      </c>
      <c r="E1861" s="147">
        <f t="shared" si="436"/>
        <v>1370000</v>
      </c>
      <c r="F1861" s="161"/>
      <c r="G1861" s="220" t="str">
        <f t="shared" si="428"/>
        <v>đ/m2</v>
      </c>
      <c r="H1861" s="221"/>
      <c r="I1861" s="221"/>
      <c r="J1861" s="145"/>
      <c r="K1861" s="142" t="str">
        <f t="shared" si="429"/>
        <v>đ/m2</v>
      </c>
      <c r="L1861" s="146"/>
      <c r="M1861" s="147">
        <f t="shared" si="433"/>
        <v>1370000</v>
      </c>
      <c r="N1861" s="147">
        <f t="shared" si="434"/>
        <v>1370000</v>
      </c>
      <c r="O1861" s="136">
        <f t="shared" si="430"/>
        <v>1370000</v>
      </c>
      <c r="P1861" s="71">
        <f t="shared" si="431"/>
        <v>1370000</v>
      </c>
    </row>
    <row r="1862" spans="1:16" s="58" customFormat="1" ht="21" customHeight="1">
      <c r="A1862" s="142">
        <f t="shared" si="435"/>
        <v>5</v>
      </c>
      <c r="B1862" s="166" t="s">
        <v>1750</v>
      </c>
      <c r="C1862" s="165" t="str">
        <f t="shared" si="427"/>
        <v>đ/m2</v>
      </c>
      <c r="D1862" s="221">
        <v>700000</v>
      </c>
      <c r="E1862" s="147">
        <f t="shared" si="436"/>
        <v>700000</v>
      </c>
      <c r="F1862" s="161"/>
      <c r="G1862" s="220" t="str">
        <f t="shared" si="428"/>
        <v>đ/m2</v>
      </c>
      <c r="H1862" s="221"/>
      <c r="I1862" s="221"/>
      <c r="J1862" s="145"/>
      <c r="K1862" s="142" t="str">
        <f t="shared" si="429"/>
        <v>đ/m2</v>
      </c>
      <c r="L1862" s="146"/>
      <c r="M1862" s="147">
        <f t="shared" si="433"/>
        <v>700000</v>
      </c>
      <c r="N1862" s="147">
        <f t="shared" si="434"/>
        <v>700000</v>
      </c>
      <c r="O1862" s="136">
        <f t="shared" si="430"/>
        <v>700000</v>
      </c>
      <c r="P1862" s="71">
        <f t="shared" si="431"/>
        <v>700000</v>
      </c>
    </row>
    <row r="1863" spans="1:16" s="58" customFormat="1" ht="21" customHeight="1">
      <c r="A1863" s="142">
        <f t="shared" si="435"/>
        <v>6</v>
      </c>
      <c r="B1863" s="166" t="s">
        <v>1752</v>
      </c>
      <c r="C1863" s="165" t="str">
        <f t="shared" si="427"/>
        <v>đ/m2</v>
      </c>
      <c r="D1863" s="221">
        <v>880000</v>
      </c>
      <c r="E1863" s="147">
        <f t="shared" si="436"/>
        <v>880000</v>
      </c>
      <c r="F1863" s="161"/>
      <c r="G1863" s="220" t="str">
        <f t="shared" si="428"/>
        <v>đ/m2</v>
      </c>
      <c r="H1863" s="221"/>
      <c r="I1863" s="221"/>
      <c r="J1863" s="145"/>
      <c r="K1863" s="142" t="str">
        <f t="shared" si="429"/>
        <v>đ/m2</v>
      </c>
      <c r="L1863" s="146"/>
      <c r="M1863" s="147">
        <f t="shared" si="433"/>
        <v>880000</v>
      </c>
      <c r="N1863" s="147">
        <f t="shared" si="434"/>
        <v>880000</v>
      </c>
      <c r="O1863" s="136">
        <f t="shared" si="430"/>
        <v>880000</v>
      </c>
      <c r="P1863" s="71">
        <f t="shared" si="431"/>
        <v>880000</v>
      </c>
    </row>
    <row r="1864" spans="1:16" s="58" customFormat="1" ht="21" customHeight="1">
      <c r="A1864" s="142">
        <f t="shared" si="435"/>
        <v>7</v>
      </c>
      <c r="B1864" s="166" t="s">
        <v>1751</v>
      </c>
      <c r="C1864" s="165" t="str">
        <f t="shared" si="427"/>
        <v>đ/m2</v>
      </c>
      <c r="D1864" s="221">
        <v>700000</v>
      </c>
      <c r="E1864" s="147">
        <f t="shared" si="436"/>
        <v>700000</v>
      </c>
      <c r="F1864" s="161"/>
      <c r="G1864" s="220" t="str">
        <f t="shared" si="428"/>
        <v>đ/m2</v>
      </c>
      <c r="H1864" s="221"/>
      <c r="I1864" s="221"/>
      <c r="J1864" s="145"/>
      <c r="K1864" s="142" t="str">
        <f t="shared" si="429"/>
        <v>đ/m2</v>
      </c>
      <c r="L1864" s="146"/>
      <c r="M1864" s="147">
        <f t="shared" si="433"/>
        <v>700000</v>
      </c>
      <c r="N1864" s="147">
        <f t="shared" si="434"/>
        <v>700000</v>
      </c>
      <c r="O1864" s="136">
        <f t="shared" si="430"/>
        <v>700000</v>
      </c>
      <c r="P1864" s="71">
        <f t="shared" si="431"/>
        <v>700000</v>
      </c>
    </row>
    <row r="1865" spans="1:16" s="58" customFormat="1" ht="21" customHeight="1">
      <c r="A1865" s="142">
        <f t="shared" si="435"/>
        <v>8</v>
      </c>
      <c r="B1865" s="166" t="s">
        <v>1754</v>
      </c>
      <c r="C1865" s="165" t="str">
        <f t="shared" si="427"/>
        <v>đ/m2</v>
      </c>
      <c r="D1865" s="221">
        <v>880000</v>
      </c>
      <c r="E1865" s="147">
        <f t="shared" si="436"/>
        <v>880000</v>
      </c>
      <c r="F1865" s="161"/>
      <c r="G1865" s="220" t="str">
        <f t="shared" si="428"/>
        <v>đ/m2</v>
      </c>
      <c r="H1865" s="221"/>
      <c r="I1865" s="221"/>
      <c r="J1865" s="145"/>
      <c r="K1865" s="142" t="str">
        <f t="shared" si="429"/>
        <v>đ/m2</v>
      </c>
      <c r="L1865" s="146"/>
      <c r="M1865" s="147">
        <f t="shared" si="433"/>
        <v>880000</v>
      </c>
      <c r="N1865" s="147">
        <f t="shared" si="434"/>
        <v>880000</v>
      </c>
      <c r="O1865" s="136">
        <f t="shared" si="430"/>
        <v>880000</v>
      </c>
      <c r="P1865" s="71">
        <f t="shared" si="431"/>
        <v>880000</v>
      </c>
    </row>
    <row r="1866" spans="1:16" s="58" customFormat="1" ht="28.5" customHeight="1">
      <c r="A1866" s="172" t="s">
        <v>967</v>
      </c>
      <c r="B1866" s="287" t="s">
        <v>968</v>
      </c>
      <c r="C1866" s="287"/>
      <c r="D1866" s="287"/>
      <c r="E1866" s="287"/>
      <c r="F1866" s="287"/>
      <c r="G1866" s="145"/>
      <c r="H1866" s="145"/>
      <c r="I1866" s="145"/>
      <c r="J1866" s="145"/>
      <c r="K1866" s="165"/>
      <c r="L1866" s="147"/>
      <c r="M1866" s="147"/>
      <c r="N1866" s="147"/>
      <c r="O1866" s="135"/>
      <c r="P1866" s="69"/>
    </row>
    <row r="1867" spans="1:16" s="58" customFormat="1" ht="34.5" customHeight="1">
      <c r="A1867" s="142"/>
      <c r="B1867" s="259" t="s">
        <v>1764</v>
      </c>
      <c r="C1867" s="260"/>
      <c r="D1867" s="260"/>
      <c r="E1867" s="260"/>
      <c r="F1867" s="260"/>
      <c r="G1867" s="260"/>
      <c r="H1867" s="260"/>
      <c r="I1867" s="260"/>
      <c r="J1867" s="260"/>
      <c r="K1867" s="260"/>
      <c r="L1867" s="260"/>
      <c r="M1867" s="260"/>
      <c r="N1867" s="261"/>
      <c r="O1867" s="135"/>
      <c r="P1867" s="69"/>
    </row>
    <row r="1868" spans="1:16" s="58" customFormat="1" ht="21" customHeight="1">
      <c r="A1868" s="172">
        <v>1</v>
      </c>
      <c r="B1868" s="173" t="s">
        <v>969</v>
      </c>
      <c r="C1868" s="167"/>
      <c r="D1868" s="174"/>
      <c r="E1868" s="161"/>
      <c r="F1868" s="161"/>
      <c r="G1868" s="145"/>
      <c r="H1868" s="145"/>
      <c r="I1868" s="145"/>
      <c r="J1868" s="145"/>
      <c r="K1868" s="165"/>
      <c r="L1868" s="147"/>
      <c r="M1868" s="147"/>
      <c r="N1868" s="147"/>
      <c r="O1868" s="135"/>
      <c r="P1868" s="69"/>
    </row>
    <row r="1869" spans="1:16" s="58" customFormat="1" ht="21" customHeight="1">
      <c r="A1869" s="142"/>
      <c r="B1869" s="166" t="s">
        <v>970</v>
      </c>
      <c r="C1869" s="160" t="s">
        <v>971</v>
      </c>
      <c r="D1869" s="171">
        <v>7100000</v>
      </c>
      <c r="E1869" s="161"/>
      <c r="F1869" s="161"/>
      <c r="G1869" s="212" t="s">
        <v>971</v>
      </c>
      <c r="H1869" s="171"/>
      <c r="I1869" s="171"/>
      <c r="J1869" s="145"/>
      <c r="K1869" s="142" t="str">
        <f>C1869</f>
        <v>đ/mdài</v>
      </c>
      <c r="L1869" s="146">
        <f>D1869</f>
        <v>7100000</v>
      </c>
      <c r="M1869" s="146"/>
      <c r="N1869" s="147"/>
      <c r="O1869" s="136">
        <f>D1869</f>
        <v>7100000</v>
      </c>
      <c r="P1869" s="71">
        <f>L1869</f>
        <v>7100000</v>
      </c>
    </row>
    <row r="1870" spans="1:16" s="58" customFormat="1" ht="21" customHeight="1">
      <c r="A1870" s="142"/>
      <c r="B1870" s="166" t="s">
        <v>972</v>
      </c>
      <c r="C1870" s="160" t="s">
        <v>971</v>
      </c>
      <c r="D1870" s="171">
        <v>8100000</v>
      </c>
      <c r="E1870" s="161"/>
      <c r="F1870" s="161"/>
      <c r="G1870" s="212" t="s">
        <v>971</v>
      </c>
      <c r="H1870" s="171"/>
      <c r="I1870" s="145"/>
      <c r="J1870" s="145"/>
      <c r="K1870" s="142" t="str">
        <f>C1870</f>
        <v>đ/mdài</v>
      </c>
      <c r="L1870" s="146">
        <f>D1870</f>
        <v>8100000</v>
      </c>
      <c r="M1870" s="147"/>
      <c r="N1870" s="147"/>
      <c r="O1870" s="136">
        <f>D1870</f>
        <v>8100000</v>
      </c>
      <c r="P1870" s="71">
        <f>L1870</f>
        <v>8100000</v>
      </c>
    </row>
    <row r="1871" spans="1:16" s="58" customFormat="1" ht="21" customHeight="1">
      <c r="A1871" s="172">
        <v>2</v>
      </c>
      <c r="B1871" s="173" t="s">
        <v>973</v>
      </c>
      <c r="C1871" s="167"/>
      <c r="D1871" s="161"/>
      <c r="E1871" s="161"/>
      <c r="F1871" s="161"/>
      <c r="G1871" s="145"/>
      <c r="H1871" s="145"/>
      <c r="I1871" s="145"/>
      <c r="J1871" s="145"/>
      <c r="K1871" s="165"/>
      <c r="L1871" s="147"/>
      <c r="M1871" s="147"/>
      <c r="N1871" s="147"/>
      <c r="O1871" s="135"/>
      <c r="P1871" s="69"/>
    </row>
    <row r="1872" spans="1:16" s="58" customFormat="1" ht="21" customHeight="1">
      <c r="A1872" s="142"/>
      <c r="B1872" s="166" t="s">
        <v>974</v>
      </c>
      <c r="C1872" s="160" t="s">
        <v>971</v>
      </c>
      <c r="D1872" s="171">
        <v>8900000</v>
      </c>
      <c r="E1872" s="161"/>
      <c r="F1872" s="161"/>
      <c r="G1872" s="212" t="s">
        <v>971</v>
      </c>
      <c r="H1872" s="171"/>
      <c r="I1872" s="145"/>
      <c r="J1872" s="145"/>
      <c r="K1872" s="142" t="str">
        <f>C1872</f>
        <v>đ/mdài</v>
      </c>
      <c r="L1872" s="146">
        <f>D1872</f>
        <v>8900000</v>
      </c>
      <c r="M1872" s="147"/>
      <c r="N1872" s="147"/>
      <c r="O1872" s="136">
        <f>D1872</f>
        <v>8900000</v>
      </c>
      <c r="P1872" s="71">
        <f>L1872</f>
        <v>8900000</v>
      </c>
    </row>
    <row r="1873" spans="1:16" s="58" customFormat="1" ht="21" customHeight="1">
      <c r="A1873" s="142"/>
      <c r="B1873" s="166" t="s">
        <v>975</v>
      </c>
      <c r="C1873" s="160" t="s">
        <v>971</v>
      </c>
      <c r="D1873" s="171">
        <v>10100000</v>
      </c>
      <c r="E1873" s="161"/>
      <c r="F1873" s="161"/>
      <c r="G1873" s="212" t="s">
        <v>971</v>
      </c>
      <c r="H1873" s="171"/>
      <c r="I1873" s="145"/>
      <c r="J1873" s="145"/>
      <c r="K1873" s="142" t="str">
        <f>C1873</f>
        <v>đ/mdài</v>
      </c>
      <c r="L1873" s="146">
        <f>D1873</f>
        <v>10100000</v>
      </c>
      <c r="M1873" s="147"/>
      <c r="N1873" s="147"/>
      <c r="O1873" s="136">
        <f>D1873</f>
        <v>10100000</v>
      </c>
      <c r="P1873" s="71">
        <f>L1873</f>
        <v>10100000</v>
      </c>
    </row>
    <row r="1874" spans="1:16" s="58" customFormat="1" ht="21" customHeight="1">
      <c r="A1874" s="172">
        <v>3</v>
      </c>
      <c r="B1874" s="173" t="s">
        <v>976</v>
      </c>
      <c r="C1874" s="167"/>
      <c r="D1874" s="174"/>
      <c r="E1874" s="161"/>
      <c r="F1874" s="161"/>
      <c r="G1874" s="145"/>
      <c r="H1874" s="145"/>
      <c r="I1874" s="145"/>
      <c r="J1874" s="145"/>
      <c r="K1874" s="165"/>
      <c r="L1874" s="147"/>
      <c r="M1874" s="147"/>
      <c r="N1874" s="147"/>
      <c r="O1874" s="135"/>
      <c r="P1874" s="69"/>
    </row>
    <row r="1875" spans="1:16" s="58" customFormat="1" ht="21" customHeight="1">
      <c r="A1875" s="142"/>
      <c r="B1875" s="166" t="s">
        <v>977</v>
      </c>
      <c r="C1875" s="160" t="s">
        <v>971</v>
      </c>
      <c r="D1875" s="171">
        <v>7300000</v>
      </c>
      <c r="E1875" s="161"/>
      <c r="F1875" s="161"/>
      <c r="G1875" s="212" t="s">
        <v>971</v>
      </c>
      <c r="H1875" s="171"/>
      <c r="I1875" s="145"/>
      <c r="J1875" s="145"/>
      <c r="K1875" s="142" t="str">
        <f>C1875</f>
        <v>đ/mdài</v>
      </c>
      <c r="L1875" s="146">
        <f>D1875</f>
        <v>7300000</v>
      </c>
      <c r="M1875" s="147"/>
      <c r="N1875" s="147"/>
      <c r="O1875" s="136">
        <f>D1875</f>
        <v>7300000</v>
      </c>
      <c r="P1875" s="71">
        <f>L1875</f>
        <v>7300000</v>
      </c>
    </row>
    <row r="1876" spans="1:16" s="58" customFormat="1" ht="21" customHeight="1">
      <c r="A1876" s="142"/>
      <c r="B1876" s="166" t="s">
        <v>978</v>
      </c>
      <c r="C1876" s="160" t="s">
        <v>971</v>
      </c>
      <c r="D1876" s="171">
        <v>8300000</v>
      </c>
      <c r="E1876" s="161"/>
      <c r="F1876" s="161"/>
      <c r="G1876" s="212" t="s">
        <v>971</v>
      </c>
      <c r="H1876" s="171"/>
      <c r="I1876" s="145"/>
      <c r="J1876" s="145"/>
      <c r="K1876" s="142" t="str">
        <f>C1876</f>
        <v>đ/mdài</v>
      </c>
      <c r="L1876" s="146">
        <f>D1876</f>
        <v>8300000</v>
      </c>
      <c r="M1876" s="147"/>
      <c r="N1876" s="147"/>
      <c r="O1876" s="136">
        <f>D1876</f>
        <v>8300000</v>
      </c>
      <c r="P1876" s="71">
        <f>L1876</f>
        <v>8300000</v>
      </c>
    </row>
    <row r="1877" spans="1:16" s="58" customFormat="1" ht="21" customHeight="1">
      <c r="A1877" s="172">
        <v>4</v>
      </c>
      <c r="B1877" s="173" t="s">
        <v>979</v>
      </c>
      <c r="C1877" s="167"/>
      <c r="D1877" s="161"/>
      <c r="E1877" s="161"/>
      <c r="F1877" s="161"/>
      <c r="G1877" s="145"/>
      <c r="H1877" s="145"/>
      <c r="I1877" s="145"/>
      <c r="J1877" s="145"/>
      <c r="K1877" s="165"/>
      <c r="L1877" s="147"/>
      <c r="M1877" s="147"/>
      <c r="N1877" s="147"/>
      <c r="O1877" s="135"/>
      <c r="P1877" s="69"/>
    </row>
    <row r="1878" spans="1:16" s="58" customFormat="1" ht="21" customHeight="1">
      <c r="A1878" s="142"/>
      <c r="B1878" s="166" t="s">
        <v>980</v>
      </c>
      <c r="C1878" s="160" t="s">
        <v>971</v>
      </c>
      <c r="D1878" s="171">
        <v>8500000</v>
      </c>
      <c r="E1878" s="161"/>
      <c r="F1878" s="161"/>
      <c r="G1878" s="212" t="s">
        <v>971</v>
      </c>
      <c r="H1878" s="171"/>
      <c r="I1878" s="145"/>
      <c r="J1878" s="145"/>
      <c r="K1878" s="142" t="str">
        <f>C1878</f>
        <v>đ/mdài</v>
      </c>
      <c r="L1878" s="146">
        <f>D1878</f>
        <v>8500000</v>
      </c>
      <c r="M1878" s="147"/>
      <c r="N1878" s="147"/>
      <c r="O1878" s="136">
        <f>D1878</f>
        <v>8500000</v>
      </c>
      <c r="P1878" s="71">
        <f>L1878</f>
        <v>8500000</v>
      </c>
    </row>
    <row r="1879" spans="1:16" s="58" customFormat="1" ht="21" customHeight="1">
      <c r="A1879" s="142"/>
      <c r="B1879" s="166" t="s">
        <v>981</v>
      </c>
      <c r="C1879" s="160" t="s">
        <v>971</v>
      </c>
      <c r="D1879" s="171">
        <v>9700000</v>
      </c>
      <c r="E1879" s="161"/>
      <c r="F1879" s="161"/>
      <c r="G1879" s="212" t="s">
        <v>971</v>
      </c>
      <c r="H1879" s="171"/>
      <c r="I1879" s="145"/>
      <c r="J1879" s="145"/>
      <c r="K1879" s="142" t="str">
        <f>C1879</f>
        <v>đ/mdài</v>
      </c>
      <c r="L1879" s="146">
        <f>D1879</f>
        <v>9700000</v>
      </c>
      <c r="M1879" s="147"/>
      <c r="N1879" s="147"/>
      <c r="O1879" s="136">
        <f>D1879</f>
        <v>9700000</v>
      </c>
      <c r="P1879" s="71">
        <f>L1879</f>
        <v>9700000</v>
      </c>
    </row>
    <row r="1880" spans="1:16" s="58" customFormat="1" ht="21" customHeight="1">
      <c r="A1880" s="172">
        <v>5</v>
      </c>
      <c r="B1880" s="262" t="s">
        <v>982</v>
      </c>
      <c r="C1880" s="263"/>
      <c r="D1880" s="263"/>
      <c r="E1880" s="263"/>
      <c r="F1880" s="263"/>
      <c r="G1880" s="263"/>
      <c r="H1880" s="263"/>
      <c r="I1880" s="263"/>
      <c r="J1880" s="263"/>
      <c r="K1880" s="263"/>
      <c r="L1880" s="263"/>
      <c r="M1880" s="263"/>
      <c r="N1880" s="264"/>
      <c r="O1880" s="135"/>
      <c r="P1880" s="69"/>
    </row>
    <row r="1881" spans="1:16" s="58" customFormat="1" ht="21" customHeight="1">
      <c r="A1881" s="142"/>
      <c r="B1881" s="166" t="s">
        <v>983</v>
      </c>
      <c r="C1881" s="160" t="s">
        <v>971</v>
      </c>
      <c r="D1881" s="171">
        <v>10200000</v>
      </c>
      <c r="E1881" s="161"/>
      <c r="F1881" s="161"/>
      <c r="G1881" s="212" t="s">
        <v>971</v>
      </c>
      <c r="H1881" s="171"/>
      <c r="I1881" s="145"/>
      <c r="J1881" s="145"/>
      <c r="K1881" s="142" t="str">
        <f>C1881</f>
        <v>đ/mdài</v>
      </c>
      <c r="L1881" s="146">
        <f>D1881</f>
        <v>10200000</v>
      </c>
      <c r="M1881" s="147"/>
      <c r="N1881" s="147"/>
      <c r="O1881" s="136">
        <f>D1881</f>
        <v>10200000</v>
      </c>
      <c r="P1881" s="71">
        <f>L1881</f>
        <v>10200000</v>
      </c>
    </row>
    <row r="1882" spans="1:16" s="58" customFormat="1" ht="21" customHeight="1">
      <c r="A1882" s="142"/>
      <c r="B1882" s="166" t="s">
        <v>984</v>
      </c>
      <c r="C1882" s="160" t="s">
        <v>971</v>
      </c>
      <c r="D1882" s="171">
        <v>11500000</v>
      </c>
      <c r="E1882" s="161"/>
      <c r="F1882" s="161"/>
      <c r="G1882" s="212" t="s">
        <v>971</v>
      </c>
      <c r="H1882" s="171"/>
      <c r="I1882" s="145"/>
      <c r="J1882" s="145"/>
      <c r="K1882" s="142" t="str">
        <f>C1882</f>
        <v>đ/mdài</v>
      </c>
      <c r="L1882" s="146">
        <f>D1882</f>
        <v>11500000</v>
      </c>
      <c r="M1882" s="147"/>
      <c r="N1882" s="147"/>
      <c r="O1882" s="136">
        <f>D1882</f>
        <v>11500000</v>
      </c>
      <c r="P1882" s="71">
        <f>L1882</f>
        <v>11500000</v>
      </c>
    </row>
    <row r="1883" spans="1:16" s="58" customFormat="1" ht="21" customHeight="1">
      <c r="A1883" s="172">
        <v>6</v>
      </c>
      <c r="B1883" s="262" t="s">
        <v>985</v>
      </c>
      <c r="C1883" s="263"/>
      <c r="D1883" s="263"/>
      <c r="E1883" s="263"/>
      <c r="F1883" s="263"/>
      <c r="G1883" s="263"/>
      <c r="H1883" s="263"/>
      <c r="I1883" s="263"/>
      <c r="J1883" s="263"/>
      <c r="K1883" s="263"/>
      <c r="L1883" s="263"/>
      <c r="M1883" s="263"/>
      <c r="N1883" s="264"/>
      <c r="O1883" s="135"/>
      <c r="P1883" s="69"/>
    </row>
    <row r="1884" spans="1:16" s="58" customFormat="1" ht="21" customHeight="1">
      <c r="A1884" s="142"/>
      <c r="B1884" s="166" t="s">
        <v>986</v>
      </c>
      <c r="C1884" s="160" t="s">
        <v>971</v>
      </c>
      <c r="D1884" s="171">
        <v>11800000</v>
      </c>
      <c r="E1884" s="161"/>
      <c r="F1884" s="161"/>
      <c r="G1884" s="212" t="s">
        <v>971</v>
      </c>
      <c r="H1884" s="171"/>
      <c r="I1884" s="145"/>
      <c r="J1884" s="145"/>
      <c r="K1884" s="142" t="str">
        <f>C1884</f>
        <v>đ/mdài</v>
      </c>
      <c r="L1884" s="146">
        <f>D1884</f>
        <v>11800000</v>
      </c>
      <c r="M1884" s="147"/>
      <c r="N1884" s="147"/>
      <c r="O1884" s="136">
        <f>D1884</f>
        <v>11800000</v>
      </c>
      <c r="P1884" s="71">
        <f>L1884</f>
        <v>11800000</v>
      </c>
    </row>
    <row r="1885" spans="1:16" s="58" customFormat="1" ht="21" customHeight="1">
      <c r="A1885" s="142"/>
      <c r="B1885" s="166" t="s">
        <v>987</v>
      </c>
      <c r="C1885" s="160" t="s">
        <v>971</v>
      </c>
      <c r="D1885" s="171">
        <v>13400000</v>
      </c>
      <c r="E1885" s="161"/>
      <c r="F1885" s="161"/>
      <c r="G1885" s="212" t="s">
        <v>971</v>
      </c>
      <c r="H1885" s="171"/>
      <c r="I1885" s="145"/>
      <c r="J1885" s="145"/>
      <c r="K1885" s="142" t="str">
        <f>C1885</f>
        <v>đ/mdài</v>
      </c>
      <c r="L1885" s="146">
        <f>D1885</f>
        <v>13400000</v>
      </c>
      <c r="M1885" s="147"/>
      <c r="N1885" s="147"/>
      <c r="O1885" s="136">
        <f>D1885</f>
        <v>13400000</v>
      </c>
      <c r="P1885" s="71">
        <f>L1885</f>
        <v>13400000</v>
      </c>
    </row>
    <row r="1886" spans="1:16" s="58" customFormat="1" ht="21" customHeight="1">
      <c r="A1886" s="172">
        <v>7</v>
      </c>
      <c r="B1886" s="262" t="s">
        <v>988</v>
      </c>
      <c r="C1886" s="263"/>
      <c r="D1886" s="263"/>
      <c r="E1886" s="263"/>
      <c r="F1886" s="263"/>
      <c r="G1886" s="263"/>
      <c r="H1886" s="263"/>
      <c r="I1886" s="263"/>
      <c r="J1886" s="263"/>
      <c r="K1886" s="263"/>
      <c r="L1886" s="263"/>
      <c r="M1886" s="263"/>
      <c r="N1886" s="264"/>
      <c r="O1886" s="135"/>
      <c r="P1886" s="69"/>
    </row>
    <row r="1887" spans="1:16" s="58" customFormat="1" ht="21" customHeight="1">
      <c r="A1887" s="142"/>
      <c r="B1887" s="166" t="s">
        <v>989</v>
      </c>
      <c r="C1887" s="160" t="s">
        <v>971</v>
      </c>
      <c r="D1887" s="171">
        <v>11800000</v>
      </c>
      <c r="E1887" s="161"/>
      <c r="F1887" s="161"/>
      <c r="G1887" s="212" t="s">
        <v>971</v>
      </c>
      <c r="H1887" s="171"/>
      <c r="I1887" s="145"/>
      <c r="J1887" s="145"/>
      <c r="K1887" s="142" t="str">
        <f>C1887</f>
        <v>đ/mdài</v>
      </c>
      <c r="L1887" s="146">
        <f>D1887</f>
        <v>11800000</v>
      </c>
      <c r="M1887" s="147"/>
      <c r="N1887" s="147"/>
      <c r="O1887" s="136">
        <f>D1887</f>
        <v>11800000</v>
      </c>
      <c r="P1887" s="71">
        <f>L1887</f>
        <v>11800000</v>
      </c>
    </row>
    <row r="1888" spans="1:16" s="58" customFormat="1" ht="21" customHeight="1">
      <c r="A1888" s="142"/>
      <c r="B1888" s="166" t="s">
        <v>990</v>
      </c>
      <c r="C1888" s="160" t="s">
        <v>971</v>
      </c>
      <c r="D1888" s="171">
        <v>13400000</v>
      </c>
      <c r="E1888" s="161"/>
      <c r="F1888" s="161"/>
      <c r="G1888" s="212" t="s">
        <v>971</v>
      </c>
      <c r="H1888" s="171"/>
      <c r="I1888" s="145"/>
      <c r="J1888" s="145"/>
      <c r="K1888" s="142" t="str">
        <f>C1888</f>
        <v>đ/mdài</v>
      </c>
      <c r="L1888" s="146">
        <f>D1888</f>
        <v>13400000</v>
      </c>
      <c r="M1888" s="147"/>
      <c r="N1888" s="147"/>
      <c r="O1888" s="136">
        <f>D1888</f>
        <v>13400000</v>
      </c>
      <c r="P1888" s="71">
        <f>L1888</f>
        <v>13400000</v>
      </c>
    </row>
    <row r="1889" spans="1:16" s="58" customFormat="1" ht="21" customHeight="1">
      <c r="A1889" s="172">
        <v>8</v>
      </c>
      <c r="B1889" s="173" t="s">
        <v>991</v>
      </c>
      <c r="C1889" s="167"/>
      <c r="D1889" s="161"/>
      <c r="E1889" s="161"/>
      <c r="F1889" s="161"/>
      <c r="G1889" s="145"/>
      <c r="H1889" s="145"/>
      <c r="I1889" s="145"/>
      <c r="J1889" s="145"/>
      <c r="K1889" s="165"/>
      <c r="L1889" s="147"/>
      <c r="M1889" s="147"/>
      <c r="N1889" s="147"/>
      <c r="O1889" s="135"/>
      <c r="P1889" s="69"/>
    </row>
    <row r="1890" spans="1:16" s="58" customFormat="1" ht="21" customHeight="1">
      <c r="A1890" s="142"/>
      <c r="B1890" s="166" t="s">
        <v>992</v>
      </c>
      <c r="C1890" s="160" t="s">
        <v>971</v>
      </c>
      <c r="D1890" s="171">
        <v>11800000</v>
      </c>
      <c r="E1890" s="161"/>
      <c r="F1890" s="161"/>
      <c r="G1890" s="212" t="s">
        <v>971</v>
      </c>
      <c r="H1890" s="171"/>
      <c r="I1890" s="145"/>
      <c r="J1890" s="145"/>
      <c r="K1890" s="142" t="str">
        <f>C1890</f>
        <v>đ/mdài</v>
      </c>
      <c r="L1890" s="146">
        <f>D1890</f>
        <v>11800000</v>
      </c>
      <c r="M1890" s="147"/>
      <c r="N1890" s="147"/>
      <c r="O1890" s="136">
        <f>D1890</f>
        <v>11800000</v>
      </c>
      <c r="P1890" s="71">
        <f>L1890</f>
        <v>11800000</v>
      </c>
    </row>
    <row r="1891" spans="1:16" s="58" customFormat="1" ht="21" customHeight="1">
      <c r="A1891" s="142"/>
      <c r="B1891" s="166" t="s">
        <v>993</v>
      </c>
      <c r="C1891" s="160" t="s">
        <v>971</v>
      </c>
      <c r="D1891" s="171">
        <v>13400000</v>
      </c>
      <c r="E1891" s="161"/>
      <c r="F1891" s="161"/>
      <c r="G1891" s="212" t="s">
        <v>971</v>
      </c>
      <c r="H1891" s="171"/>
      <c r="I1891" s="145"/>
      <c r="J1891" s="145"/>
      <c r="K1891" s="142" t="str">
        <f>C1891</f>
        <v>đ/mdài</v>
      </c>
      <c r="L1891" s="146">
        <f>D1891</f>
        <v>13400000</v>
      </c>
      <c r="M1891" s="147"/>
      <c r="N1891" s="147"/>
      <c r="O1891" s="136">
        <f>D1891</f>
        <v>13400000</v>
      </c>
      <c r="P1891" s="71">
        <f>L1891</f>
        <v>13400000</v>
      </c>
    </row>
    <row r="1892" spans="1:16" s="58" customFormat="1" ht="21" customHeight="1">
      <c r="A1892" s="172">
        <v>9</v>
      </c>
      <c r="B1892" s="173" t="s">
        <v>994</v>
      </c>
      <c r="C1892" s="167"/>
      <c r="D1892" s="161"/>
      <c r="E1892" s="175"/>
      <c r="F1892" s="175"/>
      <c r="G1892" s="145"/>
      <c r="H1892" s="145"/>
      <c r="I1892" s="145"/>
      <c r="J1892" s="145"/>
      <c r="K1892" s="165"/>
      <c r="L1892" s="147"/>
      <c r="M1892" s="147"/>
      <c r="N1892" s="147"/>
      <c r="O1892" s="135"/>
      <c r="P1892" s="69"/>
    </row>
    <row r="1893" spans="1:16" s="58" customFormat="1" ht="21" customHeight="1">
      <c r="A1893" s="142"/>
      <c r="B1893" s="166" t="s">
        <v>995</v>
      </c>
      <c r="C1893" s="160" t="s">
        <v>971</v>
      </c>
      <c r="D1893" s="171">
        <v>15300000</v>
      </c>
      <c r="E1893" s="175"/>
      <c r="F1893" s="175"/>
      <c r="G1893" s="212" t="s">
        <v>971</v>
      </c>
      <c r="H1893" s="171"/>
      <c r="I1893" s="145"/>
      <c r="J1893" s="145"/>
      <c r="K1893" s="142" t="str">
        <f>C1893</f>
        <v>đ/mdài</v>
      </c>
      <c r="L1893" s="146">
        <f>D1893</f>
        <v>15300000</v>
      </c>
      <c r="M1893" s="147"/>
      <c r="N1893" s="147"/>
      <c r="O1893" s="136">
        <f>D1893</f>
        <v>15300000</v>
      </c>
      <c r="P1893" s="71">
        <f>L1893</f>
        <v>15300000</v>
      </c>
    </row>
    <row r="1894" spans="1:16" s="58" customFormat="1" ht="21" customHeight="1">
      <c r="A1894" s="142"/>
      <c r="B1894" s="166" t="s">
        <v>996</v>
      </c>
      <c r="C1894" s="160" t="s">
        <v>971</v>
      </c>
      <c r="D1894" s="171">
        <v>17300000</v>
      </c>
      <c r="E1894" s="175"/>
      <c r="F1894" s="175"/>
      <c r="G1894" s="212" t="s">
        <v>971</v>
      </c>
      <c r="H1894" s="171"/>
      <c r="I1894" s="145"/>
      <c r="J1894" s="145"/>
      <c r="K1894" s="142" t="str">
        <f>C1894</f>
        <v>đ/mdài</v>
      </c>
      <c r="L1894" s="146">
        <f>D1894</f>
        <v>17300000</v>
      </c>
      <c r="M1894" s="147"/>
      <c r="N1894" s="147"/>
      <c r="O1894" s="136">
        <f>D1894</f>
        <v>17300000</v>
      </c>
      <c r="P1894" s="71">
        <f>L1894</f>
        <v>17300000</v>
      </c>
    </row>
    <row r="1895" spans="1:16" s="58" customFormat="1" ht="21" customHeight="1">
      <c r="A1895" s="172">
        <v>10</v>
      </c>
      <c r="B1895" s="262" t="s">
        <v>997</v>
      </c>
      <c r="C1895" s="263"/>
      <c r="D1895" s="263"/>
      <c r="E1895" s="263"/>
      <c r="F1895" s="263"/>
      <c r="G1895" s="263"/>
      <c r="H1895" s="263"/>
      <c r="I1895" s="263"/>
      <c r="J1895" s="263"/>
      <c r="K1895" s="263"/>
      <c r="L1895" s="263"/>
      <c r="M1895" s="263"/>
      <c r="N1895" s="264"/>
      <c r="O1895" s="135"/>
      <c r="P1895" s="69"/>
    </row>
    <row r="1896" spans="1:16" s="58" customFormat="1" ht="21" customHeight="1">
      <c r="A1896" s="142"/>
      <c r="B1896" s="166" t="s">
        <v>998</v>
      </c>
      <c r="C1896" s="160" t="s">
        <v>971</v>
      </c>
      <c r="D1896" s="171">
        <v>25000000</v>
      </c>
      <c r="E1896" s="161"/>
      <c r="F1896" s="161"/>
      <c r="G1896" s="212" t="s">
        <v>971</v>
      </c>
      <c r="H1896" s="171"/>
      <c r="I1896" s="145"/>
      <c r="J1896" s="145"/>
      <c r="K1896" s="142" t="str">
        <f>C1896</f>
        <v>đ/mdài</v>
      </c>
      <c r="L1896" s="146">
        <f>D1896</f>
        <v>25000000</v>
      </c>
      <c r="M1896" s="147"/>
      <c r="N1896" s="147"/>
      <c r="O1896" s="136">
        <f>D1896</f>
        <v>25000000</v>
      </c>
      <c r="P1896" s="71">
        <f>L1896</f>
        <v>25000000</v>
      </c>
    </row>
    <row r="1897" spans="1:16" s="58" customFormat="1" ht="21" customHeight="1">
      <c r="A1897" s="142"/>
      <c r="B1897" s="166" t="s">
        <v>999</v>
      </c>
      <c r="C1897" s="160" t="s">
        <v>971</v>
      </c>
      <c r="D1897" s="171">
        <v>28300000</v>
      </c>
      <c r="E1897" s="161"/>
      <c r="F1897" s="161"/>
      <c r="G1897" s="212" t="s">
        <v>971</v>
      </c>
      <c r="H1897" s="171"/>
      <c r="I1897" s="145"/>
      <c r="J1897" s="145"/>
      <c r="K1897" s="142" t="str">
        <f>C1897</f>
        <v>đ/mdài</v>
      </c>
      <c r="L1897" s="146">
        <f>D1897</f>
        <v>28300000</v>
      </c>
      <c r="M1897" s="147"/>
      <c r="N1897" s="147"/>
      <c r="O1897" s="136">
        <f>D1897</f>
        <v>28300000</v>
      </c>
      <c r="P1897" s="71">
        <f>L1897</f>
        <v>28300000</v>
      </c>
    </row>
    <row r="1898" spans="1:16" s="58" customFormat="1" ht="21" customHeight="1">
      <c r="A1898" s="172">
        <v>11</v>
      </c>
      <c r="B1898" s="262" t="s">
        <v>1000</v>
      </c>
      <c r="C1898" s="263"/>
      <c r="D1898" s="263"/>
      <c r="E1898" s="263"/>
      <c r="F1898" s="263"/>
      <c r="G1898" s="263"/>
      <c r="H1898" s="263"/>
      <c r="I1898" s="263"/>
      <c r="J1898" s="263"/>
      <c r="K1898" s="263"/>
      <c r="L1898" s="263"/>
      <c r="M1898" s="263"/>
      <c r="N1898" s="264"/>
      <c r="O1898" s="135"/>
      <c r="P1898" s="69"/>
    </row>
    <row r="1899" spans="1:16" s="58" customFormat="1" ht="21" customHeight="1">
      <c r="A1899" s="142"/>
      <c r="B1899" s="166" t="s">
        <v>1001</v>
      </c>
      <c r="C1899" s="160" t="s">
        <v>971</v>
      </c>
      <c r="D1899" s="171">
        <v>27100000</v>
      </c>
      <c r="E1899" s="161"/>
      <c r="F1899" s="161"/>
      <c r="G1899" s="212" t="s">
        <v>971</v>
      </c>
      <c r="H1899" s="171"/>
      <c r="I1899" s="145"/>
      <c r="J1899" s="145"/>
      <c r="K1899" s="142" t="str">
        <f>C1899</f>
        <v>đ/mdài</v>
      </c>
      <c r="L1899" s="146">
        <f>D1899</f>
        <v>27100000</v>
      </c>
      <c r="M1899" s="147"/>
      <c r="N1899" s="147"/>
      <c r="O1899" s="136">
        <f>D1899</f>
        <v>27100000</v>
      </c>
      <c r="P1899" s="71">
        <f>L1899</f>
        <v>27100000</v>
      </c>
    </row>
    <row r="1900" spans="1:16" s="58" customFormat="1" ht="21" customHeight="1">
      <c r="A1900" s="142"/>
      <c r="B1900" s="166" t="s">
        <v>1002</v>
      </c>
      <c r="C1900" s="160" t="s">
        <v>971</v>
      </c>
      <c r="D1900" s="171">
        <v>30700000</v>
      </c>
      <c r="E1900" s="161"/>
      <c r="F1900" s="161"/>
      <c r="G1900" s="212" t="s">
        <v>971</v>
      </c>
      <c r="H1900" s="171"/>
      <c r="I1900" s="145"/>
      <c r="J1900" s="145"/>
      <c r="K1900" s="142" t="str">
        <f>C1900</f>
        <v>đ/mdài</v>
      </c>
      <c r="L1900" s="146">
        <f>D1900</f>
        <v>30700000</v>
      </c>
      <c r="M1900" s="147"/>
      <c r="N1900" s="147"/>
      <c r="O1900" s="136">
        <f>D1900</f>
        <v>30700000</v>
      </c>
      <c r="P1900" s="71">
        <f>L1900</f>
        <v>30700000</v>
      </c>
    </row>
    <row r="1901" spans="1:16" s="58" customFormat="1" ht="21" customHeight="1">
      <c r="A1901" s="172">
        <v>12</v>
      </c>
      <c r="B1901" s="262" t="s">
        <v>1003</v>
      </c>
      <c r="C1901" s="263"/>
      <c r="D1901" s="263"/>
      <c r="E1901" s="263"/>
      <c r="F1901" s="263"/>
      <c r="G1901" s="263"/>
      <c r="H1901" s="263"/>
      <c r="I1901" s="263"/>
      <c r="J1901" s="263"/>
      <c r="K1901" s="263"/>
      <c r="L1901" s="263"/>
      <c r="M1901" s="263"/>
      <c r="N1901" s="264"/>
      <c r="O1901" s="135"/>
      <c r="P1901" s="69"/>
    </row>
    <row r="1902" spans="1:16" s="58" customFormat="1" ht="21" customHeight="1">
      <c r="A1902" s="142"/>
      <c r="B1902" s="166" t="s">
        <v>1004</v>
      </c>
      <c r="C1902" s="160" t="s">
        <v>971</v>
      </c>
      <c r="D1902" s="171">
        <v>30400000</v>
      </c>
      <c r="E1902" s="161"/>
      <c r="F1902" s="161"/>
      <c r="G1902" s="212" t="s">
        <v>971</v>
      </c>
      <c r="H1902" s="171"/>
      <c r="I1902" s="145"/>
      <c r="J1902" s="145"/>
      <c r="K1902" s="142" t="str">
        <f>C1902</f>
        <v>đ/mdài</v>
      </c>
      <c r="L1902" s="146">
        <f>D1902</f>
        <v>30400000</v>
      </c>
      <c r="M1902" s="147"/>
      <c r="N1902" s="147"/>
      <c r="O1902" s="136">
        <f>D1902</f>
        <v>30400000</v>
      </c>
      <c r="P1902" s="71">
        <f>L1902</f>
        <v>30400000</v>
      </c>
    </row>
    <row r="1903" spans="1:16" s="58" customFormat="1" ht="21" customHeight="1">
      <c r="A1903" s="142"/>
      <c r="B1903" s="166" t="s">
        <v>1005</v>
      </c>
      <c r="C1903" s="160" t="s">
        <v>971</v>
      </c>
      <c r="D1903" s="171">
        <v>34600000</v>
      </c>
      <c r="E1903" s="161"/>
      <c r="F1903" s="161"/>
      <c r="G1903" s="212" t="s">
        <v>971</v>
      </c>
      <c r="H1903" s="171"/>
      <c r="I1903" s="145"/>
      <c r="J1903" s="145"/>
      <c r="K1903" s="142" t="str">
        <f>C1903</f>
        <v>đ/mdài</v>
      </c>
      <c r="L1903" s="146">
        <f>D1903</f>
        <v>34600000</v>
      </c>
      <c r="M1903" s="147"/>
      <c r="N1903" s="147"/>
      <c r="O1903" s="136">
        <f>D1903</f>
        <v>34600000</v>
      </c>
      <c r="P1903" s="71">
        <f>L1903</f>
        <v>34600000</v>
      </c>
    </row>
    <row r="1904" spans="1:16" s="58" customFormat="1" ht="21" customHeight="1">
      <c r="A1904" s="172">
        <v>13</v>
      </c>
      <c r="B1904" s="100" t="s">
        <v>1006</v>
      </c>
      <c r="C1904" s="167"/>
      <c r="D1904" s="161"/>
      <c r="E1904" s="161"/>
      <c r="F1904" s="161"/>
      <c r="G1904" s="145"/>
      <c r="H1904" s="145"/>
      <c r="I1904" s="145"/>
      <c r="J1904" s="145"/>
      <c r="K1904" s="165"/>
      <c r="L1904" s="147"/>
      <c r="M1904" s="147"/>
      <c r="N1904" s="147"/>
      <c r="O1904" s="135"/>
      <c r="P1904" s="69"/>
    </row>
    <row r="1905" spans="1:16" s="58" customFormat="1" ht="21" customHeight="1">
      <c r="A1905" s="142"/>
      <c r="B1905" s="166" t="s">
        <v>1007</v>
      </c>
      <c r="C1905" s="160" t="s">
        <v>971</v>
      </c>
      <c r="D1905" s="171">
        <v>27500000</v>
      </c>
      <c r="E1905" s="161"/>
      <c r="F1905" s="161"/>
      <c r="G1905" s="212" t="s">
        <v>971</v>
      </c>
      <c r="H1905" s="171"/>
      <c r="I1905" s="145"/>
      <c r="J1905" s="145"/>
      <c r="K1905" s="142" t="str">
        <f t="shared" ref="K1905:L1907" si="437">C1905</f>
        <v>đ/mdài</v>
      </c>
      <c r="L1905" s="146">
        <f t="shared" si="437"/>
        <v>27500000</v>
      </c>
      <c r="M1905" s="147"/>
      <c r="N1905" s="147"/>
      <c r="O1905" s="136">
        <f>D1905</f>
        <v>27500000</v>
      </c>
      <c r="P1905" s="71">
        <f>L1905</f>
        <v>27500000</v>
      </c>
    </row>
    <row r="1906" spans="1:16" s="58" customFormat="1" ht="21" customHeight="1">
      <c r="A1906" s="142"/>
      <c r="B1906" s="166" t="s">
        <v>1008</v>
      </c>
      <c r="C1906" s="160" t="s">
        <v>971</v>
      </c>
      <c r="D1906" s="171">
        <v>31200000</v>
      </c>
      <c r="E1906" s="161"/>
      <c r="F1906" s="161"/>
      <c r="G1906" s="212" t="s">
        <v>971</v>
      </c>
      <c r="H1906" s="171"/>
      <c r="I1906" s="145"/>
      <c r="J1906" s="145"/>
      <c r="K1906" s="142" t="str">
        <f t="shared" si="437"/>
        <v>đ/mdài</v>
      </c>
      <c r="L1906" s="146">
        <f t="shared" si="437"/>
        <v>31200000</v>
      </c>
      <c r="M1906" s="147"/>
      <c r="N1906" s="147"/>
      <c r="O1906" s="136">
        <f>D1906</f>
        <v>31200000</v>
      </c>
      <c r="P1906" s="71">
        <f>L1906</f>
        <v>31200000</v>
      </c>
    </row>
    <row r="1907" spans="1:16" s="58" customFormat="1" ht="21" customHeight="1">
      <c r="A1907" s="142"/>
      <c r="B1907" s="166" t="s">
        <v>1009</v>
      </c>
      <c r="C1907" s="160" t="s">
        <v>971</v>
      </c>
      <c r="D1907" s="171">
        <v>51700000</v>
      </c>
      <c r="E1907" s="161"/>
      <c r="F1907" s="161"/>
      <c r="G1907" s="212" t="s">
        <v>971</v>
      </c>
      <c r="H1907" s="171"/>
      <c r="I1907" s="145"/>
      <c r="J1907" s="145"/>
      <c r="K1907" s="142" t="str">
        <f t="shared" si="437"/>
        <v>đ/mdài</v>
      </c>
      <c r="L1907" s="146">
        <f t="shared" si="437"/>
        <v>51700000</v>
      </c>
      <c r="M1907" s="147"/>
      <c r="N1907" s="147"/>
      <c r="O1907" s="136">
        <f>D1907</f>
        <v>51700000</v>
      </c>
      <c r="P1907" s="71">
        <f>L1907</f>
        <v>51700000</v>
      </c>
    </row>
    <row r="1908" spans="1:16" s="58" customFormat="1" ht="21" customHeight="1">
      <c r="A1908" s="172">
        <v>14</v>
      </c>
      <c r="B1908" s="100" t="s">
        <v>1010</v>
      </c>
      <c r="C1908" s="167"/>
      <c r="D1908" s="161"/>
      <c r="E1908" s="161"/>
      <c r="F1908" s="161"/>
      <c r="G1908" s="145"/>
      <c r="H1908" s="145"/>
      <c r="I1908" s="145"/>
      <c r="J1908" s="145"/>
      <c r="K1908" s="165"/>
      <c r="L1908" s="147"/>
      <c r="M1908" s="147"/>
      <c r="N1908" s="147"/>
      <c r="O1908" s="135"/>
      <c r="P1908" s="69"/>
    </row>
    <row r="1909" spans="1:16" s="58" customFormat="1" ht="21" customHeight="1">
      <c r="A1909" s="142"/>
      <c r="B1909" s="166" t="s">
        <v>1011</v>
      </c>
      <c r="C1909" s="160" t="s">
        <v>971</v>
      </c>
      <c r="D1909" s="171">
        <v>27200000</v>
      </c>
      <c r="E1909" s="161"/>
      <c r="F1909" s="161"/>
      <c r="G1909" s="212" t="s">
        <v>971</v>
      </c>
      <c r="H1909" s="171"/>
      <c r="I1909" s="145"/>
      <c r="J1909" s="145"/>
      <c r="K1909" s="142" t="str">
        <f t="shared" ref="K1909:K1915" si="438">C1909</f>
        <v>đ/mdài</v>
      </c>
      <c r="L1909" s="146">
        <f t="shared" ref="L1909:L1915" si="439">D1909</f>
        <v>27200000</v>
      </c>
      <c r="M1909" s="147"/>
      <c r="N1909" s="147"/>
      <c r="O1909" s="136">
        <f t="shared" ref="O1909:O1915" si="440">D1909</f>
        <v>27200000</v>
      </c>
      <c r="P1909" s="71">
        <f t="shared" ref="P1909:P1915" si="441">L1909</f>
        <v>27200000</v>
      </c>
    </row>
    <row r="1910" spans="1:16" s="58" customFormat="1" ht="21" customHeight="1">
      <c r="A1910" s="142"/>
      <c r="B1910" s="166" t="s">
        <v>1012</v>
      </c>
      <c r="C1910" s="160" t="s">
        <v>971</v>
      </c>
      <c r="D1910" s="171">
        <v>32100000</v>
      </c>
      <c r="E1910" s="161"/>
      <c r="F1910" s="161"/>
      <c r="G1910" s="212" t="s">
        <v>971</v>
      </c>
      <c r="H1910" s="171"/>
      <c r="I1910" s="145"/>
      <c r="J1910" s="145"/>
      <c r="K1910" s="142" t="str">
        <f t="shared" si="438"/>
        <v>đ/mdài</v>
      </c>
      <c r="L1910" s="146">
        <f t="shared" si="439"/>
        <v>32100000</v>
      </c>
      <c r="M1910" s="147"/>
      <c r="N1910" s="147"/>
      <c r="O1910" s="136">
        <f t="shared" si="440"/>
        <v>32100000</v>
      </c>
      <c r="P1910" s="71">
        <f t="shared" si="441"/>
        <v>32100000</v>
      </c>
    </row>
    <row r="1911" spans="1:16" s="58" customFormat="1" ht="21" customHeight="1">
      <c r="A1911" s="142"/>
      <c r="B1911" s="166" t="s">
        <v>1013</v>
      </c>
      <c r="C1911" s="160" t="s">
        <v>971</v>
      </c>
      <c r="D1911" s="171">
        <v>34000000</v>
      </c>
      <c r="E1911" s="161"/>
      <c r="F1911" s="161"/>
      <c r="G1911" s="212" t="s">
        <v>971</v>
      </c>
      <c r="H1911" s="171"/>
      <c r="I1911" s="145"/>
      <c r="J1911" s="145"/>
      <c r="K1911" s="142" t="str">
        <f t="shared" si="438"/>
        <v>đ/mdài</v>
      </c>
      <c r="L1911" s="146">
        <f t="shared" si="439"/>
        <v>34000000</v>
      </c>
      <c r="M1911" s="147"/>
      <c r="N1911" s="147"/>
      <c r="O1911" s="136">
        <f t="shared" si="440"/>
        <v>34000000</v>
      </c>
      <c r="P1911" s="71">
        <f t="shared" si="441"/>
        <v>34000000</v>
      </c>
    </row>
    <row r="1912" spans="1:16" s="58" customFormat="1" ht="21" customHeight="1">
      <c r="A1912" s="142"/>
      <c r="B1912" s="166" t="s">
        <v>1014</v>
      </c>
      <c r="C1912" s="160" t="s">
        <v>971</v>
      </c>
      <c r="D1912" s="171">
        <v>31600000</v>
      </c>
      <c r="E1912" s="161"/>
      <c r="F1912" s="161"/>
      <c r="G1912" s="212" t="s">
        <v>971</v>
      </c>
      <c r="H1912" s="171"/>
      <c r="I1912" s="145"/>
      <c r="J1912" s="145"/>
      <c r="K1912" s="142" t="str">
        <f t="shared" si="438"/>
        <v>đ/mdài</v>
      </c>
      <c r="L1912" s="146">
        <f t="shared" si="439"/>
        <v>31600000</v>
      </c>
      <c r="M1912" s="147"/>
      <c r="N1912" s="147"/>
      <c r="O1912" s="136">
        <f t="shared" si="440"/>
        <v>31600000</v>
      </c>
      <c r="P1912" s="71">
        <f t="shared" si="441"/>
        <v>31600000</v>
      </c>
    </row>
    <row r="1913" spans="1:16" s="58" customFormat="1" ht="21" customHeight="1">
      <c r="A1913" s="142"/>
      <c r="B1913" s="166" t="s">
        <v>1015</v>
      </c>
      <c r="C1913" s="160" t="s">
        <v>971</v>
      </c>
      <c r="D1913" s="171">
        <v>35300000</v>
      </c>
      <c r="E1913" s="161"/>
      <c r="F1913" s="161"/>
      <c r="G1913" s="212" t="s">
        <v>971</v>
      </c>
      <c r="H1913" s="171"/>
      <c r="I1913" s="145"/>
      <c r="J1913" s="145"/>
      <c r="K1913" s="142" t="str">
        <f t="shared" si="438"/>
        <v>đ/mdài</v>
      </c>
      <c r="L1913" s="146">
        <f t="shared" si="439"/>
        <v>35300000</v>
      </c>
      <c r="M1913" s="147"/>
      <c r="N1913" s="147"/>
      <c r="O1913" s="136">
        <f t="shared" si="440"/>
        <v>35300000</v>
      </c>
      <c r="P1913" s="71">
        <f t="shared" si="441"/>
        <v>35300000</v>
      </c>
    </row>
    <row r="1914" spans="1:16" s="58" customFormat="1" ht="21" customHeight="1">
      <c r="A1914" s="142"/>
      <c r="B1914" s="166" t="s">
        <v>1016</v>
      </c>
      <c r="C1914" s="160" t="s">
        <v>971</v>
      </c>
      <c r="D1914" s="171">
        <v>40800000</v>
      </c>
      <c r="E1914" s="161"/>
      <c r="F1914" s="161"/>
      <c r="G1914" s="212" t="s">
        <v>971</v>
      </c>
      <c r="H1914" s="171"/>
      <c r="I1914" s="145"/>
      <c r="J1914" s="145"/>
      <c r="K1914" s="142" t="str">
        <f t="shared" si="438"/>
        <v>đ/mdài</v>
      </c>
      <c r="L1914" s="146">
        <f t="shared" si="439"/>
        <v>40800000</v>
      </c>
      <c r="M1914" s="147"/>
      <c r="N1914" s="147"/>
      <c r="O1914" s="136">
        <f t="shared" si="440"/>
        <v>40800000</v>
      </c>
      <c r="P1914" s="71">
        <f t="shared" si="441"/>
        <v>40800000</v>
      </c>
    </row>
    <row r="1915" spans="1:16" s="58" customFormat="1" ht="21" customHeight="1">
      <c r="A1915" s="142"/>
      <c r="B1915" s="166" t="s">
        <v>1017</v>
      </c>
      <c r="C1915" s="160" t="s">
        <v>971</v>
      </c>
      <c r="D1915" s="171">
        <v>54500000</v>
      </c>
      <c r="E1915" s="161"/>
      <c r="F1915" s="161"/>
      <c r="G1915" s="212" t="s">
        <v>971</v>
      </c>
      <c r="H1915" s="171"/>
      <c r="I1915" s="145"/>
      <c r="J1915" s="145"/>
      <c r="K1915" s="142" t="str">
        <f t="shared" si="438"/>
        <v>đ/mdài</v>
      </c>
      <c r="L1915" s="146">
        <f t="shared" si="439"/>
        <v>54500000</v>
      </c>
      <c r="M1915" s="147"/>
      <c r="N1915" s="147"/>
      <c r="O1915" s="136">
        <f t="shared" si="440"/>
        <v>54500000</v>
      </c>
      <c r="P1915" s="71">
        <f t="shared" si="441"/>
        <v>54500000</v>
      </c>
    </row>
    <row r="1916" spans="1:16" s="58" customFormat="1" ht="21" customHeight="1">
      <c r="A1916" s="172">
        <v>15</v>
      </c>
      <c r="B1916" s="100" t="s">
        <v>1018</v>
      </c>
      <c r="C1916" s="167"/>
      <c r="D1916" s="145"/>
      <c r="E1916" s="161"/>
      <c r="F1916" s="161"/>
      <c r="G1916" s="145"/>
      <c r="H1916" s="145"/>
      <c r="I1916" s="145"/>
      <c r="J1916" s="145"/>
      <c r="K1916" s="165"/>
      <c r="L1916" s="147"/>
      <c r="M1916" s="147"/>
      <c r="N1916" s="147"/>
      <c r="O1916" s="135"/>
      <c r="P1916" s="69"/>
    </row>
    <row r="1917" spans="1:16" s="58" customFormat="1" ht="21" customHeight="1">
      <c r="A1917" s="142"/>
      <c r="B1917" s="166" t="s">
        <v>1019</v>
      </c>
      <c r="C1917" s="160" t="s">
        <v>971</v>
      </c>
      <c r="D1917" s="171">
        <v>35500000</v>
      </c>
      <c r="E1917" s="161"/>
      <c r="F1917" s="161"/>
      <c r="G1917" s="212" t="s">
        <v>971</v>
      </c>
      <c r="H1917" s="171"/>
      <c r="I1917" s="145"/>
      <c r="J1917" s="145"/>
      <c r="K1917" s="142" t="str">
        <f t="shared" ref="K1917:K1922" si="442">C1917</f>
        <v>đ/mdài</v>
      </c>
      <c r="L1917" s="146">
        <f t="shared" ref="L1917:L1922" si="443">D1917</f>
        <v>35500000</v>
      </c>
      <c r="M1917" s="147"/>
      <c r="N1917" s="147"/>
      <c r="O1917" s="136">
        <f t="shared" ref="O1917:O1922" si="444">D1917</f>
        <v>35500000</v>
      </c>
      <c r="P1917" s="71">
        <f t="shared" ref="P1917:P1922" si="445">L1917</f>
        <v>35500000</v>
      </c>
    </row>
    <row r="1918" spans="1:16" s="58" customFormat="1" ht="21" customHeight="1">
      <c r="A1918" s="142"/>
      <c r="B1918" s="166" t="s">
        <v>1020</v>
      </c>
      <c r="C1918" s="160" t="s">
        <v>971</v>
      </c>
      <c r="D1918" s="171">
        <v>39200000</v>
      </c>
      <c r="E1918" s="161"/>
      <c r="F1918" s="161"/>
      <c r="G1918" s="212" t="s">
        <v>971</v>
      </c>
      <c r="H1918" s="171"/>
      <c r="I1918" s="145"/>
      <c r="J1918" s="145"/>
      <c r="K1918" s="142" t="str">
        <f t="shared" si="442"/>
        <v>đ/mdài</v>
      </c>
      <c r="L1918" s="146">
        <f t="shared" si="443"/>
        <v>39200000</v>
      </c>
      <c r="M1918" s="147"/>
      <c r="N1918" s="147"/>
      <c r="O1918" s="136">
        <f t="shared" si="444"/>
        <v>39200000</v>
      </c>
      <c r="P1918" s="71">
        <f t="shared" si="445"/>
        <v>39200000</v>
      </c>
    </row>
    <row r="1919" spans="1:16" s="58" customFormat="1" ht="21" customHeight="1">
      <c r="A1919" s="142"/>
      <c r="B1919" s="166" t="s">
        <v>1021</v>
      </c>
      <c r="C1919" s="160" t="s">
        <v>971</v>
      </c>
      <c r="D1919" s="171">
        <v>31400000</v>
      </c>
      <c r="E1919" s="161"/>
      <c r="F1919" s="161"/>
      <c r="G1919" s="212" t="s">
        <v>971</v>
      </c>
      <c r="H1919" s="171"/>
      <c r="I1919" s="145"/>
      <c r="J1919" s="145"/>
      <c r="K1919" s="142" t="str">
        <f t="shared" si="442"/>
        <v>đ/mdài</v>
      </c>
      <c r="L1919" s="146">
        <f t="shared" si="443"/>
        <v>31400000</v>
      </c>
      <c r="M1919" s="147"/>
      <c r="N1919" s="147"/>
      <c r="O1919" s="136">
        <f t="shared" si="444"/>
        <v>31400000</v>
      </c>
      <c r="P1919" s="71">
        <f t="shared" si="445"/>
        <v>31400000</v>
      </c>
    </row>
    <row r="1920" spans="1:16" s="58" customFormat="1" ht="21" customHeight="1">
      <c r="A1920" s="142"/>
      <c r="B1920" s="166" t="s">
        <v>1022</v>
      </c>
      <c r="C1920" s="160" t="s">
        <v>971</v>
      </c>
      <c r="D1920" s="171">
        <v>33700000</v>
      </c>
      <c r="E1920" s="161"/>
      <c r="F1920" s="161"/>
      <c r="G1920" s="212" t="s">
        <v>971</v>
      </c>
      <c r="H1920" s="171"/>
      <c r="I1920" s="145"/>
      <c r="J1920" s="145"/>
      <c r="K1920" s="142" t="str">
        <f t="shared" si="442"/>
        <v>đ/mdài</v>
      </c>
      <c r="L1920" s="146">
        <f t="shared" si="443"/>
        <v>33700000</v>
      </c>
      <c r="M1920" s="147"/>
      <c r="N1920" s="147"/>
      <c r="O1920" s="136">
        <f t="shared" si="444"/>
        <v>33700000</v>
      </c>
      <c r="P1920" s="71">
        <f t="shared" si="445"/>
        <v>33700000</v>
      </c>
    </row>
    <row r="1921" spans="1:16" s="58" customFormat="1" ht="21" customHeight="1">
      <c r="A1921" s="142"/>
      <c r="B1921" s="166" t="s">
        <v>1023</v>
      </c>
      <c r="C1921" s="160" t="s">
        <v>971</v>
      </c>
      <c r="D1921" s="171">
        <v>36800000</v>
      </c>
      <c r="E1921" s="161"/>
      <c r="F1921" s="161"/>
      <c r="G1921" s="212" t="s">
        <v>971</v>
      </c>
      <c r="H1921" s="171"/>
      <c r="I1921" s="145"/>
      <c r="J1921" s="145"/>
      <c r="K1921" s="142" t="str">
        <f t="shared" si="442"/>
        <v>đ/mdài</v>
      </c>
      <c r="L1921" s="146">
        <f t="shared" si="443"/>
        <v>36800000</v>
      </c>
      <c r="M1921" s="147"/>
      <c r="N1921" s="147"/>
      <c r="O1921" s="136">
        <f t="shared" si="444"/>
        <v>36800000</v>
      </c>
      <c r="P1921" s="71">
        <f t="shared" si="445"/>
        <v>36800000</v>
      </c>
    </row>
    <row r="1922" spans="1:16" s="58" customFormat="1" ht="21" customHeight="1">
      <c r="A1922" s="142"/>
      <c r="B1922" s="166" t="s">
        <v>1765</v>
      </c>
      <c r="C1922" s="160" t="s">
        <v>971</v>
      </c>
      <c r="D1922" s="171">
        <v>38600000</v>
      </c>
      <c r="E1922" s="161"/>
      <c r="F1922" s="161"/>
      <c r="G1922" s="212" t="s">
        <v>971</v>
      </c>
      <c r="H1922" s="171"/>
      <c r="I1922" s="145"/>
      <c r="J1922" s="145"/>
      <c r="K1922" s="142" t="str">
        <f t="shared" si="442"/>
        <v>đ/mdài</v>
      </c>
      <c r="L1922" s="146">
        <f t="shared" si="443"/>
        <v>38600000</v>
      </c>
      <c r="M1922" s="147"/>
      <c r="N1922" s="147"/>
      <c r="O1922" s="136">
        <f t="shared" si="444"/>
        <v>38600000</v>
      </c>
      <c r="P1922" s="71">
        <f t="shared" si="445"/>
        <v>38600000</v>
      </c>
    </row>
    <row r="1923" spans="1:16" s="58" customFormat="1" ht="21" customHeight="1">
      <c r="A1923" s="142"/>
      <c r="B1923" s="100" t="s">
        <v>1024</v>
      </c>
      <c r="C1923" s="160"/>
      <c r="D1923" s="161"/>
      <c r="E1923" s="161"/>
      <c r="F1923" s="161"/>
      <c r="G1923" s="145"/>
      <c r="H1923" s="145"/>
      <c r="I1923" s="145"/>
      <c r="J1923" s="145"/>
      <c r="K1923" s="165"/>
      <c r="L1923" s="147"/>
      <c r="M1923" s="147"/>
      <c r="N1923" s="147"/>
      <c r="O1923" s="135"/>
      <c r="P1923" s="69"/>
    </row>
    <row r="1924" spans="1:16" s="58" customFormat="1" ht="21" customHeight="1">
      <c r="A1924" s="172">
        <v>16</v>
      </c>
      <c r="B1924" s="100" t="s">
        <v>1025</v>
      </c>
      <c r="C1924" s="160"/>
      <c r="D1924" s="161"/>
      <c r="E1924" s="161"/>
      <c r="F1924" s="161"/>
      <c r="G1924" s="145"/>
      <c r="H1924" s="145"/>
      <c r="I1924" s="145"/>
      <c r="J1924" s="145"/>
      <c r="K1924" s="165"/>
      <c r="L1924" s="147"/>
      <c r="M1924" s="147"/>
      <c r="N1924" s="147"/>
      <c r="O1924" s="135"/>
      <c r="P1924" s="69"/>
    </row>
    <row r="1925" spans="1:16" s="58" customFormat="1" ht="21" customHeight="1">
      <c r="A1925" s="142"/>
      <c r="B1925" s="166" t="s">
        <v>1026</v>
      </c>
      <c r="C1925" s="160" t="s">
        <v>1027</v>
      </c>
      <c r="D1925" s="171">
        <v>700000</v>
      </c>
      <c r="E1925" s="161"/>
      <c r="F1925" s="161"/>
      <c r="G1925" s="212" t="s">
        <v>1027</v>
      </c>
      <c r="H1925" s="171"/>
      <c r="I1925" s="145"/>
      <c r="J1925" s="145"/>
      <c r="K1925" s="142" t="str">
        <f>C1925</f>
        <v>đ/đoạn</v>
      </c>
      <c r="L1925" s="146">
        <f>D1925</f>
        <v>700000</v>
      </c>
      <c r="M1925" s="147"/>
      <c r="N1925" s="147"/>
      <c r="O1925" s="136">
        <f>D1925</f>
        <v>700000</v>
      </c>
      <c r="P1925" s="71">
        <f>L1925</f>
        <v>700000</v>
      </c>
    </row>
    <row r="1926" spans="1:16" s="58" customFormat="1" ht="21" customHeight="1">
      <c r="A1926" s="142"/>
      <c r="B1926" s="166" t="s">
        <v>1028</v>
      </c>
      <c r="C1926" s="160" t="s">
        <v>1027</v>
      </c>
      <c r="D1926" s="171">
        <v>5363636</v>
      </c>
      <c r="E1926" s="161"/>
      <c r="F1926" s="161"/>
      <c r="G1926" s="212" t="s">
        <v>1027</v>
      </c>
      <c r="H1926" s="171"/>
      <c r="I1926" s="145"/>
      <c r="J1926" s="145"/>
      <c r="K1926" s="142" t="str">
        <f>C1926</f>
        <v>đ/đoạn</v>
      </c>
      <c r="L1926" s="146">
        <f>D1926</f>
        <v>5363636</v>
      </c>
      <c r="M1926" s="147"/>
      <c r="N1926" s="147"/>
      <c r="O1926" s="136">
        <f>D1926</f>
        <v>5363636</v>
      </c>
      <c r="P1926" s="71">
        <f>L1926</f>
        <v>5363636</v>
      </c>
    </row>
    <row r="1927" spans="1:16" s="58" customFormat="1" ht="21" customHeight="1">
      <c r="A1927" s="172">
        <v>17</v>
      </c>
      <c r="B1927" s="100" t="s">
        <v>1029</v>
      </c>
      <c r="C1927" s="160"/>
      <c r="D1927" s="145"/>
      <c r="E1927" s="161"/>
      <c r="F1927" s="161"/>
      <c r="G1927" s="145"/>
      <c r="H1927" s="145"/>
      <c r="I1927" s="145"/>
      <c r="J1927" s="145"/>
      <c r="K1927" s="165"/>
      <c r="L1927" s="146"/>
      <c r="M1927" s="147"/>
      <c r="N1927" s="147"/>
      <c r="O1927" s="135"/>
      <c r="P1927" s="69"/>
    </row>
    <row r="1928" spans="1:16" s="58" customFormat="1" ht="21" customHeight="1">
      <c r="A1928" s="142"/>
      <c r="B1928" s="166" t="s">
        <v>1030</v>
      </c>
      <c r="C1928" s="160" t="s">
        <v>1027</v>
      </c>
      <c r="D1928" s="171">
        <v>954545</v>
      </c>
      <c r="E1928" s="161"/>
      <c r="F1928" s="161"/>
      <c r="G1928" s="212" t="s">
        <v>1027</v>
      </c>
      <c r="H1928" s="171"/>
      <c r="I1928" s="145"/>
      <c r="J1928" s="145"/>
      <c r="K1928" s="142" t="str">
        <f>C1928</f>
        <v>đ/đoạn</v>
      </c>
      <c r="L1928" s="146">
        <f>D1928</f>
        <v>954545</v>
      </c>
      <c r="M1928" s="147"/>
      <c r="N1928" s="147"/>
      <c r="O1928" s="136">
        <f>D1928</f>
        <v>954545</v>
      </c>
      <c r="P1928" s="71">
        <f>L1928</f>
        <v>954545</v>
      </c>
    </row>
    <row r="1929" spans="1:16" s="58" customFormat="1" ht="21" customHeight="1">
      <c r="A1929" s="142"/>
      <c r="B1929" s="166" t="s">
        <v>1031</v>
      </c>
      <c r="C1929" s="160" t="s">
        <v>1027</v>
      </c>
      <c r="D1929" s="171">
        <v>9181818</v>
      </c>
      <c r="E1929" s="161"/>
      <c r="F1929" s="161"/>
      <c r="G1929" s="212" t="s">
        <v>1027</v>
      </c>
      <c r="H1929" s="171"/>
      <c r="I1929" s="145"/>
      <c r="J1929" s="145"/>
      <c r="K1929" s="142" t="str">
        <f>C1929</f>
        <v>đ/đoạn</v>
      </c>
      <c r="L1929" s="146">
        <f>D1929</f>
        <v>9181818</v>
      </c>
      <c r="M1929" s="147"/>
      <c r="N1929" s="147"/>
      <c r="O1929" s="136">
        <f>D1929</f>
        <v>9181818</v>
      </c>
      <c r="P1929" s="71">
        <f>L1929</f>
        <v>9181818</v>
      </c>
    </row>
    <row r="1930" spans="1:16" s="58" customFormat="1" ht="21" customHeight="1">
      <c r="A1930" s="172">
        <v>18</v>
      </c>
      <c r="B1930" s="100" t="s">
        <v>1032</v>
      </c>
      <c r="C1930" s="160"/>
      <c r="D1930" s="145"/>
      <c r="E1930" s="161"/>
      <c r="F1930" s="161"/>
      <c r="G1930" s="145"/>
      <c r="H1930" s="145"/>
      <c r="I1930" s="145"/>
      <c r="J1930" s="145"/>
      <c r="K1930" s="165"/>
      <c r="L1930" s="146"/>
      <c r="M1930" s="147"/>
      <c r="N1930" s="147"/>
      <c r="O1930" s="135"/>
      <c r="P1930" s="69"/>
    </row>
    <row r="1931" spans="1:16" s="58" customFormat="1" ht="21" customHeight="1">
      <c r="A1931" s="142"/>
      <c r="B1931" s="166" t="s">
        <v>1033</v>
      </c>
      <c r="C1931" s="160" t="s">
        <v>1027</v>
      </c>
      <c r="D1931" s="171">
        <v>1454545</v>
      </c>
      <c r="E1931" s="161"/>
      <c r="F1931" s="161"/>
      <c r="G1931" s="212" t="s">
        <v>1027</v>
      </c>
      <c r="H1931" s="171"/>
      <c r="I1931" s="145"/>
      <c r="J1931" s="145"/>
      <c r="K1931" s="142" t="str">
        <f>C1931</f>
        <v>đ/đoạn</v>
      </c>
      <c r="L1931" s="146">
        <f>D1931</f>
        <v>1454545</v>
      </c>
      <c r="M1931" s="147"/>
      <c r="N1931" s="147"/>
      <c r="O1931" s="136">
        <f>D1931</f>
        <v>1454545</v>
      </c>
      <c r="P1931" s="71">
        <f>L1931</f>
        <v>1454545</v>
      </c>
    </row>
    <row r="1932" spans="1:16" s="58" customFormat="1" ht="21" customHeight="1">
      <c r="A1932" s="142"/>
      <c r="B1932" s="166" t="s">
        <v>1034</v>
      </c>
      <c r="C1932" s="160" t="s">
        <v>1027</v>
      </c>
      <c r="D1932" s="171">
        <v>9818182</v>
      </c>
      <c r="E1932" s="161"/>
      <c r="F1932" s="161"/>
      <c r="G1932" s="212" t="s">
        <v>1027</v>
      </c>
      <c r="H1932" s="171"/>
      <c r="I1932" s="145"/>
      <c r="J1932" s="145"/>
      <c r="K1932" s="142" t="str">
        <f>C1932</f>
        <v>đ/đoạn</v>
      </c>
      <c r="L1932" s="146">
        <f>D1932</f>
        <v>9818182</v>
      </c>
      <c r="M1932" s="147"/>
      <c r="N1932" s="147"/>
      <c r="O1932" s="136">
        <f>D1932</f>
        <v>9818182</v>
      </c>
      <c r="P1932" s="71">
        <f>L1932</f>
        <v>9818182</v>
      </c>
    </row>
    <row r="1933" spans="1:16" s="58" customFormat="1" ht="21" customHeight="1">
      <c r="A1933" s="172">
        <v>19</v>
      </c>
      <c r="B1933" s="100" t="s">
        <v>1035</v>
      </c>
      <c r="C1933" s="160"/>
      <c r="D1933" s="161"/>
      <c r="E1933" s="161"/>
      <c r="F1933" s="161"/>
      <c r="G1933" s="145"/>
      <c r="H1933" s="145"/>
      <c r="I1933" s="145"/>
      <c r="J1933" s="145"/>
      <c r="K1933" s="165"/>
      <c r="L1933" s="146"/>
      <c r="M1933" s="147"/>
      <c r="N1933" s="147"/>
      <c r="O1933" s="135"/>
      <c r="P1933" s="69"/>
    </row>
    <row r="1934" spans="1:16" s="58" customFormat="1" ht="21" customHeight="1">
      <c r="A1934" s="142"/>
      <c r="B1934" s="166" t="s">
        <v>1036</v>
      </c>
      <c r="C1934" s="160" t="s">
        <v>1027</v>
      </c>
      <c r="D1934" s="171">
        <v>1636364</v>
      </c>
      <c r="E1934" s="161"/>
      <c r="F1934" s="161"/>
      <c r="G1934" s="212" t="s">
        <v>1027</v>
      </c>
      <c r="H1934" s="171"/>
      <c r="I1934" s="145"/>
      <c r="J1934" s="145"/>
      <c r="K1934" s="142" t="str">
        <f>C1934</f>
        <v>đ/đoạn</v>
      </c>
      <c r="L1934" s="146">
        <f>D1934</f>
        <v>1636364</v>
      </c>
      <c r="M1934" s="147"/>
      <c r="N1934" s="147"/>
      <c r="O1934" s="136">
        <f>D1934</f>
        <v>1636364</v>
      </c>
      <c r="P1934" s="71">
        <f>L1934</f>
        <v>1636364</v>
      </c>
    </row>
    <row r="1935" spans="1:16" s="58" customFormat="1" ht="21" customHeight="1">
      <c r="A1935" s="142"/>
      <c r="B1935" s="166" t="s">
        <v>1037</v>
      </c>
      <c r="C1935" s="160" t="s">
        <v>1027</v>
      </c>
      <c r="D1935" s="171">
        <v>12000000</v>
      </c>
      <c r="E1935" s="161"/>
      <c r="F1935" s="161"/>
      <c r="G1935" s="212" t="s">
        <v>1027</v>
      </c>
      <c r="H1935" s="171"/>
      <c r="I1935" s="145"/>
      <c r="J1935" s="145"/>
      <c r="K1935" s="142" t="str">
        <f>C1935</f>
        <v>đ/đoạn</v>
      </c>
      <c r="L1935" s="146">
        <f>D1935</f>
        <v>12000000</v>
      </c>
      <c r="M1935" s="147"/>
      <c r="N1935" s="147"/>
      <c r="O1935" s="136">
        <f>D1935</f>
        <v>12000000</v>
      </c>
      <c r="P1935" s="71">
        <f>L1935</f>
        <v>12000000</v>
      </c>
    </row>
    <row r="1936" spans="1:16" s="58" customFormat="1" ht="21" customHeight="1">
      <c r="A1936" s="172">
        <v>20</v>
      </c>
      <c r="B1936" s="100" t="s">
        <v>1038</v>
      </c>
      <c r="C1936" s="160"/>
      <c r="D1936" s="145"/>
      <c r="E1936" s="161"/>
      <c r="F1936" s="161"/>
      <c r="G1936" s="145"/>
      <c r="H1936" s="145"/>
      <c r="I1936" s="145"/>
      <c r="J1936" s="145"/>
      <c r="K1936" s="165"/>
      <c r="L1936" s="146"/>
      <c r="M1936" s="147"/>
      <c r="N1936" s="147"/>
      <c r="O1936" s="135"/>
      <c r="P1936" s="69"/>
    </row>
    <row r="1937" spans="1:16" s="58" customFormat="1" ht="21" customHeight="1">
      <c r="A1937" s="142"/>
      <c r="B1937" s="166" t="s">
        <v>1039</v>
      </c>
      <c r="C1937" s="160" t="s">
        <v>1027</v>
      </c>
      <c r="D1937" s="171">
        <v>7727273</v>
      </c>
      <c r="E1937" s="161"/>
      <c r="F1937" s="161"/>
      <c r="G1937" s="212" t="s">
        <v>1027</v>
      </c>
      <c r="H1937" s="171"/>
      <c r="I1937" s="145"/>
      <c r="J1937" s="145"/>
      <c r="K1937" s="142" t="str">
        <f>C1937</f>
        <v>đ/đoạn</v>
      </c>
      <c r="L1937" s="146">
        <f>D1937</f>
        <v>7727273</v>
      </c>
      <c r="M1937" s="147"/>
      <c r="N1937" s="147"/>
      <c r="O1937" s="136">
        <f>D1937</f>
        <v>7727273</v>
      </c>
      <c r="P1937" s="71">
        <f>L1937</f>
        <v>7727273</v>
      </c>
    </row>
    <row r="1938" spans="1:16" s="58" customFormat="1" ht="21" customHeight="1">
      <c r="A1938" s="142"/>
      <c r="B1938" s="166" t="s">
        <v>1040</v>
      </c>
      <c r="C1938" s="160" t="s">
        <v>1027</v>
      </c>
      <c r="D1938" s="171">
        <v>36636364</v>
      </c>
      <c r="E1938" s="161"/>
      <c r="F1938" s="161"/>
      <c r="G1938" s="212" t="s">
        <v>1027</v>
      </c>
      <c r="H1938" s="171"/>
      <c r="I1938" s="145"/>
      <c r="J1938" s="145"/>
      <c r="K1938" s="142" t="str">
        <f>C1938</f>
        <v>đ/đoạn</v>
      </c>
      <c r="L1938" s="146">
        <f>D1938</f>
        <v>36636364</v>
      </c>
      <c r="M1938" s="147"/>
      <c r="N1938" s="147"/>
      <c r="O1938" s="136">
        <f>D1938</f>
        <v>36636364</v>
      </c>
      <c r="P1938" s="71">
        <f>L1938</f>
        <v>36636364</v>
      </c>
    </row>
    <row r="1939" spans="1:16" s="58" customFormat="1" ht="21" customHeight="1">
      <c r="A1939" s="172">
        <v>21</v>
      </c>
      <c r="B1939" s="100" t="s">
        <v>1041</v>
      </c>
      <c r="C1939" s="160"/>
      <c r="D1939" s="145"/>
      <c r="E1939" s="161"/>
      <c r="F1939" s="161"/>
      <c r="G1939" s="145"/>
      <c r="H1939" s="145"/>
      <c r="I1939" s="145"/>
      <c r="J1939" s="145"/>
      <c r="K1939" s="165"/>
      <c r="L1939" s="146"/>
      <c r="M1939" s="147"/>
      <c r="N1939" s="147"/>
      <c r="O1939" s="135"/>
      <c r="P1939" s="69"/>
    </row>
    <row r="1940" spans="1:16" s="58" customFormat="1" ht="21" customHeight="1">
      <c r="A1940" s="142"/>
      <c r="B1940" s="166" t="s">
        <v>1042</v>
      </c>
      <c r="C1940" s="160" t="s">
        <v>1027</v>
      </c>
      <c r="D1940" s="171">
        <v>9045455</v>
      </c>
      <c r="E1940" s="161"/>
      <c r="F1940" s="161"/>
      <c r="G1940" s="212" t="s">
        <v>1027</v>
      </c>
      <c r="H1940" s="171"/>
      <c r="I1940" s="145"/>
      <c r="J1940" s="145"/>
      <c r="K1940" s="142" t="str">
        <f>C1940</f>
        <v>đ/đoạn</v>
      </c>
      <c r="L1940" s="146">
        <f>D1940</f>
        <v>9045455</v>
      </c>
      <c r="M1940" s="147"/>
      <c r="N1940" s="147"/>
      <c r="O1940" s="136">
        <f>D1940</f>
        <v>9045455</v>
      </c>
      <c r="P1940" s="71">
        <f>L1940</f>
        <v>9045455</v>
      </c>
    </row>
    <row r="1941" spans="1:16" s="58" customFormat="1" ht="21" customHeight="1">
      <c r="A1941" s="142"/>
      <c r="B1941" s="166" t="s">
        <v>1043</v>
      </c>
      <c r="C1941" s="160" t="s">
        <v>1027</v>
      </c>
      <c r="D1941" s="171">
        <v>42909091</v>
      </c>
      <c r="E1941" s="161"/>
      <c r="F1941" s="161"/>
      <c r="G1941" s="212" t="s">
        <v>1027</v>
      </c>
      <c r="H1941" s="171"/>
      <c r="I1941" s="145"/>
      <c r="J1941" s="145"/>
      <c r="K1941" s="142" t="str">
        <f>C1941</f>
        <v>đ/đoạn</v>
      </c>
      <c r="L1941" s="146">
        <f>D1941</f>
        <v>42909091</v>
      </c>
      <c r="M1941" s="147"/>
      <c r="N1941" s="147"/>
      <c r="O1941" s="136">
        <f>D1941</f>
        <v>42909091</v>
      </c>
      <c r="P1941" s="71">
        <f>L1941</f>
        <v>42909091</v>
      </c>
    </row>
    <row r="1942" spans="1:16" s="58" customFormat="1" ht="21" customHeight="1">
      <c r="A1942" s="172">
        <v>22</v>
      </c>
      <c r="B1942" s="100" t="s">
        <v>1044</v>
      </c>
      <c r="C1942" s="160"/>
      <c r="D1942" s="171"/>
      <c r="E1942" s="161"/>
      <c r="F1942" s="161"/>
      <c r="G1942" s="212"/>
      <c r="H1942" s="171"/>
      <c r="I1942" s="145"/>
      <c r="J1942" s="145"/>
      <c r="K1942" s="165"/>
      <c r="L1942" s="146"/>
      <c r="M1942" s="147"/>
      <c r="N1942" s="147"/>
      <c r="O1942" s="135"/>
      <c r="P1942" s="69"/>
    </row>
    <row r="1943" spans="1:16" s="58" customFormat="1" ht="21" customHeight="1">
      <c r="A1943" s="142"/>
      <c r="B1943" s="166" t="s">
        <v>1045</v>
      </c>
      <c r="C1943" s="160" t="s">
        <v>1027</v>
      </c>
      <c r="D1943" s="171">
        <v>10363636</v>
      </c>
      <c r="E1943" s="161"/>
      <c r="F1943" s="161"/>
      <c r="G1943" s="212" t="s">
        <v>1027</v>
      </c>
      <c r="H1943" s="171"/>
      <c r="I1943" s="145"/>
      <c r="J1943" s="145"/>
      <c r="K1943" s="142" t="str">
        <f>C1943</f>
        <v>đ/đoạn</v>
      </c>
      <c r="L1943" s="146">
        <f>D1943</f>
        <v>10363636</v>
      </c>
      <c r="M1943" s="147"/>
      <c r="N1943" s="147"/>
      <c r="O1943" s="136">
        <f>D1943</f>
        <v>10363636</v>
      </c>
      <c r="P1943" s="71">
        <f>L1943</f>
        <v>10363636</v>
      </c>
    </row>
    <row r="1944" spans="1:16" s="58" customFormat="1" ht="21" customHeight="1">
      <c r="A1944" s="142"/>
      <c r="B1944" s="166" t="s">
        <v>1046</v>
      </c>
      <c r="C1944" s="160" t="s">
        <v>1027</v>
      </c>
      <c r="D1944" s="171">
        <v>48909091</v>
      </c>
      <c r="E1944" s="161"/>
      <c r="F1944" s="161"/>
      <c r="G1944" s="212" t="s">
        <v>1027</v>
      </c>
      <c r="H1944" s="171"/>
      <c r="I1944" s="145"/>
      <c r="J1944" s="145"/>
      <c r="K1944" s="142" t="str">
        <f>C1944</f>
        <v>đ/đoạn</v>
      </c>
      <c r="L1944" s="146">
        <f>D1944</f>
        <v>48909091</v>
      </c>
      <c r="M1944" s="147"/>
      <c r="N1944" s="147"/>
      <c r="O1944" s="136">
        <f>D1944</f>
        <v>48909091</v>
      </c>
      <c r="P1944" s="71">
        <f>L1944</f>
        <v>48909091</v>
      </c>
    </row>
    <row r="1945" spans="1:16" s="58" customFormat="1" ht="21" customHeight="1">
      <c r="A1945" s="172">
        <v>23</v>
      </c>
      <c r="B1945" s="100" t="s">
        <v>1047</v>
      </c>
      <c r="C1945" s="160"/>
      <c r="D1945" s="161"/>
      <c r="E1945" s="161"/>
      <c r="F1945" s="161"/>
      <c r="G1945" s="212"/>
      <c r="H1945" s="171"/>
      <c r="I1945" s="145"/>
      <c r="J1945" s="145"/>
      <c r="K1945" s="165"/>
      <c r="L1945" s="146"/>
      <c r="M1945" s="147"/>
      <c r="N1945" s="147"/>
      <c r="O1945" s="135"/>
      <c r="P1945" s="69"/>
    </row>
    <row r="1946" spans="1:16" s="58" customFormat="1" ht="21" customHeight="1">
      <c r="A1946" s="142"/>
      <c r="B1946" s="166" t="s">
        <v>1045</v>
      </c>
      <c r="C1946" s="160" t="s">
        <v>1027</v>
      </c>
      <c r="D1946" s="171">
        <v>8545455</v>
      </c>
      <c r="E1946" s="161"/>
      <c r="F1946" s="161"/>
      <c r="G1946" s="212" t="s">
        <v>1027</v>
      </c>
      <c r="H1946" s="171"/>
      <c r="I1946" s="145"/>
      <c r="J1946" s="145"/>
      <c r="K1946" s="142" t="str">
        <f>C1946</f>
        <v>đ/đoạn</v>
      </c>
      <c r="L1946" s="146">
        <f>D1946</f>
        <v>8545455</v>
      </c>
      <c r="M1946" s="147"/>
      <c r="N1946" s="147"/>
      <c r="O1946" s="136">
        <f>D1946</f>
        <v>8545455</v>
      </c>
      <c r="P1946" s="71">
        <f>L1946</f>
        <v>8545455</v>
      </c>
    </row>
    <row r="1947" spans="1:16" s="58" customFormat="1" ht="21" customHeight="1">
      <c r="A1947" s="142"/>
      <c r="B1947" s="166" t="s">
        <v>1046</v>
      </c>
      <c r="C1947" s="160" t="s">
        <v>1027</v>
      </c>
      <c r="D1947" s="171">
        <v>42636364</v>
      </c>
      <c r="E1947" s="161"/>
      <c r="F1947" s="161"/>
      <c r="G1947" s="212" t="s">
        <v>1027</v>
      </c>
      <c r="H1947" s="171"/>
      <c r="I1947" s="145"/>
      <c r="J1947" s="145"/>
      <c r="K1947" s="142" t="str">
        <f>C1947</f>
        <v>đ/đoạn</v>
      </c>
      <c r="L1947" s="146">
        <f>D1947</f>
        <v>42636364</v>
      </c>
      <c r="M1947" s="147"/>
      <c r="N1947" s="147"/>
      <c r="O1947" s="136">
        <f>D1947</f>
        <v>42636364</v>
      </c>
      <c r="P1947" s="71">
        <f>L1947</f>
        <v>42636364</v>
      </c>
    </row>
    <row r="1948" spans="1:16" s="58" customFormat="1" ht="21" customHeight="1">
      <c r="A1948" s="172">
        <v>24</v>
      </c>
      <c r="B1948" s="100" t="s">
        <v>1048</v>
      </c>
      <c r="C1948" s="160"/>
      <c r="D1948" s="171"/>
      <c r="E1948" s="161"/>
      <c r="F1948" s="161"/>
      <c r="G1948" s="212"/>
      <c r="H1948" s="171"/>
      <c r="I1948" s="145"/>
      <c r="J1948" s="145"/>
      <c r="K1948" s="165"/>
      <c r="L1948" s="146"/>
      <c r="M1948" s="147"/>
      <c r="N1948" s="147"/>
      <c r="O1948" s="135"/>
      <c r="P1948" s="69"/>
    </row>
    <row r="1949" spans="1:16" s="58" customFormat="1" ht="21" customHeight="1">
      <c r="A1949" s="142"/>
      <c r="B1949" s="166" t="s">
        <v>1045</v>
      </c>
      <c r="C1949" s="160" t="s">
        <v>1027</v>
      </c>
      <c r="D1949" s="171">
        <v>12227273</v>
      </c>
      <c r="E1949" s="161"/>
      <c r="F1949" s="161"/>
      <c r="G1949" s="212" t="s">
        <v>1027</v>
      </c>
      <c r="H1949" s="171"/>
      <c r="I1949" s="145"/>
      <c r="J1949" s="145"/>
      <c r="K1949" s="142" t="str">
        <f>C1949</f>
        <v>đ/đoạn</v>
      </c>
      <c r="L1949" s="146">
        <f>D1949</f>
        <v>12227273</v>
      </c>
      <c r="M1949" s="147"/>
      <c r="N1949" s="147"/>
      <c r="O1949" s="136">
        <f>D1949</f>
        <v>12227273</v>
      </c>
      <c r="P1949" s="71">
        <f>L1949</f>
        <v>12227273</v>
      </c>
    </row>
    <row r="1950" spans="1:16" s="58" customFormat="1" ht="21" customHeight="1">
      <c r="A1950" s="142"/>
      <c r="B1950" s="166" t="s">
        <v>1046</v>
      </c>
      <c r="C1950" s="160" t="s">
        <v>1027</v>
      </c>
      <c r="D1950" s="171">
        <v>56863636</v>
      </c>
      <c r="E1950" s="161"/>
      <c r="F1950" s="161"/>
      <c r="G1950" s="212" t="s">
        <v>1027</v>
      </c>
      <c r="H1950" s="171"/>
      <c r="I1950" s="145"/>
      <c r="J1950" s="145"/>
      <c r="K1950" s="142" t="str">
        <f>C1950</f>
        <v>đ/đoạn</v>
      </c>
      <c r="L1950" s="146">
        <f>D1950</f>
        <v>56863636</v>
      </c>
      <c r="M1950" s="147"/>
      <c r="N1950" s="147"/>
      <c r="O1950" s="136">
        <f>D1950</f>
        <v>56863636</v>
      </c>
      <c r="P1950" s="71">
        <f>L1950</f>
        <v>56863636</v>
      </c>
    </row>
    <row r="1951" spans="1:16" s="58" customFormat="1" ht="21" customHeight="1">
      <c r="A1951" s="172">
        <v>25</v>
      </c>
      <c r="B1951" s="100" t="s">
        <v>1049</v>
      </c>
      <c r="C1951" s="167"/>
      <c r="D1951" s="171"/>
      <c r="E1951" s="161"/>
      <c r="F1951" s="161"/>
      <c r="G1951" s="214"/>
      <c r="H1951" s="171"/>
      <c r="I1951" s="145"/>
      <c r="J1951" s="145"/>
      <c r="K1951" s="165"/>
      <c r="L1951" s="146"/>
      <c r="M1951" s="147"/>
      <c r="N1951" s="147"/>
      <c r="O1951" s="135"/>
      <c r="P1951" s="69"/>
    </row>
    <row r="1952" spans="1:16" s="58" customFormat="1" ht="21" customHeight="1">
      <c r="A1952" s="142"/>
      <c r="B1952" s="176" t="s">
        <v>1050</v>
      </c>
      <c r="C1952" s="160" t="s">
        <v>84</v>
      </c>
      <c r="D1952" s="171">
        <f>1200000/1.1</f>
        <v>1090909.0909090908</v>
      </c>
      <c r="E1952" s="161"/>
      <c r="F1952" s="161"/>
      <c r="G1952" s="212" t="s">
        <v>84</v>
      </c>
      <c r="H1952" s="171"/>
      <c r="I1952" s="145"/>
      <c r="J1952" s="145"/>
      <c r="K1952" s="142" t="str">
        <f t="shared" ref="K1952:L1955" si="446">C1952</f>
        <v>đ/cái</v>
      </c>
      <c r="L1952" s="146">
        <f t="shared" si="446"/>
        <v>1090909.0909090908</v>
      </c>
      <c r="M1952" s="147"/>
      <c r="N1952" s="147"/>
      <c r="O1952" s="136">
        <f>D1952</f>
        <v>1090909.0909090908</v>
      </c>
      <c r="P1952" s="71">
        <f>L1952</f>
        <v>1090909.0909090908</v>
      </c>
    </row>
    <row r="1953" spans="1:16" s="58" customFormat="1" ht="21" customHeight="1">
      <c r="A1953" s="142"/>
      <c r="B1953" s="176" t="s">
        <v>1051</v>
      </c>
      <c r="C1953" s="160" t="s">
        <v>84</v>
      </c>
      <c r="D1953" s="171">
        <v>754545</v>
      </c>
      <c r="E1953" s="161"/>
      <c r="F1953" s="161"/>
      <c r="G1953" s="212" t="s">
        <v>84</v>
      </c>
      <c r="H1953" s="171"/>
      <c r="I1953" s="145"/>
      <c r="J1953" s="145"/>
      <c r="K1953" s="142" t="str">
        <f t="shared" si="446"/>
        <v>đ/cái</v>
      </c>
      <c r="L1953" s="146">
        <f t="shared" si="446"/>
        <v>754545</v>
      </c>
      <c r="M1953" s="147"/>
      <c r="N1953" s="147"/>
      <c r="O1953" s="136">
        <f>D1953</f>
        <v>754545</v>
      </c>
      <c r="P1953" s="71">
        <f>L1953</f>
        <v>754545</v>
      </c>
    </row>
    <row r="1954" spans="1:16" s="58" customFormat="1" ht="21" customHeight="1">
      <c r="A1954" s="142"/>
      <c r="B1954" s="176" t="s">
        <v>1052</v>
      </c>
      <c r="C1954" s="160" t="s">
        <v>84</v>
      </c>
      <c r="D1954" s="171">
        <f>1400000/1.1</f>
        <v>1272727.2727272727</v>
      </c>
      <c r="E1954" s="161"/>
      <c r="F1954" s="161"/>
      <c r="G1954" s="212" t="s">
        <v>84</v>
      </c>
      <c r="H1954" s="171"/>
      <c r="I1954" s="145"/>
      <c r="J1954" s="145"/>
      <c r="K1954" s="142" t="str">
        <f t="shared" si="446"/>
        <v>đ/cái</v>
      </c>
      <c r="L1954" s="146">
        <f t="shared" si="446"/>
        <v>1272727.2727272727</v>
      </c>
      <c r="M1954" s="147"/>
      <c r="N1954" s="147"/>
      <c r="O1954" s="136">
        <f>D1954</f>
        <v>1272727.2727272727</v>
      </c>
      <c r="P1954" s="71">
        <f>L1954</f>
        <v>1272727.2727272727</v>
      </c>
    </row>
    <row r="1955" spans="1:16" s="58" customFormat="1" ht="21" customHeight="1">
      <c r="A1955" s="142"/>
      <c r="B1955" s="176" t="s">
        <v>1053</v>
      </c>
      <c r="C1955" s="160" t="s">
        <v>84</v>
      </c>
      <c r="D1955" s="171">
        <f>2400000/1.1</f>
        <v>2181818.1818181816</v>
      </c>
      <c r="E1955" s="161"/>
      <c r="F1955" s="161"/>
      <c r="G1955" s="212" t="s">
        <v>84</v>
      </c>
      <c r="H1955" s="171"/>
      <c r="I1955" s="145"/>
      <c r="J1955" s="145"/>
      <c r="K1955" s="142" t="str">
        <f t="shared" si="446"/>
        <v>đ/cái</v>
      </c>
      <c r="L1955" s="146">
        <f t="shared" si="446"/>
        <v>2181818.1818181816</v>
      </c>
      <c r="M1955" s="147"/>
      <c r="N1955" s="147"/>
      <c r="O1955" s="136">
        <f>D1955</f>
        <v>2181818.1818181816</v>
      </c>
      <c r="P1955" s="71">
        <f>L1955</f>
        <v>2181818.1818181816</v>
      </c>
    </row>
    <row r="1956" spans="1:16" s="58" customFormat="1" ht="33">
      <c r="A1956" s="172">
        <v>26</v>
      </c>
      <c r="B1956" s="9" t="s">
        <v>1782</v>
      </c>
      <c r="C1956" s="160"/>
      <c r="D1956" s="161"/>
      <c r="E1956" s="161"/>
      <c r="F1956" s="161"/>
      <c r="G1956" s="212"/>
      <c r="H1956" s="171"/>
      <c r="I1956" s="145"/>
      <c r="J1956" s="145"/>
      <c r="K1956" s="142"/>
      <c r="L1956" s="146"/>
      <c r="M1956" s="147"/>
      <c r="N1956" s="147"/>
      <c r="O1956" s="136">
        <f t="shared" ref="O1956:O2014" si="447">D1956</f>
        <v>0</v>
      </c>
      <c r="P1956" s="71">
        <f t="shared" ref="P1956:P2014" si="448">L1956</f>
        <v>0</v>
      </c>
    </row>
    <row r="1957" spans="1:16" s="58" customFormat="1" ht="20.25" customHeight="1">
      <c r="A1957" s="142"/>
      <c r="B1957" s="166" t="s">
        <v>1783</v>
      </c>
      <c r="C1957" s="12" t="s">
        <v>1832</v>
      </c>
      <c r="D1957" s="13">
        <v>69750909</v>
      </c>
      <c r="E1957" s="161"/>
      <c r="F1957" s="161"/>
      <c r="G1957" s="212"/>
      <c r="H1957" s="68"/>
      <c r="I1957" s="145"/>
      <c r="J1957" s="145"/>
      <c r="K1957" s="12" t="s">
        <v>1832</v>
      </c>
      <c r="L1957" s="146">
        <f>D1957</f>
        <v>69750909</v>
      </c>
      <c r="M1957" s="147"/>
      <c r="N1957" s="147"/>
      <c r="O1957" s="136">
        <f t="shared" si="447"/>
        <v>69750909</v>
      </c>
      <c r="P1957" s="71">
        <f t="shared" si="448"/>
        <v>69750909</v>
      </c>
    </row>
    <row r="1958" spans="1:16" s="58" customFormat="1" ht="20.25" customHeight="1">
      <c r="A1958" s="142"/>
      <c r="B1958" s="166" t="s">
        <v>1784</v>
      </c>
      <c r="C1958" s="12" t="s">
        <v>1832</v>
      </c>
      <c r="D1958" s="13">
        <v>85538000</v>
      </c>
      <c r="E1958" s="161"/>
      <c r="F1958" s="161"/>
      <c r="G1958" s="212"/>
      <c r="H1958" s="68"/>
      <c r="I1958" s="145"/>
      <c r="J1958" s="145"/>
      <c r="K1958" s="12" t="s">
        <v>1832</v>
      </c>
      <c r="L1958" s="146">
        <f>D1958</f>
        <v>85538000</v>
      </c>
      <c r="M1958" s="147"/>
      <c r="N1958" s="147"/>
      <c r="O1958" s="136">
        <f t="shared" si="447"/>
        <v>85538000</v>
      </c>
      <c r="P1958" s="71">
        <f t="shared" si="448"/>
        <v>85538000</v>
      </c>
    </row>
    <row r="1959" spans="1:16" s="58" customFormat="1" ht="33">
      <c r="A1959" s="172">
        <v>27</v>
      </c>
      <c r="B1959" s="9" t="s">
        <v>1785</v>
      </c>
      <c r="C1959" s="8"/>
      <c r="D1959" s="22"/>
      <c r="E1959" s="161"/>
      <c r="F1959" s="161"/>
      <c r="G1959" s="212"/>
      <c r="H1959" s="235"/>
      <c r="I1959" s="145"/>
      <c r="J1959" s="145"/>
      <c r="K1959" s="8"/>
      <c r="L1959" s="146"/>
      <c r="M1959" s="147"/>
      <c r="N1959" s="147"/>
      <c r="O1959" s="136">
        <f t="shared" si="447"/>
        <v>0</v>
      </c>
      <c r="P1959" s="71">
        <f t="shared" si="448"/>
        <v>0</v>
      </c>
    </row>
    <row r="1960" spans="1:16" s="58" customFormat="1" ht="20.25" customHeight="1">
      <c r="A1960" s="142"/>
      <c r="B1960" s="166" t="s">
        <v>1786</v>
      </c>
      <c r="C1960" s="12" t="s">
        <v>1832</v>
      </c>
      <c r="D1960" s="13">
        <v>98435455</v>
      </c>
      <c r="E1960" s="161"/>
      <c r="F1960" s="161"/>
      <c r="G1960" s="212"/>
      <c r="H1960" s="68"/>
      <c r="I1960" s="145"/>
      <c r="J1960" s="145"/>
      <c r="K1960" s="12" t="s">
        <v>1832</v>
      </c>
      <c r="L1960" s="146">
        <f>D1960</f>
        <v>98435455</v>
      </c>
      <c r="M1960" s="147"/>
      <c r="N1960" s="147"/>
      <c r="O1960" s="136">
        <f t="shared" si="447"/>
        <v>98435455</v>
      </c>
      <c r="P1960" s="71">
        <f t="shared" si="448"/>
        <v>98435455</v>
      </c>
    </row>
    <row r="1961" spans="1:16" s="58" customFormat="1" ht="20.25" customHeight="1">
      <c r="A1961" s="142"/>
      <c r="B1961" s="166" t="s">
        <v>1787</v>
      </c>
      <c r="C1961" s="12" t="s">
        <v>1832</v>
      </c>
      <c r="D1961" s="13">
        <v>120620000</v>
      </c>
      <c r="E1961" s="161"/>
      <c r="F1961" s="161"/>
      <c r="G1961" s="212"/>
      <c r="H1961" s="68"/>
      <c r="I1961" s="145"/>
      <c r="J1961" s="145"/>
      <c r="K1961" s="12" t="s">
        <v>1832</v>
      </c>
      <c r="L1961" s="146">
        <f>D1961</f>
        <v>120620000</v>
      </c>
      <c r="M1961" s="147"/>
      <c r="N1961" s="147"/>
      <c r="O1961" s="136">
        <f t="shared" si="447"/>
        <v>120620000</v>
      </c>
      <c r="P1961" s="71">
        <f t="shared" si="448"/>
        <v>120620000</v>
      </c>
    </row>
    <row r="1962" spans="1:16" s="58" customFormat="1" ht="33">
      <c r="A1962" s="172">
        <v>28</v>
      </c>
      <c r="B1962" s="9" t="s">
        <v>1788</v>
      </c>
      <c r="C1962" s="8"/>
      <c r="D1962" s="22"/>
      <c r="E1962" s="161"/>
      <c r="F1962" s="161"/>
      <c r="G1962" s="212"/>
      <c r="H1962" s="235"/>
      <c r="I1962" s="145"/>
      <c r="J1962" s="145"/>
      <c r="K1962" s="8"/>
      <c r="L1962" s="146"/>
      <c r="M1962" s="147"/>
      <c r="N1962" s="147"/>
      <c r="O1962" s="136">
        <f t="shared" si="447"/>
        <v>0</v>
      </c>
      <c r="P1962" s="71">
        <f t="shared" si="448"/>
        <v>0</v>
      </c>
    </row>
    <row r="1963" spans="1:16" s="58" customFormat="1" ht="20.25" customHeight="1">
      <c r="A1963" s="142"/>
      <c r="B1963" s="166" t="s">
        <v>1789</v>
      </c>
      <c r="C1963" s="12" t="s">
        <v>1832</v>
      </c>
      <c r="D1963" s="13">
        <v>93482727</v>
      </c>
      <c r="E1963" s="161"/>
      <c r="F1963" s="161"/>
      <c r="G1963" s="212"/>
      <c r="H1963" s="68"/>
      <c r="I1963" s="145"/>
      <c r="J1963" s="145"/>
      <c r="K1963" s="12" t="s">
        <v>1832</v>
      </c>
      <c r="L1963" s="146">
        <f>D1963</f>
        <v>93482727</v>
      </c>
      <c r="M1963" s="147"/>
      <c r="N1963" s="147"/>
      <c r="O1963" s="136">
        <f t="shared" si="447"/>
        <v>93482727</v>
      </c>
      <c r="P1963" s="71">
        <f t="shared" si="448"/>
        <v>93482727</v>
      </c>
    </row>
    <row r="1964" spans="1:16" s="58" customFormat="1" ht="20.25" customHeight="1">
      <c r="A1964" s="142"/>
      <c r="B1964" s="166" t="s">
        <v>1790</v>
      </c>
      <c r="C1964" s="12" t="s">
        <v>1832</v>
      </c>
      <c r="D1964" s="13">
        <v>114635000</v>
      </c>
      <c r="E1964" s="161"/>
      <c r="F1964" s="161"/>
      <c r="G1964" s="212"/>
      <c r="H1964" s="68"/>
      <c r="I1964" s="145"/>
      <c r="J1964" s="145"/>
      <c r="K1964" s="12" t="s">
        <v>1832</v>
      </c>
      <c r="L1964" s="146">
        <f>D1964</f>
        <v>114635000</v>
      </c>
      <c r="M1964" s="147"/>
      <c r="N1964" s="147"/>
      <c r="O1964" s="136">
        <f t="shared" si="447"/>
        <v>114635000</v>
      </c>
      <c r="P1964" s="71">
        <f t="shared" si="448"/>
        <v>114635000</v>
      </c>
    </row>
    <row r="1965" spans="1:16" s="58" customFormat="1" ht="33">
      <c r="A1965" s="172">
        <v>29</v>
      </c>
      <c r="B1965" s="9" t="s">
        <v>1791</v>
      </c>
      <c r="C1965" s="8"/>
      <c r="D1965" s="22"/>
      <c r="E1965" s="161"/>
      <c r="F1965" s="161"/>
      <c r="G1965" s="212"/>
      <c r="H1965" s="235"/>
      <c r="I1965" s="145"/>
      <c r="J1965" s="145"/>
      <c r="K1965" s="8"/>
      <c r="L1965" s="146"/>
      <c r="M1965" s="147"/>
      <c r="N1965" s="147"/>
      <c r="O1965" s="136">
        <f t="shared" si="447"/>
        <v>0</v>
      </c>
      <c r="P1965" s="71">
        <f t="shared" si="448"/>
        <v>0</v>
      </c>
    </row>
    <row r="1966" spans="1:16" s="58" customFormat="1" ht="20.25" customHeight="1">
      <c r="A1966" s="142"/>
      <c r="B1966" s="166" t="s">
        <v>1792</v>
      </c>
      <c r="C1966" s="12" t="s">
        <v>1832</v>
      </c>
      <c r="D1966" s="13">
        <v>109182403</v>
      </c>
      <c r="E1966" s="161"/>
      <c r="F1966" s="161"/>
      <c r="G1966" s="212"/>
      <c r="H1966" s="68"/>
      <c r="I1966" s="145"/>
      <c r="J1966" s="145"/>
      <c r="K1966" s="12" t="s">
        <v>1832</v>
      </c>
      <c r="L1966" s="146">
        <f>D1966</f>
        <v>109182403</v>
      </c>
      <c r="M1966" s="147"/>
      <c r="N1966" s="147"/>
      <c r="O1966" s="136">
        <f t="shared" si="447"/>
        <v>109182403</v>
      </c>
      <c r="P1966" s="71">
        <f t="shared" si="448"/>
        <v>109182403</v>
      </c>
    </row>
    <row r="1967" spans="1:16" s="58" customFormat="1" ht="17.25">
      <c r="A1967" s="142"/>
      <c r="B1967" s="166" t="s">
        <v>1793</v>
      </c>
      <c r="C1967" s="12" t="s">
        <v>1832</v>
      </c>
      <c r="D1967" s="13">
        <v>133887000</v>
      </c>
      <c r="E1967" s="161"/>
      <c r="F1967" s="161"/>
      <c r="G1967" s="212"/>
      <c r="H1967" s="68"/>
      <c r="I1967" s="145"/>
      <c r="J1967" s="145"/>
      <c r="K1967" s="12" t="s">
        <v>1832</v>
      </c>
      <c r="L1967" s="146">
        <f>D1967</f>
        <v>133887000</v>
      </c>
      <c r="M1967" s="147"/>
      <c r="N1967" s="147"/>
      <c r="O1967" s="136">
        <f t="shared" si="447"/>
        <v>133887000</v>
      </c>
      <c r="P1967" s="71">
        <f t="shared" si="448"/>
        <v>133887000</v>
      </c>
    </row>
    <row r="1968" spans="1:16" s="58" customFormat="1" ht="33">
      <c r="A1968" s="172">
        <v>30</v>
      </c>
      <c r="B1968" s="9" t="s">
        <v>1794</v>
      </c>
      <c r="C1968" s="8"/>
      <c r="D1968" s="161"/>
      <c r="E1968" s="161"/>
      <c r="F1968" s="161"/>
      <c r="G1968" s="212"/>
      <c r="H1968" s="235"/>
      <c r="I1968" s="145"/>
      <c r="J1968" s="145"/>
      <c r="K1968" s="8"/>
      <c r="L1968" s="146"/>
      <c r="M1968" s="147"/>
      <c r="N1968" s="147"/>
      <c r="O1968" s="136">
        <f t="shared" si="447"/>
        <v>0</v>
      </c>
      <c r="P1968" s="71">
        <f t="shared" si="448"/>
        <v>0</v>
      </c>
    </row>
    <row r="1969" spans="1:16" s="58" customFormat="1" ht="20.25" customHeight="1">
      <c r="A1969" s="142"/>
      <c r="B1969" s="166" t="s">
        <v>1795</v>
      </c>
      <c r="C1969" s="12" t="s">
        <v>1832</v>
      </c>
      <c r="D1969" s="13">
        <v>66709997</v>
      </c>
      <c r="E1969" s="161"/>
      <c r="F1969" s="161"/>
      <c r="G1969" s="212"/>
      <c r="H1969" s="68"/>
      <c r="I1969" s="145"/>
      <c r="J1969" s="145"/>
      <c r="K1969" s="12" t="s">
        <v>1832</v>
      </c>
      <c r="L1969" s="146">
        <f>D1969</f>
        <v>66709997</v>
      </c>
      <c r="M1969" s="147"/>
      <c r="N1969" s="147"/>
      <c r="O1969" s="136">
        <f t="shared" si="447"/>
        <v>66709997</v>
      </c>
      <c r="P1969" s="71">
        <f t="shared" si="448"/>
        <v>66709997</v>
      </c>
    </row>
    <row r="1970" spans="1:16" s="58" customFormat="1" ht="20.25" customHeight="1">
      <c r="A1970" s="142"/>
      <c r="B1970" s="166" t="s">
        <v>1796</v>
      </c>
      <c r="C1970" s="12" t="s">
        <v>1832</v>
      </c>
      <c r="D1970" s="13">
        <v>121635551</v>
      </c>
      <c r="E1970" s="161"/>
      <c r="F1970" s="161"/>
      <c r="G1970" s="212"/>
      <c r="H1970" s="68"/>
      <c r="I1970" s="145"/>
      <c r="J1970" s="145"/>
      <c r="K1970" s="12" t="s">
        <v>1832</v>
      </c>
      <c r="L1970" s="146">
        <f>D1970</f>
        <v>121635551</v>
      </c>
      <c r="M1970" s="147"/>
      <c r="N1970" s="147"/>
      <c r="O1970" s="136">
        <f t="shared" si="447"/>
        <v>121635551</v>
      </c>
      <c r="P1970" s="71">
        <f t="shared" si="448"/>
        <v>121635551</v>
      </c>
    </row>
    <row r="1971" spans="1:16" s="58" customFormat="1" ht="33">
      <c r="A1971" s="172">
        <v>31</v>
      </c>
      <c r="B1971" s="9" t="s">
        <v>1797</v>
      </c>
      <c r="C1971" s="8"/>
      <c r="D1971" s="22"/>
      <c r="E1971" s="161"/>
      <c r="F1971" s="161"/>
      <c r="G1971" s="212"/>
      <c r="H1971" s="235"/>
      <c r="I1971" s="145"/>
      <c r="J1971" s="145"/>
      <c r="K1971" s="8"/>
      <c r="L1971" s="146"/>
      <c r="M1971" s="147"/>
      <c r="N1971" s="147"/>
      <c r="O1971" s="136">
        <f t="shared" si="447"/>
        <v>0</v>
      </c>
      <c r="P1971" s="71">
        <f t="shared" si="448"/>
        <v>0</v>
      </c>
    </row>
    <row r="1972" spans="1:16" s="58" customFormat="1" ht="20.25" customHeight="1">
      <c r="A1972" s="142"/>
      <c r="B1972" s="166" t="s">
        <v>1798</v>
      </c>
      <c r="C1972" s="12" t="s">
        <v>1832</v>
      </c>
      <c r="D1972" s="13">
        <v>99264226</v>
      </c>
      <c r="E1972" s="161"/>
      <c r="F1972" s="161"/>
      <c r="G1972" s="212"/>
      <c r="H1972" s="68"/>
      <c r="I1972" s="145"/>
      <c r="J1972" s="145"/>
      <c r="K1972" s="12" t="s">
        <v>1832</v>
      </c>
      <c r="L1972" s="146">
        <f>D1972</f>
        <v>99264226</v>
      </c>
      <c r="M1972" s="147"/>
      <c r="N1972" s="147"/>
      <c r="O1972" s="136">
        <f t="shared" si="447"/>
        <v>99264226</v>
      </c>
      <c r="P1972" s="71">
        <f t="shared" si="448"/>
        <v>99264226</v>
      </c>
    </row>
    <row r="1973" spans="1:16" s="58" customFormat="1" ht="20.25" customHeight="1">
      <c r="A1973" s="142"/>
      <c r="B1973" s="166" t="s">
        <v>1799</v>
      </c>
      <c r="C1973" s="12" t="s">
        <v>1832</v>
      </c>
      <c r="D1973" s="13">
        <v>121635551</v>
      </c>
      <c r="E1973" s="161"/>
      <c r="F1973" s="161"/>
      <c r="G1973" s="212"/>
      <c r="H1973" s="68"/>
      <c r="I1973" s="145"/>
      <c r="J1973" s="145"/>
      <c r="K1973" s="12" t="s">
        <v>1832</v>
      </c>
      <c r="L1973" s="146">
        <f>D1973</f>
        <v>121635551</v>
      </c>
      <c r="M1973" s="147"/>
      <c r="N1973" s="147"/>
      <c r="O1973" s="136">
        <f t="shared" si="447"/>
        <v>121635551</v>
      </c>
      <c r="P1973" s="71">
        <f t="shared" si="448"/>
        <v>121635551</v>
      </c>
    </row>
    <row r="1974" spans="1:16" s="58" customFormat="1" ht="33">
      <c r="A1974" s="172">
        <v>32</v>
      </c>
      <c r="B1974" s="9" t="s">
        <v>1800</v>
      </c>
      <c r="C1974" s="8"/>
      <c r="D1974" s="22"/>
      <c r="E1974" s="161"/>
      <c r="F1974" s="161"/>
      <c r="G1974" s="212"/>
      <c r="H1974" s="235"/>
      <c r="I1974" s="145"/>
      <c r="J1974" s="145"/>
      <c r="K1974" s="8"/>
      <c r="L1974" s="146"/>
      <c r="M1974" s="147"/>
      <c r="N1974" s="147"/>
      <c r="O1974" s="136">
        <f t="shared" si="447"/>
        <v>0</v>
      </c>
      <c r="P1974" s="71">
        <f t="shared" si="448"/>
        <v>0</v>
      </c>
    </row>
    <row r="1975" spans="1:16" s="58" customFormat="1" ht="20.25" customHeight="1">
      <c r="A1975" s="142"/>
      <c r="B1975" s="166" t="s">
        <v>1801</v>
      </c>
      <c r="C1975" s="12" t="s">
        <v>1832</v>
      </c>
      <c r="D1975" s="13">
        <v>83990000</v>
      </c>
      <c r="E1975" s="161"/>
      <c r="F1975" s="161"/>
      <c r="G1975" s="212"/>
      <c r="H1975" s="68"/>
      <c r="I1975" s="145"/>
      <c r="J1975" s="145"/>
      <c r="K1975" s="12" t="s">
        <v>1832</v>
      </c>
      <c r="L1975" s="146">
        <f>D1975</f>
        <v>83990000</v>
      </c>
      <c r="M1975" s="147"/>
      <c r="N1975" s="147"/>
      <c r="O1975" s="136">
        <f t="shared" si="447"/>
        <v>83990000</v>
      </c>
      <c r="P1975" s="71">
        <f t="shared" si="448"/>
        <v>83990000</v>
      </c>
    </row>
    <row r="1976" spans="1:16" s="58" customFormat="1" ht="20.25" customHeight="1">
      <c r="A1976" s="142"/>
      <c r="B1976" s="166" t="s">
        <v>1802</v>
      </c>
      <c r="C1976" s="12" t="s">
        <v>1832</v>
      </c>
      <c r="D1976" s="13">
        <v>103079000</v>
      </c>
      <c r="E1976" s="161"/>
      <c r="F1976" s="161"/>
      <c r="G1976" s="212"/>
      <c r="H1976" s="68"/>
      <c r="I1976" s="145"/>
      <c r="J1976" s="145"/>
      <c r="K1976" s="12" t="s">
        <v>1832</v>
      </c>
      <c r="L1976" s="146">
        <f>D1976</f>
        <v>103079000</v>
      </c>
      <c r="M1976" s="147"/>
      <c r="N1976" s="147"/>
      <c r="O1976" s="136">
        <f t="shared" si="447"/>
        <v>103079000</v>
      </c>
      <c r="P1976" s="71">
        <f t="shared" si="448"/>
        <v>103079000</v>
      </c>
    </row>
    <row r="1977" spans="1:16" s="58" customFormat="1" ht="33">
      <c r="A1977" s="172">
        <v>33</v>
      </c>
      <c r="B1977" s="9" t="s">
        <v>1803</v>
      </c>
      <c r="C1977" s="8"/>
      <c r="D1977" s="22"/>
      <c r="E1977" s="161"/>
      <c r="F1977" s="161"/>
      <c r="G1977" s="212"/>
      <c r="H1977" s="235"/>
      <c r="I1977" s="145"/>
      <c r="J1977" s="145"/>
      <c r="K1977" s="8"/>
      <c r="L1977" s="146"/>
      <c r="M1977" s="147"/>
      <c r="N1977" s="147"/>
      <c r="O1977" s="136">
        <f t="shared" si="447"/>
        <v>0</v>
      </c>
      <c r="P1977" s="71">
        <f t="shared" si="448"/>
        <v>0</v>
      </c>
    </row>
    <row r="1978" spans="1:16" s="58" customFormat="1" ht="20.25" customHeight="1">
      <c r="A1978" s="142"/>
      <c r="B1978" s="166" t="s">
        <v>1804</v>
      </c>
      <c r="C1978" s="12" t="s">
        <v>1832</v>
      </c>
      <c r="D1978" s="13">
        <v>59639091</v>
      </c>
      <c r="E1978" s="161"/>
      <c r="F1978" s="161"/>
      <c r="G1978" s="212"/>
      <c r="H1978" s="68"/>
      <c r="I1978" s="145"/>
      <c r="J1978" s="145"/>
      <c r="K1978" s="12" t="s">
        <v>1832</v>
      </c>
      <c r="L1978" s="146">
        <f>D1978</f>
        <v>59639091</v>
      </c>
      <c r="M1978" s="147"/>
      <c r="N1978" s="147"/>
      <c r="O1978" s="136">
        <f t="shared" si="447"/>
        <v>59639091</v>
      </c>
      <c r="P1978" s="71">
        <f t="shared" si="448"/>
        <v>59639091</v>
      </c>
    </row>
    <row r="1979" spans="1:16" s="58" customFormat="1" ht="20.25" customHeight="1">
      <c r="A1979" s="142"/>
      <c r="B1979" s="166" t="s">
        <v>1805</v>
      </c>
      <c r="C1979" s="12" t="s">
        <v>1832</v>
      </c>
      <c r="D1979" s="13">
        <v>73156000</v>
      </c>
      <c r="E1979" s="161"/>
      <c r="F1979" s="161"/>
      <c r="G1979" s="212"/>
      <c r="H1979" s="68"/>
      <c r="I1979" s="145"/>
      <c r="J1979" s="145"/>
      <c r="K1979" s="12" t="s">
        <v>1832</v>
      </c>
      <c r="L1979" s="146">
        <f>D1979</f>
        <v>73156000</v>
      </c>
      <c r="M1979" s="147"/>
      <c r="N1979" s="147"/>
      <c r="O1979" s="136">
        <f t="shared" si="447"/>
        <v>73156000</v>
      </c>
      <c r="P1979" s="71">
        <f t="shared" si="448"/>
        <v>73156000</v>
      </c>
    </row>
    <row r="1980" spans="1:16" s="58" customFormat="1" ht="33">
      <c r="A1980" s="172">
        <v>34</v>
      </c>
      <c r="B1980" s="9" t="s">
        <v>1806</v>
      </c>
      <c r="C1980" s="8"/>
      <c r="D1980" s="22"/>
      <c r="E1980" s="161"/>
      <c r="F1980" s="161"/>
      <c r="G1980" s="212"/>
      <c r="H1980" s="235"/>
      <c r="I1980" s="145"/>
      <c r="J1980" s="145"/>
      <c r="K1980" s="8"/>
      <c r="L1980" s="146"/>
      <c r="M1980" s="147"/>
      <c r="N1980" s="147"/>
      <c r="O1980" s="136">
        <f t="shared" si="447"/>
        <v>0</v>
      </c>
      <c r="P1980" s="71">
        <f t="shared" si="448"/>
        <v>0</v>
      </c>
    </row>
    <row r="1981" spans="1:16" s="58" customFormat="1" ht="20.25" customHeight="1">
      <c r="A1981" s="142"/>
      <c r="B1981" s="166" t="s">
        <v>1807</v>
      </c>
      <c r="C1981" s="12" t="s">
        <v>1832</v>
      </c>
      <c r="D1981" s="13">
        <v>67762224</v>
      </c>
      <c r="E1981" s="161"/>
      <c r="F1981" s="161"/>
      <c r="G1981" s="212"/>
      <c r="H1981" s="68"/>
      <c r="I1981" s="145"/>
      <c r="J1981" s="145"/>
      <c r="K1981" s="12" t="s">
        <v>1832</v>
      </c>
      <c r="L1981" s="146">
        <f>D1981</f>
        <v>67762224</v>
      </c>
      <c r="M1981" s="147"/>
      <c r="N1981" s="147"/>
      <c r="O1981" s="136">
        <f t="shared" si="447"/>
        <v>67762224</v>
      </c>
      <c r="P1981" s="71">
        <f t="shared" si="448"/>
        <v>67762224</v>
      </c>
    </row>
    <row r="1982" spans="1:16" s="58" customFormat="1" ht="20.25" customHeight="1">
      <c r="A1982" s="142"/>
      <c r="B1982" s="166" t="s">
        <v>1808</v>
      </c>
      <c r="C1982" s="12" t="s">
        <v>1832</v>
      </c>
      <c r="D1982" s="13">
        <v>83164000</v>
      </c>
      <c r="E1982" s="161"/>
      <c r="F1982" s="161"/>
      <c r="G1982" s="212"/>
      <c r="H1982" s="68"/>
      <c r="I1982" s="145"/>
      <c r="J1982" s="145"/>
      <c r="K1982" s="12" t="s">
        <v>1832</v>
      </c>
      <c r="L1982" s="146">
        <f>D1982</f>
        <v>83164000</v>
      </c>
      <c r="M1982" s="147"/>
      <c r="N1982" s="147"/>
      <c r="O1982" s="136">
        <f t="shared" si="447"/>
        <v>83164000</v>
      </c>
      <c r="P1982" s="71">
        <f t="shared" si="448"/>
        <v>83164000</v>
      </c>
    </row>
    <row r="1983" spans="1:16" s="58" customFormat="1" ht="33">
      <c r="A1983" s="172">
        <v>35</v>
      </c>
      <c r="B1983" s="9" t="s">
        <v>1809</v>
      </c>
      <c r="C1983" s="8"/>
      <c r="D1983" s="22"/>
      <c r="E1983" s="161"/>
      <c r="F1983" s="161"/>
      <c r="G1983" s="212"/>
      <c r="H1983" s="235"/>
      <c r="I1983" s="145"/>
      <c r="J1983" s="145"/>
      <c r="K1983" s="8"/>
      <c r="L1983" s="146"/>
      <c r="M1983" s="147"/>
      <c r="N1983" s="147"/>
      <c r="O1983" s="136">
        <f t="shared" si="447"/>
        <v>0</v>
      </c>
      <c r="P1983" s="71">
        <f t="shared" si="448"/>
        <v>0</v>
      </c>
    </row>
    <row r="1984" spans="1:16" s="58" customFormat="1" ht="20.25" customHeight="1">
      <c r="A1984" s="142"/>
      <c r="B1984" s="166" t="s">
        <v>1810</v>
      </c>
      <c r="C1984" s="12" t="s">
        <v>1832</v>
      </c>
      <c r="D1984" s="13">
        <v>73787718</v>
      </c>
      <c r="E1984" s="161"/>
      <c r="F1984" s="161"/>
      <c r="G1984" s="212"/>
      <c r="H1984" s="68"/>
      <c r="I1984" s="145"/>
      <c r="J1984" s="145"/>
      <c r="K1984" s="12" t="s">
        <v>1832</v>
      </c>
      <c r="L1984" s="146">
        <f>D1984</f>
        <v>73787718</v>
      </c>
      <c r="M1984" s="147"/>
      <c r="N1984" s="147"/>
      <c r="O1984" s="136">
        <f t="shared" si="447"/>
        <v>73787718</v>
      </c>
      <c r="P1984" s="71">
        <f t="shared" si="448"/>
        <v>73787718</v>
      </c>
    </row>
    <row r="1985" spans="1:16" s="58" customFormat="1" ht="20.25" customHeight="1">
      <c r="A1985" s="142"/>
      <c r="B1985" s="166" t="s">
        <v>1811</v>
      </c>
      <c r="C1985" s="12" t="s">
        <v>1832</v>
      </c>
      <c r="D1985" s="13">
        <v>90558000</v>
      </c>
      <c r="E1985" s="161"/>
      <c r="F1985" s="161"/>
      <c r="G1985" s="212"/>
      <c r="H1985" s="68"/>
      <c r="I1985" s="145"/>
      <c r="J1985" s="145"/>
      <c r="K1985" s="12" t="s">
        <v>1832</v>
      </c>
      <c r="L1985" s="146">
        <f>D1985</f>
        <v>90558000</v>
      </c>
      <c r="M1985" s="147"/>
      <c r="N1985" s="147"/>
      <c r="O1985" s="136">
        <f t="shared" si="447"/>
        <v>90558000</v>
      </c>
      <c r="P1985" s="71">
        <f t="shared" si="448"/>
        <v>90558000</v>
      </c>
    </row>
    <row r="1986" spans="1:16" s="58" customFormat="1" ht="33">
      <c r="A1986" s="172">
        <v>36</v>
      </c>
      <c r="B1986" s="9" t="s">
        <v>1812</v>
      </c>
      <c r="C1986" s="8"/>
      <c r="D1986" s="161"/>
      <c r="E1986" s="161"/>
      <c r="F1986" s="161"/>
      <c r="G1986" s="212"/>
      <c r="H1986" s="235"/>
      <c r="I1986" s="145"/>
      <c r="J1986" s="145"/>
      <c r="K1986" s="8"/>
      <c r="L1986" s="146"/>
      <c r="M1986" s="147"/>
      <c r="N1986" s="147"/>
      <c r="O1986" s="136">
        <f t="shared" si="447"/>
        <v>0</v>
      </c>
      <c r="P1986" s="71">
        <f t="shared" si="448"/>
        <v>0</v>
      </c>
    </row>
    <row r="1987" spans="1:16" s="58" customFormat="1" ht="20.25" customHeight="1">
      <c r="A1987" s="142"/>
      <c r="B1987" s="166" t="s">
        <v>1813</v>
      </c>
      <c r="C1987" s="12" t="s">
        <v>1832</v>
      </c>
      <c r="D1987" s="13">
        <v>94943712</v>
      </c>
      <c r="E1987" s="161"/>
      <c r="F1987" s="161"/>
      <c r="G1987" s="212"/>
      <c r="H1987" s="68"/>
      <c r="I1987" s="145"/>
      <c r="J1987" s="145"/>
      <c r="K1987" s="12" t="s">
        <v>1832</v>
      </c>
      <c r="L1987" s="146">
        <f>D1987</f>
        <v>94943712</v>
      </c>
      <c r="M1987" s="147"/>
      <c r="N1987" s="147"/>
      <c r="O1987" s="136">
        <f t="shared" si="447"/>
        <v>94943712</v>
      </c>
      <c r="P1987" s="71">
        <f t="shared" si="448"/>
        <v>94943712</v>
      </c>
    </row>
    <row r="1988" spans="1:16" s="58" customFormat="1" ht="20.25" customHeight="1">
      <c r="A1988" s="142"/>
      <c r="B1988" s="166" t="s">
        <v>1814</v>
      </c>
      <c r="C1988" s="12" t="s">
        <v>1832</v>
      </c>
      <c r="D1988" s="13">
        <v>116828000</v>
      </c>
      <c r="E1988" s="161"/>
      <c r="F1988" s="161"/>
      <c r="G1988" s="212"/>
      <c r="H1988" s="68"/>
      <c r="I1988" s="145"/>
      <c r="J1988" s="145"/>
      <c r="K1988" s="12" t="s">
        <v>1832</v>
      </c>
      <c r="L1988" s="146">
        <f>D1988</f>
        <v>116828000</v>
      </c>
      <c r="M1988" s="147"/>
      <c r="N1988" s="147"/>
      <c r="O1988" s="136">
        <f t="shared" si="447"/>
        <v>116828000</v>
      </c>
      <c r="P1988" s="71">
        <f t="shared" si="448"/>
        <v>116828000</v>
      </c>
    </row>
    <row r="1989" spans="1:16" s="58" customFormat="1" ht="33">
      <c r="A1989" s="172">
        <v>37</v>
      </c>
      <c r="B1989" s="9" t="s">
        <v>1815</v>
      </c>
      <c r="C1989" s="8"/>
      <c r="D1989" s="22"/>
      <c r="E1989" s="161"/>
      <c r="F1989" s="161"/>
      <c r="G1989" s="212"/>
      <c r="H1989" s="235"/>
      <c r="I1989" s="145"/>
      <c r="J1989" s="145"/>
      <c r="K1989" s="8"/>
      <c r="L1989" s="146"/>
      <c r="M1989" s="147"/>
      <c r="N1989" s="147"/>
      <c r="O1989" s="136">
        <f t="shared" si="447"/>
        <v>0</v>
      </c>
      <c r="P1989" s="71">
        <f t="shared" si="448"/>
        <v>0</v>
      </c>
    </row>
    <row r="1990" spans="1:16" s="58" customFormat="1" ht="20.25" customHeight="1">
      <c r="A1990" s="142"/>
      <c r="B1990" s="166" t="s">
        <v>1816</v>
      </c>
      <c r="C1990" s="12" t="s">
        <v>1832</v>
      </c>
      <c r="D1990" s="13">
        <v>108340909</v>
      </c>
      <c r="E1990" s="161"/>
      <c r="F1990" s="161"/>
      <c r="G1990" s="212"/>
      <c r="H1990" s="68"/>
      <c r="I1990" s="145"/>
      <c r="J1990" s="145"/>
      <c r="K1990" s="12" t="s">
        <v>1832</v>
      </c>
      <c r="L1990" s="146">
        <f>D1990</f>
        <v>108340909</v>
      </c>
      <c r="M1990" s="147"/>
      <c r="N1990" s="147"/>
      <c r="O1990" s="136">
        <f t="shared" si="447"/>
        <v>108340909</v>
      </c>
      <c r="P1990" s="71">
        <f t="shared" si="448"/>
        <v>108340909</v>
      </c>
    </row>
    <row r="1991" spans="1:16" s="58" customFormat="1" ht="20.25" customHeight="1">
      <c r="A1991" s="142"/>
      <c r="B1991" s="166" t="s">
        <v>1817</v>
      </c>
      <c r="C1991" s="12" t="s">
        <v>1832</v>
      </c>
      <c r="D1991" s="13">
        <v>132898000</v>
      </c>
      <c r="E1991" s="161"/>
      <c r="F1991" s="161"/>
      <c r="G1991" s="212"/>
      <c r="H1991" s="68"/>
      <c r="I1991" s="145"/>
      <c r="J1991" s="145"/>
      <c r="K1991" s="12" t="s">
        <v>1832</v>
      </c>
      <c r="L1991" s="146">
        <f>D1991</f>
        <v>132898000</v>
      </c>
      <c r="M1991" s="147"/>
      <c r="N1991" s="147"/>
      <c r="O1991" s="136">
        <f t="shared" si="447"/>
        <v>132898000</v>
      </c>
      <c r="P1991" s="71">
        <f t="shared" si="448"/>
        <v>132898000</v>
      </c>
    </row>
    <row r="1992" spans="1:16" s="58" customFormat="1" ht="20.25" customHeight="1">
      <c r="A1992" s="142"/>
      <c r="B1992" s="100" t="s">
        <v>1024</v>
      </c>
      <c r="C1992" s="12"/>
      <c r="D1992" s="13"/>
      <c r="E1992" s="161"/>
      <c r="F1992" s="161"/>
      <c r="G1992" s="212"/>
      <c r="H1992" s="68"/>
      <c r="I1992" s="145"/>
      <c r="J1992" s="145"/>
      <c r="K1992" s="12"/>
      <c r="L1992" s="146"/>
      <c r="M1992" s="147"/>
      <c r="N1992" s="147"/>
      <c r="O1992" s="136">
        <f t="shared" si="447"/>
        <v>0</v>
      </c>
      <c r="P1992" s="71">
        <f t="shared" si="448"/>
        <v>0</v>
      </c>
    </row>
    <row r="1993" spans="1:16" s="58" customFormat="1" ht="20.25" customHeight="1">
      <c r="A1993" s="172">
        <v>38</v>
      </c>
      <c r="B1993" s="100" t="s">
        <v>1818</v>
      </c>
      <c r="C1993" s="12"/>
      <c r="D1993" s="13"/>
      <c r="E1993" s="161"/>
      <c r="F1993" s="161"/>
      <c r="G1993" s="212"/>
      <c r="H1993" s="68"/>
      <c r="I1993" s="145"/>
      <c r="J1993" s="145"/>
      <c r="K1993" s="12"/>
      <c r="L1993" s="146"/>
      <c r="M1993" s="147"/>
      <c r="N1993" s="147"/>
      <c r="O1993" s="136">
        <f t="shared" si="447"/>
        <v>0</v>
      </c>
      <c r="P1993" s="71">
        <f t="shared" si="448"/>
        <v>0</v>
      </c>
    </row>
    <row r="1994" spans="1:16" s="58" customFormat="1" ht="20.25" customHeight="1">
      <c r="A1994" s="142"/>
      <c r="B1994" s="166" t="s">
        <v>1819</v>
      </c>
      <c r="C1994" s="142" t="s">
        <v>1833</v>
      </c>
      <c r="D1994" s="13">
        <v>16545454</v>
      </c>
      <c r="E1994" s="161"/>
      <c r="F1994" s="161"/>
      <c r="G1994" s="212"/>
      <c r="H1994" s="68"/>
      <c r="I1994" s="145"/>
      <c r="J1994" s="145"/>
      <c r="K1994" s="142" t="s">
        <v>1833</v>
      </c>
      <c r="L1994" s="146">
        <f>D1994</f>
        <v>16545454</v>
      </c>
      <c r="M1994" s="147"/>
      <c r="N1994" s="147"/>
      <c r="O1994" s="136">
        <f t="shared" si="447"/>
        <v>16545454</v>
      </c>
      <c r="P1994" s="71">
        <f t="shared" si="448"/>
        <v>16545454</v>
      </c>
    </row>
    <row r="1995" spans="1:16" s="58" customFormat="1" ht="20.25" customHeight="1">
      <c r="A1995" s="142"/>
      <c r="B1995" s="166" t="s">
        <v>1820</v>
      </c>
      <c r="C1995" s="142" t="s">
        <v>1833</v>
      </c>
      <c r="D1995" s="13">
        <v>72906335</v>
      </c>
      <c r="E1995" s="161"/>
      <c r="F1995" s="161"/>
      <c r="G1995" s="212"/>
      <c r="H1995" s="68"/>
      <c r="I1995" s="145"/>
      <c r="J1995" s="145"/>
      <c r="K1995" s="142" t="s">
        <v>1833</v>
      </c>
      <c r="L1995" s="146">
        <f>D1995</f>
        <v>72906335</v>
      </c>
      <c r="M1995" s="147"/>
      <c r="N1995" s="147"/>
      <c r="O1995" s="136">
        <f t="shared" si="447"/>
        <v>72906335</v>
      </c>
      <c r="P1995" s="71">
        <f t="shared" si="448"/>
        <v>72906335</v>
      </c>
    </row>
    <row r="1996" spans="1:16" s="58" customFormat="1" ht="20.25" customHeight="1">
      <c r="A1996" s="172">
        <v>39</v>
      </c>
      <c r="B1996" s="100" t="s">
        <v>1821</v>
      </c>
      <c r="C1996" s="12"/>
      <c r="D1996" s="13"/>
      <c r="E1996" s="161"/>
      <c r="F1996" s="161"/>
      <c r="G1996" s="212"/>
      <c r="H1996" s="68"/>
      <c r="I1996" s="145"/>
      <c r="J1996" s="145"/>
      <c r="K1996" s="12"/>
      <c r="L1996" s="146"/>
      <c r="M1996" s="147"/>
      <c r="N1996" s="147"/>
      <c r="O1996" s="136">
        <f t="shared" si="447"/>
        <v>0</v>
      </c>
      <c r="P1996" s="71">
        <f t="shared" si="448"/>
        <v>0</v>
      </c>
    </row>
    <row r="1997" spans="1:16" s="58" customFormat="1" ht="20.25" customHeight="1">
      <c r="A1997" s="142"/>
      <c r="B1997" s="166" t="s">
        <v>1819</v>
      </c>
      <c r="C1997" s="142" t="s">
        <v>1833</v>
      </c>
      <c r="D1997" s="13">
        <v>13490909</v>
      </c>
      <c r="E1997" s="161"/>
      <c r="F1997" s="161"/>
      <c r="G1997" s="212"/>
      <c r="H1997" s="68"/>
      <c r="I1997" s="145"/>
      <c r="J1997" s="145"/>
      <c r="K1997" s="142" t="s">
        <v>1833</v>
      </c>
      <c r="L1997" s="146">
        <f>D1997</f>
        <v>13490909</v>
      </c>
      <c r="M1997" s="147"/>
      <c r="N1997" s="147"/>
      <c r="O1997" s="136">
        <f t="shared" si="447"/>
        <v>13490909</v>
      </c>
      <c r="P1997" s="71">
        <f t="shared" si="448"/>
        <v>13490909</v>
      </c>
    </row>
    <row r="1998" spans="1:16" s="58" customFormat="1" ht="20.25" customHeight="1">
      <c r="A1998" s="142"/>
      <c r="B1998" s="166" t="s">
        <v>1822</v>
      </c>
      <c r="C1998" s="142" t="s">
        <v>1833</v>
      </c>
      <c r="D1998" s="13">
        <v>58060802</v>
      </c>
      <c r="E1998" s="161"/>
      <c r="F1998" s="161"/>
      <c r="G1998" s="212"/>
      <c r="H1998" s="68"/>
      <c r="I1998" s="145"/>
      <c r="J1998" s="145"/>
      <c r="K1998" s="142" t="s">
        <v>1833</v>
      </c>
      <c r="L1998" s="146">
        <f>D1998</f>
        <v>58060802</v>
      </c>
      <c r="M1998" s="147"/>
      <c r="N1998" s="147"/>
      <c r="O1998" s="136">
        <f t="shared" si="447"/>
        <v>58060802</v>
      </c>
      <c r="P1998" s="71">
        <f t="shared" si="448"/>
        <v>58060802</v>
      </c>
    </row>
    <row r="1999" spans="1:16" s="58" customFormat="1" ht="21" customHeight="1">
      <c r="A1999" s="172">
        <v>40</v>
      </c>
      <c r="B1999" s="100" t="s">
        <v>1823</v>
      </c>
      <c r="C1999" s="12"/>
      <c r="D1999" s="13"/>
      <c r="E1999" s="161"/>
      <c r="F1999" s="161"/>
      <c r="G1999" s="212"/>
      <c r="H1999" s="68"/>
      <c r="I1999" s="145"/>
      <c r="J1999" s="145"/>
      <c r="K1999" s="12"/>
      <c r="L1999" s="146"/>
      <c r="M1999" s="147"/>
      <c r="N1999" s="147"/>
      <c r="O1999" s="136">
        <f t="shared" si="447"/>
        <v>0</v>
      </c>
      <c r="P1999" s="71">
        <f t="shared" si="448"/>
        <v>0</v>
      </c>
    </row>
    <row r="2000" spans="1:16" s="58" customFormat="1" ht="21" customHeight="1">
      <c r="A2000" s="142"/>
      <c r="B2000" s="166" t="s">
        <v>1824</v>
      </c>
      <c r="C2000" s="142" t="s">
        <v>1833</v>
      </c>
      <c r="D2000" s="13">
        <v>17866666</v>
      </c>
      <c r="E2000" s="161"/>
      <c r="F2000" s="161"/>
      <c r="G2000" s="212"/>
      <c r="H2000" s="68"/>
      <c r="I2000" s="145"/>
      <c r="J2000" s="145"/>
      <c r="K2000" s="142" t="s">
        <v>1833</v>
      </c>
      <c r="L2000" s="146">
        <f>D2000</f>
        <v>17866666</v>
      </c>
      <c r="M2000" s="147"/>
      <c r="N2000" s="147"/>
      <c r="O2000" s="136">
        <f t="shared" si="447"/>
        <v>17866666</v>
      </c>
      <c r="P2000" s="71">
        <f t="shared" si="448"/>
        <v>17866666</v>
      </c>
    </row>
    <row r="2001" spans="1:16" s="58" customFormat="1" ht="21" customHeight="1">
      <c r="A2001" s="142"/>
      <c r="B2001" s="166" t="s">
        <v>1825</v>
      </c>
      <c r="C2001" s="142" t="s">
        <v>1833</v>
      </c>
      <c r="D2001" s="13">
        <v>82700000</v>
      </c>
      <c r="E2001" s="161"/>
      <c r="F2001" s="161"/>
      <c r="G2001" s="212"/>
      <c r="H2001" s="68"/>
      <c r="I2001" s="145"/>
      <c r="J2001" s="145"/>
      <c r="K2001" s="142" t="s">
        <v>1833</v>
      </c>
      <c r="L2001" s="146">
        <f>D2001</f>
        <v>82700000</v>
      </c>
      <c r="M2001" s="147"/>
      <c r="N2001" s="147"/>
      <c r="O2001" s="136">
        <f t="shared" si="447"/>
        <v>82700000</v>
      </c>
      <c r="P2001" s="71">
        <f t="shared" si="448"/>
        <v>82700000</v>
      </c>
    </row>
    <row r="2002" spans="1:16" s="58" customFormat="1" ht="21" customHeight="1">
      <c r="A2002" s="172">
        <v>41</v>
      </c>
      <c r="B2002" s="100" t="s">
        <v>1826</v>
      </c>
      <c r="C2002" s="12"/>
      <c r="D2002" s="161"/>
      <c r="E2002" s="161"/>
      <c r="F2002" s="161"/>
      <c r="G2002" s="212"/>
      <c r="H2002" s="68"/>
      <c r="I2002" s="145"/>
      <c r="J2002" s="145"/>
      <c r="K2002" s="12"/>
      <c r="L2002" s="146"/>
      <c r="M2002" s="147"/>
      <c r="N2002" s="147"/>
      <c r="O2002" s="136">
        <f t="shared" si="447"/>
        <v>0</v>
      </c>
      <c r="P2002" s="71">
        <f t="shared" si="448"/>
        <v>0</v>
      </c>
    </row>
    <row r="2003" spans="1:16" s="58" customFormat="1" ht="21" customHeight="1">
      <c r="A2003" s="142"/>
      <c r="B2003" s="166" t="s">
        <v>1824</v>
      </c>
      <c r="C2003" s="142" t="s">
        <v>1833</v>
      </c>
      <c r="D2003" s="13">
        <v>14812121</v>
      </c>
      <c r="E2003" s="161"/>
      <c r="F2003" s="161"/>
      <c r="G2003" s="212"/>
      <c r="H2003" s="68"/>
      <c r="I2003" s="145"/>
      <c r="J2003" s="145"/>
      <c r="K2003" s="142" t="s">
        <v>1833</v>
      </c>
      <c r="L2003" s="146">
        <f>D2003</f>
        <v>14812121</v>
      </c>
      <c r="M2003" s="147"/>
      <c r="N2003" s="147"/>
      <c r="O2003" s="136">
        <f t="shared" si="447"/>
        <v>14812121</v>
      </c>
      <c r="P2003" s="71">
        <f t="shared" si="448"/>
        <v>14812121</v>
      </c>
    </row>
    <row r="2004" spans="1:16" s="58" customFormat="1" ht="21" customHeight="1">
      <c r="A2004" s="142"/>
      <c r="B2004" s="166" t="s">
        <v>1825</v>
      </c>
      <c r="C2004" s="142" t="s">
        <v>1833</v>
      </c>
      <c r="D2004" s="13">
        <v>67436363</v>
      </c>
      <c r="E2004" s="161"/>
      <c r="F2004" s="161"/>
      <c r="G2004" s="212"/>
      <c r="H2004" s="68"/>
      <c r="I2004" s="145"/>
      <c r="J2004" s="145"/>
      <c r="K2004" s="142" t="s">
        <v>1833</v>
      </c>
      <c r="L2004" s="146">
        <f>D2004</f>
        <v>67436363</v>
      </c>
      <c r="M2004" s="147"/>
      <c r="N2004" s="147"/>
      <c r="O2004" s="136">
        <f t="shared" si="447"/>
        <v>67436363</v>
      </c>
      <c r="P2004" s="71">
        <f t="shared" si="448"/>
        <v>67436363</v>
      </c>
    </row>
    <row r="2005" spans="1:16" s="58" customFormat="1" ht="21" customHeight="1">
      <c r="A2005" s="172">
        <v>42</v>
      </c>
      <c r="B2005" s="100" t="s">
        <v>1827</v>
      </c>
      <c r="C2005" s="12"/>
      <c r="D2005" s="13"/>
      <c r="E2005" s="161"/>
      <c r="F2005" s="161"/>
      <c r="G2005" s="212"/>
      <c r="H2005" s="68"/>
      <c r="I2005" s="145"/>
      <c r="J2005" s="145"/>
      <c r="K2005" s="12"/>
      <c r="L2005" s="146"/>
      <c r="M2005" s="147"/>
      <c r="N2005" s="147"/>
      <c r="O2005" s="136">
        <f t="shared" si="447"/>
        <v>0</v>
      </c>
      <c r="P2005" s="71">
        <f t="shared" si="448"/>
        <v>0</v>
      </c>
    </row>
    <row r="2006" spans="1:16" s="58" customFormat="1" ht="21" customHeight="1">
      <c r="A2006" s="142"/>
      <c r="B2006" s="166" t="s">
        <v>1779</v>
      </c>
      <c r="C2006" s="142" t="s">
        <v>1833</v>
      </c>
      <c r="D2006" s="13">
        <v>19327272</v>
      </c>
      <c r="E2006" s="161"/>
      <c r="F2006" s="161"/>
      <c r="G2006" s="212"/>
      <c r="H2006" s="68"/>
      <c r="I2006" s="145"/>
      <c r="J2006" s="145"/>
      <c r="K2006" s="142" t="s">
        <v>1833</v>
      </c>
      <c r="L2006" s="146">
        <f>D2006</f>
        <v>19327272</v>
      </c>
      <c r="M2006" s="147"/>
      <c r="N2006" s="147"/>
      <c r="O2006" s="136">
        <f t="shared" si="447"/>
        <v>19327272</v>
      </c>
      <c r="P2006" s="71">
        <f t="shared" si="448"/>
        <v>19327272</v>
      </c>
    </row>
    <row r="2007" spans="1:16" s="58" customFormat="1" ht="21" customHeight="1">
      <c r="A2007" s="142"/>
      <c r="B2007" s="166" t="s">
        <v>1780</v>
      </c>
      <c r="C2007" s="142" t="s">
        <v>1833</v>
      </c>
      <c r="D2007" s="13">
        <v>78781818</v>
      </c>
      <c r="E2007" s="161"/>
      <c r="F2007" s="161"/>
      <c r="G2007" s="212"/>
      <c r="H2007" s="68"/>
      <c r="I2007" s="145"/>
      <c r="J2007" s="145"/>
      <c r="K2007" s="142" t="s">
        <v>1833</v>
      </c>
      <c r="L2007" s="146">
        <f>D2007</f>
        <v>78781818</v>
      </c>
      <c r="M2007" s="147"/>
      <c r="N2007" s="147"/>
      <c r="O2007" s="136">
        <f t="shared" si="447"/>
        <v>78781818</v>
      </c>
      <c r="P2007" s="71">
        <f t="shared" si="448"/>
        <v>78781818</v>
      </c>
    </row>
    <row r="2008" spans="1:16" s="58" customFormat="1" ht="21" customHeight="1">
      <c r="A2008" s="172">
        <v>43</v>
      </c>
      <c r="B2008" s="100" t="s">
        <v>1828</v>
      </c>
      <c r="C2008" s="12"/>
      <c r="D2008" s="13"/>
      <c r="E2008" s="161"/>
      <c r="F2008" s="161"/>
      <c r="G2008" s="212"/>
      <c r="H2008" s="68"/>
      <c r="I2008" s="145"/>
      <c r="J2008" s="145"/>
      <c r="K2008" s="12"/>
      <c r="L2008" s="146"/>
      <c r="M2008" s="147"/>
      <c r="N2008" s="147"/>
      <c r="O2008" s="136">
        <f t="shared" si="447"/>
        <v>0</v>
      </c>
      <c r="P2008" s="71">
        <f t="shared" si="448"/>
        <v>0</v>
      </c>
    </row>
    <row r="2009" spans="1:16" s="58" customFormat="1" ht="21" customHeight="1">
      <c r="A2009" s="142"/>
      <c r="B2009" s="166" t="s">
        <v>1779</v>
      </c>
      <c r="C2009" s="142" t="s">
        <v>1833</v>
      </c>
      <c r="D2009" s="13">
        <v>15763636</v>
      </c>
      <c r="E2009" s="161"/>
      <c r="F2009" s="161"/>
      <c r="G2009" s="212"/>
      <c r="H2009" s="68"/>
      <c r="I2009" s="145"/>
      <c r="J2009" s="145"/>
      <c r="K2009" s="142" t="s">
        <v>1833</v>
      </c>
      <c r="L2009" s="146">
        <f t="shared" ref="L2009:L2014" si="449">D2009</f>
        <v>15763636</v>
      </c>
      <c r="M2009" s="147"/>
      <c r="N2009" s="147"/>
      <c r="O2009" s="136">
        <f t="shared" si="447"/>
        <v>15763636</v>
      </c>
      <c r="P2009" s="71">
        <f t="shared" si="448"/>
        <v>15763636</v>
      </c>
    </row>
    <row r="2010" spans="1:16" s="58" customFormat="1" ht="21" customHeight="1">
      <c r="A2010" s="142"/>
      <c r="B2010" s="166" t="s">
        <v>1780</v>
      </c>
      <c r="C2010" s="142" t="s">
        <v>1833</v>
      </c>
      <c r="D2010" s="13">
        <v>78781818</v>
      </c>
      <c r="E2010" s="161"/>
      <c r="F2010" s="161"/>
      <c r="G2010" s="212"/>
      <c r="H2010" s="68"/>
      <c r="I2010" s="145"/>
      <c r="J2010" s="145"/>
      <c r="K2010" s="142" t="s">
        <v>1833</v>
      </c>
      <c r="L2010" s="146">
        <f t="shared" si="449"/>
        <v>78781818</v>
      </c>
      <c r="M2010" s="147"/>
      <c r="N2010" s="147"/>
      <c r="O2010" s="136">
        <f t="shared" si="447"/>
        <v>78781818</v>
      </c>
      <c r="P2010" s="71">
        <f t="shared" si="448"/>
        <v>78781818</v>
      </c>
    </row>
    <row r="2011" spans="1:16" s="58" customFormat="1" ht="21" customHeight="1">
      <c r="A2011" s="172">
        <v>44</v>
      </c>
      <c r="B2011" s="100" t="s">
        <v>1781</v>
      </c>
      <c r="C2011" s="12" t="s">
        <v>1834</v>
      </c>
      <c r="D2011" s="13">
        <v>1490909</v>
      </c>
      <c r="E2011" s="161"/>
      <c r="F2011" s="161"/>
      <c r="G2011" s="212"/>
      <c r="H2011" s="68"/>
      <c r="I2011" s="145"/>
      <c r="J2011" s="145"/>
      <c r="K2011" s="12" t="s">
        <v>1834</v>
      </c>
      <c r="L2011" s="146">
        <f t="shared" si="449"/>
        <v>1490909</v>
      </c>
      <c r="M2011" s="147"/>
      <c r="N2011" s="147"/>
      <c r="O2011" s="136">
        <f t="shared" si="447"/>
        <v>1490909</v>
      </c>
      <c r="P2011" s="71">
        <f t="shared" si="448"/>
        <v>1490909</v>
      </c>
    </row>
    <row r="2012" spans="1:16" s="58" customFormat="1" ht="21" customHeight="1">
      <c r="A2012" s="172">
        <f>A2011+1</f>
        <v>45</v>
      </c>
      <c r="B2012" s="100" t="s">
        <v>1829</v>
      </c>
      <c r="C2012" s="12" t="s">
        <v>1834</v>
      </c>
      <c r="D2012" s="13">
        <v>1145454</v>
      </c>
      <c r="E2012" s="161"/>
      <c r="F2012" s="161"/>
      <c r="G2012" s="212"/>
      <c r="H2012" s="68"/>
      <c r="I2012" s="145"/>
      <c r="J2012" s="145"/>
      <c r="K2012" s="12" t="s">
        <v>1834</v>
      </c>
      <c r="L2012" s="146">
        <f t="shared" si="449"/>
        <v>1145454</v>
      </c>
      <c r="M2012" s="147"/>
      <c r="N2012" s="147"/>
      <c r="O2012" s="136">
        <f t="shared" si="447"/>
        <v>1145454</v>
      </c>
      <c r="P2012" s="71">
        <f t="shared" si="448"/>
        <v>1145454</v>
      </c>
    </row>
    <row r="2013" spans="1:16" s="58" customFormat="1" ht="21" customHeight="1">
      <c r="A2013" s="172">
        <f>A2012+1</f>
        <v>46</v>
      </c>
      <c r="B2013" s="100" t="s">
        <v>1830</v>
      </c>
      <c r="C2013" s="12" t="s">
        <v>1834</v>
      </c>
      <c r="D2013" s="13">
        <v>200000000</v>
      </c>
      <c r="E2013" s="161"/>
      <c r="F2013" s="161"/>
      <c r="G2013" s="212"/>
      <c r="H2013" s="68"/>
      <c r="I2013" s="145"/>
      <c r="J2013" s="145"/>
      <c r="K2013" s="12" t="s">
        <v>1834</v>
      </c>
      <c r="L2013" s="146">
        <f t="shared" si="449"/>
        <v>200000000</v>
      </c>
      <c r="M2013" s="147"/>
      <c r="N2013" s="147"/>
      <c r="O2013" s="136">
        <f t="shared" si="447"/>
        <v>200000000</v>
      </c>
      <c r="P2013" s="71">
        <f t="shared" si="448"/>
        <v>200000000</v>
      </c>
    </row>
    <row r="2014" spans="1:16" s="58" customFormat="1" ht="21" customHeight="1">
      <c r="A2014" s="172">
        <f>A2013+1</f>
        <v>47</v>
      </c>
      <c r="B2014" s="100" t="s">
        <v>1831</v>
      </c>
      <c r="C2014" s="12" t="s">
        <v>1834</v>
      </c>
      <c r="D2014" s="13">
        <v>55099090</v>
      </c>
      <c r="E2014" s="161"/>
      <c r="F2014" s="161"/>
      <c r="G2014" s="212"/>
      <c r="H2014" s="68"/>
      <c r="I2014" s="145"/>
      <c r="J2014" s="145"/>
      <c r="K2014" s="12" t="s">
        <v>1834</v>
      </c>
      <c r="L2014" s="146">
        <f t="shared" si="449"/>
        <v>55099090</v>
      </c>
      <c r="M2014" s="147"/>
      <c r="N2014" s="147"/>
      <c r="O2014" s="136">
        <f t="shared" si="447"/>
        <v>55099090</v>
      </c>
      <c r="P2014" s="71">
        <f t="shared" si="448"/>
        <v>55099090</v>
      </c>
    </row>
    <row r="2015" spans="1:16" s="66" customFormat="1" ht="21" customHeight="1">
      <c r="A2015" s="157" t="s">
        <v>1054</v>
      </c>
      <c r="B2015" s="253" t="s">
        <v>1055</v>
      </c>
      <c r="C2015" s="253"/>
      <c r="D2015" s="253"/>
      <c r="E2015" s="253"/>
      <c r="F2015" s="253"/>
      <c r="G2015" s="151"/>
      <c r="H2015" s="151"/>
      <c r="I2015" s="151"/>
      <c r="J2015" s="151"/>
      <c r="K2015" s="152"/>
      <c r="L2015" s="153"/>
      <c r="M2015" s="153"/>
      <c r="N2015" s="153"/>
      <c r="O2015" s="137"/>
      <c r="P2015" s="70"/>
    </row>
    <row r="2016" spans="1:16" s="58" customFormat="1" ht="21" customHeight="1">
      <c r="A2016" s="142">
        <v>1</v>
      </c>
      <c r="B2016" s="166" t="s">
        <v>1056</v>
      </c>
      <c r="C2016" s="160" t="s">
        <v>163</v>
      </c>
      <c r="D2016" s="174"/>
      <c r="E2016" s="161">
        <v>14000</v>
      </c>
      <c r="F2016" s="161"/>
      <c r="G2016" s="145"/>
      <c r="H2016" s="145"/>
      <c r="I2016" s="145"/>
      <c r="J2016" s="145"/>
      <c r="K2016" s="142" t="str">
        <f>C2016</f>
        <v>đ/kg</v>
      </c>
      <c r="L2016" s="146"/>
      <c r="M2016" s="146">
        <f>E2016</f>
        <v>14000</v>
      </c>
      <c r="N2016" s="147"/>
      <c r="O2016" s="136">
        <f>E2016</f>
        <v>14000</v>
      </c>
      <c r="P2016" s="71">
        <f>M2016</f>
        <v>14000</v>
      </c>
    </row>
    <row r="2017" spans="1:16" s="58" customFormat="1" ht="21" customHeight="1">
      <c r="A2017" s="142">
        <f t="shared" ref="A2017:A2028" si="450">+A2016+1</f>
        <v>2</v>
      </c>
      <c r="B2017" s="166" t="s">
        <v>1057</v>
      </c>
      <c r="C2017" s="160" t="s">
        <v>1058</v>
      </c>
      <c r="D2017" s="174"/>
      <c r="E2017" s="161">
        <v>1000</v>
      </c>
      <c r="F2017" s="161"/>
      <c r="G2017" s="145"/>
      <c r="H2017" s="145"/>
      <c r="I2017" s="145"/>
      <c r="J2017" s="145"/>
      <c r="K2017" s="142" t="str">
        <f>C2017</f>
        <v>đ/tấm</v>
      </c>
      <c r="L2017" s="146"/>
      <c r="M2017" s="146">
        <f>E2017</f>
        <v>1000</v>
      </c>
      <c r="N2017" s="147"/>
      <c r="O2017" s="136">
        <f t="shared" ref="O2017:O2028" si="451">E2017</f>
        <v>1000</v>
      </c>
      <c r="P2017" s="71">
        <f t="shared" ref="P2017:P2028" si="452">M2017</f>
        <v>1000</v>
      </c>
    </row>
    <row r="2018" spans="1:16" s="58" customFormat="1" ht="21" customHeight="1">
      <c r="A2018" s="142">
        <f t="shared" si="450"/>
        <v>3</v>
      </c>
      <c r="B2018" s="166" t="s">
        <v>1059</v>
      </c>
      <c r="C2018" s="160" t="s">
        <v>163</v>
      </c>
      <c r="D2018" s="174"/>
      <c r="E2018" s="161">
        <f>70000/1.1</f>
        <v>63636.363636363632</v>
      </c>
      <c r="F2018" s="161"/>
      <c r="G2018" s="145"/>
      <c r="H2018" s="145"/>
      <c r="I2018" s="145"/>
      <c r="J2018" s="145"/>
      <c r="K2018" s="142" t="str">
        <f>C2018</f>
        <v>đ/kg</v>
      </c>
      <c r="L2018" s="146"/>
      <c r="M2018" s="146">
        <f>E2018</f>
        <v>63636.363636363632</v>
      </c>
      <c r="N2018" s="147"/>
      <c r="O2018" s="136">
        <f t="shared" si="451"/>
        <v>63636.363636363632</v>
      </c>
      <c r="P2018" s="71">
        <f t="shared" si="452"/>
        <v>63636.363636363632</v>
      </c>
    </row>
    <row r="2019" spans="1:16" s="58" customFormat="1" ht="21" customHeight="1">
      <c r="A2019" s="142">
        <f t="shared" si="450"/>
        <v>4</v>
      </c>
      <c r="B2019" s="166" t="s">
        <v>1060</v>
      </c>
      <c r="C2019" s="160" t="s">
        <v>163</v>
      </c>
      <c r="D2019" s="174"/>
      <c r="E2019" s="161">
        <f>38000/1.1</f>
        <v>34545.454545454544</v>
      </c>
      <c r="F2019" s="161"/>
      <c r="G2019" s="145"/>
      <c r="H2019" s="145"/>
      <c r="I2019" s="145"/>
      <c r="J2019" s="145"/>
      <c r="K2019" s="142" t="str">
        <f>C2019</f>
        <v>đ/kg</v>
      </c>
      <c r="L2019" s="146"/>
      <c r="M2019" s="146">
        <f>E2019</f>
        <v>34545.454545454544</v>
      </c>
      <c r="N2019" s="147"/>
      <c r="O2019" s="136">
        <f t="shared" si="451"/>
        <v>34545.454545454544</v>
      </c>
      <c r="P2019" s="71">
        <f t="shared" si="452"/>
        <v>34545.454545454544</v>
      </c>
    </row>
    <row r="2020" spans="1:16" s="58" customFormat="1" ht="21" customHeight="1">
      <c r="A2020" s="142">
        <f t="shared" si="450"/>
        <v>5</v>
      </c>
      <c r="B2020" s="166" t="s">
        <v>1061</v>
      </c>
      <c r="C2020" s="160" t="s">
        <v>163</v>
      </c>
      <c r="D2020" s="174"/>
      <c r="E2020" s="161">
        <f>27000/1.1</f>
        <v>24545.454545454544</v>
      </c>
      <c r="F2020" s="161"/>
      <c r="G2020" s="145"/>
      <c r="H2020" s="145"/>
      <c r="I2020" s="145"/>
      <c r="J2020" s="145"/>
      <c r="K2020" s="142" t="str">
        <f>C2020</f>
        <v>đ/kg</v>
      </c>
      <c r="L2020" s="146"/>
      <c r="M2020" s="146">
        <f>E2020</f>
        <v>24545.454545454544</v>
      </c>
      <c r="N2020" s="147"/>
      <c r="O2020" s="136">
        <f t="shared" si="451"/>
        <v>24545.454545454544</v>
      </c>
      <c r="P2020" s="71">
        <f t="shared" si="452"/>
        <v>24545.454545454544</v>
      </c>
    </row>
    <row r="2021" spans="1:16" s="58" customFormat="1" ht="21" customHeight="1">
      <c r="A2021" s="142">
        <f t="shared" si="450"/>
        <v>6</v>
      </c>
      <c r="B2021" s="166" t="s">
        <v>1062</v>
      </c>
      <c r="C2021" s="160" t="s">
        <v>163</v>
      </c>
      <c r="D2021" s="177"/>
      <c r="E2021" s="161">
        <v>14545</v>
      </c>
      <c r="F2021" s="161"/>
      <c r="G2021" s="145"/>
      <c r="H2021" s="145"/>
      <c r="I2021" s="145"/>
      <c r="J2021" s="145"/>
      <c r="K2021" s="142" t="str">
        <f t="shared" ref="K2021:K2028" si="453">C2021</f>
        <v>đ/kg</v>
      </c>
      <c r="L2021" s="146"/>
      <c r="M2021" s="146">
        <f t="shared" ref="M2021:M2028" si="454">E2021</f>
        <v>14545</v>
      </c>
      <c r="N2021" s="147"/>
      <c r="O2021" s="136">
        <f t="shared" si="451"/>
        <v>14545</v>
      </c>
      <c r="P2021" s="71">
        <f t="shared" si="452"/>
        <v>14545</v>
      </c>
    </row>
    <row r="2022" spans="1:16" s="58" customFormat="1" ht="21" customHeight="1">
      <c r="A2022" s="142">
        <f t="shared" si="450"/>
        <v>7</v>
      </c>
      <c r="B2022" s="166" t="s">
        <v>1063</v>
      </c>
      <c r="C2022" s="160" t="s">
        <v>163</v>
      </c>
      <c r="D2022" s="177"/>
      <c r="E2022" s="161">
        <v>14545</v>
      </c>
      <c r="F2022" s="161"/>
      <c r="G2022" s="145"/>
      <c r="H2022" s="145"/>
      <c r="I2022" s="145"/>
      <c r="J2022" s="145"/>
      <c r="K2022" s="142" t="str">
        <f t="shared" si="453"/>
        <v>đ/kg</v>
      </c>
      <c r="L2022" s="146"/>
      <c r="M2022" s="146">
        <f t="shared" si="454"/>
        <v>14545</v>
      </c>
      <c r="N2022" s="147"/>
      <c r="O2022" s="136">
        <f t="shared" si="451"/>
        <v>14545</v>
      </c>
      <c r="P2022" s="71">
        <f t="shared" si="452"/>
        <v>14545</v>
      </c>
    </row>
    <row r="2023" spans="1:16" s="58" customFormat="1" ht="21" customHeight="1">
      <c r="A2023" s="142">
        <f t="shared" si="450"/>
        <v>8</v>
      </c>
      <c r="B2023" s="166" t="s">
        <v>1064</v>
      </c>
      <c r="C2023" s="160" t="s">
        <v>163</v>
      </c>
      <c r="D2023" s="177"/>
      <c r="E2023" s="161">
        <v>14273</v>
      </c>
      <c r="F2023" s="161"/>
      <c r="G2023" s="145"/>
      <c r="H2023" s="145"/>
      <c r="I2023" s="145"/>
      <c r="J2023" s="145"/>
      <c r="K2023" s="142" t="str">
        <f t="shared" si="453"/>
        <v>đ/kg</v>
      </c>
      <c r="L2023" s="146"/>
      <c r="M2023" s="146">
        <f t="shared" si="454"/>
        <v>14273</v>
      </c>
      <c r="N2023" s="147"/>
      <c r="O2023" s="136">
        <f t="shared" si="451"/>
        <v>14273</v>
      </c>
      <c r="P2023" s="71">
        <f t="shared" si="452"/>
        <v>14273</v>
      </c>
    </row>
    <row r="2024" spans="1:16" s="58" customFormat="1" ht="21" customHeight="1">
      <c r="A2024" s="142">
        <f t="shared" si="450"/>
        <v>9</v>
      </c>
      <c r="B2024" s="166" t="s">
        <v>1065</v>
      </c>
      <c r="C2024" s="160" t="s">
        <v>163</v>
      </c>
      <c r="D2024" s="177"/>
      <c r="E2024" s="161">
        <v>14545</v>
      </c>
      <c r="F2024" s="161"/>
      <c r="G2024" s="145"/>
      <c r="H2024" s="145"/>
      <c r="I2024" s="145"/>
      <c r="J2024" s="145"/>
      <c r="K2024" s="142" t="str">
        <f t="shared" si="453"/>
        <v>đ/kg</v>
      </c>
      <c r="L2024" s="146"/>
      <c r="M2024" s="146">
        <f t="shared" si="454"/>
        <v>14545</v>
      </c>
      <c r="N2024" s="147"/>
      <c r="O2024" s="136">
        <f t="shared" si="451"/>
        <v>14545</v>
      </c>
      <c r="P2024" s="71">
        <f t="shared" si="452"/>
        <v>14545</v>
      </c>
    </row>
    <row r="2025" spans="1:16" s="58" customFormat="1" ht="21" customHeight="1">
      <c r="A2025" s="142">
        <f t="shared" si="450"/>
        <v>10</v>
      </c>
      <c r="B2025" s="166" t="s">
        <v>1066</v>
      </c>
      <c r="C2025" s="160" t="s">
        <v>163</v>
      </c>
      <c r="D2025" s="177"/>
      <c r="E2025" s="161">
        <v>2800</v>
      </c>
      <c r="F2025" s="161"/>
      <c r="G2025" s="145"/>
      <c r="H2025" s="145"/>
      <c r="I2025" s="145"/>
      <c r="J2025" s="145"/>
      <c r="K2025" s="142" t="str">
        <f t="shared" si="453"/>
        <v>đ/kg</v>
      </c>
      <c r="L2025" s="146"/>
      <c r="M2025" s="146">
        <f t="shared" si="454"/>
        <v>2800</v>
      </c>
      <c r="N2025" s="147"/>
      <c r="O2025" s="136">
        <f t="shared" si="451"/>
        <v>2800</v>
      </c>
      <c r="P2025" s="71">
        <f t="shared" si="452"/>
        <v>2800</v>
      </c>
    </row>
    <row r="2026" spans="1:16" s="58" customFormat="1" ht="21" customHeight="1">
      <c r="A2026" s="142">
        <f t="shared" si="450"/>
        <v>11</v>
      </c>
      <c r="B2026" s="166" t="s">
        <v>1067</v>
      </c>
      <c r="C2026" s="160" t="s">
        <v>1068</v>
      </c>
      <c r="D2026" s="177"/>
      <c r="E2026" s="161">
        <f>14000/1.1</f>
        <v>12727.272727272726</v>
      </c>
      <c r="F2026" s="161"/>
      <c r="G2026" s="145"/>
      <c r="H2026" s="145"/>
      <c r="I2026" s="145"/>
      <c r="J2026" s="145"/>
      <c r="K2026" s="142" t="str">
        <f t="shared" si="453"/>
        <v>đ/keo</v>
      </c>
      <c r="L2026" s="146"/>
      <c r="M2026" s="146">
        <f t="shared" si="454"/>
        <v>12727.272727272726</v>
      </c>
      <c r="N2026" s="147"/>
      <c r="O2026" s="136">
        <f t="shared" si="451"/>
        <v>12727.272727272726</v>
      </c>
      <c r="P2026" s="71">
        <f t="shared" si="452"/>
        <v>12727.272727272726</v>
      </c>
    </row>
    <row r="2027" spans="1:16" s="58" customFormat="1" ht="21" customHeight="1">
      <c r="A2027" s="142">
        <f t="shared" si="450"/>
        <v>12</v>
      </c>
      <c r="B2027" s="166" t="s">
        <v>1069</v>
      </c>
      <c r="C2027" s="160" t="s">
        <v>259</v>
      </c>
      <c r="D2027" s="174"/>
      <c r="E2027" s="161">
        <f>450000/1.1</f>
        <v>409090.90909090906</v>
      </c>
      <c r="F2027" s="161"/>
      <c r="G2027" s="145"/>
      <c r="H2027" s="145"/>
      <c r="I2027" s="145"/>
      <c r="J2027" s="145"/>
      <c r="K2027" s="142" t="str">
        <f t="shared" si="453"/>
        <v>đ/bộ</v>
      </c>
      <c r="L2027" s="146"/>
      <c r="M2027" s="146">
        <f t="shared" si="454"/>
        <v>409090.90909090906</v>
      </c>
      <c r="N2027" s="147"/>
      <c r="O2027" s="136">
        <f t="shared" si="451"/>
        <v>409090.90909090906</v>
      </c>
      <c r="P2027" s="71">
        <f t="shared" si="452"/>
        <v>409090.90909090906</v>
      </c>
    </row>
    <row r="2028" spans="1:16" s="58" customFormat="1" ht="21" customHeight="1">
      <c r="A2028" s="142">
        <f t="shared" si="450"/>
        <v>13</v>
      </c>
      <c r="B2028" s="166" t="s">
        <v>1070</v>
      </c>
      <c r="C2028" s="160" t="s">
        <v>163</v>
      </c>
      <c r="D2028" s="161"/>
      <c r="E2028" s="161">
        <v>17273</v>
      </c>
      <c r="F2028" s="161"/>
      <c r="G2028" s="145"/>
      <c r="H2028" s="145"/>
      <c r="I2028" s="145"/>
      <c r="J2028" s="145"/>
      <c r="K2028" s="142" t="str">
        <f t="shared" si="453"/>
        <v>đ/kg</v>
      </c>
      <c r="L2028" s="146"/>
      <c r="M2028" s="146">
        <f t="shared" si="454"/>
        <v>17273</v>
      </c>
      <c r="N2028" s="147"/>
      <c r="O2028" s="136">
        <f t="shared" si="451"/>
        <v>17273</v>
      </c>
      <c r="P2028" s="71">
        <f t="shared" si="452"/>
        <v>17273</v>
      </c>
    </row>
    <row r="2029" spans="1:16" s="66" customFormat="1" ht="24" customHeight="1">
      <c r="A2029" s="157" t="s">
        <v>1071</v>
      </c>
      <c r="B2029" s="253" t="s">
        <v>1072</v>
      </c>
      <c r="C2029" s="253"/>
      <c r="D2029" s="253"/>
      <c r="E2029" s="253"/>
      <c r="F2029" s="253"/>
      <c r="G2029" s="151"/>
      <c r="H2029" s="151"/>
      <c r="I2029" s="151"/>
      <c r="J2029" s="151"/>
      <c r="K2029" s="152"/>
      <c r="L2029" s="153"/>
      <c r="M2029" s="153"/>
      <c r="N2029" s="153"/>
      <c r="O2029" s="137"/>
      <c r="P2029" s="70"/>
    </row>
    <row r="2030" spans="1:16" s="58" customFormat="1" ht="35.25" customHeight="1">
      <c r="A2030" s="172"/>
      <c r="B2030" s="265" t="s">
        <v>1882</v>
      </c>
      <c r="C2030" s="266"/>
      <c r="D2030" s="266"/>
      <c r="E2030" s="266"/>
      <c r="F2030" s="266"/>
      <c r="G2030" s="266"/>
      <c r="H2030" s="266"/>
      <c r="I2030" s="266"/>
      <c r="J2030" s="266"/>
      <c r="K2030" s="266"/>
      <c r="L2030" s="266"/>
      <c r="M2030" s="266"/>
      <c r="N2030" s="267"/>
      <c r="O2030" s="135"/>
      <c r="P2030" s="69"/>
    </row>
    <row r="2031" spans="1:16" s="58" customFormat="1" ht="21" customHeight="1">
      <c r="A2031" s="142">
        <v>1</v>
      </c>
      <c r="B2031" s="166" t="s">
        <v>1269</v>
      </c>
      <c r="C2031" s="160" t="s">
        <v>1073</v>
      </c>
      <c r="D2031" s="161"/>
      <c r="E2031" s="161">
        <v>16709</v>
      </c>
      <c r="F2031" s="161">
        <f>E2031</f>
        <v>16709</v>
      </c>
      <c r="G2031" s="212" t="s">
        <v>1073</v>
      </c>
      <c r="H2031" s="145"/>
      <c r="I2031" s="171">
        <v>17709</v>
      </c>
      <c r="J2031" s="171">
        <f>I2031</f>
        <v>17709</v>
      </c>
      <c r="K2031" s="160" t="str">
        <f>C2031</f>
        <v>đ/lít</v>
      </c>
      <c r="L2031" s="147"/>
      <c r="M2031" s="147">
        <f t="shared" ref="M2031:N2035" si="455">I2031</f>
        <v>17709</v>
      </c>
      <c r="N2031" s="147">
        <f t="shared" si="455"/>
        <v>17709</v>
      </c>
      <c r="O2031" s="136">
        <f>E2031</f>
        <v>16709</v>
      </c>
      <c r="P2031" s="71">
        <f>M2031</f>
        <v>17709</v>
      </c>
    </row>
    <row r="2032" spans="1:16" s="58" customFormat="1" ht="21" customHeight="1">
      <c r="A2032" s="142">
        <v>2</v>
      </c>
      <c r="B2032" s="166" t="s">
        <v>1270</v>
      </c>
      <c r="C2032" s="160" t="s">
        <v>1073</v>
      </c>
      <c r="D2032" s="161"/>
      <c r="E2032" s="161">
        <v>16073</v>
      </c>
      <c r="F2032" s="161">
        <f>E2032</f>
        <v>16073</v>
      </c>
      <c r="G2032" s="212" t="s">
        <v>1073</v>
      </c>
      <c r="H2032" s="145"/>
      <c r="I2032" s="171">
        <v>17073</v>
      </c>
      <c r="J2032" s="171">
        <f>I2032</f>
        <v>17073</v>
      </c>
      <c r="K2032" s="160" t="str">
        <f>C2032</f>
        <v>đ/lít</v>
      </c>
      <c r="L2032" s="147"/>
      <c r="M2032" s="147">
        <f t="shared" si="455"/>
        <v>17073</v>
      </c>
      <c r="N2032" s="147">
        <f t="shared" si="455"/>
        <v>17073</v>
      </c>
      <c r="O2032" s="136">
        <f>E2032</f>
        <v>16073</v>
      </c>
      <c r="P2032" s="71">
        <f>M2032</f>
        <v>17073</v>
      </c>
    </row>
    <row r="2033" spans="1:16" s="58" customFormat="1" ht="21" customHeight="1">
      <c r="A2033" s="142">
        <v>3</v>
      </c>
      <c r="B2033" s="166" t="s">
        <v>1074</v>
      </c>
      <c r="C2033" s="160" t="s">
        <v>1073</v>
      </c>
      <c r="D2033" s="161"/>
      <c r="E2033" s="161">
        <v>15864</v>
      </c>
      <c r="F2033" s="161">
        <f>E2033</f>
        <v>15864</v>
      </c>
      <c r="G2033" s="212" t="s">
        <v>1073</v>
      </c>
      <c r="H2033" s="145"/>
      <c r="I2033" s="171">
        <v>16909</v>
      </c>
      <c r="J2033" s="171">
        <f>I2033</f>
        <v>16909</v>
      </c>
      <c r="K2033" s="160" t="str">
        <f>C2033</f>
        <v>đ/lít</v>
      </c>
      <c r="L2033" s="147"/>
      <c r="M2033" s="147">
        <f t="shared" si="455"/>
        <v>16909</v>
      </c>
      <c r="N2033" s="147">
        <f t="shared" si="455"/>
        <v>16909</v>
      </c>
      <c r="O2033" s="136">
        <f>E2033</f>
        <v>15864</v>
      </c>
      <c r="P2033" s="71">
        <f>M2033</f>
        <v>16909</v>
      </c>
    </row>
    <row r="2034" spans="1:16" s="58" customFormat="1" ht="21" customHeight="1">
      <c r="A2034" s="142">
        <v>4</v>
      </c>
      <c r="B2034" s="166" t="s">
        <v>1075</v>
      </c>
      <c r="C2034" s="160" t="s">
        <v>1073</v>
      </c>
      <c r="D2034" s="161"/>
      <c r="E2034" s="161">
        <v>12718</v>
      </c>
      <c r="F2034" s="161">
        <f>E2034</f>
        <v>12718</v>
      </c>
      <c r="G2034" s="212" t="s">
        <v>1073</v>
      </c>
      <c r="H2034" s="145"/>
      <c r="I2034" s="171">
        <v>13827</v>
      </c>
      <c r="J2034" s="171">
        <f>I2034</f>
        <v>13827</v>
      </c>
      <c r="K2034" s="160" t="str">
        <f>C2034</f>
        <v>đ/lít</v>
      </c>
      <c r="L2034" s="147"/>
      <c r="M2034" s="147">
        <f t="shared" si="455"/>
        <v>13827</v>
      </c>
      <c r="N2034" s="147">
        <f t="shared" si="455"/>
        <v>13827</v>
      </c>
      <c r="O2034" s="136">
        <f>E2034</f>
        <v>12718</v>
      </c>
      <c r="P2034" s="71">
        <f>M2034</f>
        <v>13827</v>
      </c>
    </row>
    <row r="2035" spans="1:16" s="58" customFormat="1" ht="21" customHeight="1">
      <c r="A2035" s="142">
        <v>5</v>
      </c>
      <c r="B2035" s="166" t="s">
        <v>1076</v>
      </c>
      <c r="C2035" s="160" t="s">
        <v>1073</v>
      </c>
      <c r="D2035" s="161"/>
      <c r="E2035" s="161">
        <v>11482</v>
      </c>
      <c r="F2035" s="161">
        <f>E2035</f>
        <v>11482</v>
      </c>
      <c r="G2035" s="212" t="s">
        <v>1073</v>
      </c>
      <c r="H2035" s="145"/>
      <c r="I2035" s="171">
        <v>12618</v>
      </c>
      <c r="J2035" s="171">
        <f>I2035</f>
        <v>12618</v>
      </c>
      <c r="K2035" s="160" t="str">
        <f>C2035</f>
        <v>đ/lít</v>
      </c>
      <c r="L2035" s="147"/>
      <c r="M2035" s="147">
        <f t="shared" si="455"/>
        <v>12618</v>
      </c>
      <c r="N2035" s="147">
        <f t="shared" si="455"/>
        <v>12618</v>
      </c>
      <c r="O2035" s="136">
        <f>E2035</f>
        <v>11482</v>
      </c>
      <c r="P2035" s="71">
        <f>M2035</f>
        <v>12618</v>
      </c>
    </row>
    <row r="2036" spans="1:16" s="58" customFormat="1" ht="35.25" customHeight="1">
      <c r="A2036" s="172"/>
      <c r="B2036" s="265" t="s">
        <v>1941</v>
      </c>
      <c r="C2036" s="266"/>
      <c r="D2036" s="266"/>
      <c r="E2036" s="266"/>
      <c r="F2036" s="266"/>
      <c r="G2036" s="266"/>
      <c r="H2036" s="266"/>
      <c r="I2036" s="266"/>
      <c r="J2036" s="266"/>
      <c r="K2036" s="266"/>
      <c r="L2036" s="266"/>
      <c r="M2036" s="266"/>
      <c r="N2036" s="267"/>
      <c r="O2036" s="135"/>
      <c r="P2036" s="69"/>
    </row>
    <row r="2037" spans="1:16" s="58" customFormat="1" ht="21" customHeight="1">
      <c r="A2037" s="142">
        <v>1</v>
      </c>
      <c r="B2037" s="166" t="s">
        <v>1269</v>
      </c>
      <c r="C2037" s="160" t="s">
        <v>1073</v>
      </c>
      <c r="D2037" s="161"/>
      <c r="E2037" s="171">
        <f t="shared" ref="E2037:F2041" si="456">I2031</f>
        <v>17709</v>
      </c>
      <c r="F2037" s="171">
        <f t="shared" si="456"/>
        <v>17709</v>
      </c>
      <c r="G2037" s="212" t="s">
        <v>1073</v>
      </c>
      <c r="H2037" s="145"/>
      <c r="I2037" s="171">
        <v>17709</v>
      </c>
      <c r="J2037" s="171">
        <f>I2037</f>
        <v>17709</v>
      </c>
      <c r="K2037" s="160" t="str">
        <f>C2037</f>
        <v>đ/lít</v>
      </c>
      <c r="L2037" s="147"/>
      <c r="M2037" s="147">
        <f t="shared" ref="M2037:N2041" si="457">I2037</f>
        <v>17709</v>
      </c>
      <c r="N2037" s="147">
        <f t="shared" si="457"/>
        <v>17709</v>
      </c>
      <c r="O2037" s="136">
        <f>E2037</f>
        <v>17709</v>
      </c>
      <c r="P2037" s="71">
        <f>M2037</f>
        <v>17709</v>
      </c>
    </row>
    <row r="2038" spans="1:16" s="58" customFormat="1" ht="21" customHeight="1">
      <c r="A2038" s="142">
        <v>2</v>
      </c>
      <c r="B2038" s="166" t="s">
        <v>1270</v>
      </c>
      <c r="C2038" s="160" t="s">
        <v>1073</v>
      </c>
      <c r="D2038" s="161"/>
      <c r="E2038" s="171">
        <f t="shared" si="456"/>
        <v>17073</v>
      </c>
      <c r="F2038" s="171">
        <f t="shared" si="456"/>
        <v>17073</v>
      </c>
      <c r="G2038" s="212" t="s">
        <v>1073</v>
      </c>
      <c r="H2038" s="145"/>
      <c r="I2038" s="171">
        <v>17073</v>
      </c>
      <c r="J2038" s="171">
        <f>I2038</f>
        <v>17073</v>
      </c>
      <c r="K2038" s="160" t="str">
        <f>C2038</f>
        <v>đ/lít</v>
      </c>
      <c r="L2038" s="147"/>
      <c r="M2038" s="147">
        <f t="shared" si="457"/>
        <v>17073</v>
      </c>
      <c r="N2038" s="147">
        <f t="shared" si="457"/>
        <v>17073</v>
      </c>
      <c r="O2038" s="136">
        <f>E2038</f>
        <v>17073</v>
      </c>
      <c r="P2038" s="71">
        <f>M2038</f>
        <v>17073</v>
      </c>
    </row>
    <row r="2039" spans="1:16" s="58" customFormat="1" ht="21" customHeight="1">
      <c r="A2039" s="142">
        <v>3</v>
      </c>
      <c r="B2039" s="166" t="s">
        <v>1074</v>
      </c>
      <c r="C2039" s="160" t="s">
        <v>1073</v>
      </c>
      <c r="D2039" s="161"/>
      <c r="E2039" s="171">
        <f t="shared" si="456"/>
        <v>16909</v>
      </c>
      <c r="F2039" s="171">
        <f t="shared" si="456"/>
        <v>16909</v>
      </c>
      <c r="G2039" s="212" t="s">
        <v>1073</v>
      </c>
      <c r="H2039" s="145"/>
      <c r="I2039" s="171">
        <v>16909</v>
      </c>
      <c r="J2039" s="171">
        <f>I2039</f>
        <v>16909</v>
      </c>
      <c r="K2039" s="160" t="str">
        <f>C2039</f>
        <v>đ/lít</v>
      </c>
      <c r="L2039" s="147"/>
      <c r="M2039" s="147">
        <f t="shared" si="457"/>
        <v>16909</v>
      </c>
      <c r="N2039" s="147">
        <f t="shared" si="457"/>
        <v>16909</v>
      </c>
      <c r="O2039" s="136">
        <f>E2039</f>
        <v>16909</v>
      </c>
      <c r="P2039" s="71">
        <f>M2039</f>
        <v>16909</v>
      </c>
    </row>
    <row r="2040" spans="1:16" s="58" customFormat="1" ht="21" customHeight="1">
      <c r="A2040" s="142">
        <v>4</v>
      </c>
      <c r="B2040" s="166" t="s">
        <v>1075</v>
      </c>
      <c r="C2040" s="160" t="s">
        <v>1073</v>
      </c>
      <c r="D2040" s="161"/>
      <c r="E2040" s="171">
        <f t="shared" si="456"/>
        <v>13827</v>
      </c>
      <c r="F2040" s="171">
        <f t="shared" si="456"/>
        <v>13827</v>
      </c>
      <c r="G2040" s="212" t="s">
        <v>1073</v>
      </c>
      <c r="H2040" s="145"/>
      <c r="I2040" s="171">
        <v>13964</v>
      </c>
      <c r="J2040" s="171">
        <f>I2040</f>
        <v>13964</v>
      </c>
      <c r="K2040" s="160" t="str">
        <f>C2040</f>
        <v>đ/lít</v>
      </c>
      <c r="L2040" s="147"/>
      <c r="M2040" s="147">
        <f t="shared" si="457"/>
        <v>13964</v>
      </c>
      <c r="N2040" s="147">
        <f t="shared" si="457"/>
        <v>13964</v>
      </c>
      <c r="O2040" s="136">
        <f>E2040</f>
        <v>13827</v>
      </c>
      <c r="P2040" s="71">
        <f>M2040</f>
        <v>13964</v>
      </c>
    </row>
    <row r="2041" spans="1:16" s="58" customFormat="1" ht="21" customHeight="1">
      <c r="A2041" s="142">
        <v>5</v>
      </c>
      <c r="B2041" s="166" t="s">
        <v>1076</v>
      </c>
      <c r="C2041" s="160" t="s">
        <v>1073</v>
      </c>
      <c r="D2041" s="161"/>
      <c r="E2041" s="171">
        <f t="shared" si="456"/>
        <v>12618</v>
      </c>
      <c r="F2041" s="171">
        <f t="shared" si="456"/>
        <v>12618</v>
      </c>
      <c r="G2041" s="212" t="s">
        <v>1073</v>
      </c>
      <c r="H2041" s="145"/>
      <c r="I2041" s="171">
        <v>12618</v>
      </c>
      <c r="J2041" s="171">
        <f>I2041</f>
        <v>12618</v>
      </c>
      <c r="K2041" s="160" t="str">
        <f>C2041</f>
        <v>đ/lít</v>
      </c>
      <c r="L2041" s="147"/>
      <c r="M2041" s="147">
        <f t="shared" si="457"/>
        <v>12618</v>
      </c>
      <c r="N2041" s="147">
        <f t="shared" si="457"/>
        <v>12618</v>
      </c>
      <c r="O2041" s="136">
        <f>E2041</f>
        <v>12618</v>
      </c>
      <c r="P2041" s="71">
        <f>M2041</f>
        <v>12618</v>
      </c>
    </row>
    <row r="2042" spans="1:16" s="67" customFormat="1" ht="15.75">
      <c r="A2042" s="178" t="s">
        <v>1208</v>
      </c>
      <c r="B2042" s="179"/>
      <c r="C2042" s="180"/>
      <c r="D2042" s="181"/>
      <c r="E2042" s="181"/>
      <c r="F2042" s="181"/>
      <c r="G2042" s="182"/>
      <c r="H2042" s="182"/>
      <c r="I2042" s="182"/>
      <c r="J2042" s="182"/>
      <c r="K2042" s="183"/>
      <c r="L2042" s="184"/>
      <c r="M2042" s="184"/>
      <c r="N2042" s="184"/>
      <c r="O2042" s="140"/>
    </row>
    <row r="2043" spans="1:16" s="58" customFormat="1" ht="35.1" customHeight="1">
      <c r="A2043" s="269" t="s">
        <v>1077</v>
      </c>
      <c r="B2043" s="269"/>
      <c r="C2043" s="269"/>
      <c r="D2043" s="269"/>
      <c r="E2043" s="269"/>
      <c r="F2043" s="269"/>
      <c r="G2043" s="269"/>
      <c r="H2043" s="269"/>
      <c r="I2043" s="269"/>
      <c r="J2043" s="269"/>
      <c r="K2043" s="269"/>
      <c r="L2043" s="269"/>
      <c r="M2043" s="269"/>
      <c r="N2043" s="269"/>
      <c r="O2043" s="139"/>
    </row>
    <row r="2044" spans="1:16" s="58" customFormat="1" ht="48.6" customHeight="1">
      <c r="A2044" s="269" t="s">
        <v>1568</v>
      </c>
      <c r="B2044" s="269"/>
      <c r="C2044" s="269"/>
      <c r="D2044" s="269"/>
      <c r="E2044" s="269"/>
      <c r="F2044" s="269"/>
      <c r="G2044" s="269"/>
      <c r="H2044" s="269"/>
      <c r="I2044" s="269"/>
      <c r="J2044" s="269"/>
      <c r="K2044" s="269"/>
      <c r="L2044" s="269"/>
      <c r="M2044" s="269"/>
      <c r="N2044" s="269"/>
      <c r="O2044" s="139"/>
    </row>
    <row r="2045" spans="1:16" s="58" customFormat="1" ht="58.5" customHeight="1">
      <c r="A2045" s="268" t="s">
        <v>1078</v>
      </c>
      <c r="B2045" s="268"/>
      <c r="C2045" s="268"/>
      <c r="D2045" s="268"/>
      <c r="E2045" s="268"/>
      <c r="F2045" s="268"/>
      <c r="G2045" s="268"/>
      <c r="H2045" s="268"/>
      <c r="I2045" s="268"/>
      <c r="J2045" s="268"/>
      <c r="K2045" s="268"/>
      <c r="L2045" s="268"/>
      <c r="M2045" s="268"/>
      <c r="N2045" s="268"/>
      <c r="O2045" s="139"/>
    </row>
    <row r="2046" spans="1:16" ht="36.75" customHeight="1">
      <c r="A2046" s="268" t="s">
        <v>1406</v>
      </c>
      <c r="B2046" s="268"/>
      <c r="C2046" s="268"/>
      <c r="D2046" s="268"/>
      <c r="E2046" s="268"/>
      <c r="F2046" s="268"/>
      <c r="G2046" s="268"/>
      <c r="H2046" s="268"/>
      <c r="I2046" s="268"/>
      <c r="J2046" s="268"/>
      <c r="K2046" s="268"/>
      <c r="L2046" s="268"/>
      <c r="M2046" s="268"/>
      <c r="N2046" s="268"/>
      <c r="O2046" s="141"/>
    </row>
    <row r="2047" spans="1:16" ht="20.25" customHeight="1">
      <c r="A2047" s="185"/>
      <c r="B2047" s="185"/>
      <c r="C2047" s="185"/>
      <c r="D2047" s="185"/>
      <c r="E2047" s="204"/>
      <c r="F2047" s="185"/>
      <c r="G2047" s="187"/>
      <c r="H2047" s="187"/>
      <c r="I2047" s="187"/>
      <c r="J2047" s="187"/>
      <c r="K2047" s="188"/>
      <c r="L2047" s="189"/>
      <c r="M2047" s="189"/>
      <c r="N2047" s="189"/>
      <c r="O2047" s="141"/>
    </row>
    <row r="2048" spans="1:16" ht="18.75">
      <c r="A2048" s="255"/>
      <c r="B2048" s="255"/>
      <c r="C2048" s="255"/>
      <c r="D2048" s="255"/>
      <c r="E2048" s="186"/>
      <c r="F2048" s="186"/>
      <c r="G2048" s="187"/>
      <c r="H2048" s="187"/>
      <c r="I2048" s="187"/>
      <c r="J2048" s="187"/>
      <c r="K2048" s="244"/>
      <c r="L2048" s="244"/>
      <c r="M2048" s="244"/>
      <c r="N2048" s="244"/>
      <c r="O2048" s="141"/>
    </row>
    <row r="2049" spans="1:15" ht="18.75">
      <c r="A2049" s="255"/>
      <c r="B2049" s="255"/>
      <c r="C2049" s="255"/>
      <c r="D2049" s="255"/>
      <c r="E2049" s="186"/>
      <c r="F2049" s="186"/>
      <c r="G2049" s="187"/>
      <c r="H2049" s="187"/>
      <c r="I2049" s="187"/>
      <c r="J2049" s="187"/>
      <c r="K2049" s="244"/>
      <c r="L2049" s="244"/>
      <c r="M2049" s="244"/>
      <c r="N2049" s="244"/>
      <c r="O2049" s="141"/>
    </row>
    <row r="2050" spans="1:15" ht="18.75">
      <c r="A2050" s="245"/>
      <c r="B2050" s="245"/>
      <c r="C2050" s="244"/>
      <c r="D2050" s="244"/>
      <c r="E2050" s="244"/>
      <c r="F2050" s="244"/>
      <c r="G2050" s="187"/>
      <c r="H2050" s="187"/>
      <c r="I2050" s="187"/>
      <c r="J2050" s="187"/>
      <c r="K2050" s="244"/>
      <c r="L2050" s="244"/>
      <c r="M2050" s="244"/>
      <c r="N2050" s="244"/>
      <c r="O2050" s="141"/>
    </row>
    <row r="2051" spans="1:15" ht="18.75">
      <c r="A2051" s="190"/>
      <c r="B2051" s="190"/>
      <c r="C2051" s="190"/>
      <c r="D2051" s="190"/>
      <c r="E2051" s="205"/>
      <c r="F2051" s="190"/>
      <c r="G2051" s="187"/>
      <c r="H2051" s="187"/>
      <c r="I2051" s="187"/>
      <c r="J2051" s="187"/>
      <c r="K2051" s="190"/>
      <c r="L2051" s="190"/>
      <c r="M2051" s="190"/>
      <c r="N2051" s="190"/>
      <c r="O2051" s="141"/>
    </row>
    <row r="2052" spans="1:15" ht="18.75">
      <c r="A2052" s="190"/>
      <c r="B2052" s="190"/>
      <c r="C2052" s="190"/>
      <c r="D2052" s="190"/>
      <c r="E2052" s="205"/>
      <c r="F2052" s="190"/>
      <c r="G2052" s="187"/>
      <c r="H2052" s="187"/>
      <c r="I2052" s="187"/>
      <c r="J2052" s="187"/>
      <c r="K2052" s="190"/>
      <c r="L2052" s="190"/>
      <c r="M2052" s="190"/>
      <c r="N2052" s="190"/>
      <c r="O2052" s="141"/>
    </row>
    <row r="2053" spans="1:15" ht="51" customHeight="1">
      <c r="A2053" s="190"/>
      <c r="B2053" s="190"/>
      <c r="C2053" s="190"/>
      <c r="D2053" s="190"/>
      <c r="E2053" s="205"/>
      <c r="F2053" s="190"/>
      <c r="G2053" s="187"/>
      <c r="H2053" s="187"/>
      <c r="I2053" s="187"/>
      <c r="J2053" s="187"/>
      <c r="K2053" s="190"/>
      <c r="L2053" s="190"/>
      <c r="M2053" s="190"/>
      <c r="N2053" s="190"/>
      <c r="O2053" s="141"/>
    </row>
    <row r="2054" spans="1:15" ht="18.75">
      <c r="A2054" s="190"/>
      <c r="B2054" s="190"/>
      <c r="C2054" s="190"/>
      <c r="D2054" s="190"/>
      <c r="E2054" s="205"/>
      <c r="F2054" s="190"/>
      <c r="G2054" s="187"/>
      <c r="H2054" s="187"/>
      <c r="I2054" s="187"/>
      <c r="J2054" s="187"/>
      <c r="K2054" s="190"/>
      <c r="L2054" s="190"/>
      <c r="M2054" s="190"/>
      <c r="N2054" s="190"/>
      <c r="O2054" s="141"/>
    </row>
    <row r="2055" spans="1:15" ht="18.75">
      <c r="A2055" s="191"/>
      <c r="B2055" s="192"/>
      <c r="C2055" s="193"/>
      <c r="D2055" s="193"/>
      <c r="E2055" s="193"/>
      <c r="F2055" s="193"/>
      <c r="G2055" s="187"/>
      <c r="H2055" s="187"/>
      <c r="I2055" s="187"/>
      <c r="J2055" s="187"/>
      <c r="K2055" s="193"/>
      <c r="L2055" s="193"/>
      <c r="M2055" s="193"/>
      <c r="N2055" s="193"/>
      <c r="O2055" s="141"/>
    </row>
    <row r="2056" spans="1:15" ht="18.75">
      <c r="A2056" s="255"/>
      <c r="B2056" s="255"/>
      <c r="C2056" s="193"/>
      <c r="D2056" s="193"/>
      <c r="E2056" s="193"/>
      <c r="F2056" s="193"/>
      <c r="G2056" s="187"/>
      <c r="H2056" s="187"/>
      <c r="I2056" s="187"/>
      <c r="J2056" s="187"/>
      <c r="K2056" s="244"/>
      <c r="L2056" s="244"/>
      <c r="M2056" s="244"/>
      <c r="N2056" s="244"/>
      <c r="O2056" s="141"/>
    </row>
    <row r="2057" spans="1:15" ht="18.75">
      <c r="A2057" s="244"/>
      <c r="B2057" s="244"/>
      <c r="C2057" s="244"/>
      <c r="D2057" s="244"/>
      <c r="E2057" s="244"/>
      <c r="F2057" s="244"/>
      <c r="G2057" s="187"/>
      <c r="H2057" s="187"/>
      <c r="I2057" s="187"/>
      <c r="J2057" s="187"/>
      <c r="K2057" s="244"/>
      <c r="L2057" s="244"/>
      <c r="M2057" s="244"/>
      <c r="N2057" s="244"/>
      <c r="O2057" s="141"/>
    </row>
    <row r="2058" spans="1:15" ht="15.75">
      <c r="A2058" s="254" t="s">
        <v>1079</v>
      </c>
      <c r="B2058" s="254"/>
      <c r="C2058" s="194"/>
      <c r="D2058" s="194"/>
      <c r="E2058" s="194"/>
      <c r="F2058" s="194"/>
      <c r="G2058" s="187"/>
      <c r="H2058" s="187"/>
      <c r="I2058" s="187"/>
      <c r="J2058" s="187"/>
      <c r="K2058" s="188"/>
      <c r="L2058" s="189"/>
      <c r="M2058" s="189"/>
      <c r="N2058" s="189"/>
      <c r="O2058" s="141"/>
    </row>
    <row r="2059" spans="1:15">
      <c r="A2059" s="243" t="s">
        <v>1080</v>
      </c>
      <c r="B2059" s="243"/>
      <c r="C2059" s="195"/>
      <c r="D2059" s="195"/>
      <c r="E2059" s="195"/>
      <c r="F2059" s="195"/>
      <c r="G2059" s="187"/>
      <c r="H2059" s="187"/>
      <c r="I2059" s="187"/>
      <c r="J2059" s="187"/>
      <c r="K2059" s="188"/>
      <c r="L2059" s="189"/>
      <c r="M2059" s="189"/>
      <c r="N2059" s="189"/>
      <c r="O2059" s="141"/>
    </row>
    <row r="2060" spans="1:15">
      <c r="A2060" s="243" t="s">
        <v>1081</v>
      </c>
      <c r="B2060" s="243"/>
      <c r="C2060" s="195"/>
      <c r="D2060" s="195"/>
      <c r="E2060" s="195"/>
      <c r="F2060" s="195"/>
      <c r="G2060" s="187"/>
      <c r="H2060" s="187"/>
      <c r="I2060" s="187"/>
      <c r="J2060" s="187"/>
      <c r="K2060" s="188"/>
      <c r="L2060" s="189"/>
      <c r="M2060" s="189"/>
      <c r="N2060" s="189"/>
      <c r="O2060" s="141"/>
    </row>
    <row r="2061" spans="1:15">
      <c r="A2061" s="243" t="s">
        <v>1082</v>
      </c>
      <c r="B2061" s="243"/>
      <c r="C2061" s="195"/>
      <c r="D2061" s="195"/>
      <c r="E2061" s="195"/>
      <c r="F2061" s="195"/>
      <c r="G2061" s="187"/>
      <c r="H2061" s="187"/>
      <c r="I2061" s="187"/>
      <c r="J2061" s="187"/>
      <c r="K2061" s="188"/>
      <c r="L2061" s="189"/>
      <c r="M2061" s="189"/>
      <c r="N2061" s="189"/>
      <c r="O2061" s="141"/>
    </row>
    <row r="2062" spans="1:15">
      <c r="A2062" s="243" t="s">
        <v>1083</v>
      </c>
      <c r="B2062" s="243"/>
      <c r="C2062" s="195"/>
      <c r="D2062" s="195"/>
      <c r="E2062" s="195"/>
      <c r="F2062" s="195"/>
      <c r="G2062" s="187"/>
      <c r="H2062" s="187"/>
      <c r="I2062" s="187"/>
      <c r="J2062" s="187"/>
      <c r="K2062" s="188"/>
      <c r="L2062" s="189"/>
      <c r="M2062" s="189"/>
      <c r="N2062" s="189"/>
      <c r="O2062" s="141"/>
    </row>
    <row r="2063" spans="1:15">
      <c r="A2063" s="243" t="s">
        <v>1084</v>
      </c>
      <c r="B2063" s="243"/>
      <c r="C2063" s="195"/>
      <c r="D2063" s="195"/>
      <c r="E2063" s="195"/>
      <c r="F2063" s="195"/>
      <c r="G2063" s="187"/>
      <c r="H2063" s="187"/>
      <c r="I2063" s="187"/>
      <c r="J2063" s="187"/>
      <c r="K2063" s="188"/>
      <c r="L2063" s="189"/>
      <c r="M2063" s="189"/>
      <c r="N2063" s="189"/>
      <c r="O2063" s="141"/>
    </row>
    <row r="2064" spans="1:15">
      <c r="A2064" s="243" t="s">
        <v>1085</v>
      </c>
      <c r="B2064" s="243"/>
      <c r="C2064" s="195"/>
      <c r="D2064" s="195"/>
      <c r="E2064" s="195"/>
      <c r="F2064" s="195"/>
      <c r="G2064" s="187"/>
      <c r="H2064" s="187"/>
      <c r="I2064" s="187"/>
      <c r="J2064" s="187"/>
      <c r="K2064" s="188"/>
      <c r="L2064" s="189"/>
      <c r="M2064" s="189"/>
      <c r="N2064" s="189"/>
      <c r="O2064" s="141"/>
    </row>
    <row r="2065" spans="1:15">
      <c r="A2065" s="243" t="s">
        <v>1086</v>
      </c>
      <c r="B2065" s="243"/>
      <c r="C2065" s="195"/>
      <c r="D2065" s="195"/>
      <c r="E2065" s="195"/>
      <c r="F2065" s="195"/>
      <c r="G2065" s="187"/>
      <c r="H2065" s="187"/>
      <c r="I2065" s="187"/>
      <c r="J2065" s="187"/>
      <c r="K2065" s="188"/>
      <c r="L2065" s="189"/>
      <c r="M2065" s="189"/>
      <c r="N2065" s="189"/>
      <c r="O2065" s="141"/>
    </row>
  </sheetData>
  <mergeCells count="183">
    <mergeCell ref="B1786:N1786"/>
    <mergeCell ref="B1303:N1303"/>
    <mergeCell ref="B1326:N1326"/>
    <mergeCell ref="B1311:N1311"/>
    <mergeCell ref="B1544:N1544"/>
    <mergeCell ref="B1567:N1567"/>
    <mergeCell ref="B1603:N1603"/>
    <mergeCell ref="B1506:F1506"/>
    <mergeCell ref="B1524:N1524"/>
    <mergeCell ref="B1652:N1652"/>
    <mergeCell ref="B684:N684"/>
    <mergeCell ref="B1297:N1297"/>
    <mergeCell ref="B1866:F1866"/>
    <mergeCell ref="B1825:N1825"/>
    <mergeCell ref="B1186:N1186"/>
    <mergeCell ref="B1787:N1787"/>
    <mergeCell ref="B857:N857"/>
    <mergeCell ref="B1605:N1605"/>
    <mergeCell ref="B1839:N1839"/>
    <mergeCell ref="B1013:N1013"/>
    <mergeCell ref="B962:N962"/>
    <mergeCell ref="B1254:N1254"/>
    <mergeCell ref="B2030:N2030"/>
    <mergeCell ref="B2029:F2029"/>
    <mergeCell ref="B83:N83"/>
    <mergeCell ref="B619:N619"/>
    <mergeCell ref="B598:N598"/>
    <mergeCell ref="B606:N606"/>
    <mergeCell ref="B727:N727"/>
    <mergeCell ref="B683:N683"/>
    <mergeCell ref="B1120:N1120"/>
    <mergeCell ref="B1281:N1281"/>
    <mergeCell ref="B1473:N1473"/>
    <mergeCell ref="B1492:N1492"/>
    <mergeCell ref="B1496:N1496"/>
    <mergeCell ref="B1307:N1307"/>
    <mergeCell ref="B1491:F1491"/>
    <mergeCell ref="B643:N643"/>
    <mergeCell ref="B654:N654"/>
    <mergeCell ref="B618:F618"/>
    <mergeCell ref="B670:N670"/>
    <mergeCell ref="B615:N615"/>
    <mergeCell ref="B493:F493"/>
    <mergeCell ref="B498:F498"/>
    <mergeCell ref="B548:F548"/>
    <mergeCell ref="B503:N503"/>
    <mergeCell ref="B533:N533"/>
    <mergeCell ref="B589:N589"/>
    <mergeCell ref="A11:N11"/>
    <mergeCell ref="B73:N73"/>
    <mergeCell ref="B132:N132"/>
    <mergeCell ref="B129:N129"/>
    <mergeCell ref="B110:N110"/>
    <mergeCell ref="B115:N115"/>
    <mergeCell ref="L14:L15"/>
    <mergeCell ref="B121:N121"/>
    <mergeCell ref="B117:N117"/>
    <mergeCell ref="B16:N16"/>
    <mergeCell ref="M14:N14"/>
    <mergeCell ref="A13:A15"/>
    <mergeCell ref="B13:B15"/>
    <mergeCell ref="C13:C15"/>
    <mergeCell ref="D13:F13"/>
    <mergeCell ref="A3:N3"/>
    <mergeCell ref="A6:N6"/>
    <mergeCell ref="A7:N7"/>
    <mergeCell ref="A8:N8"/>
    <mergeCell ref="A10:N10"/>
    <mergeCell ref="H14:H15"/>
    <mergeCell ref="I14:J14"/>
    <mergeCell ref="K13:K15"/>
    <mergeCell ref="L13:N13"/>
    <mergeCell ref="A4:N4"/>
    <mergeCell ref="B142:N142"/>
    <mergeCell ref="B148:N148"/>
    <mergeCell ref="B30:N30"/>
    <mergeCell ref="B17:N17"/>
    <mergeCell ref="D14:D15"/>
    <mergeCell ref="E14:F14"/>
    <mergeCell ref="B131:F131"/>
    <mergeCell ref="B147:F147"/>
    <mergeCell ref="G13:G15"/>
    <mergeCell ref="H13:J13"/>
    <mergeCell ref="B298:N298"/>
    <mergeCell ref="B306:N306"/>
    <mergeCell ref="B18:N18"/>
    <mergeCell ref="B46:N46"/>
    <mergeCell ref="A2043:N2043"/>
    <mergeCell ref="B109:F109"/>
    <mergeCell ref="B177:N177"/>
    <mergeCell ref="B223:N223"/>
    <mergeCell ref="B218:N218"/>
    <mergeCell ref="B1883:N1883"/>
    <mergeCell ref="B347:N347"/>
    <mergeCell ref="B266:N266"/>
    <mergeCell ref="B1886:N1886"/>
    <mergeCell ref="B1895:N1895"/>
    <mergeCell ref="B1898:N1898"/>
    <mergeCell ref="B271:N271"/>
    <mergeCell ref="B523:N523"/>
    <mergeCell ref="B310:N310"/>
    <mergeCell ref="B682:F682"/>
    <mergeCell ref="B630:N630"/>
    <mergeCell ref="B471:N471"/>
    <mergeCell ref="B479:N479"/>
    <mergeCell ref="B391:N391"/>
    <mergeCell ref="B399:N399"/>
    <mergeCell ref="B448:F448"/>
    <mergeCell ref="B315:N315"/>
    <mergeCell ref="B408:N408"/>
    <mergeCell ref="B409:N409"/>
    <mergeCell ref="B432:N432"/>
    <mergeCell ref="B477:F477"/>
    <mergeCell ref="B1810:N1810"/>
    <mergeCell ref="B822:N822"/>
    <mergeCell ref="B483:F483"/>
    <mergeCell ref="B460:F460"/>
    <mergeCell ref="B407:F407"/>
    <mergeCell ref="B416:N416"/>
    <mergeCell ref="B1404:N1404"/>
    <mergeCell ref="B520:N520"/>
    <mergeCell ref="B461:N461"/>
    <mergeCell ref="B449:N449"/>
    <mergeCell ref="B923:N923"/>
    <mergeCell ref="B488:F488"/>
    <mergeCell ref="B726:F726"/>
    <mergeCell ref="B730:F730"/>
    <mergeCell ref="B821:F821"/>
    <mergeCell ref="B828:F828"/>
    <mergeCell ref="B829:N829"/>
    <mergeCell ref="B538:N538"/>
    <mergeCell ref="B549:N549"/>
    <mergeCell ref="B571:N571"/>
    <mergeCell ref="B1867:N1867"/>
    <mergeCell ref="C2050:F2050"/>
    <mergeCell ref="B1880:N1880"/>
    <mergeCell ref="A2048:D2048"/>
    <mergeCell ref="A2049:D2049"/>
    <mergeCell ref="B2036:N2036"/>
    <mergeCell ref="A2046:N2046"/>
    <mergeCell ref="A2044:N2044"/>
    <mergeCell ref="A2045:N2045"/>
    <mergeCell ref="B1901:N1901"/>
    <mergeCell ref="B1785:F1785"/>
    <mergeCell ref="B2015:F2015"/>
    <mergeCell ref="A2065:B2065"/>
    <mergeCell ref="A2058:B2058"/>
    <mergeCell ref="A2059:B2059"/>
    <mergeCell ref="A2060:B2060"/>
    <mergeCell ref="A2061:B2061"/>
    <mergeCell ref="A2056:B2056"/>
    <mergeCell ref="A2063:B2063"/>
    <mergeCell ref="B1799:N1799"/>
    <mergeCell ref="B1529:N1529"/>
    <mergeCell ref="B1533:N1533"/>
    <mergeCell ref="B1507:N1507"/>
    <mergeCell ref="B1377:N1377"/>
    <mergeCell ref="B337:N337"/>
    <mergeCell ref="B868:N868"/>
    <mergeCell ref="B1119:F1119"/>
    <mergeCell ref="B876:N876"/>
    <mergeCell ref="B890:N890"/>
    <mergeCell ref="B1040:N1040"/>
    <mergeCell ref="A2064:B2064"/>
    <mergeCell ref="A2057:B2057"/>
    <mergeCell ref="K2048:N2048"/>
    <mergeCell ref="A2050:B2050"/>
    <mergeCell ref="K2050:N2050"/>
    <mergeCell ref="A2062:B2062"/>
    <mergeCell ref="K2049:N2049"/>
    <mergeCell ref="K2057:N2057"/>
    <mergeCell ref="K2056:N2056"/>
    <mergeCell ref="C2057:F2057"/>
    <mergeCell ref="B1074:N1074"/>
    <mergeCell ref="B312:H312"/>
    <mergeCell ref="B702:N702"/>
    <mergeCell ref="B856:N856"/>
    <mergeCell ref="B848:N848"/>
    <mergeCell ref="B331:N331"/>
    <mergeCell ref="B903:N903"/>
    <mergeCell ref="B731:N731"/>
    <mergeCell ref="B732:N732"/>
    <mergeCell ref="B911:N911"/>
  </mergeCells>
  <pageMargins left="0.354329615048119" right="0.19684930008748908" top="0.354329615048119" bottom="0.31496062992125984" header="0.19684930008748908" footer="0.19684930008748908"/>
  <pageSetup paperSize="9" scale="60" orientation="portrait" r:id="rId1"/>
  <headerFooter>
    <oddFooter>&amp;Rtrang &amp;P</oddFooter>
  </headerFooter>
  <rowBreaks count="24" manualBreakCount="24">
    <brk id="49" max="13" man="1"/>
    <brk id="94" max="13" man="1"/>
    <brk id="139" max="13" man="1"/>
    <brk id="193" max="13" man="1"/>
    <brk id="248" max="13" man="1"/>
    <brk id="301" max="13" man="1"/>
    <brk id="349" max="13" man="1"/>
    <brk id="398" max="13" man="1"/>
    <brk id="446" max="13" man="1"/>
    <brk id="478" max="13" man="1"/>
    <brk id="524" max="13" man="1"/>
    <brk id="573" max="13" man="1"/>
    <brk id="672" max="13" man="1"/>
    <brk id="722" max="13" man="1"/>
    <brk id="1359" max="13" man="1"/>
    <brk id="1412" max="13" man="1"/>
    <brk id="1460" max="13" man="1"/>
    <brk id="1512" max="13" man="1"/>
    <brk id="1562" max="13" man="1"/>
    <brk id="1820" max="13" man="1"/>
    <brk id="1866" max="13" man="1"/>
    <brk id="1924" max="13" man="1"/>
    <brk id="1979" max="13" man="1"/>
    <brk id="2035" max="13" man="1"/>
  </rowBreaks>
  <drawing r:id="rId2"/>
</worksheet>
</file>

<file path=xl/worksheets/sheet2.xml><?xml version="1.0" encoding="utf-8"?>
<worksheet xmlns="http://schemas.openxmlformats.org/spreadsheetml/2006/main" xmlns:r="http://schemas.openxmlformats.org/officeDocument/2006/relationships">
  <dimension ref="A1:J2384"/>
  <sheetViews>
    <sheetView view="pageBreakPreview" topLeftCell="B842" zoomScaleNormal="100" zoomScaleSheetLayoutView="100" workbookViewId="0">
      <selection activeCell="B990" sqref="B990:F990"/>
    </sheetView>
  </sheetViews>
  <sheetFormatPr defaultColWidth="8.7109375" defaultRowHeight="15"/>
  <cols>
    <col min="1" max="1" width="9" style="65" customWidth="1"/>
    <col min="2" max="2" width="91.28515625" style="65" customWidth="1"/>
    <col min="3" max="3" width="11.5703125" style="65" customWidth="1"/>
    <col min="4" max="4" width="15.5703125" style="65" bestFit="1" customWidth="1"/>
    <col min="5" max="5" width="17" style="65" bestFit="1" customWidth="1"/>
    <col min="6" max="6" width="14" style="129" bestFit="1" customWidth="1"/>
    <col min="7" max="7" width="16.85546875" style="65" bestFit="1" customWidth="1"/>
    <col min="8" max="8" width="17" style="65" bestFit="1" customWidth="1"/>
    <col min="9" max="9" width="12.140625" style="65" bestFit="1" customWidth="1"/>
    <col min="10" max="10" width="10.5703125" style="65" bestFit="1" customWidth="1"/>
    <col min="11" max="16384" width="8.7109375" style="65"/>
  </cols>
  <sheetData>
    <row r="1" spans="1:10" ht="18.75">
      <c r="A1" s="294" t="s">
        <v>2077</v>
      </c>
      <c r="B1" s="294"/>
      <c r="C1" s="294"/>
      <c r="D1" s="294"/>
      <c r="E1" s="294"/>
      <c r="F1" s="294"/>
    </row>
    <row r="2" spans="1:10" ht="15.75">
      <c r="A2" s="5"/>
      <c r="B2" s="6"/>
      <c r="C2" s="6"/>
    </row>
    <row r="3" spans="1:10" ht="31.5" customHeight="1">
      <c r="A3" s="7" t="s">
        <v>2</v>
      </c>
      <c r="B3" s="8" t="s">
        <v>3</v>
      </c>
      <c r="C3" s="8" t="s">
        <v>4</v>
      </c>
      <c r="D3" s="72" t="s">
        <v>1550</v>
      </c>
      <c r="E3" s="72" t="s">
        <v>1551</v>
      </c>
      <c r="F3" s="75" t="s">
        <v>1302</v>
      </c>
    </row>
    <row r="4" spans="1:10" ht="16.5">
      <c r="A4" s="17" t="str">
        <f>'12-2017'!A16</f>
        <v>I</v>
      </c>
      <c r="B4" s="237" t="str">
        <f>'12-2017'!B16:N16</f>
        <v xml:space="preserve"> ĐÁ CÁC LOẠI : (đã bao gồm thuế tài nguyên và phí bảo vệ môi trường)</v>
      </c>
      <c r="C4" s="238"/>
      <c r="D4" s="238"/>
      <c r="E4" s="238"/>
      <c r="F4" s="239"/>
    </row>
    <row r="5" spans="1:10" ht="16.5">
      <c r="A5" s="7"/>
      <c r="B5" s="237" t="str">
        <f>'12-2017'!B17:N17</f>
        <v>* Đá khu vực Bà Đội: Cty TNHH MTV Khai thác &amp; Chế biến đá An Giang.</v>
      </c>
      <c r="C5" s="238"/>
      <c r="D5" s="238"/>
      <c r="E5" s="238"/>
      <c r="F5" s="239"/>
    </row>
    <row r="6" spans="1:10" ht="31.5" customHeight="1">
      <c r="A6" s="7"/>
      <c r="B6" s="237" t="str">
        <f>'12-2017'!B18:N18</f>
        <v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v>
      </c>
      <c r="C6" s="238"/>
      <c r="D6" s="238"/>
      <c r="E6" s="238"/>
      <c r="F6" s="239"/>
    </row>
    <row r="7" spans="1:10" ht="16.5" hidden="1">
      <c r="A7" s="10">
        <f>'12-2017'!A19</f>
        <v>1</v>
      </c>
      <c r="B7" s="11" t="str">
        <f>'12-2017'!B19</f>
        <v xml:space="preserve"> Đá 1 x 2 (lưới 29)</v>
      </c>
      <c r="C7" s="12" t="str">
        <f>'12-2017'!C19</f>
        <v>đ/m3</v>
      </c>
      <c r="D7" s="13">
        <f>'12-2017'!O19</f>
        <v>260700</v>
      </c>
      <c r="E7" s="13">
        <f>'12-2017'!P19</f>
        <v>260700</v>
      </c>
      <c r="F7" s="130">
        <f>E7-D7</f>
        <v>0</v>
      </c>
      <c r="H7" s="74">
        <f>'12-2017'!H19</f>
        <v>0</v>
      </c>
      <c r="I7" s="74">
        <f>'12-2017'!I19</f>
        <v>0</v>
      </c>
      <c r="J7" s="74">
        <f>'12-2017'!J19</f>
        <v>0</v>
      </c>
    </row>
    <row r="8" spans="1:10" ht="16.5" hidden="1">
      <c r="A8" s="10">
        <f>'12-2017'!A20</f>
        <v>2</v>
      </c>
      <c r="B8" s="11" t="str">
        <f>'12-2017'!B20</f>
        <v xml:space="preserve"> Đá 2 x4 </v>
      </c>
      <c r="C8" s="12" t="str">
        <f>'12-2017'!C20</f>
        <v>đ/m3</v>
      </c>
      <c r="D8" s="13">
        <f>'12-2017'!O20</f>
        <v>255200</v>
      </c>
      <c r="E8" s="13">
        <f>'12-2017'!P20</f>
        <v>255200</v>
      </c>
      <c r="F8" s="130">
        <f t="shared" ref="F8:F15" si="0">E8-D8</f>
        <v>0</v>
      </c>
      <c r="H8" s="74">
        <f>'12-2017'!H20</f>
        <v>0</v>
      </c>
      <c r="I8" s="74">
        <f>'12-2017'!I20</f>
        <v>0</v>
      </c>
      <c r="J8" s="74">
        <f>'12-2017'!J20</f>
        <v>0</v>
      </c>
    </row>
    <row r="9" spans="1:10" ht="16.5" hidden="1">
      <c r="A9" s="10">
        <f>'12-2017'!A21</f>
        <v>3</v>
      </c>
      <c r="B9" s="11" t="str">
        <f>'12-2017'!B21</f>
        <v xml:space="preserve"> Đá 4 x 6 xay</v>
      </c>
      <c r="C9" s="12" t="str">
        <f>'12-2017'!C21</f>
        <v>đ/m3</v>
      </c>
      <c r="D9" s="13">
        <f>'12-2017'!O21</f>
        <v>200200</v>
      </c>
      <c r="E9" s="13">
        <f>'12-2017'!P21</f>
        <v>200200</v>
      </c>
      <c r="F9" s="130">
        <f t="shared" si="0"/>
        <v>0</v>
      </c>
      <c r="H9" s="74">
        <f>'12-2017'!H21</f>
        <v>0</v>
      </c>
      <c r="I9" s="74">
        <f>'12-2017'!I21</f>
        <v>0</v>
      </c>
      <c r="J9" s="74">
        <f>'12-2017'!J21</f>
        <v>0</v>
      </c>
    </row>
    <row r="10" spans="1:10" ht="16.5" hidden="1">
      <c r="A10" s="10">
        <f>'12-2017'!A22</f>
        <v>4</v>
      </c>
      <c r="B10" s="11" t="str">
        <f>'12-2017'!B22</f>
        <v xml:space="preserve"> Đá 5 x7 xay</v>
      </c>
      <c r="C10" s="12" t="str">
        <f>'12-2017'!C22</f>
        <v>đ/m3</v>
      </c>
      <c r="D10" s="13">
        <f>'12-2017'!O22</f>
        <v>190300</v>
      </c>
      <c r="E10" s="13">
        <f>'12-2017'!P22</f>
        <v>190300</v>
      </c>
      <c r="F10" s="130">
        <f t="shared" si="0"/>
        <v>0</v>
      </c>
      <c r="H10" s="74">
        <f>'12-2017'!H22</f>
        <v>0</v>
      </c>
      <c r="I10" s="74">
        <f>'12-2017'!I22</f>
        <v>0</v>
      </c>
      <c r="J10" s="74">
        <f>'12-2017'!J22</f>
        <v>0</v>
      </c>
    </row>
    <row r="11" spans="1:10" s="58" customFormat="1" ht="17.25" hidden="1">
      <c r="A11" s="10">
        <f>'12-2017'!A23</f>
        <v>5</v>
      </c>
      <c r="B11" s="11" t="str">
        <f>'12-2017'!B23</f>
        <v xml:space="preserve"> Cấp phối (0x4) loại I (Dmax 37.5)</v>
      </c>
      <c r="C11" s="12" t="str">
        <f>'12-2017'!C23</f>
        <v>đ/m3</v>
      </c>
      <c r="D11" s="13">
        <f>'12-2017'!O23</f>
        <v>162800</v>
      </c>
      <c r="E11" s="13">
        <f>'12-2017'!P23</f>
        <v>162800</v>
      </c>
      <c r="F11" s="130">
        <f t="shared" si="0"/>
        <v>0</v>
      </c>
      <c r="H11" s="74">
        <f>'12-2017'!H23</f>
        <v>0</v>
      </c>
      <c r="I11" s="74">
        <f>'12-2017'!I23</f>
        <v>0</v>
      </c>
      <c r="J11" s="74">
        <f>'12-2017'!J23</f>
        <v>0</v>
      </c>
    </row>
    <row r="12" spans="1:10" s="58" customFormat="1" ht="17.25" hidden="1">
      <c r="A12" s="10">
        <f>'12-2017'!A24</f>
        <v>6</v>
      </c>
      <c r="B12" s="11" t="str">
        <f>'12-2017'!B24</f>
        <v xml:space="preserve"> Cấp phối (0x4)  (Dmax 37.5)</v>
      </c>
      <c r="C12" s="12" t="str">
        <f>'12-2017'!C24</f>
        <v>đ/m3</v>
      </c>
      <c r="D12" s="13">
        <f>'12-2017'!O24</f>
        <v>171600</v>
      </c>
      <c r="E12" s="13">
        <f>'12-2017'!P24</f>
        <v>171600</v>
      </c>
      <c r="F12" s="130">
        <f t="shared" si="0"/>
        <v>0</v>
      </c>
      <c r="H12" s="74">
        <f>'12-2017'!H24</f>
        <v>0</v>
      </c>
      <c r="I12" s="74">
        <f>'12-2017'!I24</f>
        <v>0</v>
      </c>
      <c r="J12" s="74">
        <f>'12-2017'!J24</f>
        <v>0</v>
      </c>
    </row>
    <row r="13" spans="1:10" s="58" customFormat="1" ht="17.25" hidden="1">
      <c r="A13" s="10">
        <f>'12-2017'!A25</f>
        <v>7</v>
      </c>
      <c r="B13" s="11" t="str">
        <f>'12-2017'!B25</f>
        <v xml:space="preserve"> Bụi (còn gọi là mi bụi)</v>
      </c>
      <c r="C13" s="12" t="str">
        <f>'12-2017'!C25</f>
        <v>đ/m3</v>
      </c>
      <c r="D13" s="13">
        <f>'12-2017'!O25</f>
        <v>112200</v>
      </c>
      <c r="E13" s="13">
        <f>'12-2017'!P25</f>
        <v>112200</v>
      </c>
      <c r="F13" s="130">
        <f t="shared" si="0"/>
        <v>0</v>
      </c>
      <c r="H13" s="74">
        <f>'12-2017'!H25</f>
        <v>0</v>
      </c>
      <c r="I13" s="74">
        <f>'12-2017'!I25</f>
        <v>0</v>
      </c>
      <c r="J13" s="74">
        <f>'12-2017'!J25</f>
        <v>0</v>
      </c>
    </row>
    <row r="14" spans="1:10" s="58" customFormat="1" ht="17.25" hidden="1">
      <c r="A14" s="10">
        <f>'12-2017'!A26</f>
        <v>8</v>
      </c>
      <c r="B14" s="11" t="str">
        <f>'12-2017'!B26</f>
        <v xml:space="preserve"> Đá mi  (còn gọi là mi sàng)</v>
      </c>
      <c r="C14" s="12" t="str">
        <f>'12-2017'!C26</f>
        <v>đ/m3</v>
      </c>
      <c r="D14" s="13">
        <f>'12-2017'!O26</f>
        <v>167200</v>
      </c>
      <c r="E14" s="13">
        <f>'12-2017'!P26</f>
        <v>167200</v>
      </c>
      <c r="F14" s="130">
        <f t="shared" si="0"/>
        <v>0</v>
      </c>
      <c r="H14" s="74">
        <f>'12-2017'!H26</f>
        <v>0</v>
      </c>
      <c r="I14" s="74">
        <f>'12-2017'!I26</f>
        <v>0</v>
      </c>
      <c r="J14" s="74">
        <f>'12-2017'!J26</f>
        <v>0</v>
      </c>
    </row>
    <row r="15" spans="1:10" s="58" customFormat="1" ht="17.25" hidden="1">
      <c r="A15" s="10">
        <f>'12-2017'!A27</f>
        <v>9</v>
      </c>
      <c r="B15" s="11" t="str">
        <f>'12-2017'!B27</f>
        <v xml:space="preserve"> Đá 20 x 30 (đá hộc)</v>
      </c>
      <c r="C15" s="12" t="str">
        <f>'12-2017'!C27</f>
        <v>đ/m3</v>
      </c>
      <c r="D15" s="13">
        <f>'12-2017'!O27</f>
        <v>202400</v>
      </c>
      <c r="E15" s="13">
        <f>'12-2017'!P27</f>
        <v>202400</v>
      </c>
      <c r="F15" s="130">
        <f t="shared" si="0"/>
        <v>0</v>
      </c>
      <c r="H15" s="74">
        <f>'12-2017'!H27</f>
        <v>0</v>
      </c>
      <c r="I15" s="74">
        <f>'12-2017'!I27</f>
        <v>0</v>
      </c>
      <c r="J15" s="74">
        <f>'12-2017'!J27</f>
        <v>0</v>
      </c>
    </row>
    <row r="16" spans="1:10" s="58" customFormat="1" ht="17.25" hidden="1">
      <c r="A16" s="10">
        <f>'12-2017'!A28</f>
        <v>10</v>
      </c>
      <c r="B16" s="11" t="str">
        <f>'12-2017'!B28</f>
        <v>Đất cát dọn hầm (khu vực Bà Đội)</v>
      </c>
      <c r="C16" s="12" t="str">
        <f>'12-2017'!C28</f>
        <v>đ/m3</v>
      </c>
      <c r="D16" s="13">
        <f>'12-2017'!O28</f>
        <v>68200</v>
      </c>
      <c r="E16" s="13">
        <f>'12-2017'!P28</f>
        <v>68200</v>
      </c>
      <c r="F16" s="130">
        <f>E16-D16</f>
        <v>0</v>
      </c>
      <c r="H16" s="74">
        <f>'12-2017'!H28</f>
        <v>0</v>
      </c>
      <c r="I16" s="74">
        <f>'12-2017'!I28</f>
        <v>0</v>
      </c>
      <c r="J16" s="74">
        <f>'12-2017'!J28</f>
        <v>0</v>
      </c>
    </row>
    <row r="17" spans="1:10" s="58" customFormat="1" ht="17.25">
      <c r="A17" s="10"/>
      <c r="B17" s="237" t="str">
        <f>'12-2017'!B29:N29</f>
        <v>* Đá khu vực Cô Tô: Cty TNHH MTV Khai thác &amp; Chế biến đá An Giang</v>
      </c>
      <c r="C17" s="238"/>
      <c r="D17" s="238"/>
      <c r="E17" s="238"/>
      <c r="F17" s="239"/>
      <c r="H17" s="74">
        <f>'12-2017'!H29</f>
        <v>0</v>
      </c>
      <c r="I17" s="74">
        <f>'12-2017'!I29</f>
        <v>0</v>
      </c>
      <c r="J17" s="74">
        <f>'12-2017'!J29</f>
        <v>0</v>
      </c>
    </row>
    <row r="18" spans="1:10" s="58" customFormat="1" ht="39.75" customHeight="1">
      <c r="A18" s="10"/>
      <c r="B18" s="237" t="str">
        <f>'12-2017'!B30:N30</f>
        <v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v>
      </c>
      <c r="C18" s="238"/>
      <c r="D18" s="238"/>
      <c r="E18" s="238"/>
      <c r="F18" s="239"/>
      <c r="H18" s="74">
        <f>'12-2017'!H30</f>
        <v>0</v>
      </c>
      <c r="I18" s="74">
        <f>'12-2017'!I30</f>
        <v>0</v>
      </c>
      <c r="J18" s="74">
        <f>'12-2017'!J30</f>
        <v>0</v>
      </c>
    </row>
    <row r="19" spans="1:10" s="58" customFormat="1" ht="17.25" hidden="1">
      <c r="A19" s="10">
        <f>'12-2017'!A31</f>
        <v>1</v>
      </c>
      <c r="B19" s="11" t="str">
        <f>'12-2017'!B31</f>
        <v xml:space="preserve"> Đá 1 x 2 loại I (lưới 29)</v>
      </c>
      <c r="C19" s="12" t="str">
        <f>'12-2017'!C31</f>
        <v>đ/m3</v>
      </c>
      <c r="D19" s="13">
        <f>'12-2017'!O31</f>
        <v>258500</v>
      </c>
      <c r="E19" s="13">
        <f>'12-2017'!P31</f>
        <v>258500</v>
      </c>
      <c r="F19" s="130">
        <f t="shared" ref="F19:F32" si="1">E19-D19</f>
        <v>0</v>
      </c>
      <c r="H19" s="74">
        <f>'12-2017'!H31</f>
        <v>0</v>
      </c>
      <c r="I19" s="74">
        <f>'12-2017'!I31</f>
        <v>0</v>
      </c>
      <c r="J19" s="74">
        <f>'12-2017'!J31</f>
        <v>0</v>
      </c>
    </row>
    <row r="20" spans="1:10" s="58" customFormat="1" ht="17.25" hidden="1">
      <c r="A20" s="10">
        <f>'12-2017'!A32</f>
        <v>2</v>
      </c>
      <c r="B20" s="11" t="str">
        <f>'12-2017'!B32</f>
        <v xml:space="preserve"> Đá 1 x 2 (An Phước + máy 1 Cô Tô)</v>
      </c>
      <c r="C20" s="12" t="str">
        <f>'12-2017'!C32</f>
        <v>đ/m3</v>
      </c>
      <c r="D20" s="13">
        <f>'12-2017'!O32</f>
        <v>253000</v>
      </c>
      <c r="E20" s="13">
        <f>'12-2017'!P32</f>
        <v>253000</v>
      </c>
      <c r="F20" s="130">
        <f t="shared" si="1"/>
        <v>0</v>
      </c>
      <c r="H20" s="74">
        <f>'12-2017'!H32</f>
        <v>0</v>
      </c>
      <c r="I20" s="74">
        <f>'12-2017'!I32</f>
        <v>0</v>
      </c>
      <c r="J20" s="74">
        <f>'12-2017'!J32</f>
        <v>0</v>
      </c>
    </row>
    <row r="21" spans="1:10" s="58" customFormat="1" ht="17.25" hidden="1">
      <c r="A21" s="10">
        <f>'12-2017'!A33</f>
        <v>3</v>
      </c>
      <c r="B21" s="11" t="str">
        <f>'12-2017'!B33</f>
        <v xml:space="preserve"> Đá 2 x 4 xay</v>
      </c>
      <c r="C21" s="12" t="str">
        <f>'12-2017'!C33</f>
        <v>đ/m3</v>
      </c>
      <c r="D21" s="13">
        <f>'12-2017'!O33</f>
        <v>253000</v>
      </c>
      <c r="E21" s="13">
        <f>'12-2017'!P33</f>
        <v>253000</v>
      </c>
      <c r="F21" s="130">
        <f t="shared" si="1"/>
        <v>0</v>
      </c>
      <c r="H21" s="74">
        <f>'12-2017'!H33</f>
        <v>0</v>
      </c>
      <c r="I21" s="74">
        <f>'12-2017'!I33</f>
        <v>0</v>
      </c>
      <c r="J21" s="74">
        <f>'12-2017'!J33</f>
        <v>0</v>
      </c>
    </row>
    <row r="22" spans="1:10" s="58" customFormat="1" ht="17.25" hidden="1">
      <c r="A22" s="10">
        <f>'12-2017'!A34</f>
        <v>4</v>
      </c>
      <c r="B22" s="11" t="str">
        <f>'12-2017'!B34</f>
        <v xml:space="preserve"> Đá 4 x 6 xay</v>
      </c>
      <c r="C22" s="12" t="str">
        <f>'12-2017'!C34</f>
        <v>đ/m3</v>
      </c>
      <c r="D22" s="13">
        <f>'12-2017'!O34</f>
        <v>198000</v>
      </c>
      <c r="E22" s="13">
        <f>'12-2017'!P34</f>
        <v>198000</v>
      </c>
      <c r="F22" s="130">
        <f t="shared" si="1"/>
        <v>0</v>
      </c>
      <c r="H22" s="74">
        <f>'12-2017'!H34</f>
        <v>0</v>
      </c>
      <c r="I22" s="74">
        <f>'12-2017'!I34</f>
        <v>0</v>
      </c>
      <c r="J22" s="74">
        <f>'12-2017'!J34</f>
        <v>0</v>
      </c>
    </row>
    <row r="23" spans="1:10" s="58" customFormat="1" ht="17.25" hidden="1">
      <c r="A23" s="10">
        <f>'12-2017'!A35</f>
        <v>5</v>
      </c>
      <c r="B23" s="11" t="str">
        <f>'12-2017'!B35</f>
        <v xml:space="preserve"> Đá 5 x 7 xay </v>
      </c>
      <c r="C23" s="12" t="str">
        <f>'12-2017'!C35</f>
        <v>đ/m3</v>
      </c>
      <c r="D23" s="13">
        <f>'12-2017'!O35</f>
        <v>190300</v>
      </c>
      <c r="E23" s="13">
        <f>'12-2017'!P35</f>
        <v>190300</v>
      </c>
      <c r="F23" s="130">
        <f t="shared" si="1"/>
        <v>0</v>
      </c>
      <c r="H23" s="74">
        <f>'12-2017'!H35</f>
        <v>0</v>
      </c>
      <c r="I23" s="74">
        <f>'12-2017'!I35</f>
        <v>0</v>
      </c>
      <c r="J23" s="74">
        <f>'12-2017'!J35</f>
        <v>0</v>
      </c>
    </row>
    <row r="24" spans="1:10" s="58" customFormat="1" ht="17.25" hidden="1">
      <c r="A24" s="10">
        <f>'12-2017'!A36</f>
        <v>6</v>
      </c>
      <c r="B24" s="11" t="str">
        <f>'12-2017'!B36</f>
        <v xml:space="preserve"> Đá 9 x 15 xay </v>
      </c>
      <c r="C24" s="12" t="str">
        <f>'12-2017'!C36</f>
        <v>đ/m3</v>
      </c>
      <c r="D24" s="13">
        <f>'12-2017'!O36</f>
        <v>183700</v>
      </c>
      <c r="E24" s="13">
        <f>'12-2017'!P36</f>
        <v>183700</v>
      </c>
      <c r="F24" s="130">
        <f t="shared" si="1"/>
        <v>0</v>
      </c>
      <c r="H24" s="74">
        <f>'12-2017'!H36</f>
        <v>0</v>
      </c>
      <c r="I24" s="74">
        <f>'12-2017'!I36</f>
        <v>0</v>
      </c>
      <c r="J24" s="74">
        <f>'12-2017'!J36</f>
        <v>0</v>
      </c>
    </row>
    <row r="25" spans="1:10" s="58" customFormat="1" ht="17.25" hidden="1">
      <c r="A25" s="10">
        <f>'12-2017'!A37</f>
        <v>7</v>
      </c>
      <c r="B25" s="11" t="str">
        <f>'12-2017'!B37</f>
        <v xml:space="preserve"> Đá cấp phối (0 x 4) loại I  (Dmax 37.5)</v>
      </c>
      <c r="C25" s="12" t="str">
        <f>'12-2017'!C37</f>
        <v>đ/m3</v>
      </c>
      <c r="D25" s="13">
        <f>'12-2017'!O37</f>
        <v>144100</v>
      </c>
      <c r="E25" s="13">
        <f>'12-2017'!P37</f>
        <v>144100</v>
      </c>
      <c r="F25" s="130">
        <f t="shared" si="1"/>
        <v>0</v>
      </c>
      <c r="H25" s="74">
        <f>'12-2017'!H37</f>
        <v>0</v>
      </c>
      <c r="I25" s="74">
        <f>'12-2017'!I37</f>
        <v>0</v>
      </c>
      <c r="J25" s="74">
        <f>'12-2017'!J37</f>
        <v>0</v>
      </c>
    </row>
    <row r="26" spans="1:10" s="58" customFormat="1" ht="17.25" hidden="1">
      <c r="A26" s="10">
        <f>'12-2017'!A38</f>
        <v>8</v>
      </c>
      <c r="B26" s="11" t="str">
        <f>'12-2017'!B38</f>
        <v xml:space="preserve"> Đá cấp phối (0 x 4)          (Dmax 25)</v>
      </c>
      <c r="C26" s="12" t="str">
        <f>'12-2017'!C38</f>
        <v>đ/m3</v>
      </c>
      <c r="D26" s="13">
        <f>'12-2017'!O38</f>
        <v>152900</v>
      </c>
      <c r="E26" s="13">
        <f>'12-2017'!P38</f>
        <v>152900</v>
      </c>
      <c r="F26" s="130">
        <f t="shared" si="1"/>
        <v>0</v>
      </c>
      <c r="H26" s="74">
        <f>'12-2017'!H38</f>
        <v>0</v>
      </c>
      <c r="I26" s="74">
        <f>'12-2017'!I38</f>
        <v>0</v>
      </c>
      <c r="J26" s="74">
        <f>'12-2017'!J38</f>
        <v>0</v>
      </c>
    </row>
    <row r="27" spans="1:10" s="58" customFormat="1" ht="17.25" hidden="1">
      <c r="A27" s="10">
        <f>'12-2017'!A39</f>
        <v>9</v>
      </c>
      <c r="B27" s="11" t="str">
        <f>'12-2017'!B39</f>
        <v xml:space="preserve"> Đá 0 x 4 chưa đủ cấp phối</v>
      </c>
      <c r="C27" s="12" t="str">
        <f>'12-2017'!C39</f>
        <v>đ/m3</v>
      </c>
      <c r="D27" s="13">
        <f>'12-2017'!O39</f>
        <v>126500</v>
      </c>
      <c r="E27" s="13">
        <f>'12-2017'!P39</f>
        <v>126500</v>
      </c>
      <c r="F27" s="130">
        <f t="shared" si="1"/>
        <v>0</v>
      </c>
      <c r="H27" s="74">
        <f>'12-2017'!H39</f>
        <v>0</v>
      </c>
      <c r="I27" s="74">
        <f>'12-2017'!I39</f>
        <v>0</v>
      </c>
      <c r="J27" s="74">
        <f>'12-2017'!J39</f>
        <v>0</v>
      </c>
    </row>
    <row r="28" spans="1:10" s="58" customFormat="1" ht="17.25" hidden="1">
      <c r="A28" s="10">
        <f>'12-2017'!A40</f>
        <v>10</v>
      </c>
      <c r="B28" s="11" t="str">
        <f>'12-2017'!B40</f>
        <v xml:space="preserve"> Đá 2 x 3 dơ</v>
      </c>
      <c r="C28" s="12" t="str">
        <f>'12-2017'!C40</f>
        <v>đ/m3</v>
      </c>
      <c r="D28" s="13">
        <f>'12-2017'!O40</f>
        <v>94600</v>
      </c>
      <c r="E28" s="13">
        <f>'12-2017'!P40</f>
        <v>94600</v>
      </c>
      <c r="F28" s="130">
        <f t="shared" si="1"/>
        <v>0</v>
      </c>
      <c r="H28" s="74">
        <f>'12-2017'!H40</f>
        <v>0</v>
      </c>
      <c r="I28" s="74">
        <f>'12-2017'!I40</f>
        <v>0</v>
      </c>
      <c r="J28" s="74">
        <f>'12-2017'!J40</f>
        <v>0</v>
      </c>
    </row>
    <row r="29" spans="1:10" s="58" customFormat="1" ht="17.25" hidden="1">
      <c r="A29" s="10">
        <f>'12-2017'!A41</f>
        <v>11</v>
      </c>
      <c r="B29" s="11" t="str">
        <f>'12-2017'!B41</f>
        <v xml:space="preserve"> Đá mi sàng (5-10mm)</v>
      </c>
      <c r="C29" s="12" t="str">
        <f>'12-2017'!C41</f>
        <v>đ/m3</v>
      </c>
      <c r="D29" s="13">
        <f>'12-2017'!O41</f>
        <v>165000</v>
      </c>
      <c r="E29" s="13">
        <f>'12-2017'!P41</f>
        <v>165000</v>
      </c>
      <c r="F29" s="130">
        <f t="shared" si="1"/>
        <v>0</v>
      </c>
      <c r="H29" s="74">
        <f>'12-2017'!H41</f>
        <v>0</v>
      </c>
      <c r="I29" s="74">
        <f>'12-2017'!I41</f>
        <v>0</v>
      </c>
      <c r="J29" s="74">
        <f>'12-2017'!J41</f>
        <v>0</v>
      </c>
    </row>
    <row r="30" spans="1:10" s="58" customFormat="1" ht="17.25" hidden="1">
      <c r="A30" s="10">
        <f>'12-2017'!A42</f>
        <v>12</v>
      </c>
      <c r="B30" s="11" t="str">
        <f>'12-2017'!B42</f>
        <v xml:space="preserve"> Bụi (còn gọi là mi bụi)  (0-10mm)</v>
      </c>
      <c r="C30" s="12" t="str">
        <f>'12-2017'!C42</f>
        <v>đ/m3</v>
      </c>
      <c r="D30" s="13">
        <f>'12-2017'!O42</f>
        <v>110000</v>
      </c>
      <c r="E30" s="13">
        <f>'12-2017'!P42</f>
        <v>110000</v>
      </c>
      <c r="F30" s="130">
        <f t="shared" si="1"/>
        <v>0</v>
      </c>
      <c r="H30" s="74">
        <f>'12-2017'!H42</f>
        <v>0</v>
      </c>
      <c r="I30" s="74">
        <f>'12-2017'!I42</f>
        <v>0</v>
      </c>
      <c r="J30" s="74">
        <f>'12-2017'!J42</f>
        <v>0</v>
      </c>
    </row>
    <row r="31" spans="1:10" s="58" customFormat="1" ht="17.25" hidden="1">
      <c r="A31" s="10">
        <f>'12-2017'!A43</f>
        <v>13</v>
      </c>
      <c r="B31" s="11" t="str">
        <f>'12-2017'!B43</f>
        <v xml:space="preserve"> Bụi sàng (0-5mm)</v>
      </c>
      <c r="C31" s="12" t="str">
        <f>'12-2017'!C43</f>
        <v>đ/m3</v>
      </c>
      <c r="D31" s="13">
        <f>'12-2017'!O43</f>
        <v>121000</v>
      </c>
      <c r="E31" s="13">
        <f>'12-2017'!P43</f>
        <v>121000</v>
      </c>
      <c r="F31" s="130">
        <f t="shared" si="1"/>
        <v>0</v>
      </c>
      <c r="H31" s="74">
        <f>'12-2017'!H43</f>
        <v>0</v>
      </c>
      <c r="I31" s="74">
        <f>'12-2017'!I43</f>
        <v>0</v>
      </c>
      <c r="J31" s="74">
        <f>'12-2017'!J43</f>
        <v>0</v>
      </c>
    </row>
    <row r="32" spans="1:10" s="58" customFormat="1" ht="17.25" hidden="1">
      <c r="A32" s="10">
        <f>'12-2017'!A44</f>
        <v>14</v>
      </c>
      <c r="B32" s="11" t="str">
        <f>'12-2017'!B44</f>
        <v xml:space="preserve"> Đá 20x30 (đá hộc)</v>
      </c>
      <c r="C32" s="12" t="str">
        <f>'12-2017'!C44</f>
        <v>đ/m3</v>
      </c>
      <c r="D32" s="13">
        <f>'12-2017'!O44</f>
        <v>220000</v>
      </c>
      <c r="E32" s="13">
        <f>'12-2017'!P44</f>
        <v>220000</v>
      </c>
      <c r="F32" s="130">
        <f t="shared" si="1"/>
        <v>0</v>
      </c>
      <c r="H32" s="74">
        <f>'12-2017'!H44</f>
        <v>0</v>
      </c>
      <c r="I32" s="74">
        <f>'12-2017'!I44</f>
        <v>0</v>
      </c>
      <c r="J32" s="74">
        <f>'12-2017'!J44</f>
        <v>0</v>
      </c>
    </row>
    <row r="33" spans="1:10" s="58" customFormat="1" ht="17.25" hidden="1">
      <c r="A33" s="10">
        <f>'12-2017'!A45</f>
        <v>14</v>
      </c>
      <c r="B33" s="11" t="str">
        <f>'12-2017'!B45</f>
        <v>Đất cát dọn hầm (khu vực Cô Tô)</v>
      </c>
      <c r="C33" s="12" t="str">
        <f>'12-2017'!C45</f>
        <v>đ/m3</v>
      </c>
      <c r="D33" s="13">
        <f>'12-2017'!O45</f>
        <v>66000</v>
      </c>
      <c r="E33" s="13">
        <f>'12-2017'!P45</f>
        <v>66000</v>
      </c>
      <c r="F33" s="130">
        <f>E33-D33</f>
        <v>0</v>
      </c>
      <c r="H33" s="74">
        <f>'12-2017'!H45</f>
        <v>0</v>
      </c>
      <c r="I33" s="74">
        <f>'12-2017'!I45</f>
        <v>0</v>
      </c>
      <c r="J33" s="74">
        <f>'12-2017'!J45</f>
        <v>0</v>
      </c>
    </row>
    <row r="34" spans="1:10" s="58" customFormat="1" ht="42.75" customHeight="1">
      <c r="A34" s="10"/>
      <c r="B34" s="237" t="str">
        <f>'12-2017'!B46:N46</f>
        <v>* Đá ANTRACO: Cty TNHH Liên Doanh ANTRACO (bao gồm: tiền vận chuyển từ bãi đá thành phẩm đến bến cảng Antraco; tiền bốc xếp xuống phương tiện và thuế VAT) . Theo bảng giá áp dụng từ ngày 01/02/2017</v>
      </c>
      <c r="C34" s="238"/>
      <c r="D34" s="238"/>
      <c r="E34" s="238"/>
      <c r="F34" s="239"/>
      <c r="H34" s="74">
        <f>'12-2017'!H46</f>
        <v>0</v>
      </c>
      <c r="I34" s="74">
        <f>'12-2017'!I46</f>
        <v>0</v>
      </c>
      <c r="J34" s="74">
        <f>'12-2017'!J46</f>
        <v>0</v>
      </c>
    </row>
    <row r="35" spans="1:10" s="58" customFormat="1" ht="17.25" hidden="1">
      <c r="A35" s="10" t="str">
        <f>'12-2017'!A47</f>
        <v>1</v>
      </c>
      <c r="B35" s="11" t="str">
        <f>'12-2017'!B47</f>
        <v>Đá (0,5 x 2,0)</v>
      </c>
      <c r="C35" s="12" t="str">
        <f>'12-2017'!C47</f>
        <v>đồng/m3</v>
      </c>
      <c r="D35" s="13">
        <f>'12-2017'!O47</f>
        <v>286000</v>
      </c>
      <c r="E35" s="13">
        <f>'12-2017'!P47</f>
        <v>286000</v>
      </c>
      <c r="F35" s="130">
        <f t="shared" ref="F35:F60" si="2">E35-D35</f>
        <v>0</v>
      </c>
      <c r="H35" s="74">
        <f>'12-2017'!H47</f>
        <v>0</v>
      </c>
      <c r="I35" s="74">
        <f>'12-2017'!I47</f>
        <v>0</v>
      </c>
      <c r="J35" s="74">
        <f>'12-2017'!J47</f>
        <v>0</v>
      </c>
    </row>
    <row r="36" spans="1:10" s="58" customFormat="1" ht="17.25" hidden="1">
      <c r="A36" s="10" t="str">
        <f>'12-2017'!A48</f>
        <v>2</v>
      </c>
      <c r="B36" s="11" t="str">
        <f>'12-2017'!B48</f>
        <v>Đá (1 x 2) sàng 22, sàng 25, sàng 28</v>
      </c>
      <c r="C36" s="12" t="str">
        <f>'12-2017'!C48</f>
        <v>đồng/m3</v>
      </c>
      <c r="D36" s="13">
        <f>'12-2017'!O48</f>
        <v>275000</v>
      </c>
      <c r="E36" s="13">
        <f>'12-2017'!P48</f>
        <v>275000</v>
      </c>
      <c r="F36" s="130">
        <f t="shared" si="2"/>
        <v>0</v>
      </c>
      <c r="H36" s="74">
        <f>'12-2017'!H48</f>
        <v>0</v>
      </c>
      <c r="I36" s="74">
        <f>'12-2017'!I48</f>
        <v>0</v>
      </c>
      <c r="J36" s="74">
        <f>'12-2017'!J48</f>
        <v>0</v>
      </c>
    </row>
    <row r="37" spans="1:10" s="58" customFormat="1" ht="17.25" hidden="1">
      <c r="A37" s="10" t="str">
        <f>'12-2017'!A49</f>
        <v>3</v>
      </c>
      <c r="B37" s="11" t="str">
        <f>'12-2017'!B49</f>
        <v>Đá (1 x 2) sàng 27</v>
      </c>
      <c r="C37" s="12" t="str">
        <f>'12-2017'!C49</f>
        <v>đồng/m3</v>
      </c>
      <c r="D37" s="13">
        <f>'12-2017'!O49</f>
        <v>264000</v>
      </c>
      <c r="E37" s="13">
        <f>'12-2017'!P49</f>
        <v>264000</v>
      </c>
      <c r="F37" s="130">
        <f t="shared" si="2"/>
        <v>0</v>
      </c>
      <c r="H37" s="74">
        <f>'12-2017'!H49</f>
        <v>0</v>
      </c>
      <c r="I37" s="74">
        <f>'12-2017'!I49</f>
        <v>0</v>
      </c>
      <c r="J37" s="74">
        <f>'12-2017'!J49</f>
        <v>0</v>
      </c>
    </row>
    <row r="38" spans="1:10" s="58" customFormat="1" ht="17.25" hidden="1">
      <c r="A38" s="10" t="str">
        <f>'12-2017'!A50</f>
        <v>4</v>
      </c>
      <c r="B38" s="11" t="str">
        <f>'12-2017'!B50</f>
        <v>Đá (4 x 6) loại 1</v>
      </c>
      <c r="C38" s="12" t="str">
        <f>'12-2017'!C50</f>
        <v>đồng/m3</v>
      </c>
      <c r="D38" s="13">
        <f>'12-2017'!O50</f>
        <v>198000</v>
      </c>
      <c r="E38" s="13">
        <f>'12-2017'!P50</f>
        <v>198000</v>
      </c>
      <c r="F38" s="130">
        <f t="shared" si="2"/>
        <v>0</v>
      </c>
      <c r="H38" s="74">
        <f>'12-2017'!H50</f>
        <v>0</v>
      </c>
      <c r="I38" s="74">
        <f>'12-2017'!I50</f>
        <v>0</v>
      </c>
      <c r="J38" s="74">
        <f>'12-2017'!J50</f>
        <v>0</v>
      </c>
    </row>
    <row r="39" spans="1:10" s="58" customFormat="1" ht="17.25" hidden="1">
      <c r="A39" s="10" t="str">
        <f>'12-2017'!A51</f>
        <v>5</v>
      </c>
      <c r="B39" s="11" t="str">
        <f>'12-2017'!B51</f>
        <v>Đá (4 x 6) Dmax63</v>
      </c>
      <c r="C39" s="12" t="str">
        <f>'12-2017'!C51</f>
        <v>đồng/m3</v>
      </c>
      <c r="D39" s="13">
        <f>'12-2017'!O51</f>
        <v>231000</v>
      </c>
      <c r="E39" s="13">
        <f>'12-2017'!P51</f>
        <v>231000</v>
      </c>
      <c r="F39" s="130">
        <f t="shared" si="2"/>
        <v>0</v>
      </c>
      <c r="H39" s="74">
        <f>'12-2017'!H51</f>
        <v>0</v>
      </c>
      <c r="I39" s="74">
        <f>'12-2017'!I51</f>
        <v>0</v>
      </c>
      <c r="J39" s="74">
        <f>'12-2017'!J51</f>
        <v>0</v>
      </c>
    </row>
    <row r="40" spans="1:10" s="58" customFormat="1" ht="17.25" hidden="1">
      <c r="A40" s="10" t="str">
        <f>'12-2017'!A52</f>
        <v>6</v>
      </c>
      <c r="B40" s="11" t="str">
        <f>'12-2017'!B52</f>
        <v>Đá (4 x 6) loại 2</v>
      </c>
      <c r="C40" s="12" t="str">
        <f>'12-2017'!C52</f>
        <v>đồng/m3</v>
      </c>
      <c r="D40" s="13">
        <f>'12-2017'!O52</f>
        <v>181500</v>
      </c>
      <c r="E40" s="13">
        <f>'12-2017'!P52</f>
        <v>181500</v>
      </c>
      <c r="F40" s="130">
        <f t="shared" si="2"/>
        <v>0</v>
      </c>
      <c r="H40" s="74">
        <f>'12-2017'!H52</f>
        <v>0</v>
      </c>
      <c r="I40" s="74">
        <f>'12-2017'!I52</f>
        <v>0</v>
      </c>
      <c r="J40" s="74">
        <f>'12-2017'!J52</f>
        <v>0</v>
      </c>
    </row>
    <row r="41" spans="1:10" s="58" customFormat="1" ht="17.25" hidden="1">
      <c r="A41" s="10" t="str">
        <f>'12-2017'!A53</f>
        <v>7</v>
      </c>
      <c r="B41" s="11" t="str">
        <f>'12-2017'!B53</f>
        <v>Đá (5 x 7)</v>
      </c>
      <c r="C41" s="12" t="str">
        <f>'12-2017'!C53</f>
        <v>đồng/m3</v>
      </c>
      <c r="D41" s="13">
        <f>'12-2017'!O53</f>
        <v>194700</v>
      </c>
      <c r="E41" s="13">
        <f>'12-2017'!P53</f>
        <v>194700</v>
      </c>
      <c r="F41" s="130">
        <f t="shared" si="2"/>
        <v>0</v>
      </c>
      <c r="H41" s="74">
        <f>'12-2017'!H53</f>
        <v>0</v>
      </c>
      <c r="I41" s="74">
        <f>'12-2017'!I53</f>
        <v>0</v>
      </c>
      <c r="J41" s="74">
        <f>'12-2017'!J53</f>
        <v>0</v>
      </c>
    </row>
    <row r="42" spans="1:10" s="58" customFormat="1" ht="17.25" hidden="1">
      <c r="A42" s="10" t="str">
        <f>'12-2017'!A54</f>
        <v>8</v>
      </c>
      <c r="B42" s="11" t="str">
        <f>'12-2017'!B54</f>
        <v>Đá (9 x 15)</v>
      </c>
      <c r="C42" s="12" t="str">
        <f>'12-2017'!C54</f>
        <v>đồng/m3</v>
      </c>
      <c r="D42" s="13">
        <f>'12-2017'!O54</f>
        <v>183700</v>
      </c>
      <c r="E42" s="13">
        <f>'12-2017'!P54</f>
        <v>183700</v>
      </c>
      <c r="F42" s="130">
        <f t="shared" si="2"/>
        <v>0</v>
      </c>
      <c r="H42" s="74">
        <f>'12-2017'!H54</f>
        <v>0</v>
      </c>
      <c r="I42" s="74">
        <f>'12-2017'!I54</f>
        <v>0</v>
      </c>
      <c r="J42" s="74">
        <f>'12-2017'!J54</f>
        <v>0</v>
      </c>
    </row>
    <row r="43" spans="1:10" s="58" customFormat="1" ht="17.25" hidden="1">
      <c r="A43" s="10" t="str">
        <f>'12-2017'!A55</f>
        <v>9</v>
      </c>
      <c r="B43" s="11" t="str">
        <f>'12-2017'!B55</f>
        <v>Cấp phối (0 x 4) sàng 25</v>
      </c>
      <c r="C43" s="12" t="str">
        <f>'12-2017'!C55</f>
        <v>đồng/m3</v>
      </c>
      <c r="D43" s="13">
        <f>'12-2017'!O55</f>
        <v>195800</v>
      </c>
      <c r="E43" s="13">
        <f>'12-2017'!P55</f>
        <v>195800</v>
      </c>
      <c r="F43" s="130">
        <f t="shared" si="2"/>
        <v>0</v>
      </c>
      <c r="H43" s="74">
        <f>'12-2017'!H55</f>
        <v>0</v>
      </c>
      <c r="I43" s="74">
        <f>'12-2017'!I55</f>
        <v>0</v>
      </c>
      <c r="J43" s="74">
        <f>'12-2017'!J55</f>
        <v>0</v>
      </c>
    </row>
    <row r="44" spans="1:10" s="58" customFormat="1" ht="17.25" hidden="1">
      <c r="A44" s="10" t="str">
        <f>'12-2017'!A56</f>
        <v>10</v>
      </c>
      <c r="B44" s="11" t="str">
        <f>'12-2017'!B56</f>
        <v>Cấp phối (0 x 4) sàng 37,5</v>
      </c>
      <c r="C44" s="12" t="str">
        <f>'12-2017'!C56</f>
        <v>đồng/m3</v>
      </c>
      <c r="D44" s="13">
        <f>'12-2017'!O56</f>
        <v>170500</v>
      </c>
      <c r="E44" s="13">
        <f>'12-2017'!P56</f>
        <v>170500</v>
      </c>
      <c r="F44" s="130">
        <f t="shared" si="2"/>
        <v>0</v>
      </c>
      <c r="H44" s="74">
        <f>'12-2017'!H56</f>
        <v>0</v>
      </c>
      <c r="I44" s="74">
        <f>'12-2017'!I56</f>
        <v>0</v>
      </c>
      <c r="J44" s="74">
        <f>'12-2017'!J56</f>
        <v>0</v>
      </c>
    </row>
    <row r="45" spans="1:10" s="58" customFormat="1" ht="17.25" hidden="1">
      <c r="A45" s="10" t="str">
        <f>'12-2017'!A57</f>
        <v>11</v>
      </c>
      <c r="B45" s="11" t="str">
        <f>'12-2017'!B57</f>
        <v>Cấp phối (0 x 4) loại 1</v>
      </c>
      <c r="C45" s="12" t="str">
        <f>'12-2017'!C57</f>
        <v>đồng/m3</v>
      </c>
      <c r="D45" s="13">
        <f>'12-2017'!O57</f>
        <v>165000</v>
      </c>
      <c r="E45" s="13">
        <f>'12-2017'!P57</f>
        <v>165000</v>
      </c>
      <c r="F45" s="130">
        <f t="shared" si="2"/>
        <v>0</v>
      </c>
      <c r="H45" s="74">
        <f>'12-2017'!H57</f>
        <v>0</v>
      </c>
      <c r="I45" s="74">
        <f>'12-2017'!I57</f>
        <v>0</v>
      </c>
      <c r="J45" s="74">
        <f>'12-2017'!J57</f>
        <v>0</v>
      </c>
    </row>
    <row r="46" spans="1:10" s="58" customFormat="1" ht="17.25" hidden="1">
      <c r="A46" s="10" t="str">
        <f>'12-2017'!A58</f>
        <v>12</v>
      </c>
      <c r="B46" s="11" t="str">
        <f>'12-2017'!B58</f>
        <v>Cấp phối (0 x 4) loại 2</v>
      </c>
      <c r="C46" s="12" t="str">
        <f>'12-2017'!C58</f>
        <v>đồng/m3</v>
      </c>
      <c r="D46" s="13">
        <f>'12-2017'!O58</f>
        <v>145200</v>
      </c>
      <c r="E46" s="13">
        <f>'12-2017'!P58</f>
        <v>145200</v>
      </c>
      <c r="F46" s="130">
        <f t="shared" si="2"/>
        <v>0</v>
      </c>
      <c r="H46" s="74">
        <f>'12-2017'!H58</f>
        <v>0</v>
      </c>
      <c r="I46" s="74">
        <f>'12-2017'!I58</f>
        <v>0</v>
      </c>
      <c r="J46" s="74">
        <f>'12-2017'!J58</f>
        <v>0</v>
      </c>
    </row>
    <row r="47" spans="1:10" s="58" customFormat="1" ht="17.25" hidden="1">
      <c r="A47" s="10" t="str">
        <f>'12-2017'!A59</f>
        <v>13</v>
      </c>
      <c r="B47" s="11" t="str">
        <f>'12-2017'!B59</f>
        <v>Đá mi sàng</v>
      </c>
      <c r="C47" s="12" t="str">
        <f>'12-2017'!C59</f>
        <v>đồng/m3</v>
      </c>
      <c r="D47" s="13">
        <f>'12-2017'!O59</f>
        <v>173800</v>
      </c>
      <c r="E47" s="13">
        <f>'12-2017'!P59</f>
        <v>173800</v>
      </c>
      <c r="F47" s="130">
        <f t="shared" si="2"/>
        <v>0</v>
      </c>
      <c r="H47" s="74">
        <f>'12-2017'!H59</f>
        <v>0</v>
      </c>
      <c r="I47" s="74">
        <f>'12-2017'!I59</f>
        <v>0</v>
      </c>
      <c r="J47" s="74">
        <f>'12-2017'!J59</f>
        <v>0</v>
      </c>
    </row>
    <row r="48" spans="1:10" s="58" customFormat="1" ht="17.25" hidden="1">
      <c r="A48" s="10" t="str">
        <f>'12-2017'!A60</f>
        <v>14</v>
      </c>
      <c r="B48" s="11" t="str">
        <f>'12-2017'!B60</f>
        <v>Đá mi sàng (0 x 0,5)</v>
      </c>
      <c r="C48" s="12" t="str">
        <f>'12-2017'!C60</f>
        <v>đồng/m3</v>
      </c>
      <c r="D48" s="13">
        <f>'12-2017'!O60</f>
        <v>198000</v>
      </c>
      <c r="E48" s="13">
        <f>'12-2017'!P60</f>
        <v>198000</v>
      </c>
      <c r="F48" s="130">
        <f t="shared" si="2"/>
        <v>0</v>
      </c>
      <c r="H48" s="74">
        <f>'12-2017'!H60</f>
        <v>0</v>
      </c>
      <c r="I48" s="74">
        <f>'12-2017'!I60</f>
        <v>0</v>
      </c>
      <c r="J48" s="74">
        <f>'12-2017'!J60</f>
        <v>0</v>
      </c>
    </row>
    <row r="49" spans="1:10" s="58" customFormat="1" ht="17.25" hidden="1">
      <c r="A49" s="10" t="str">
        <f>'12-2017'!A61</f>
        <v>15</v>
      </c>
      <c r="B49" s="11" t="str">
        <f>'12-2017'!B61</f>
        <v>Đá (2 x 4)</v>
      </c>
      <c r="C49" s="12" t="str">
        <f>'12-2017'!C61</f>
        <v>đồng/m3</v>
      </c>
      <c r="D49" s="13">
        <f>'12-2017'!O61</f>
        <v>243100</v>
      </c>
      <c r="E49" s="13">
        <f>'12-2017'!P61</f>
        <v>243100</v>
      </c>
      <c r="F49" s="130">
        <f t="shared" si="2"/>
        <v>0</v>
      </c>
      <c r="H49" s="74">
        <f>'12-2017'!H61</f>
        <v>0</v>
      </c>
      <c r="I49" s="74">
        <f>'12-2017'!I61</f>
        <v>0</v>
      </c>
      <c r="J49" s="74">
        <f>'12-2017'!J61</f>
        <v>0</v>
      </c>
    </row>
    <row r="50" spans="1:10" s="58" customFormat="1" ht="17.25" hidden="1">
      <c r="A50" s="10" t="str">
        <f>'12-2017'!A62</f>
        <v>16</v>
      </c>
      <c r="B50" s="11" t="str">
        <f>'12-2017'!B62</f>
        <v>Đá (15 x 20)</v>
      </c>
      <c r="C50" s="12" t="str">
        <f>'12-2017'!C62</f>
        <v>đồng/m3</v>
      </c>
      <c r="D50" s="13">
        <f>'12-2017'!O62</f>
        <v>192500</v>
      </c>
      <c r="E50" s="13">
        <f>'12-2017'!P62</f>
        <v>192500</v>
      </c>
      <c r="F50" s="130">
        <f t="shared" si="2"/>
        <v>0</v>
      </c>
      <c r="H50" s="74">
        <f>'12-2017'!H62</f>
        <v>0</v>
      </c>
      <c r="I50" s="74">
        <f>'12-2017'!I62</f>
        <v>0</v>
      </c>
      <c r="J50" s="74">
        <f>'12-2017'!J62</f>
        <v>0</v>
      </c>
    </row>
    <row r="51" spans="1:10" s="58" customFormat="1" ht="17.25" hidden="1">
      <c r="A51" s="10" t="str">
        <f>'12-2017'!A63</f>
        <v>17</v>
      </c>
      <c r="B51" s="11" t="str">
        <f>'12-2017'!B63</f>
        <v>Đá hộc (20 x 30)</v>
      </c>
      <c r="C51" s="12" t="str">
        <f>'12-2017'!C63</f>
        <v>đồng/m3</v>
      </c>
      <c r="D51" s="13">
        <f>'12-2017'!O63</f>
        <v>192500</v>
      </c>
      <c r="E51" s="13">
        <f>'12-2017'!P63</f>
        <v>192500</v>
      </c>
      <c r="F51" s="130">
        <f t="shared" si="2"/>
        <v>0</v>
      </c>
      <c r="H51" s="74">
        <f>'12-2017'!H63</f>
        <v>0</v>
      </c>
      <c r="I51" s="74">
        <f>'12-2017'!I63</f>
        <v>0</v>
      </c>
      <c r="J51" s="74">
        <f>'12-2017'!J63</f>
        <v>0</v>
      </c>
    </row>
    <row r="52" spans="1:10" s="58" customFormat="1" ht="17.25" hidden="1">
      <c r="A52" s="10" t="str">
        <f>'12-2017'!A64</f>
        <v>18</v>
      </c>
      <c r="B52" s="11" t="str">
        <f>'12-2017'!B64</f>
        <v>Đá hộc (20 x 60)</v>
      </c>
      <c r="C52" s="12" t="str">
        <f>'12-2017'!C64</f>
        <v>đồng/m3</v>
      </c>
      <c r="D52" s="13">
        <f>'12-2017'!O64</f>
        <v>110000</v>
      </c>
      <c r="E52" s="13">
        <f>'12-2017'!P64</f>
        <v>110000</v>
      </c>
      <c r="F52" s="130">
        <f t="shared" si="2"/>
        <v>0</v>
      </c>
      <c r="H52" s="74">
        <f>'12-2017'!H64</f>
        <v>0</v>
      </c>
      <c r="I52" s="74">
        <f>'12-2017'!I64</f>
        <v>0</v>
      </c>
      <c r="J52" s="74">
        <f>'12-2017'!J64</f>
        <v>0</v>
      </c>
    </row>
    <row r="53" spans="1:10" s="58" customFormat="1" ht="17.25" hidden="1">
      <c r="A53" s="10" t="str">
        <f>'12-2017'!A65</f>
        <v>19</v>
      </c>
      <c r="B53" s="11" t="str">
        <f>'12-2017'!B65</f>
        <v>Đá (1 x 2) sàng 22 ly tâm</v>
      </c>
      <c r="C53" s="12" t="str">
        <f>'12-2017'!C65</f>
        <v>đồng/m3</v>
      </c>
      <c r="D53" s="13">
        <f>'12-2017'!O65</f>
        <v>291500</v>
      </c>
      <c r="E53" s="13">
        <f>'12-2017'!P65</f>
        <v>291500</v>
      </c>
      <c r="F53" s="130">
        <f t="shared" si="2"/>
        <v>0</v>
      </c>
      <c r="H53" s="74">
        <f>'12-2017'!H65</f>
        <v>0</v>
      </c>
      <c r="I53" s="74">
        <f>'12-2017'!I65</f>
        <v>0</v>
      </c>
      <c r="J53" s="74">
        <f>'12-2017'!J65</f>
        <v>0</v>
      </c>
    </row>
    <row r="54" spans="1:10" s="58" customFormat="1" ht="17.25" hidden="1">
      <c r="A54" s="10" t="str">
        <f>'12-2017'!A66</f>
        <v>20</v>
      </c>
      <c r="B54" s="11" t="str">
        <f>'12-2017'!B66</f>
        <v>Đá (1 x 2) sàng 27 ly tâm</v>
      </c>
      <c r="C54" s="12" t="str">
        <f>'12-2017'!C66</f>
        <v>đồng/m3</v>
      </c>
      <c r="D54" s="13">
        <f>'12-2017'!O66</f>
        <v>280500</v>
      </c>
      <c r="E54" s="13">
        <f>'12-2017'!P66</f>
        <v>280500</v>
      </c>
      <c r="F54" s="130">
        <f t="shared" si="2"/>
        <v>0</v>
      </c>
      <c r="H54" s="74">
        <f>'12-2017'!H66</f>
        <v>0</v>
      </c>
      <c r="I54" s="74">
        <f>'12-2017'!I66</f>
        <v>0</v>
      </c>
      <c r="J54" s="74">
        <f>'12-2017'!J66</f>
        <v>0</v>
      </c>
    </row>
    <row r="55" spans="1:10" s="58" customFormat="1" ht="17.25" hidden="1">
      <c r="A55" s="10" t="str">
        <f>'12-2017'!A67</f>
        <v>21</v>
      </c>
      <c r="B55" s="11" t="str">
        <f>'12-2017'!B67</f>
        <v>Đá (0,5 x 2,0) ly tâm</v>
      </c>
      <c r="C55" s="12" t="str">
        <f>'12-2017'!C67</f>
        <v>đồng/m3</v>
      </c>
      <c r="D55" s="13">
        <f>'12-2017'!O67</f>
        <v>297000</v>
      </c>
      <c r="E55" s="13">
        <f>'12-2017'!P67</f>
        <v>297000</v>
      </c>
      <c r="F55" s="130">
        <f t="shared" si="2"/>
        <v>0</v>
      </c>
      <c r="H55" s="74">
        <f>'12-2017'!H67</f>
        <v>0</v>
      </c>
      <c r="I55" s="74">
        <f>'12-2017'!I67</f>
        <v>0</v>
      </c>
      <c r="J55" s="74">
        <f>'12-2017'!J67</f>
        <v>0</v>
      </c>
    </row>
    <row r="56" spans="1:10" s="58" customFormat="1" ht="17.25" hidden="1">
      <c r="A56" s="10" t="str">
        <f>'12-2017'!A68</f>
        <v>22</v>
      </c>
      <c r="B56" s="11" t="str">
        <f>'12-2017'!B68</f>
        <v>Đá (1,0 x 1,6) ly tâm</v>
      </c>
      <c r="C56" s="12" t="str">
        <f>'12-2017'!C68</f>
        <v>đồng/m3</v>
      </c>
      <c r="D56" s="13">
        <f>'12-2017'!O68</f>
        <v>330000</v>
      </c>
      <c r="E56" s="13">
        <f>'12-2017'!P68</f>
        <v>330000</v>
      </c>
      <c r="F56" s="130">
        <f t="shared" si="2"/>
        <v>0</v>
      </c>
      <c r="H56" s="74">
        <f>'12-2017'!H68</f>
        <v>0</v>
      </c>
      <c r="I56" s="74">
        <f>'12-2017'!I68</f>
        <v>0</v>
      </c>
      <c r="J56" s="74">
        <f>'12-2017'!J68</f>
        <v>0</v>
      </c>
    </row>
    <row r="57" spans="1:10" s="58" customFormat="1" ht="17.25" hidden="1">
      <c r="A57" s="10" t="str">
        <f>'12-2017'!A69</f>
        <v>23</v>
      </c>
      <c r="B57" s="11" t="str">
        <f>'12-2017'!B69</f>
        <v>Đá (1,0 x 1,9) ly tâm</v>
      </c>
      <c r="C57" s="12" t="str">
        <f>'12-2017'!C69</f>
        <v>đồng/m3</v>
      </c>
      <c r="D57" s="13">
        <f>'12-2017'!O69</f>
        <v>302500</v>
      </c>
      <c r="E57" s="13">
        <f>'12-2017'!P69</f>
        <v>302500</v>
      </c>
      <c r="F57" s="130">
        <f t="shared" si="2"/>
        <v>0</v>
      </c>
      <c r="H57" s="74">
        <f>'12-2017'!H69</f>
        <v>0</v>
      </c>
      <c r="I57" s="74">
        <f>'12-2017'!I69</f>
        <v>0</v>
      </c>
      <c r="J57" s="74">
        <f>'12-2017'!J69</f>
        <v>0</v>
      </c>
    </row>
    <row r="58" spans="1:10" s="58" customFormat="1" ht="17.25" hidden="1">
      <c r="A58" s="10" t="str">
        <f>'12-2017'!A70</f>
        <v>24</v>
      </c>
      <c r="B58" s="11" t="str">
        <f>'12-2017'!B70</f>
        <v>Đá (1,6 x 2,0) ly tâm</v>
      </c>
      <c r="C58" s="12" t="str">
        <f>'12-2017'!C70</f>
        <v>đồng/m3</v>
      </c>
      <c r="D58" s="13">
        <f>'12-2017'!O70</f>
        <v>330000</v>
      </c>
      <c r="E58" s="13">
        <f>'12-2017'!P70</f>
        <v>330000</v>
      </c>
      <c r="F58" s="130">
        <f t="shared" si="2"/>
        <v>0</v>
      </c>
      <c r="H58" s="74">
        <f>'12-2017'!H70</f>
        <v>0</v>
      </c>
      <c r="I58" s="74">
        <f>'12-2017'!I70</f>
        <v>0</v>
      </c>
      <c r="J58" s="74">
        <f>'12-2017'!J70</f>
        <v>0</v>
      </c>
    </row>
    <row r="59" spans="1:10" s="58" customFormat="1" ht="17.25" hidden="1">
      <c r="A59" s="10" t="str">
        <f>'12-2017'!A71</f>
        <v>25</v>
      </c>
      <c r="B59" s="11" t="str">
        <f>'12-2017'!B71</f>
        <v>Đá mi sàng ly tâm</v>
      </c>
      <c r="C59" s="12" t="str">
        <f>'12-2017'!C71</f>
        <v>đồng/m3</v>
      </c>
      <c r="D59" s="13">
        <f>'12-2017'!O71</f>
        <v>242000</v>
      </c>
      <c r="E59" s="13">
        <f>'12-2017'!P71</f>
        <v>242000</v>
      </c>
      <c r="F59" s="130">
        <f t="shared" si="2"/>
        <v>0</v>
      </c>
      <c r="H59" s="74">
        <f>'12-2017'!H71</f>
        <v>0</v>
      </c>
      <c r="I59" s="74">
        <f>'12-2017'!I71</f>
        <v>0</v>
      </c>
      <c r="J59" s="74">
        <f>'12-2017'!J71</f>
        <v>0</v>
      </c>
    </row>
    <row r="60" spans="1:10" s="58" customFormat="1" ht="17.25" hidden="1">
      <c r="A60" s="10" t="str">
        <f>'12-2017'!A72</f>
        <v>26</v>
      </c>
      <c r="B60" s="11" t="str">
        <f>'12-2017'!B72</f>
        <v>Cát nghiền 06</v>
      </c>
      <c r="C60" s="12" t="str">
        <f>'12-2017'!C72</f>
        <v>đồng/m3</v>
      </c>
      <c r="D60" s="13">
        <f>'12-2017'!O72</f>
        <v>242000</v>
      </c>
      <c r="E60" s="13">
        <f>'12-2017'!P72</f>
        <v>242000</v>
      </c>
      <c r="F60" s="130">
        <f t="shared" si="2"/>
        <v>0</v>
      </c>
      <c r="H60" s="74">
        <f>'12-2017'!H72</f>
        <v>0</v>
      </c>
      <c r="I60" s="74">
        <f>'12-2017'!I72</f>
        <v>0</v>
      </c>
      <c r="J60" s="74">
        <f>'12-2017'!J72</f>
        <v>0</v>
      </c>
    </row>
    <row r="61" spans="1:10" s="58" customFormat="1" ht="60" customHeight="1">
      <c r="A61" s="10"/>
      <c r="B61" s="237" t="str">
        <f>'12-2017'!B73:N73</f>
        <v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07/9/2017</v>
      </c>
      <c r="C61" s="238"/>
      <c r="D61" s="238"/>
      <c r="E61" s="238"/>
      <c r="F61" s="239"/>
      <c r="H61" s="74">
        <f>'12-2017'!H73</f>
        <v>0</v>
      </c>
      <c r="I61" s="74">
        <f>'12-2017'!I73</f>
        <v>0</v>
      </c>
      <c r="J61" s="74">
        <f>'12-2017'!J73</f>
        <v>0</v>
      </c>
    </row>
    <row r="62" spans="1:10" s="58" customFormat="1" ht="17.25" hidden="1">
      <c r="A62" s="10">
        <f>'12-2017'!A74</f>
        <v>1</v>
      </c>
      <c r="B62" s="11" t="str">
        <f>'12-2017'!B74</f>
        <v xml:space="preserve"> Đá 20 x 30 (đá hộc)</v>
      </c>
      <c r="C62" s="12" t="str">
        <f>'12-2017'!C74</f>
        <v>đ/m3</v>
      </c>
      <c r="D62" s="13">
        <f>'12-2017'!O74</f>
        <v>162273</v>
      </c>
      <c r="E62" s="13">
        <f>'12-2017'!P74</f>
        <v>162273</v>
      </c>
      <c r="F62" s="130">
        <f t="shared" ref="F62:F67" si="3">E62-D62</f>
        <v>0</v>
      </c>
      <c r="H62" s="74">
        <f>'12-2017'!H74</f>
        <v>0</v>
      </c>
      <c r="I62" s="74">
        <f>'12-2017'!I74</f>
        <v>0</v>
      </c>
      <c r="J62" s="74">
        <f>'12-2017'!J74</f>
        <v>0</v>
      </c>
    </row>
    <row r="63" spans="1:10" s="58" customFormat="1" ht="17.25" hidden="1">
      <c r="A63" s="10">
        <f>'12-2017'!A75</f>
        <v>2</v>
      </c>
      <c r="B63" s="11" t="str">
        <f>'12-2017'!B75</f>
        <v xml:space="preserve"> Đá 5 x7 xay</v>
      </c>
      <c r="C63" s="12" t="str">
        <f>'12-2017'!C75</f>
        <v>đ/m3</v>
      </c>
      <c r="D63" s="13">
        <f>'12-2017'!O75</f>
        <v>168364</v>
      </c>
      <c r="E63" s="13">
        <f>'12-2017'!P75</f>
        <v>168364</v>
      </c>
      <c r="F63" s="130">
        <f t="shared" si="3"/>
        <v>0</v>
      </c>
      <c r="H63" s="74">
        <f>'12-2017'!H75</f>
        <v>0</v>
      </c>
      <c r="I63" s="74">
        <f>'12-2017'!I75</f>
        <v>0</v>
      </c>
      <c r="J63" s="74">
        <f>'12-2017'!J75</f>
        <v>0</v>
      </c>
    </row>
    <row r="64" spans="1:10" s="58" customFormat="1" ht="17.25" hidden="1">
      <c r="A64" s="10">
        <f>'12-2017'!A76</f>
        <v>3</v>
      </c>
      <c r="B64" s="11" t="str">
        <f>'12-2017'!B76</f>
        <v xml:space="preserve"> Đá 4 x 6 xay</v>
      </c>
      <c r="C64" s="12" t="str">
        <f>'12-2017'!C76</f>
        <v>đ/m3</v>
      </c>
      <c r="D64" s="13">
        <f>'12-2017'!O76</f>
        <v>168364</v>
      </c>
      <c r="E64" s="13">
        <f>'12-2017'!P76</f>
        <v>168364</v>
      </c>
      <c r="F64" s="130">
        <f t="shared" si="3"/>
        <v>0</v>
      </c>
      <c r="H64" s="74">
        <f>'12-2017'!H76</f>
        <v>0</v>
      </c>
      <c r="I64" s="74">
        <f>'12-2017'!I76</f>
        <v>0</v>
      </c>
      <c r="J64" s="74">
        <f>'12-2017'!J76</f>
        <v>0</v>
      </c>
    </row>
    <row r="65" spans="1:10" s="58" customFormat="1" ht="17.25" hidden="1">
      <c r="A65" s="10">
        <f>'12-2017'!A77</f>
        <v>4</v>
      </c>
      <c r="B65" s="11" t="str">
        <f>'12-2017'!B77</f>
        <v xml:space="preserve"> Đá 1 x 2 xay</v>
      </c>
      <c r="C65" s="12" t="str">
        <f>'12-2017'!C77</f>
        <v>đ/m3</v>
      </c>
      <c r="D65" s="13">
        <f>'12-2017'!O77</f>
        <v>235000</v>
      </c>
      <c r="E65" s="13">
        <f>'12-2017'!P77</f>
        <v>235000</v>
      </c>
      <c r="F65" s="130">
        <f t="shared" si="3"/>
        <v>0</v>
      </c>
      <c r="H65" s="74">
        <f>'12-2017'!H77</f>
        <v>0</v>
      </c>
      <c r="I65" s="74">
        <f>'12-2017'!I77</f>
        <v>0</v>
      </c>
      <c r="J65" s="74">
        <f>'12-2017'!J77</f>
        <v>0</v>
      </c>
    </row>
    <row r="66" spans="1:10" s="58" customFormat="1" ht="17.25" hidden="1">
      <c r="A66" s="10">
        <f>'12-2017'!A78</f>
        <v>5</v>
      </c>
      <c r="B66" s="11" t="str">
        <f>'12-2017'!B78</f>
        <v xml:space="preserve"> Đá 0 x4  xay</v>
      </c>
      <c r="C66" s="12" t="str">
        <f>'12-2017'!C78</f>
        <v>đ/m3</v>
      </c>
      <c r="D66" s="13">
        <f>'12-2017'!O78</f>
        <v>136364</v>
      </c>
      <c r="E66" s="13">
        <f>'12-2017'!P78</f>
        <v>136364</v>
      </c>
      <c r="F66" s="130">
        <f t="shared" si="3"/>
        <v>0</v>
      </c>
      <c r="H66" s="74">
        <f>'12-2017'!H78</f>
        <v>0</v>
      </c>
      <c r="I66" s="74">
        <f>'12-2017'!I78</f>
        <v>0</v>
      </c>
      <c r="J66" s="74">
        <f>'12-2017'!J78</f>
        <v>0</v>
      </c>
    </row>
    <row r="67" spans="1:10" s="58" customFormat="1" ht="17.25" hidden="1">
      <c r="A67" s="10">
        <f>'12-2017'!A79</f>
        <v>6</v>
      </c>
      <c r="B67" s="11" t="str">
        <f>'12-2017'!B79</f>
        <v xml:space="preserve"> Đá cát dơ đầu cần</v>
      </c>
      <c r="C67" s="12" t="str">
        <f>'12-2017'!C79</f>
        <v>đ/m3</v>
      </c>
      <c r="D67" s="13">
        <f>'12-2017'!O79</f>
        <v>68182</v>
      </c>
      <c r="E67" s="13">
        <f>'12-2017'!P79</f>
        <v>68182</v>
      </c>
      <c r="F67" s="130">
        <f t="shared" si="3"/>
        <v>0</v>
      </c>
      <c r="H67" s="74">
        <f>'12-2017'!H79</f>
        <v>0</v>
      </c>
      <c r="I67" s="74">
        <f>'12-2017'!I79</f>
        <v>0</v>
      </c>
      <c r="J67" s="74">
        <f>'12-2017'!J79</f>
        <v>0</v>
      </c>
    </row>
    <row r="68" spans="1:10" s="58" customFormat="1" ht="17.25" hidden="1">
      <c r="A68" s="10">
        <f>'12-2017'!A80</f>
        <v>7</v>
      </c>
      <c r="B68" s="11" t="str">
        <f>'12-2017'!B80</f>
        <v xml:space="preserve"> Đá mi  0,8 - 0,9</v>
      </c>
      <c r="C68" s="12" t="str">
        <f>'12-2017'!C80</f>
        <v>đ/m3</v>
      </c>
      <c r="D68" s="13">
        <f>'12-2017'!O80</f>
        <v>136364</v>
      </c>
      <c r="E68" s="13">
        <f>'12-2017'!P80</f>
        <v>136364</v>
      </c>
      <c r="F68" s="130">
        <f>E68-D68</f>
        <v>0</v>
      </c>
      <c r="H68" s="74">
        <f>'12-2017'!H80</f>
        <v>0</v>
      </c>
      <c r="I68" s="74">
        <f>'12-2017'!I80</f>
        <v>0</v>
      </c>
      <c r="J68" s="74">
        <f>'12-2017'!J80</f>
        <v>0</v>
      </c>
    </row>
    <row r="69" spans="1:10" s="58" customFormat="1" ht="17.25" hidden="1">
      <c r="A69" s="10">
        <f>'12-2017'!A81</f>
        <v>8</v>
      </c>
      <c r="B69" s="11" t="str">
        <f>'12-2017'!B81</f>
        <v xml:space="preserve"> Bụi xây dựng 0,6 - 0,7</v>
      </c>
      <c r="C69" s="12" t="str">
        <f>'12-2017'!C81</f>
        <v>đ/m3</v>
      </c>
      <c r="D69" s="13">
        <f>'12-2017'!O81</f>
        <v>86364</v>
      </c>
      <c r="E69" s="13">
        <f>'12-2017'!P81</f>
        <v>86364</v>
      </c>
      <c r="F69" s="130">
        <f>E69-D69</f>
        <v>0</v>
      </c>
      <c r="H69" s="74">
        <f>'12-2017'!H81</f>
        <v>0</v>
      </c>
      <c r="I69" s="74">
        <f>'12-2017'!I81</f>
        <v>0</v>
      </c>
      <c r="J69" s="74">
        <f>'12-2017'!J81</f>
        <v>0</v>
      </c>
    </row>
    <row r="70" spans="1:10" s="58" customFormat="1" ht="17.25" hidden="1">
      <c r="A70" s="10">
        <f>'12-2017'!A82</f>
        <v>9</v>
      </c>
      <c r="B70" s="11" t="str">
        <f>'12-2017'!B82</f>
        <v xml:space="preserve"> Đá cát dơ tầng phủ</v>
      </c>
      <c r="C70" s="12" t="str">
        <f>'12-2017'!C82</f>
        <v>đ/m3</v>
      </c>
      <c r="D70" s="13">
        <f>'12-2017'!O82</f>
        <v>43545</v>
      </c>
      <c r="E70" s="13">
        <f>'12-2017'!P82</f>
        <v>43545</v>
      </c>
      <c r="F70" s="130">
        <f>E70-D70</f>
        <v>0</v>
      </c>
      <c r="H70" s="74">
        <f>'12-2017'!H82</f>
        <v>0</v>
      </c>
      <c r="I70" s="74">
        <f>'12-2017'!I82</f>
        <v>0</v>
      </c>
      <c r="J70" s="74">
        <f>'12-2017'!J82</f>
        <v>0</v>
      </c>
    </row>
    <row r="71" spans="1:10" s="58" customFormat="1" ht="17.25" customHeight="1">
      <c r="A71" s="17" t="str">
        <f>'12-2017'!A83</f>
        <v>II</v>
      </c>
      <c r="B71" s="237" t="str">
        <f>'12-2017'!B83:N83</f>
        <v>CÁT CÁC LOẠI:</v>
      </c>
      <c r="C71" s="238"/>
      <c r="D71" s="238"/>
      <c r="E71" s="238"/>
      <c r="F71" s="239"/>
      <c r="H71" s="74">
        <f>'12-2017'!H83</f>
        <v>0</v>
      </c>
      <c r="I71" s="74">
        <f>'12-2017'!I83</f>
        <v>0</v>
      </c>
      <c r="J71" s="74">
        <f>'12-2017'!J83</f>
        <v>0</v>
      </c>
    </row>
    <row r="72" spans="1:10" s="58" customFormat="1" ht="39.75" customHeight="1">
      <c r="A72" s="10"/>
      <c r="B72" s="237" t="str">
        <f>'12-2017'!B84:N84</f>
        <v>Tại mỏ cát Vĩnh Xương, mỏ cát Cái Dầu và Phú An của Công ty TNHH MTV Xây lắp An Giang (Theo giá bán tại mỏ áp dụng từ 06/11/2017,  đã bao gồm thuế GTGT, thuế tài nguyên, phí bảo vệ môi trường và các loại phí khác)</v>
      </c>
      <c r="C72" s="238"/>
      <c r="D72" s="238"/>
      <c r="E72" s="238"/>
      <c r="F72" s="239"/>
      <c r="H72" s="74">
        <f>'12-2017'!H84</f>
        <v>0</v>
      </c>
      <c r="I72" s="74">
        <f>'12-2017'!I84</f>
        <v>0</v>
      </c>
      <c r="J72" s="74">
        <f>'12-2017'!J84</f>
        <v>0</v>
      </c>
    </row>
    <row r="73" spans="1:10" s="58" customFormat="1" ht="17.25" hidden="1">
      <c r="A73" s="10">
        <f>'12-2017'!A85</f>
        <v>1</v>
      </c>
      <c r="B73" s="11" t="str">
        <f>'12-2017'!B85</f>
        <v>Cát san lấp:</v>
      </c>
      <c r="C73" s="12" t="str">
        <f>'12-2017'!C85</f>
        <v>đồng/m3</v>
      </c>
      <c r="D73" s="13">
        <f>'12-2017'!O85</f>
        <v>55000</v>
      </c>
      <c r="E73" s="13">
        <f>'12-2017'!P85</f>
        <v>66000</v>
      </c>
      <c r="F73" s="130">
        <f>E73-D73</f>
        <v>11000</v>
      </c>
      <c r="H73" s="74">
        <f>'12-2017'!H85</f>
        <v>0</v>
      </c>
      <c r="I73" s="74">
        <f>'12-2017'!I85</f>
        <v>0</v>
      </c>
      <c r="J73" s="74">
        <f>'12-2017'!J85</f>
        <v>0</v>
      </c>
    </row>
    <row r="74" spans="1:10" s="58" customFormat="1" ht="17.25" hidden="1">
      <c r="A74" s="10">
        <f>'12-2017'!A86</f>
        <v>2</v>
      </c>
      <c r="B74" s="11" t="str">
        <f>'12-2017'!B86</f>
        <v xml:space="preserve">Cát xây dựng </v>
      </c>
      <c r="C74" s="12" t="str">
        <f>'12-2017'!C86</f>
        <v>đồng/m3</v>
      </c>
      <c r="D74" s="13">
        <f>'12-2017'!O86</f>
        <v>88000</v>
      </c>
      <c r="E74" s="13">
        <f>'12-2017'!P86</f>
        <v>88000</v>
      </c>
      <c r="F74" s="130">
        <f>E74-D74</f>
        <v>0</v>
      </c>
      <c r="H74" s="74">
        <f>'12-2017'!H86</f>
        <v>0</v>
      </c>
      <c r="I74" s="74">
        <f>'12-2017'!I86</f>
        <v>0</v>
      </c>
      <c r="J74" s="74">
        <f>'12-2017'!J86</f>
        <v>0</v>
      </c>
    </row>
    <row r="75" spans="1:10" s="58" customFormat="1" ht="49.5" customHeight="1">
      <c r="A75" s="10"/>
      <c r="B75" s="237" t="str">
        <f>'12-2017'!B87</f>
        <v>Tại xã Tấn Mỹ, huyện Chợ Mới: Công ty TNHH xây dựng thương mại Hải Toàn (giá bán tại mỏ áp dụng từ ngày 11/9/2017, đã bao gồm thuế GTGT, thuế tài nguyên, phí bảo vệ môi trường và các loại phí khác)</v>
      </c>
      <c r="C75" s="238"/>
      <c r="D75" s="238"/>
      <c r="E75" s="238"/>
      <c r="F75" s="239"/>
      <c r="H75" s="74">
        <f>'12-2017'!H87</f>
        <v>0</v>
      </c>
      <c r="I75" s="74">
        <f>'12-2017'!I87</f>
        <v>0</v>
      </c>
      <c r="J75" s="74">
        <f>'12-2017'!J87</f>
        <v>0</v>
      </c>
    </row>
    <row r="76" spans="1:10" s="58" customFormat="1" ht="17.25" hidden="1">
      <c r="A76" s="10">
        <f>'12-2017'!A88</f>
        <v>1</v>
      </c>
      <c r="B76" s="11" t="str">
        <f>'12-2017'!B88</f>
        <v>Cát san lấp:</v>
      </c>
      <c r="C76" s="12" t="str">
        <f>'12-2017'!C88</f>
        <v>đồng/m3</v>
      </c>
      <c r="D76" s="13">
        <f>'12-2017'!O88</f>
        <v>37750</v>
      </c>
      <c r="E76" s="13">
        <f>'12-2017'!P88</f>
        <v>55000</v>
      </c>
      <c r="F76" s="130">
        <f>E76-D76</f>
        <v>17250</v>
      </c>
      <c r="H76" s="74">
        <f>'12-2017'!H88</f>
        <v>0</v>
      </c>
      <c r="I76" s="74">
        <f>'12-2017'!I88</f>
        <v>0</v>
      </c>
      <c r="J76" s="74">
        <f>'12-2017'!J88</f>
        <v>0</v>
      </c>
    </row>
    <row r="77" spans="1:10" s="58" customFormat="1" ht="17.25" hidden="1">
      <c r="A77" s="10">
        <f>'12-2017'!A89</f>
        <v>2</v>
      </c>
      <c r="B77" s="11" t="str">
        <f>'12-2017'!B89</f>
        <v xml:space="preserve">Cát xây dựng </v>
      </c>
      <c r="C77" s="12" t="str">
        <f>'12-2017'!C89</f>
        <v>đồng/m3</v>
      </c>
      <c r="D77" s="13">
        <f>'12-2017'!O89</f>
        <v>47750</v>
      </c>
      <c r="E77" s="13">
        <f>'12-2017'!P89</f>
        <v>88000</v>
      </c>
      <c r="F77" s="130">
        <f>E77-D77</f>
        <v>40250</v>
      </c>
      <c r="H77" s="74">
        <f>'12-2017'!H89</f>
        <v>0</v>
      </c>
      <c r="I77" s="74">
        <f>'12-2017'!I89</f>
        <v>0</v>
      </c>
      <c r="J77" s="74">
        <f>'12-2017'!J89</f>
        <v>0</v>
      </c>
    </row>
    <row r="78" spans="1:10" s="58" customFormat="1" ht="49.5" customHeight="1">
      <c r="A78" s="10"/>
      <c r="B78" s="237" t="str">
        <f>'12-2017'!B90</f>
        <v>Tại xã Vĩnh Hòa, TX.Tân Châu: Theo bảng kê khai giá áp dụng từ ngày 30/10/2017 của Công ty TNHH Thiện Nghĩa (giá bán tại mỏ, đã bao gồm thuế GTGT, thuế tài nguyên, phí bảo vệ môi trường và các loại phí khác)</v>
      </c>
      <c r="C78" s="238"/>
      <c r="D78" s="238"/>
      <c r="E78" s="238"/>
      <c r="F78" s="239"/>
      <c r="H78" s="74">
        <f>'12-2017'!H90</f>
        <v>0</v>
      </c>
      <c r="I78" s="74">
        <f>'12-2017'!I90</f>
        <v>0</v>
      </c>
      <c r="J78" s="74">
        <f>'12-2017'!J90</f>
        <v>0</v>
      </c>
    </row>
    <row r="79" spans="1:10" s="58" customFormat="1" ht="17.25" hidden="1">
      <c r="A79" s="10">
        <f>'12-2017'!A91</f>
        <v>1</v>
      </c>
      <c r="B79" s="11" t="str">
        <f>'12-2017'!B91</f>
        <v>Cát san lấp:</v>
      </c>
      <c r="C79" s="12" t="str">
        <f>'12-2017'!C91</f>
        <v>đồng/m3</v>
      </c>
      <c r="D79" s="13">
        <f>'12-2017'!O91</f>
        <v>37264</v>
      </c>
      <c r="E79" s="13">
        <f>'12-2017'!P91</f>
        <v>55000</v>
      </c>
      <c r="F79" s="130">
        <f>E79-D79</f>
        <v>17736</v>
      </c>
      <c r="H79" s="74">
        <f>'12-2017'!H91</f>
        <v>0</v>
      </c>
      <c r="I79" s="74">
        <f>'12-2017'!I91</f>
        <v>0</v>
      </c>
      <c r="J79" s="74">
        <f>'12-2017'!J91</f>
        <v>0</v>
      </c>
    </row>
    <row r="80" spans="1:10" s="58" customFormat="1" ht="17.25" hidden="1">
      <c r="A80" s="10">
        <f>'12-2017'!A92</f>
        <v>2</v>
      </c>
      <c r="B80" s="11" t="str">
        <f>'12-2017'!B92</f>
        <v xml:space="preserve">Cát xây dựng </v>
      </c>
      <c r="C80" s="12" t="str">
        <f>'12-2017'!C92</f>
        <v>đồng/m3</v>
      </c>
      <c r="D80" s="13">
        <f>'12-2017'!O92</f>
        <v>48894</v>
      </c>
      <c r="E80" s="13">
        <f>'12-2017'!P92</f>
        <v>88000</v>
      </c>
      <c r="F80" s="130">
        <f>E80-D80</f>
        <v>39106</v>
      </c>
      <c r="H80" s="74">
        <f>'12-2017'!H92</f>
        <v>0</v>
      </c>
      <c r="I80" s="74">
        <f>'12-2017'!I92</f>
        <v>0</v>
      </c>
      <c r="J80" s="74">
        <f>'12-2017'!J92</f>
        <v>0</v>
      </c>
    </row>
    <row r="81" spans="1:10" s="58" customFormat="1" ht="49.5" customHeight="1">
      <c r="A81" s="10"/>
      <c r="B81" s="237" t="str">
        <f>'12-2017'!B93</f>
        <v>Tại xã Bình Thủy, huyện Châu Phú và xã Tân Hòa huyện Phú Tân: Theo bảng kê khai giá áp dụng từ ngày 01/9/2017 của Công ty cổ phần xáng cát An Giang (giá bán tại mỏ, đã bao gồm thuế GTGT, thuế tài nguyên, phí bảo vệ môi trường và các loại phí khác)</v>
      </c>
      <c r="C81" s="238"/>
      <c r="D81" s="238"/>
      <c r="E81" s="238"/>
      <c r="F81" s="239"/>
      <c r="H81" s="74">
        <f>'12-2017'!H93</f>
        <v>0</v>
      </c>
      <c r="I81" s="74">
        <f>'12-2017'!I93</f>
        <v>0</v>
      </c>
      <c r="J81" s="74">
        <f>'12-2017'!J93</f>
        <v>0</v>
      </c>
    </row>
    <row r="82" spans="1:10" s="58" customFormat="1" ht="17.25" hidden="1">
      <c r="A82" s="10">
        <f>'12-2017'!A94</f>
        <v>1</v>
      </c>
      <c r="B82" s="11" t="str">
        <f>'12-2017'!B94</f>
        <v>Cát san lấp:</v>
      </c>
      <c r="C82" s="12" t="str">
        <f>'12-2017'!C94</f>
        <v>đồng/m3</v>
      </c>
      <c r="D82" s="13">
        <f>'12-2017'!O94</f>
        <v>66000</v>
      </c>
      <c r="E82" s="13">
        <f>'12-2017'!P94</f>
        <v>66000</v>
      </c>
      <c r="F82" s="130">
        <f>E82-D82</f>
        <v>0</v>
      </c>
      <c r="H82" s="74">
        <f>'12-2017'!H94</f>
        <v>0</v>
      </c>
      <c r="I82" s="74">
        <f>'12-2017'!I94</f>
        <v>0</v>
      </c>
      <c r="J82" s="74">
        <f>'12-2017'!J94</f>
        <v>0</v>
      </c>
    </row>
    <row r="83" spans="1:10" s="58" customFormat="1" ht="49.5" customHeight="1">
      <c r="A83" s="10"/>
      <c r="B83" s="237" t="str">
        <f>'12-2017'!B95</f>
        <v>Tại xã Bình Thành, huyện Châu Phú và xã Nhơn Mỹ, huyện Chợ Mới: Theo bảng kê khai giá áp dụng từ ngày 08/9/2017 của DNTN Thái Bình (giá bán tại mỏ, đã bao gồm thuế GTGT, thuế tài nguyên, phí bảo vệ môi trường và các loại phí khác)</v>
      </c>
      <c r="C83" s="238"/>
      <c r="D83" s="238"/>
      <c r="E83" s="238"/>
      <c r="F83" s="239"/>
      <c r="H83" s="74">
        <f>'12-2017'!H95</f>
        <v>0</v>
      </c>
      <c r="I83" s="74">
        <f>'12-2017'!I95</f>
        <v>0</v>
      </c>
      <c r="J83" s="74">
        <f>'12-2017'!J95</f>
        <v>0</v>
      </c>
    </row>
    <row r="84" spans="1:10" s="58" customFormat="1" ht="17.25" hidden="1">
      <c r="A84" s="10">
        <f>'12-2017'!A96</f>
        <v>1</v>
      </c>
      <c r="B84" s="11" t="str">
        <f>'12-2017'!B96</f>
        <v>Cát san lấp:</v>
      </c>
      <c r="C84" s="12" t="str">
        <f>'12-2017'!C96</f>
        <v>đồng/m3</v>
      </c>
      <c r="D84" s="13">
        <f>'12-2017'!O96</f>
        <v>20500</v>
      </c>
      <c r="E84" s="13">
        <f>'12-2017'!P96</f>
        <v>70000</v>
      </c>
      <c r="F84" s="130">
        <f>E84-D84</f>
        <v>49500</v>
      </c>
      <c r="H84" s="74">
        <f>'12-2017'!H96</f>
        <v>0</v>
      </c>
      <c r="I84" s="74">
        <f>'12-2017'!I96</f>
        <v>0</v>
      </c>
      <c r="J84" s="74">
        <f>'12-2017'!J96</f>
        <v>0</v>
      </c>
    </row>
    <row r="85" spans="1:10" s="58" customFormat="1" ht="49.5" customHeight="1">
      <c r="A85" s="10"/>
      <c r="B85" s="237" t="str">
        <f>'12-2017'!B97</f>
        <v>Công ty TNHH TM-DV Châu Long (giá áp dụng từ ngày 10/11/2017)</v>
      </c>
      <c r="C85" s="238"/>
      <c r="D85" s="238"/>
      <c r="E85" s="238"/>
      <c r="F85" s="239"/>
      <c r="H85" s="74">
        <f>'12-2017'!H97</f>
        <v>0</v>
      </c>
      <c r="I85" s="74">
        <f>'12-2017'!I97</f>
        <v>0</v>
      </c>
      <c r="J85" s="74">
        <f>'12-2017'!J97</f>
        <v>0</v>
      </c>
    </row>
    <row r="86" spans="1:10" s="58" customFormat="1" ht="17.25" hidden="1">
      <c r="A86" s="10"/>
      <c r="B86" s="237" t="str">
        <f>'12-2017'!B98</f>
        <v>Giá bán tại nội ô TP.Châu Đốc, đã bao gồm thuế GTGT và chi phí vận chuyển</v>
      </c>
      <c r="C86" s="238"/>
      <c r="D86" s="238"/>
      <c r="E86" s="238"/>
      <c r="F86" s="239"/>
      <c r="H86" s="74">
        <f>'12-2017'!H98</f>
        <v>0</v>
      </c>
      <c r="I86" s="74">
        <f>'12-2017'!I98</f>
        <v>0</v>
      </c>
      <c r="J86" s="74">
        <f>'12-2017'!J98</f>
        <v>0</v>
      </c>
    </row>
    <row r="87" spans="1:10" s="58" customFormat="1" ht="17.25" hidden="1">
      <c r="A87" s="10">
        <f>'12-2017'!A99</f>
        <v>1</v>
      </c>
      <c r="B87" s="11" t="str">
        <f>'12-2017'!B99</f>
        <v>Cát san lấp</v>
      </c>
      <c r="C87" s="12" t="str">
        <f>'12-2017'!C99</f>
        <v>đồng/m3</v>
      </c>
      <c r="D87" s="13">
        <f>'12-2017'!O99</f>
        <v>66000</v>
      </c>
      <c r="E87" s="13">
        <f>'12-2017'!P99</f>
        <v>110000</v>
      </c>
      <c r="F87" s="130">
        <f>E87-D87</f>
        <v>44000</v>
      </c>
      <c r="H87" s="74">
        <f>'12-2017'!H99</f>
        <v>0</v>
      </c>
      <c r="I87" s="74">
        <f>'12-2017'!I99</f>
        <v>0</v>
      </c>
      <c r="J87" s="74">
        <f>'12-2017'!J99</f>
        <v>0</v>
      </c>
    </row>
    <row r="88" spans="1:10" s="58" customFormat="1" ht="17.25" hidden="1">
      <c r="A88" s="10">
        <f>'12-2017'!A100</f>
        <v>2</v>
      </c>
      <c r="B88" s="11" t="str">
        <f>'12-2017'!B100</f>
        <v xml:space="preserve">Cát xây dựng </v>
      </c>
      <c r="C88" s="12" t="str">
        <f>'12-2017'!C100</f>
        <v>đồng/m3</v>
      </c>
      <c r="D88" s="13">
        <f>'12-2017'!O100</f>
        <v>77000</v>
      </c>
      <c r="E88" s="13">
        <f>'12-2017'!P100</f>
        <v>110000</v>
      </c>
      <c r="F88" s="130">
        <f>E88-D88</f>
        <v>33000</v>
      </c>
      <c r="H88" s="74">
        <f>'12-2017'!H100</f>
        <v>0</v>
      </c>
      <c r="I88" s="74">
        <f>'12-2017'!I100</f>
        <v>0</v>
      </c>
      <c r="J88" s="74">
        <f>'12-2017'!J100</f>
        <v>0</v>
      </c>
    </row>
    <row r="89" spans="1:10" s="58" customFormat="1" ht="17.25" hidden="1">
      <c r="A89" s="10"/>
      <c r="B89" s="237" t="str">
        <f>'12-2017'!B101</f>
        <v>Giá bán tại huyện An Phú, đã bao gồm thuế GTGT và chi phí vận chuyển</v>
      </c>
      <c r="C89" s="238"/>
      <c r="D89" s="238"/>
      <c r="E89" s="238"/>
      <c r="F89" s="239"/>
      <c r="H89" s="74">
        <f>'12-2017'!H101</f>
        <v>0</v>
      </c>
      <c r="I89" s="74">
        <f>'12-2017'!I101</f>
        <v>0</v>
      </c>
      <c r="J89" s="74">
        <f>'12-2017'!J101</f>
        <v>0</v>
      </c>
    </row>
    <row r="90" spans="1:10" s="58" customFormat="1" ht="17.25" hidden="1">
      <c r="A90" s="10">
        <f>'12-2017'!A102</f>
        <v>1</v>
      </c>
      <c r="B90" s="11" t="str">
        <f>'12-2017'!B102</f>
        <v xml:space="preserve">Cát xây dựng </v>
      </c>
      <c r="C90" s="12" t="str">
        <f>'12-2017'!C102</f>
        <v>đồng/m3</v>
      </c>
      <c r="D90" s="13">
        <f>'12-2017'!O102</f>
        <v>170500</v>
      </c>
      <c r="E90" s="13">
        <f>'12-2017'!P102</f>
        <v>110000</v>
      </c>
      <c r="F90" s="130">
        <f>E90-D90</f>
        <v>-60500</v>
      </c>
      <c r="H90" s="74">
        <f>'12-2017'!H102</f>
        <v>0</v>
      </c>
      <c r="I90" s="74">
        <f>'12-2017'!I102</f>
        <v>0</v>
      </c>
      <c r="J90" s="74">
        <f>'12-2017'!J102</f>
        <v>0</v>
      </c>
    </row>
    <row r="91" spans="1:10" s="58" customFormat="1" ht="17.25" hidden="1">
      <c r="A91" s="10"/>
      <c r="B91" s="237" t="str">
        <f>'12-2017'!B103</f>
        <v>Giá bán tại huyện Tri Tôn, đã bao gồm thuế GTGT và chi phí vận chuyển</v>
      </c>
      <c r="C91" s="238"/>
      <c r="D91" s="238"/>
      <c r="E91" s="238"/>
      <c r="F91" s="239"/>
      <c r="H91" s="74">
        <f>'12-2017'!H103</f>
        <v>0</v>
      </c>
      <c r="I91" s="74">
        <f>'12-2017'!I103</f>
        <v>0</v>
      </c>
      <c r="J91" s="74">
        <f>'12-2017'!J103</f>
        <v>0</v>
      </c>
    </row>
    <row r="92" spans="1:10" s="58" customFormat="1" ht="17.25" hidden="1">
      <c r="A92" s="10">
        <f>'12-2017'!A104</f>
        <v>1</v>
      </c>
      <c r="B92" s="11" t="str">
        <f>'12-2017'!B104</f>
        <v xml:space="preserve">Cát xây dựng </v>
      </c>
      <c r="C92" s="12" t="str">
        <f>'12-2017'!C104</f>
        <v>đồng/m3</v>
      </c>
      <c r="D92" s="13">
        <f>'12-2017'!O104</f>
        <v>220000</v>
      </c>
      <c r="E92" s="13">
        <f>'12-2017'!P104</f>
        <v>220000</v>
      </c>
      <c r="F92" s="130">
        <f>E92-D92</f>
        <v>0</v>
      </c>
      <c r="H92" s="74">
        <f>'12-2017'!H104</f>
        <v>0</v>
      </c>
      <c r="I92" s="74">
        <f>'12-2017'!I104</f>
        <v>0</v>
      </c>
      <c r="J92" s="74">
        <f>'12-2017'!J104</f>
        <v>0</v>
      </c>
    </row>
    <row r="93" spans="1:10" s="58" customFormat="1" ht="17.25" hidden="1">
      <c r="A93" s="10"/>
      <c r="B93" s="237" t="str">
        <f>'12-2017'!B105</f>
        <v>Giá bán tại TT.Nhà Bàn,huyện Tịnh Biên, đã bao gồm thuế GTGT và chi phí vận chuyển</v>
      </c>
      <c r="C93" s="238"/>
      <c r="D93" s="238"/>
      <c r="E93" s="238"/>
      <c r="F93" s="239"/>
      <c r="H93" s="74">
        <f>'12-2017'!H105</f>
        <v>0</v>
      </c>
      <c r="I93" s="74">
        <f>'12-2017'!I105</f>
        <v>0</v>
      </c>
      <c r="J93" s="74">
        <f>'12-2017'!J105</f>
        <v>0</v>
      </c>
    </row>
    <row r="94" spans="1:10" s="58" customFormat="1" ht="17.25" hidden="1">
      <c r="A94" s="10">
        <f>'12-2017'!A106</f>
        <v>1</v>
      </c>
      <c r="B94" s="11" t="str">
        <f>'12-2017'!B106</f>
        <v>Cát san lấp:</v>
      </c>
      <c r="C94" s="12" t="str">
        <f>'12-2017'!C106</f>
        <v>đồng/m3</v>
      </c>
      <c r="D94" s="13">
        <f>'12-2017'!O106</f>
        <v>77000</v>
      </c>
      <c r="E94" s="13">
        <f>'12-2017'!P106</f>
        <v>110000</v>
      </c>
      <c r="F94" s="130">
        <f>E94-D94</f>
        <v>33000</v>
      </c>
      <c r="H94" s="74">
        <f>'12-2017'!H106</f>
        <v>0</v>
      </c>
      <c r="I94" s="74">
        <f>'12-2017'!I106</f>
        <v>0</v>
      </c>
      <c r="J94" s="74">
        <f>'12-2017'!J106</f>
        <v>0</v>
      </c>
    </row>
    <row r="95" spans="1:10" s="58" customFormat="1" ht="49.5" customHeight="1">
      <c r="A95" s="10"/>
      <c r="B95" s="237" t="str">
        <f>'12-2017'!B107</f>
        <v>Tại xã Bình Thủy, huyện Châu Phú và xã Mỹ Hội Đông, huyện Chợ Mới: Theo bảng kê khai giá áp dụng từ ngày 10/11/2017 của Công ty TNHH MTV Tân Lê Quang (giá bán tại mỏ, đã bao gồm thuế GTGT, thuế tài nguyên, phí bảo vệ môi trường và các loại phí khác)</v>
      </c>
      <c r="C95" s="238"/>
      <c r="D95" s="238"/>
      <c r="E95" s="238"/>
      <c r="F95" s="239"/>
      <c r="H95" s="74">
        <f>'12-2017'!H107</f>
        <v>0</v>
      </c>
      <c r="I95" s="74">
        <f>'12-2017'!I107</f>
        <v>0</v>
      </c>
      <c r="J95" s="74">
        <f>'12-2017'!J107</f>
        <v>0</v>
      </c>
    </row>
    <row r="96" spans="1:10" s="58" customFormat="1" ht="17.25" hidden="1">
      <c r="A96" s="10">
        <f>'12-2017'!A108</f>
        <v>1</v>
      </c>
      <c r="B96" s="11" t="str">
        <f>'12-2017'!B108</f>
        <v>Cát đen trong san lấp - xây dựng:</v>
      </c>
      <c r="C96" s="12" t="str">
        <f>'12-2017'!C108</f>
        <v>đồng/m3</v>
      </c>
      <c r="D96" s="13">
        <f>'12-2017'!O108</f>
        <v>63750</v>
      </c>
      <c r="E96" s="13">
        <f>'12-2017'!P108</f>
        <v>64000</v>
      </c>
      <c r="F96" s="130">
        <f>E96-D96</f>
        <v>250</v>
      </c>
      <c r="H96" s="74">
        <f>'12-2017'!H108</f>
        <v>0</v>
      </c>
      <c r="I96" s="74">
        <f>'12-2017'!I108</f>
        <v>0</v>
      </c>
      <c r="J96" s="74">
        <f>'12-2017'!J108</f>
        <v>0</v>
      </c>
    </row>
    <row r="97" spans="1:10" s="58" customFormat="1" ht="17.25" hidden="1">
      <c r="A97" s="10">
        <f>'12-2017'!A108</f>
        <v>1</v>
      </c>
      <c r="B97" s="11" t="str">
        <f>'12-2017'!B108</f>
        <v>Cát đen trong san lấp - xây dựng:</v>
      </c>
      <c r="C97" s="12" t="str">
        <f>'12-2017'!C108</f>
        <v>đồng/m3</v>
      </c>
      <c r="D97" s="13">
        <f>'12-2017'!O108</f>
        <v>63750</v>
      </c>
      <c r="E97" s="13">
        <f>'12-2017'!P108</f>
        <v>64000</v>
      </c>
      <c r="F97" s="130">
        <f>E97-D97</f>
        <v>250</v>
      </c>
      <c r="H97" s="74"/>
      <c r="I97" s="74"/>
      <c r="J97" s="74"/>
    </row>
    <row r="98" spans="1:10" s="58" customFormat="1" ht="17.25">
      <c r="A98" s="17" t="str">
        <f>'12-2017'!A109</f>
        <v>III</v>
      </c>
      <c r="B98" s="237" t="str">
        <f>'12-2017'!B109:N109</f>
        <v>NHỰA ĐƯỜNG, BÊ TÔNG NHỰA VÀ BÊ TÔNG TƯƠI:</v>
      </c>
      <c r="C98" s="238"/>
      <c r="D98" s="238"/>
      <c r="E98" s="238"/>
      <c r="F98" s="239"/>
      <c r="H98" s="74">
        <f>'12-2017'!H109</f>
        <v>0</v>
      </c>
      <c r="I98" s="74">
        <f>'12-2017'!I109</f>
        <v>0</v>
      </c>
      <c r="J98" s="74">
        <f>'12-2017'!J109</f>
        <v>0</v>
      </c>
    </row>
    <row r="99" spans="1:10" s="58" customFormat="1" ht="17.25" customHeight="1">
      <c r="A99" s="10"/>
      <c r="B99" s="237" t="str">
        <f>'12-2017'!B110:N110</f>
        <v>* Công ty TNHH Trường Thắng (giao hàng tại KCB Bình Hòa, huyện Châu Thành). Theo bảng giá ngày 02/6/2017</v>
      </c>
      <c r="C99" s="238"/>
      <c r="D99" s="238"/>
      <c r="E99" s="238"/>
      <c r="F99" s="239"/>
      <c r="H99" s="74">
        <f>'12-2017'!H110</f>
        <v>0</v>
      </c>
      <c r="I99" s="74">
        <f>'12-2017'!I110</f>
        <v>0</v>
      </c>
      <c r="J99" s="74">
        <f>'12-2017'!J110</f>
        <v>0</v>
      </c>
    </row>
    <row r="100" spans="1:10" s="58" customFormat="1" ht="17.25" hidden="1">
      <c r="A100" s="10">
        <f>'12-2017'!A111</f>
        <v>1</v>
      </c>
      <c r="B100" s="11" t="str">
        <f>'12-2017'!B111</f>
        <v>Bê tông nhựa nóng hạt mịn C9.5</v>
      </c>
      <c r="C100" s="12" t="str">
        <f>'12-2017'!C111</f>
        <v>đ/tấn</v>
      </c>
      <c r="D100" s="13">
        <f>'12-2017'!O111</f>
        <v>1550000</v>
      </c>
      <c r="E100" s="13">
        <f>'12-2017'!P111</f>
        <v>1550000</v>
      </c>
      <c r="F100" s="130">
        <f>E100-D100</f>
        <v>0</v>
      </c>
      <c r="H100" s="74">
        <f>'12-2017'!H111</f>
        <v>0</v>
      </c>
      <c r="I100" s="74">
        <f>'12-2017'!I111</f>
        <v>0</v>
      </c>
      <c r="J100" s="74">
        <f>'12-2017'!J111</f>
        <v>0</v>
      </c>
    </row>
    <row r="101" spans="1:10" s="58" customFormat="1" ht="17.25" hidden="1">
      <c r="A101" s="10">
        <f>'12-2017'!A112</f>
        <v>2</v>
      </c>
      <c r="B101" s="11" t="str">
        <f>'12-2017'!B112</f>
        <v>Bê tông nhựa nóng hạt trung C12.5</v>
      </c>
      <c r="C101" s="12" t="str">
        <f>'12-2017'!C112</f>
        <v>đ/tấn</v>
      </c>
      <c r="D101" s="13">
        <f>'12-2017'!O112</f>
        <v>1500000</v>
      </c>
      <c r="E101" s="13">
        <f>'12-2017'!P112</f>
        <v>1500000</v>
      </c>
      <c r="F101" s="130">
        <f>E101-D101</f>
        <v>0</v>
      </c>
      <c r="H101" s="74">
        <f>'12-2017'!H112</f>
        <v>0</v>
      </c>
      <c r="I101" s="74">
        <f>'12-2017'!I112</f>
        <v>0</v>
      </c>
      <c r="J101" s="74">
        <f>'12-2017'!J112</f>
        <v>0</v>
      </c>
    </row>
    <row r="102" spans="1:10" s="58" customFormat="1" ht="17.25" hidden="1">
      <c r="A102" s="10">
        <f>'12-2017'!A113</f>
        <v>3</v>
      </c>
      <c r="B102" s="11" t="str">
        <f>'12-2017'!B113</f>
        <v>Bê tông nhựa nóng hạt trung C19</v>
      </c>
      <c r="C102" s="12" t="str">
        <f>'12-2017'!C113</f>
        <v>đ/tấn</v>
      </c>
      <c r="D102" s="13">
        <f>'12-2017'!O113</f>
        <v>1450000</v>
      </c>
      <c r="E102" s="13">
        <f>'12-2017'!P113</f>
        <v>1450000</v>
      </c>
      <c r="F102" s="130">
        <f>E102-D102</f>
        <v>0</v>
      </c>
      <c r="H102" s="74">
        <f>'12-2017'!H113</f>
        <v>0</v>
      </c>
      <c r="I102" s="74">
        <f>'12-2017'!I113</f>
        <v>0</v>
      </c>
      <c r="J102" s="74">
        <f>'12-2017'!J113</f>
        <v>0</v>
      </c>
    </row>
    <row r="103" spans="1:10" s="58" customFormat="1" ht="17.25" hidden="1">
      <c r="A103" s="10">
        <f>'12-2017'!A114</f>
        <v>4</v>
      </c>
      <c r="B103" s="11" t="str">
        <f>'12-2017'!B114</f>
        <v>Bê tông nhựa nguội</v>
      </c>
      <c r="C103" s="12" t="str">
        <f>'12-2017'!C114</f>
        <v>đ/tấn</v>
      </c>
      <c r="D103" s="13">
        <f>'12-2017'!O114</f>
        <v>1250000</v>
      </c>
      <c r="E103" s="13">
        <f>'12-2017'!P114</f>
        <v>1250000</v>
      </c>
      <c r="F103" s="130">
        <f>E103-D103</f>
        <v>0</v>
      </c>
      <c r="H103" s="74">
        <f>'12-2017'!H114</f>
        <v>0</v>
      </c>
      <c r="I103" s="74">
        <f>'12-2017'!I114</f>
        <v>0</v>
      </c>
      <c r="J103" s="74">
        <f>'12-2017'!J114</f>
        <v>0</v>
      </c>
    </row>
    <row r="104" spans="1:10" s="58" customFormat="1" ht="42" customHeight="1">
      <c r="A104" s="10"/>
      <c r="B104" s="237" t="str">
        <f>'12-2017'!B115:N115</f>
        <v>* Công ty TNHH TM-SX-DV Tín Thịnh (số 102H, Nguyễn Xuân Khoát, P.Tân Thành, Q.Tân Phú, Tp.HCM). Giao tại Tp. Long Xuyên. Theo bảng giá ngày 01/12/2017</v>
      </c>
      <c r="C104" s="238"/>
      <c r="D104" s="238"/>
      <c r="E104" s="238"/>
      <c r="F104" s="239"/>
      <c r="H104" s="74">
        <f>'12-2017'!H115</f>
        <v>0</v>
      </c>
      <c r="I104" s="74">
        <f>'12-2017'!I115</f>
        <v>0</v>
      </c>
      <c r="J104" s="74">
        <f>'12-2017'!J115</f>
        <v>0</v>
      </c>
    </row>
    <row r="105" spans="1:10" s="58" customFormat="1" ht="17.25">
      <c r="A105" s="10">
        <f>'12-2017'!A116</f>
        <v>1</v>
      </c>
      <c r="B105" s="11" t="str">
        <f>'12-2017'!B116</f>
        <v>Nhựa đường thùng SHELL SINGAPORE 60/70 (hàng được giao trên xe tại Tp.LX)</v>
      </c>
      <c r="C105" s="12" t="str">
        <f>'12-2017'!C116</f>
        <v>đ/tấn</v>
      </c>
      <c r="D105" s="13">
        <f>'12-2017'!O116</f>
        <v>10818182</v>
      </c>
      <c r="E105" s="13">
        <f>'12-2017'!P116</f>
        <v>10818182</v>
      </c>
      <c r="F105" s="130">
        <f>E105-D105</f>
        <v>0</v>
      </c>
      <c r="H105" s="74">
        <f>'12-2017'!H116</f>
        <v>0</v>
      </c>
      <c r="I105" s="74">
        <f>'12-2017'!I116</f>
        <v>10818182</v>
      </c>
      <c r="J105" s="74">
        <f>'12-2017'!J116</f>
        <v>0</v>
      </c>
    </row>
    <row r="106" spans="1:10" s="58" customFormat="1" ht="39.75" customHeight="1">
      <c r="A106" s="10"/>
      <c r="B106" s="237" t="str">
        <f>'12-2017'!B117:N117</f>
        <v xml:space="preserve"> * Xí nghiệp Xây dựng - Cty TNHH MTV Xây lắp An Giang, giá bán tại Trạm bê tông nhựa nóng tại khu CN Bình Hòa, huyện Châu Thành, An Giang (giá chưa tính phí khoan nhựa và đo E tại hiện trường).  Theo bảng giá ngày 07/9/2017</v>
      </c>
      <c r="C106" s="238"/>
      <c r="D106" s="238"/>
      <c r="E106" s="238"/>
      <c r="F106" s="239"/>
      <c r="H106" s="74">
        <f>'12-2017'!H117</f>
        <v>0</v>
      </c>
      <c r="I106" s="74">
        <f>'12-2017'!I117</f>
        <v>0</v>
      </c>
      <c r="J106" s="74">
        <f>'12-2017'!J117</f>
        <v>0</v>
      </c>
    </row>
    <row r="107" spans="1:10" s="58" customFormat="1" ht="17.25" hidden="1">
      <c r="A107" s="10">
        <f>'12-2017'!A118</f>
        <v>1</v>
      </c>
      <c r="B107" s="11" t="str">
        <f>'12-2017'!B118</f>
        <v>Bê tông nhựa nóng C19</v>
      </c>
      <c r="C107" s="12" t="str">
        <f>'12-2017'!C118</f>
        <v>đ/tấn</v>
      </c>
      <c r="D107" s="13">
        <f>'12-2017'!O118</f>
        <v>1600000</v>
      </c>
      <c r="E107" s="13">
        <f>'12-2017'!P118</f>
        <v>1600000</v>
      </c>
      <c r="F107" s="130">
        <f>E107-D107</f>
        <v>0</v>
      </c>
      <c r="H107" s="74">
        <f>'12-2017'!H118</f>
        <v>0</v>
      </c>
      <c r="I107" s="74">
        <f>'12-2017'!I118</f>
        <v>0</v>
      </c>
      <c r="J107" s="74">
        <f>'12-2017'!J118</f>
        <v>0</v>
      </c>
    </row>
    <row r="108" spans="1:10" s="58" customFormat="1" ht="17.25" hidden="1">
      <c r="A108" s="10">
        <f>'12-2017'!A119</f>
        <v>2</v>
      </c>
      <c r="B108" s="11" t="str">
        <f>'12-2017'!B119</f>
        <v>Bê tông nhựa nóng C12.5</v>
      </c>
      <c r="C108" s="12" t="str">
        <f>'12-2017'!C119</f>
        <v>đ/tấn</v>
      </c>
      <c r="D108" s="13">
        <f>'12-2017'!O119</f>
        <v>1650000</v>
      </c>
      <c r="E108" s="13">
        <f>'12-2017'!P119</f>
        <v>1650000</v>
      </c>
      <c r="F108" s="130">
        <f>E108-D108</f>
        <v>0</v>
      </c>
      <c r="H108" s="74">
        <f>'12-2017'!H119</f>
        <v>0</v>
      </c>
      <c r="I108" s="74">
        <f>'12-2017'!I119</f>
        <v>0</v>
      </c>
      <c r="J108" s="74">
        <f>'12-2017'!J119</f>
        <v>0</v>
      </c>
    </row>
    <row r="109" spans="1:10" s="58" customFormat="1" ht="17.25" hidden="1">
      <c r="A109" s="10">
        <f>'12-2017'!A120</f>
        <v>3</v>
      </c>
      <c r="B109" s="11" t="str">
        <f>'12-2017'!B120</f>
        <v>Bê tông nhựa nóng C8</v>
      </c>
      <c r="C109" s="12" t="str">
        <f>'12-2017'!C120</f>
        <v>đ/tấn</v>
      </c>
      <c r="D109" s="13">
        <f>'12-2017'!O120</f>
        <v>1700000</v>
      </c>
      <c r="E109" s="13">
        <f>'12-2017'!P120</f>
        <v>1700000</v>
      </c>
      <c r="F109" s="130">
        <f>E109-D109</f>
        <v>0</v>
      </c>
      <c r="H109" s="74">
        <f>'12-2017'!H120</f>
        <v>0</v>
      </c>
      <c r="I109" s="74">
        <f>'12-2017'!I120</f>
        <v>0</v>
      </c>
      <c r="J109" s="74">
        <f>'12-2017'!J120</f>
        <v>0</v>
      </c>
    </row>
    <row r="110" spans="1:10" s="58" customFormat="1" ht="51.75" customHeight="1">
      <c r="A110" s="10"/>
      <c r="B110" s="237" t="str">
        <f>'12-2017'!B121:N121</f>
        <v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07/9/2017</v>
      </c>
      <c r="C110" s="238"/>
      <c r="D110" s="238"/>
      <c r="E110" s="238"/>
      <c r="F110" s="239"/>
      <c r="H110" s="74">
        <f>'12-2017'!H121</f>
        <v>0</v>
      </c>
      <c r="I110" s="74">
        <f>'12-2017'!I121</f>
        <v>0</v>
      </c>
      <c r="J110" s="74">
        <f>'12-2017'!J121</f>
        <v>0</v>
      </c>
    </row>
    <row r="111" spans="1:10" s="58" customFormat="1" ht="17.25" hidden="1">
      <c r="A111" s="10">
        <f>'12-2017'!A122</f>
        <v>1</v>
      </c>
      <c r="B111" s="11" t="str">
        <f>'12-2017'!B122</f>
        <v xml:space="preserve">Bê tông tươi, mác 15 MPa </v>
      </c>
      <c r="C111" s="12" t="str">
        <f>'12-2017'!C122</f>
        <v>đ/m3</v>
      </c>
      <c r="D111" s="13">
        <f>'12-2017'!O122</f>
        <v>1190000</v>
      </c>
      <c r="E111" s="13">
        <f>'12-2017'!P122</f>
        <v>1190000</v>
      </c>
      <c r="F111" s="130">
        <f t="shared" ref="F111:F117" si="4">E111-D111</f>
        <v>0</v>
      </c>
      <c r="H111" s="74">
        <f>'12-2017'!H122</f>
        <v>0</v>
      </c>
      <c r="I111" s="74">
        <f>'12-2017'!I122</f>
        <v>0</v>
      </c>
      <c r="J111" s="74">
        <f>'12-2017'!J122</f>
        <v>0</v>
      </c>
    </row>
    <row r="112" spans="1:10" s="58" customFormat="1" ht="17.25" hidden="1">
      <c r="A112" s="10">
        <f>'12-2017'!A123</f>
        <v>2</v>
      </c>
      <c r="B112" s="11" t="str">
        <f>'12-2017'!B123</f>
        <v>Bê tông tươi, mác 20 MPa</v>
      </c>
      <c r="C112" s="12" t="str">
        <f>'12-2017'!C123</f>
        <v>đ/m3</v>
      </c>
      <c r="D112" s="13">
        <f>'12-2017'!O123</f>
        <v>1280000</v>
      </c>
      <c r="E112" s="13">
        <f>'12-2017'!P123</f>
        <v>1280000</v>
      </c>
      <c r="F112" s="130">
        <f t="shared" si="4"/>
        <v>0</v>
      </c>
      <c r="H112" s="74">
        <f>'12-2017'!H123</f>
        <v>0</v>
      </c>
      <c r="I112" s="74">
        <f>'12-2017'!I123</f>
        <v>0</v>
      </c>
      <c r="J112" s="74">
        <f>'12-2017'!J123</f>
        <v>0</v>
      </c>
    </row>
    <row r="113" spans="1:10" s="58" customFormat="1" ht="17.25" hidden="1">
      <c r="A113" s="10">
        <f>'12-2017'!A124</f>
        <v>3</v>
      </c>
      <c r="B113" s="11" t="str">
        <f>'12-2017'!B124</f>
        <v xml:space="preserve">Bê tông tươi, mác 25 MPa </v>
      </c>
      <c r="C113" s="12" t="str">
        <f>'12-2017'!C124</f>
        <v>đ/m3</v>
      </c>
      <c r="D113" s="13">
        <f>'12-2017'!O124</f>
        <v>1370000</v>
      </c>
      <c r="E113" s="13">
        <f>'12-2017'!P124</f>
        <v>1370000</v>
      </c>
      <c r="F113" s="130">
        <f t="shared" si="4"/>
        <v>0</v>
      </c>
      <c r="H113" s="74">
        <f>'12-2017'!H124</f>
        <v>0</v>
      </c>
      <c r="I113" s="74">
        <f>'12-2017'!I124</f>
        <v>0</v>
      </c>
      <c r="J113" s="74">
        <f>'12-2017'!J124</f>
        <v>0</v>
      </c>
    </row>
    <row r="114" spans="1:10" s="58" customFormat="1" ht="17.25" hidden="1">
      <c r="A114" s="10">
        <f>'12-2017'!A125</f>
        <v>4</v>
      </c>
      <c r="B114" s="11" t="str">
        <f>'12-2017'!B125</f>
        <v xml:space="preserve">Bê tông tươi, mác 30 MPa </v>
      </c>
      <c r="C114" s="12" t="str">
        <f>'12-2017'!C125</f>
        <v>đ/m3</v>
      </c>
      <c r="D114" s="13">
        <f>'12-2017'!O125</f>
        <v>1460000</v>
      </c>
      <c r="E114" s="13">
        <f>'12-2017'!P125</f>
        <v>1460000</v>
      </c>
      <c r="F114" s="130">
        <f t="shared" si="4"/>
        <v>0</v>
      </c>
      <c r="H114" s="74">
        <f>'12-2017'!H125</f>
        <v>0</v>
      </c>
      <c r="I114" s="74">
        <f>'12-2017'!I125</f>
        <v>0</v>
      </c>
      <c r="J114" s="74">
        <f>'12-2017'!J125</f>
        <v>0</v>
      </c>
    </row>
    <row r="115" spans="1:10" s="58" customFormat="1" ht="17.25" hidden="1">
      <c r="A115" s="10">
        <f>'12-2017'!A126</f>
        <v>5</v>
      </c>
      <c r="B115" s="11" t="str">
        <f>'12-2017'!B126</f>
        <v>Bê tông tươi, mác 35 Mpa</v>
      </c>
      <c r="C115" s="12" t="str">
        <f>'12-2017'!C126</f>
        <v>đ/m3</v>
      </c>
      <c r="D115" s="13">
        <f>'12-2017'!O126</f>
        <v>1550000</v>
      </c>
      <c r="E115" s="13">
        <f>'12-2017'!P126</f>
        <v>1550000</v>
      </c>
      <c r="F115" s="130">
        <f t="shared" si="4"/>
        <v>0</v>
      </c>
      <c r="H115" s="74">
        <f>'12-2017'!H126</f>
        <v>0</v>
      </c>
      <c r="I115" s="74">
        <f>'12-2017'!I126</f>
        <v>0</v>
      </c>
      <c r="J115" s="74">
        <f>'12-2017'!J126</f>
        <v>0</v>
      </c>
    </row>
    <row r="116" spans="1:10" s="58" customFormat="1" ht="17.25" hidden="1">
      <c r="A116" s="10">
        <f>'12-2017'!A127</f>
        <v>6</v>
      </c>
      <c r="B116" s="11" t="str">
        <f>'12-2017'!B127</f>
        <v>Bê tông tươi, mác 40 Mpa</v>
      </c>
      <c r="C116" s="12" t="str">
        <f>'12-2017'!C127</f>
        <v>đ/m3</v>
      </c>
      <c r="D116" s="13">
        <f>'12-2017'!O127</f>
        <v>1640000</v>
      </c>
      <c r="E116" s="13">
        <f>'12-2017'!P127</f>
        <v>1640000</v>
      </c>
      <c r="F116" s="130">
        <f t="shared" si="4"/>
        <v>0</v>
      </c>
      <c r="H116" s="74">
        <f>'12-2017'!H127</f>
        <v>0</v>
      </c>
      <c r="I116" s="74">
        <f>'12-2017'!I127</f>
        <v>0</v>
      </c>
      <c r="J116" s="74">
        <f>'12-2017'!J127</f>
        <v>0</v>
      </c>
    </row>
    <row r="117" spans="1:10" s="58" customFormat="1" ht="17.25" hidden="1">
      <c r="A117" s="10">
        <f>'12-2017'!A128</f>
        <v>7</v>
      </c>
      <c r="B117" s="11" t="str">
        <f>'12-2017'!B128</f>
        <v>Bê tông tươi, mác 45 Mpa</v>
      </c>
      <c r="C117" s="12" t="str">
        <f>'12-2017'!C128</f>
        <v>đ/m3</v>
      </c>
      <c r="D117" s="13">
        <f>'12-2017'!O128</f>
        <v>1730000</v>
      </c>
      <c r="E117" s="13">
        <f>'12-2017'!P128</f>
        <v>1730000</v>
      </c>
      <c r="F117" s="130">
        <f t="shared" si="4"/>
        <v>0</v>
      </c>
      <c r="H117" s="74">
        <f>'12-2017'!H128</f>
        <v>0</v>
      </c>
      <c r="I117" s="74">
        <f>'12-2017'!I128</f>
        <v>0</v>
      </c>
      <c r="J117" s="74">
        <f>'12-2017'!J128</f>
        <v>0</v>
      </c>
    </row>
    <row r="118" spans="1:10" s="58" customFormat="1" ht="17.25" customHeight="1">
      <c r="A118" s="10"/>
      <c r="B118" s="237" t="str">
        <f>'12-2017'!B129:N129</f>
        <v>* Công ty TNHH Thành Giao (Phường Tân Phong, Quận 7, Thành phố Hồ Chí Minh) . Theo bảng giá ngày 23/3/2016</v>
      </c>
      <c r="C118" s="238"/>
      <c r="D118" s="238"/>
      <c r="E118" s="238"/>
      <c r="F118" s="239"/>
      <c r="H118" s="74">
        <f>'12-2017'!H129</f>
        <v>0</v>
      </c>
      <c r="I118" s="74">
        <f>'12-2017'!I129</f>
        <v>0</v>
      </c>
      <c r="J118" s="74">
        <f>'12-2017'!J129</f>
        <v>0</v>
      </c>
    </row>
    <row r="119" spans="1:10" s="58" customFormat="1" ht="17.25" hidden="1">
      <c r="A119" s="10">
        <f>'12-2017'!A130</f>
        <v>1</v>
      </c>
      <c r="B119" s="11" t="str">
        <f>'12-2017'!B130</f>
        <v>Carboncor</v>
      </c>
      <c r="C119" s="12" t="str">
        <f>'12-2017'!C130</f>
        <v>đ/tấn</v>
      </c>
      <c r="D119" s="13">
        <f>'12-2017'!O130</f>
        <v>4010000</v>
      </c>
      <c r="E119" s="13">
        <f>'12-2017'!P130</f>
        <v>4010000</v>
      </c>
      <c r="F119" s="130">
        <f>E119-D119</f>
        <v>0</v>
      </c>
      <c r="H119" s="74">
        <f>'12-2017'!H130</f>
        <v>0</v>
      </c>
      <c r="I119" s="74">
        <f>'12-2017'!I130</f>
        <v>0</v>
      </c>
      <c r="J119" s="74">
        <f>'12-2017'!J130</f>
        <v>0</v>
      </c>
    </row>
    <row r="120" spans="1:10" s="58" customFormat="1" ht="17.25" customHeight="1">
      <c r="A120" s="17" t="str">
        <f>'12-2017'!A131</f>
        <v>IV</v>
      </c>
      <c r="B120" s="237" t="str">
        <f>'12-2017'!B131:N131</f>
        <v>GỖ XẺ CÁC LOẠI:</v>
      </c>
      <c r="C120" s="238"/>
      <c r="D120" s="238"/>
      <c r="E120" s="238"/>
      <c r="F120" s="239"/>
      <c r="H120" s="74">
        <f>'12-2017'!H131</f>
        <v>0</v>
      </c>
      <c r="I120" s="74">
        <f>'12-2017'!I131</f>
        <v>0</v>
      </c>
      <c r="J120" s="74">
        <f>'12-2017'!J131</f>
        <v>0</v>
      </c>
    </row>
    <row r="121" spans="1:10" s="58" customFormat="1" ht="38.25" customHeight="1">
      <c r="A121" s="17"/>
      <c r="B121" s="237" t="str">
        <f>'12-2017'!B132:N132</f>
        <v xml:space="preserve"> * Cty CP XNK Nông Sản Thực Phẩm AG (QL91, Khóm Đông Thạnh B, Mỹ Thạnh, Tp. Long Xuyên, An Giang). Theo bảng giá ngày 16/03/2017</v>
      </c>
      <c r="C121" s="238"/>
      <c r="D121" s="238"/>
      <c r="E121" s="238"/>
      <c r="F121" s="239"/>
      <c r="H121" s="74">
        <f>'12-2017'!H132</f>
        <v>0</v>
      </c>
      <c r="I121" s="74">
        <f>'12-2017'!I132</f>
        <v>0</v>
      </c>
      <c r="J121" s="74">
        <f>'12-2017'!J132</f>
        <v>0</v>
      </c>
    </row>
    <row r="122" spans="1:10" s="58" customFormat="1" ht="17.25" hidden="1">
      <c r="A122" s="10">
        <f>'12-2017'!A133</f>
        <v>1</v>
      </c>
      <c r="B122" s="11" t="str">
        <f>'12-2017'!B133</f>
        <v>Gỗ ván cốp pha (tạp vườn)</v>
      </c>
      <c r="C122" s="12" t="str">
        <f>'12-2017'!C133</f>
        <v>đ/m3</v>
      </c>
      <c r="D122" s="13">
        <f>'12-2017'!O133</f>
        <v>5454545.4545454541</v>
      </c>
      <c r="E122" s="13">
        <f>'12-2017'!P133</f>
        <v>5454545.4545454541</v>
      </c>
      <c r="F122" s="130">
        <f t="shared" ref="F122:F130" si="5">E122-D122</f>
        <v>0</v>
      </c>
      <c r="H122" s="74">
        <f>'12-2017'!H133</f>
        <v>0</v>
      </c>
      <c r="I122" s="74">
        <f>'12-2017'!I133</f>
        <v>0</v>
      </c>
      <c r="J122" s="74">
        <f>'12-2017'!J133</f>
        <v>0</v>
      </c>
    </row>
    <row r="123" spans="1:10" s="58" customFormat="1" ht="17.25" hidden="1">
      <c r="A123" s="10">
        <f>'12-2017'!A134</f>
        <v>2</v>
      </c>
      <c r="B123" s="11" t="str">
        <f>'12-2017'!B134</f>
        <v>Gỗ dầu đỏ đố</v>
      </c>
      <c r="C123" s="12" t="str">
        <f>'12-2017'!C134</f>
        <v>đ/m3</v>
      </c>
      <c r="D123" s="13">
        <f>'12-2017'!O134</f>
        <v>13636363.636363635</v>
      </c>
      <c r="E123" s="13">
        <f>'12-2017'!P134</f>
        <v>13636363.636363635</v>
      </c>
      <c r="F123" s="130">
        <f t="shared" si="5"/>
        <v>0</v>
      </c>
      <c r="H123" s="74">
        <f>'12-2017'!H134</f>
        <v>0</v>
      </c>
      <c r="I123" s="74">
        <f>'12-2017'!I134</f>
        <v>0</v>
      </c>
      <c r="J123" s="74">
        <f>'12-2017'!J134</f>
        <v>0</v>
      </c>
    </row>
    <row r="124" spans="1:10" s="58" customFormat="1" ht="17.25" hidden="1">
      <c r="A124" s="10">
        <f>'12-2017'!A135</f>
        <v>3</v>
      </c>
      <c r="B124" s="11" t="str">
        <f>'12-2017'!B135</f>
        <v>Gỗ dầu đỏ ván</v>
      </c>
      <c r="C124" s="12" t="str">
        <f>'12-2017'!C135</f>
        <v>đ/m3</v>
      </c>
      <c r="D124" s="13">
        <f>'12-2017'!O135</f>
        <v>16363636.363636361</v>
      </c>
      <c r="E124" s="13">
        <f>'12-2017'!P135</f>
        <v>16363636.363636361</v>
      </c>
      <c r="F124" s="130">
        <f t="shared" si="5"/>
        <v>0</v>
      </c>
      <c r="H124" s="74">
        <f>'12-2017'!H135</f>
        <v>0</v>
      </c>
      <c r="I124" s="74">
        <f>'12-2017'!I135</f>
        <v>0</v>
      </c>
      <c r="J124" s="74">
        <f>'12-2017'!J135</f>
        <v>0</v>
      </c>
    </row>
    <row r="125" spans="1:10" s="58" customFormat="1" ht="17.25" hidden="1">
      <c r="A125" s="10">
        <f>'12-2017'!A136</f>
        <v>4</v>
      </c>
      <c r="B125" s="11" t="str">
        <f>'12-2017'!B136</f>
        <v>Gỗ chò chỉ đố</v>
      </c>
      <c r="C125" s="12" t="str">
        <f>'12-2017'!C136</f>
        <v>đ/m3</v>
      </c>
      <c r="D125" s="13">
        <f>'12-2017'!O136</f>
        <v>19090909.09090909</v>
      </c>
      <c r="E125" s="13">
        <f>'12-2017'!P136</f>
        <v>19090909.09090909</v>
      </c>
      <c r="F125" s="130">
        <f t="shared" si="5"/>
        <v>0</v>
      </c>
      <c r="H125" s="74">
        <f>'12-2017'!H136</f>
        <v>0</v>
      </c>
      <c r="I125" s="74">
        <f>'12-2017'!I136</f>
        <v>0</v>
      </c>
      <c r="J125" s="74">
        <f>'12-2017'!J136</f>
        <v>0</v>
      </c>
    </row>
    <row r="126" spans="1:10" s="58" customFormat="1" ht="17.25" hidden="1">
      <c r="A126" s="10">
        <f>'12-2017'!A137</f>
        <v>5</v>
      </c>
      <c r="B126" s="11" t="str">
        <f>'12-2017'!B137</f>
        <v>Gỗ cà chất đố</v>
      </c>
      <c r="C126" s="12" t="str">
        <f>'12-2017'!C137</f>
        <v>đ/m3</v>
      </c>
      <c r="D126" s="13">
        <f>'12-2017'!O137</f>
        <v>20000000</v>
      </c>
      <c r="E126" s="13">
        <f>'12-2017'!P137</f>
        <v>20000000</v>
      </c>
      <c r="F126" s="130">
        <f t="shared" si="5"/>
        <v>0</v>
      </c>
      <c r="H126" s="74">
        <f>'12-2017'!H137</f>
        <v>0</v>
      </c>
      <c r="I126" s="74">
        <f>'12-2017'!I137</f>
        <v>0</v>
      </c>
      <c r="J126" s="74">
        <f>'12-2017'!J137</f>
        <v>0</v>
      </c>
    </row>
    <row r="127" spans="1:10" s="58" customFormat="1" ht="17.25" hidden="1">
      <c r="A127" s="10">
        <f>'12-2017'!A138</f>
        <v>6</v>
      </c>
      <c r="B127" s="11" t="str">
        <f>'12-2017'!B138</f>
        <v xml:space="preserve">Gỗ thao lao đố </v>
      </c>
      <c r="C127" s="12" t="str">
        <f>'12-2017'!C138</f>
        <v>đ/m3</v>
      </c>
      <c r="D127" s="13">
        <f>'12-2017'!O138</f>
        <v>20454545.454545453</v>
      </c>
      <c r="E127" s="13">
        <f>'12-2017'!P138</f>
        <v>20454545.454545453</v>
      </c>
      <c r="F127" s="130">
        <f t="shared" si="5"/>
        <v>0</v>
      </c>
      <c r="H127" s="74">
        <f>'12-2017'!H138</f>
        <v>0</v>
      </c>
      <c r="I127" s="74">
        <f>'12-2017'!I138</f>
        <v>0</v>
      </c>
      <c r="J127" s="74">
        <f>'12-2017'!J138</f>
        <v>0</v>
      </c>
    </row>
    <row r="128" spans="1:10" s="58" customFormat="1" ht="17.25" hidden="1">
      <c r="A128" s="10">
        <f>'12-2017'!A139</f>
        <v>7</v>
      </c>
      <c r="B128" s="11" t="str">
        <f>'12-2017'!B139</f>
        <v xml:space="preserve">Gỗ thao lao ván </v>
      </c>
      <c r="C128" s="12" t="str">
        <f>'12-2017'!C139</f>
        <v>đ/m3</v>
      </c>
      <c r="D128" s="13">
        <f>'12-2017'!O139</f>
        <v>21818181.818181816</v>
      </c>
      <c r="E128" s="13">
        <f>'12-2017'!P139</f>
        <v>21818181.818181816</v>
      </c>
      <c r="F128" s="130">
        <f t="shared" si="5"/>
        <v>0</v>
      </c>
      <c r="H128" s="74">
        <f>'12-2017'!H139</f>
        <v>0</v>
      </c>
      <c r="I128" s="74">
        <f>'12-2017'!I139</f>
        <v>0</v>
      </c>
      <c r="J128" s="74">
        <f>'12-2017'!J139</f>
        <v>0</v>
      </c>
    </row>
    <row r="129" spans="1:10" s="58" customFormat="1" ht="17.25" hidden="1">
      <c r="A129" s="10">
        <f>'12-2017'!A140</f>
        <v>8</v>
      </c>
      <c r="B129" s="11" t="str">
        <f>'12-2017'!B140</f>
        <v>Gỗ căm xe đố</v>
      </c>
      <c r="C129" s="12" t="str">
        <f>'12-2017'!C140</f>
        <v>đ/m3</v>
      </c>
      <c r="D129" s="13">
        <f>'12-2017'!O140</f>
        <v>27272727.27272727</v>
      </c>
      <c r="E129" s="13">
        <f>'12-2017'!P140</f>
        <v>27272727.27272727</v>
      </c>
      <c r="F129" s="130">
        <f t="shared" si="5"/>
        <v>0</v>
      </c>
      <c r="H129" s="74">
        <f>'12-2017'!H140</f>
        <v>0</v>
      </c>
      <c r="I129" s="74">
        <f>'12-2017'!I140</f>
        <v>0</v>
      </c>
      <c r="J129" s="74">
        <f>'12-2017'!J140</f>
        <v>0</v>
      </c>
    </row>
    <row r="130" spans="1:10" s="58" customFormat="1" ht="17.25" hidden="1">
      <c r="A130" s="10">
        <f>'12-2017'!A141</f>
        <v>9</v>
      </c>
      <c r="B130" s="11" t="str">
        <f>'12-2017'!B141</f>
        <v>Gỗ căm xe ván</v>
      </c>
      <c r="C130" s="12" t="str">
        <f>'12-2017'!C141</f>
        <v>đ/m3</v>
      </c>
      <c r="D130" s="13">
        <f>'12-2017'!O141</f>
        <v>31818181.818181816</v>
      </c>
      <c r="E130" s="13">
        <f>'12-2017'!P141</f>
        <v>31818181.818181816</v>
      </c>
      <c r="F130" s="130">
        <f t="shared" si="5"/>
        <v>0</v>
      </c>
      <c r="H130" s="74">
        <f>'12-2017'!H141</f>
        <v>0</v>
      </c>
      <c r="I130" s="74">
        <f>'12-2017'!I141</f>
        <v>0</v>
      </c>
      <c r="J130" s="74">
        <f>'12-2017'!J141</f>
        <v>0</v>
      </c>
    </row>
    <row r="131" spans="1:10" s="58" customFormat="1" ht="44.25" customHeight="1">
      <c r="A131" s="10"/>
      <c r="B131" s="237" t="str">
        <f>'12-2017'!B142:N142</f>
        <v>CỪ TRÀM: CH Mỹ Linh (Số 19/9E Trần Hưng Đạo, P. Mỹ Quý, Tp.LX, An Giang). Giao hàng trong nội ô Tp.Long Xuyên. Theo bảng giá tham khảo ngày 16/03/2017</v>
      </c>
      <c r="C131" s="238"/>
      <c r="D131" s="238"/>
      <c r="E131" s="238"/>
      <c r="F131" s="239"/>
      <c r="H131" s="74">
        <f>'12-2017'!H142</f>
        <v>0</v>
      </c>
      <c r="I131" s="74">
        <f>'12-2017'!I142</f>
        <v>0</v>
      </c>
      <c r="J131" s="74">
        <f>'12-2017'!J142</f>
        <v>0</v>
      </c>
    </row>
    <row r="132" spans="1:10" s="58" customFormat="1" ht="17.25" hidden="1">
      <c r="A132" s="10">
        <f>'12-2017'!A143</f>
        <v>1</v>
      </c>
      <c r="B132" s="11" t="str">
        <f>'12-2017'!B143</f>
        <v>Cừ dài 5m  (đầu ngọn 4,0cm - 4,2cm)</v>
      </c>
      <c r="C132" s="12" t="str">
        <f>'12-2017'!C143</f>
        <v>đ/cây</v>
      </c>
      <c r="D132" s="13">
        <f>'12-2017'!O143</f>
        <v>39090.909090909088</v>
      </c>
      <c r="E132" s="13">
        <f>'12-2017'!P143</f>
        <v>39090.909090909088</v>
      </c>
      <c r="F132" s="130">
        <f>E132-D132</f>
        <v>0</v>
      </c>
      <c r="H132" s="74">
        <f>'12-2017'!H143</f>
        <v>0</v>
      </c>
      <c r="I132" s="74">
        <f>'12-2017'!I143</f>
        <v>0</v>
      </c>
      <c r="J132" s="74">
        <f>'12-2017'!J143</f>
        <v>0</v>
      </c>
    </row>
    <row r="133" spans="1:10" s="58" customFormat="1" ht="17.25" hidden="1">
      <c r="A133" s="10">
        <f>'12-2017'!A144</f>
        <v>2</v>
      </c>
      <c r="B133" s="11" t="str">
        <f>'12-2017'!B144</f>
        <v>Cừ dài 5m  (đầu ngọn 4,5cm - 5,0cm)</v>
      </c>
      <c r="C133" s="12" t="str">
        <f>'12-2017'!C144</f>
        <v>đ/cây</v>
      </c>
      <c r="D133" s="13">
        <f>'12-2017'!O144</f>
        <v>43636.363636363632</v>
      </c>
      <c r="E133" s="13">
        <f>'12-2017'!P144</f>
        <v>43636.363636363632</v>
      </c>
      <c r="F133" s="130">
        <f>E133-D133</f>
        <v>0</v>
      </c>
      <c r="H133" s="74">
        <f>'12-2017'!H144</f>
        <v>0</v>
      </c>
      <c r="I133" s="74">
        <f>'12-2017'!I144</f>
        <v>0</v>
      </c>
      <c r="J133" s="74">
        <f>'12-2017'!J144</f>
        <v>0</v>
      </c>
    </row>
    <row r="134" spans="1:10" s="58" customFormat="1" ht="17.25" hidden="1">
      <c r="A134" s="10">
        <f>'12-2017'!A145</f>
        <v>3</v>
      </c>
      <c r="B134" s="11" t="str">
        <f>'12-2017'!B145</f>
        <v>Cừ dài 5m  (đầu ngọn 4,8cm - 5,0cm)</v>
      </c>
      <c r="C134" s="12" t="str">
        <f>'12-2017'!C145</f>
        <v>đ/cây</v>
      </c>
      <c r="D134" s="13">
        <f>'12-2017'!O145</f>
        <v>49999.999999999993</v>
      </c>
      <c r="E134" s="13">
        <f>'12-2017'!P145</f>
        <v>49999.999999999993</v>
      </c>
      <c r="F134" s="130">
        <f>E134-D134</f>
        <v>0</v>
      </c>
      <c r="H134" s="74">
        <f>'12-2017'!H145</f>
        <v>0</v>
      </c>
      <c r="I134" s="74">
        <f>'12-2017'!I145</f>
        <v>0</v>
      </c>
      <c r="J134" s="74">
        <f>'12-2017'!J145</f>
        <v>0</v>
      </c>
    </row>
    <row r="135" spans="1:10" s="58" customFormat="1" ht="17.25" hidden="1">
      <c r="A135" s="10">
        <f>'12-2017'!A146</f>
        <v>4</v>
      </c>
      <c r="B135" s="11" t="str">
        <f>'12-2017'!B146</f>
        <v>Cừ dài 5m  (đầu ngọn 5,5cm - 6,5cm)</v>
      </c>
      <c r="C135" s="12" t="str">
        <f>'12-2017'!C146</f>
        <v>đ/cây</v>
      </c>
      <c r="D135" s="13">
        <f>'12-2017'!O146</f>
        <v>54545.454545454544</v>
      </c>
      <c r="E135" s="13">
        <f>'12-2017'!P146</f>
        <v>54545.454545454544</v>
      </c>
      <c r="F135" s="130">
        <f>E135-D135</f>
        <v>0</v>
      </c>
      <c r="H135" s="74">
        <f>'12-2017'!H146</f>
        <v>0</v>
      </c>
      <c r="I135" s="74">
        <f>'12-2017'!I146</f>
        <v>0</v>
      </c>
      <c r="J135" s="74">
        <f>'12-2017'!J146</f>
        <v>0</v>
      </c>
    </row>
    <row r="136" spans="1:10" s="58" customFormat="1" ht="17.25" customHeight="1">
      <c r="A136" s="17" t="str">
        <f>'12-2017'!A147</f>
        <v>V</v>
      </c>
      <c r="B136" s="237" t="str">
        <f>'12-2017'!B147:N147</f>
        <v>TRỤ, CỌC VÀ ỐNG CỐNG BÊ TÔNG LY TÂM CÁC LOẠI:</v>
      </c>
      <c r="C136" s="238"/>
      <c r="D136" s="238"/>
      <c r="E136" s="238"/>
      <c r="F136" s="239"/>
      <c r="H136" s="74">
        <f>'12-2017'!H147</f>
        <v>0</v>
      </c>
      <c r="I136" s="74">
        <f>'12-2017'!I147</f>
        <v>0</v>
      </c>
      <c r="J136" s="74">
        <f>'12-2017'!J147</f>
        <v>0</v>
      </c>
    </row>
    <row r="137" spans="1:10" s="58" customFormat="1" ht="37.5" customHeight="1">
      <c r="A137" s="10"/>
      <c r="B137" s="237" t="str">
        <f>'12-2017'!B148:N148</f>
        <v xml:space="preserve"> * Công ty Cổ phần Bê tông ly tâm An Giang: giao hàng tại Công ty (bốc dỡ 01 đầu lên phương tiện khách hàng). Theo bảng giá ngày 19/09/2016</v>
      </c>
      <c r="C137" s="238"/>
      <c r="D137" s="238"/>
      <c r="E137" s="238"/>
      <c r="F137" s="239"/>
      <c r="H137" s="74">
        <f>'12-2017'!H148</f>
        <v>0</v>
      </c>
      <c r="I137" s="74">
        <f>'12-2017'!I148</f>
        <v>0</v>
      </c>
      <c r="J137" s="74">
        <f>'12-2017'!J148</f>
        <v>0</v>
      </c>
    </row>
    <row r="138" spans="1:10" s="58" customFormat="1" ht="17.25" hidden="1">
      <c r="A138" s="10">
        <f>'12-2017'!A149</f>
        <v>1</v>
      </c>
      <c r="B138" s="11" t="str">
        <f>'12-2017'!B149</f>
        <v xml:space="preserve"> Trụ BTLT 14 A - PC 900</v>
      </c>
      <c r="C138" s="12" t="str">
        <f>'12-2017'!C149</f>
        <v>đ/trụ</v>
      </c>
      <c r="D138" s="13">
        <f>'12-2017'!O149</f>
        <v>3960000</v>
      </c>
      <c r="E138" s="13">
        <f>'12-2017'!P149</f>
        <v>3960000</v>
      </c>
      <c r="F138" s="130">
        <f t="shared" ref="F138:F165" si="6">E138-D138</f>
        <v>0</v>
      </c>
      <c r="H138" s="74">
        <f>'12-2017'!H149</f>
        <v>0</v>
      </c>
      <c r="I138" s="74">
        <f>'12-2017'!I149</f>
        <v>0</v>
      </c>
      <c r="J138" s="74">
        <f>'12-2017'!J149</f>
        <v>0</v>
      </c>
    </row>
    <row r="139" spans="1:10" s="58" customFormat="1" ht="17.25" hidden="1">
      <c r="A139" s="10">
        <f>'12-2017'!A150</f>
        <v>2</v>
      </c>
      <c r="B139" s="11" t="str">
        <f>'12-2017'!B150</f>
        <v xml:space="preserve"> Trụ BTLT 14 A - PC 650</v>
      </c>
      <c r="C139" s="12" t="str">
        <f>'12-2017'!C150</f>
        <v>đ/trụ</v>
      </c>
      <c r="D139" s="13">
        <f>'12-2017'!O150</f>
        <v>3630000</v>
      </c>
      <c r="E139" s="13">
        <f>'12-2017'!P150</f>
        <v>3630000</v>
      </c>
      <c r="F139" s="130">
        <f t="shared" si="6"/>
        <v>0</v>
      </c>
      <c r="H139" s="74">
        <f>'12-2017'!H150</f>
        <v>0</v>
      </c>
      <c r="I139" s="74">
        <f>'12-2017'!I150</f>
        <v>0</v>
      </c>
      <c r="J139" s="74">
        <f>'12-2017'!J150</f>
        <v>0</v>
      </c>
    </row>
    <row r="140" spans="1:10" s="58" customFormat="1" ht="17.25" hidden="1">
      <c r="A140" s="10">
        <f>'12-2017'!A151</f>
        <v>3</v>
      </c>
      <c r="B140" s="11" t="str">
        <f>'12-2017'!B151</f>
        <v xml:space="preserve"> Trụ BTLT 12 A - PC 540</v>
      </c>
      <c r="C140" s="12" t="str">
        <f>'12-2017'!C151</f>
        <v>đ/trụ</v>
      </c>
      <c r="D140" s="13">
        <f>'12-2017'!O151</f>
        <v>2420000</v>
      </c>
      <c r="E140" s="13">
        <f>'12-2017'!P151</f>
        <v>2420000</v>
      </c>
      <c r="F140" s="130">
        <f t="shared" si="6"/>
        <v>0</v>
      </c>
      <c r="H140" s="74">
        <f>'12-2017'!H151</f>
        <v>0</v>
      </c>
      <c r="I140" s="74">
        <f>'12-2017'!I151</f>
        <v>0</v>
      </c>
      <c r="J140" s="74">
        <f>'12-2017'!J151</f>
        <v>0</v>
      </c>
    </row>
    <row r="141" spans="1:10" s="58" customFormat="1" ht="17.25" hidden="1">
      <c r="A141" s="10">
        <f>'12-2017'!A152</f>
        <v>4</v>
      </c>
      <c r="B141" s="11" t="str">
        <f>'12-2017'!B152</f>
        <v xml:space="preserve"> Trụ BTLT 10,5 A - PC 480</v>
      </c>
      <c r="C141" s="12" t="str">
        <f>'12-2017'!C152</f>
        <v>đ/trụ</v>
      </c>
      <c r="D141" s="13">
        <f>'12-2017'!O152</f>
        <v>1925000</v>
      </c>
      <c r="E141" s="13">
        <f>'12-2017'!P152</f>
        <v>1925000</v>
      </c>
      <c r="F141" s="130">
        <f t="shared" si="6"/>
        <v>0</v>
      </c>
      <c r="H141" s="74">
        <f>'12-2017'!H152</f>
        <v>0</v>
      </c>
      <c r="I141" s="74">
        <f>'12-2017'!I152</f>
        <v>0</v>
      </c>
      <c r="J141" s="74">
        <f>'12-2017'!J152</f>
        <v>0</v>
      </c>
    </row>
    <row r="142" spans="1:10" s="58" customFormat="1" ht="17.25" hidden="1">
      <c r="A142" s="10">
        <f>'12-2017'!A153</f>
        <v>5</v>
      </c>
      <c r="B142" s="11" t="str">
        <f>'12-2017'!B153</f>
        <v xml:space="preserve"> Trụ BTLT 10,5 A - PC 350</v>
      </c>
      <c r="C142" s="12" t="str">
        <f>'12-2017'!C153</f>
        <v>đ/trụ</v>
      </c>
      <c r="D142" s="13">
        <f>'12-2017'!O153</f>
        <v>1815000</v>
      </c>
      <c r="E142" s="13">
        <f>'12-2017'!P153</f>
        <v>1815000</v>
      </c>
      <c r="F142" s="130">
        <f t="shared" si="6"/>
        <v>0</v>
      </c>
      <c r="H142" s="74">
        <f>'12-2017'!H153</f>
        <v>0</v>
      </c>
      <c r="I142" s="74">
        <f>'12-2017'!I153</f>
        <v>0</v>
      </c>
      <c r="J142" s="74">
        <f>'12-2017'!J153</f>
        <v>0</v>
      </c>
    </row>
    <row r="143" spans="1:10" s="58" customFormat="1" ht="17.25" hidden="1">
      <c r="A143" s="10">
        <f>'12-2017'!A154</f>
        <v>6</v>
      </c>
      <c r="B143" s="11" t="str">
        <f>'12-2017'!B154</f>
        <v xml:space="preserve"> Trụ BTLT 8,5 B - PC 300</v>
      </c>
      <c r="C143" s="12" t="str">
        <f>'12-2017'!C154</f>
        <v>đ/trụ</v>
      </c>
      <c r="D143" s="13">
        <f>'12-2017'!O154</f>
        <v>1210000</v>
      </c>
      <c r="E143" s="13">
        <f>'12-2017'!P154</f>
        <v>1210000</v>
      </c>
      <c r="F143" s="130">
        <f t="shared" si="6"/>
        <v>0</v>
      </c>
      <c r="H143" s="74">
        <f>'12-2017'!H154</f>
        <v>0</v>
      </c>
      <c r="I143" s="74">
        <f>'12-2017'!I154</f>
        <v>0</v>
      </c>
      <c r="J143" s="74">
        <f>'12-2017'!J154</f>
        <v>0</v>
      </c>
    </row>
    <row r="144" spans="1:10" s="58" customFormat="1" ht="17.25" hidden="1">
      <c r="A144" s="10">
        <f>'12-2017'!A155</f>
        <v>7</v>
      </c>
      <c r="B144" s="11" t="str">
        <f>'12-2017'!B155</f>
        <v xml:space="preserve"> Trụ BTLT 8,5 A - PC 200</v>
      </c>
      <c r="C144" s="12" t="str">
        <f>'12-2017'!C155</f>
        <v>đ/trụ</v>
      </c>
      <c r="D144" s="13">
        <f>'12-2017'!O155</f>
        <v>1080000</v>
      </c>
      <c r="E144" s="13">
        <f>'12-2017'!P155</f>
        <v>1080000</v>
      </c>
      <c r="F144" s="130">
        <f t="shared" si="6"/>
        <v>0</v>
      </c>
      <c r="H144" s="74">
        <f>'12-2017'!H155</f>
        <v>0</v>
      </c>
      <c r="I144" s="74">
        <f>'12-2017'!I155</f>
        <v>0</v>
      </c>
      <c r="J144" s="74">
        <f>'12-2017'!J155</f>
        <v>0</v>
      </c>
    </row>
    <row r="145" spans="1:10" s="58" customFormat="1" ht="17.25" hidden="1">
      <c r="A145" s="10">
        <f>'12-2017'!A156</f>
        <v>8</v>
      </c>
      <c r="B145" s="11" t="str">
        <f>'12-2017'!B156</f>
        <v xml:space="preserve"> Đà cản 2,5m</v>
      </c>
      <c r="C145" s="12" t="str">
        <f>'12-2017'!C156</f>
        <v>đ/cái</v>
      </c>
      <c r="D145" s="13">
        <f>'12-2017'!O156</f>
        <v>685000</v>
      </c>
      <c r="E145" s="13">
        <f>'12-2017'!P156</f>
        <v>685000</v>
      </c>
      <c r="F145" s="130">
        <f t="shared" si="6"/>
        <v>0</v>
      </c>
      <c r="H145" s="74">
        <f>'12-2017'!H156</f>
        <v>0</v>
      </c>
      <c r="I145" s="74">
        <f>'12-2017'!I156</f>
        <v>0</v>
      </c>
      <c r="J145" s="74">
        <f>'12-2017'!J156</f>
        <v>0</v>
      </c>
    </row>
    <row r="146" spans="1:10" s="58" customFormat="1" ht="17.25" hidden="1">
      <c r="A146" s="10">
        <f>'12-2017'!A157</f>
        <v>9</v>
      </c>
      <c r="B146" s="11" t="str">
        <f>'12-2017'!B157</f>
        <v xml:space="preserve"> Đà cản 1,5m</v>
      </c>
      <c r="C146" s="12" t="str">
        <f>'12-2017'!C157</f>
        <v>đ/cái</v>
      </c>
      <c r="D146" s="13">
        <f>'12-2017'!O157</f>
        <v>380000</v>
      </c>
      <c r="E146" s="13">
        <f>'12-2017'!P157</f>
        <v>380000</v>
      </c>
      <c r="F146" s="130">
        <f t="shared" si="6"/>
        <v>0</v>
      </c>
      <c r="H146" s="74">
        <f>'12-2017'!H157</f>
        <v>0</v>
      </c>
      <c r="I146" s="74">
        <f>'12-2017'!I157</f>
        <v>0</v>
      </c>
      <c r="J146" s="74">
        <f>'12-2017'!J157</f>
        <v>0</v>
      </c>
    </row>
    <row r="147" spans="1:10" s="58" customFormat="1" ht="17.25" hidden="1">
      <c r="A147" s="10">
        <f>'12-2017'!A158</f>
        <v>10</v>
      </c>
      <c r="B147" s="11" t="str">
        <f>'12-2017'!B158</f>
        <v xml:space="preserve"> Đà cản 1,2m</v>
      </c>
      <c r="C147" s="12" t="str">
        <f>'12-2017'!C158</f>
        <v>đ/cái</v>
      </c>
      <c r="D147" s="13">
        <f>'12-2017'!O158</f>
        <v>175000</v>
      </c>
      <c r="E147" s="13">
        <f>'12-2017'!P158</f>
        <v>175000</v>
      </c>
      <c r="F147" s="130">
        <f t="shared" si="6"/>
        <v>0</v>
      </c>
      <c r="H147" s="74">
        <f>'12-2017'!H158</f>
        <v>0</v>
      </c>
      <c r="I147" s="74">
        <f>'12-2017'!I158</f>
        <v>0</v>
      </c>
      <c r="J147" s="74">
        <f>'12-2017'!J158</f>
        <v>0</v>
      </c>
    </row>
    <row r="148" spans="1:10" s="58" customFormat="1" ht="17.25" hidden="1">
      <c r="A148" s="10">
        <f>'12-2017'!A159</f>
        <v>11</v>
      </c>
      <c r="B148" s="11" t="str">
        <f>'12-2017'!B159</f>
        <v xml:space="preserve"> Móng neo  (0,4  x 1,2) m</v>
      </c>
      <c r="C148" s="12" t="str">
        <f>'12-2017'!C159</f>
        <v>đ/cái</v>
      </c>
      <c r="D148" s="13">
        <f>'12-2017'!O159</f>
        <v>205000</v>
      </c>
      <c r="E148" s="13">
        <f>'12-2017'!P159</f>
        <v>205000</v>
      </c>
      <c r="F148" s="130">
        <f t="shared" si="6"/>
        <v>0</v>
      </c>
      <c r="H148" s="74">
        <f>'12-2017'!H159</f>
        <v>0</v>
      </c>
      <c r="I148" s="74">
        <f>'12-2017'!I159</f>
        <v>0</v>
      </c>
      <c r="J148" s="74">
        <f>'12-2017'!J159</f>
        <v>0</v>
      </c>
    </row>
    <row r="149" spans="1:10" s="58" customFormat="1" ht="17.25" hidden="1">
      <c r="A149" s="10">
        <f>'12-2017'!A160</f>
        <v>12</v>
      </c>
      <c r="B149" s="11" t="str">
        <f>'12-2017'!B160</f>
        <v xml:space="preserve"> Móng neo  (0,2  x 1,2) m</v>
      </c>
      <c r="C149" s="12" t="str">
        <f>'12-2017'!C160</f>
        <v>đ/cái</v>
      </c>
      <c r="D149" s="13">
        <f>'12-2017'!O160</f>
        <v>175000</v>
      </c>
      <c r="E149" s="13">
        <f>'12-2017'!P160</f>
        <v>175000</v>
      </c>
      <c r="F149" s="130">
        <f t="shared" si="6"/>
        <v>0</v>
      </c>
      <c r="H149" s="74">
        <f>'12-2017'!H160</f>
        <v>0</v>
      </c>
      <c r="I149" s="74">
        <f>'12-2017'!I160</f>
        <v>0</v>
      </c>
      <c r="J149" s="74">
        <f>'12-2017'!J160</f>
        <v>0</v>
      </c>
    </row>
    <row r="150" spans="1:10" s="58" customFormat="1" ht="17.25" hidden="1">
      <c r="A150" s="10">
        <f>'12-2017'!A161</f>
        <v>13</v>
      </c>
      <c r="B150" s="11" t="str">
        <f>'12-2017'!B161</f>
        <v xml:space="preserve"> Móng neo  (0,5  x 1,5) m</v>
      </c>
      <c r="C150" s="12" t="str">
        <f>'12-2017'!C161</f>
        <v>đ/cái</v>
      </c>
      <c r="D150" s="13">
        <f>'12-2017'!O161</f>
        <v>315000</v>
      </c>
      <c r="E150" s="13">
        <f>'12-2017'!P161</f>
        <v>315000</v>
      </c>
      <c r="F150" s="130">
        <f t="shared" si="6"/>
        <v>0</v>
      </c>
      <c r="H150" s="74">
        <f>'12-2017'!H161</f>
        <v>0</v>
      </c>
      <c r="I150" s="74">
        <f>'12-2017'!I161</f>
        <v>0</v>
      </c>
      <c r="J150" s="74">
        <f>'12-2017'!J161</f>
        <v>0</v>
      </c>
    </row>
    <row r="151" spans="1:10" s="58" customFormat="1" ht="17.25" hidden="1">
      <c r="A151" s="10">
        <f>'12-2017'!A162</f>
        <v>14</v>
      </c>
      <c r="B151" s="11" t="str">
        <f>'12-2017'!B162</f>
        <v>Cọc BTLT ƯLT PCA Φ 600</v>
      </c>
      <c r="C151" s="12" t="str">
        <f>'12-2017'!C162</f>
        <v>đ/m</v>
      </c>
      <c r="D151" s="13">
        <f>'12-2017'!O162</f>
        <v>705000</v>
      </c>
      <c r="E151" s="13">
        <f>'12-2017'!P162</f>
        <v>705000</v>
      </c>
      <c r="F151" s="130">
        <f t="shared" si="6"/>
        <v>0</v>
      </c>
      <c r="H151" s="74">
        <f>'12-2017'!H162</f>
        <v>0</v>
      </c>
      <c r="I151" s="74">
        <f>'12-2017'!I162</f>
        <v>0</v>
      </c>
      <c r="J151" s="74">
        <f>'12-2017'!J162</f>
        <v>0</v>
      </c>
    </row>
    <row r="152" spans="1:10" s="58" customFormat="1" ht="17.25" hidden="1">
      <c r="A152" s="10">
        <f>'12-2017'!A163</f>
        <v>15</v>
      </c>
      <c r="B152" s="11" t="str">
        <f>'12-2017'!B163</f>
        <v>Cọc BTLT ƯLT PCA Φ 500</v>
      </c>
      <c r="C152" s="12" t="str">
        <f>'12-2017'!C163</f>
        <v>đ/m</v>
      </c>
      <c r="D152" s="13">
        <f>'12-2017'!O163</f>
        <v>575000</v>
      </c>
      <c r="E152" s="13">
        <f>'12-2017'!P163</f>
        <v>575000</v>
      </c>
      <c r="F152" s="130">
        <f t="shared" si="6"/>
        <v>0</v>
      </c>
      <c r="H152" s="74">
        <f>'12-2017'!H163</f>
        <v>0</v>
      </c>
      <c r="I152" s="74">
        <f>'12-2017'!I163</f>
        <v>0</v>
      </c>
      <c r="J152" s="74">
        <f>'12-2017'!J163</f>
        <v>0</v>
      </c>
    </row>
    <row r="153" spans="1:10" s="58" customFormat="1" ht="17.25" hidden="1">
      <c r="A153" s="10">
        <f>'12-2017'!A164</f>
        <v>16</v>
      </c>
      <c r="B153" s="11" t="str">
        <f>'12-2017'!B164</f>
        <v>Cọc BTLT ƯLT PCA Φ 400</v>
      </c>
      <c r="C153" s="12" t="str">
        <f>'12-2017'!C164</f>
        <v>đ/m</v>
      </c>
      <c r="D153" s="13">
        <f>'12-2017'!O164</f>
        <v>355000</v>
      </c>
      <c r="E153" s="13">
        <f>'12-2017'!P164</f>
        <v>355000</v>
      </c>
      <c r="F153" s="130">
        <f t="shared" si="6"/>
        <v>0</v>
      </c>
      <c r="H153" s="74">
        <f>'12-2017'!H164</f>
        <v>0</v>
      </c>
      <c r="I153" s="74">
        <f>'12-2017'!I164</f>
        <v>0</v>
      </c>
      <c r="J153" s="74">
        <f>'12-2017'!J164</f>
        <v>0</v>
      </c>
    </row>
    <row r="154" spans="1:10" s="58" customFormat="1" ht="17.25" hidden="1">
      <c r="A154" s="10">
        <f>'12-2017'!A165</f>
        <v>17</v>
      </c>
      <c r="B154" s="11" t="str">
        <f>'12-2017'!B165</f>
        <v>Cọc BTLT ƯLT PCA Φ 350</v>
      </c>
      <c r="C154" s="12" t="str">
        <f>'12-2017'!C165</f>
        <v>đ/m</v>
      </c>
      <c r="D154" s="13">
        <f>'12-2017'!O165</f>
        <v>275000</v>
      </c>
      <c r="E154" s="13">
        <f>'12-2017'!P165</f>
        <v>275000</v>
      </c>
      <c r="F154" s="130">
        <f t="shared" si="6"/>
        <v>0</v>
      </c>
      <c r="H154" s="74">
        <f>'12-2017'!H165</f>
        <v>0</v>
      </c>
      <c r="I154" s="74">
        <f>'12-2017'!I165</f>
        <v>0</v>
      </c>
      <c r="J154" s="74">
        <f>'12-2017'!J165</f>
        <v>0</v>
      </c>
    </row>
    <row r="155" spans="1:10" s="58" customFormat="1" ht="17.25" hidden="1">
      <c r="A155" s="10">
        <f>'12-2017'!A166</f>
        <v>18</v>
      </c>
      <c r="B155" s="11" t="str">
        <f>'12-2017'!B166</f>
        <v>Cọc BTLT ƯLT PCA Φ 300</v>
      </c>
      <c r="C155" s="12" t="str">
        <f>'12-2017'!C166</f>
        <v>đ/m</v>
      </c>
      <c r="D155" s="13">
        <f>'12-2017'!O166</f>
        <v>220000</v>
      </c>
      <c r="E155" s="13">
        <f>'12-2017'!P166</f>
        <v>220000</v>
      </c>
      <c r="F155" s="130">
        <f t="shared" si="6"/>
        <v>0</v>
      </c>
      <c r="H155" s="74">
        <f>'12-2017'!H166</f>
        <v>0</v>
      </c>
      <c r="I155" s="74">
        <f>'12-2017'!I166</f>
        <v>0</v>
      </c>
      <c r="J155" s="74">
        <f>'12-2017'!J166</f>
        <v>0</v>
      </c>
    </row>
    <row r="156" spans="1:10" s="58" customFormat="1" ht="17.25" hidden="1">
      <c r="A156" s="10">
        <f>'12-2017'!A167</f>
        <v>19</v>
      </c>
      <c r="B156" s="11" t="str">
        <f>'12-2017'!B167</f>
        <v>Cọc BTLT ƯLT PCA Φ 250</v>
      </c>
      <c r="C156" s="12" t="str">
        <f>'12-2017'!C167</f>
        <v>đ/m</v>
      </c>
      <c r="D156" s="13">
        <f>'12-2017'!O167</f>
        <v>195000</v>
      </c>
      <c r="E156" s="13">
        <f>'12-2017'!P167</f>
        <v>195000</v>
      </c>
      <c r="F156" s="130">
        <f t="shared" si="6"/>
        <v>0</v>
      </c>
      <c r="H156" s="74">
        <f>'12-2017'!H167</f>
        <v>0</v>
      </c>
      <c r="I156" s="74">
        <f>'12-2017'!I167</f>
        <v>0</v>
      </c>
      <c r="J156" s="74">
        <f>'12-2017'!J167</f>
        <v>0</v>
      </c>
    </row>
    <row r="157" spans="1:10" s="58" customFormat="1" ht="17.25" hidden="1">
      <c r="A157" s="10">
        <f>'12-2017'!A168</f>
        <v>20</v>
      </c>
      <c r="B157" s="11" t="str">
        <f>'12-2017'!B168</f>
        <v>Ống cống BTLT ƯLT 4m Φ600 VH miệng loe</v>
      </c>
      <c r="C157" s="12" t="str">
        <f>'12-2017'!C168</f>
        <v>đ/m</v>
      </c>
      <c r="D157" s="13">
        <f>'12-2017'!O168</f>
        <v>465000</v>
      </c>
      <c r="E157" s="13">
        <f>'12-2017'!P168</f>
        <v>465000</v>
      </c>
      <c r="F157" s="130">
        <f t="shared" si="6"/>
        <v>0</v>
      </c>
      <c r="H157" s="74">
        <f>'12-2017'!H168</f>
        <v>0</v>
      </c>
      <c r="I157" s="74">
        <f>'12-2017'!I168</f>
        <v>0</v>
      </c>
      <c r="J157" s="74">
        <f>'12-2017'!J168</f>
        <v>0</v>
      </c>
    </row>
    <row r="158" spans="1:10" s="58" customFormat="1" ht="17.25" hidden="1">
      <c r="A158" s="10">
        <f>'12-2017'!A169</f>
        <v>21</v>
      </c>
      <c r="B158" s="11" t="str">
        <f>'12-2017'!B169</f>
        <v>Ống cống BTLT ƯLT 4m Φ600 H10 miệng loe</v>
      </c>
      <c r="C158" s="12" t="str">
        <f>'12-2017'!C169</f>
        <v>đ/m</v>
      </c>
      <c r="D158" s="13">
        <f>'12-2017'!O169</f>
        <v>485000</v>
      </c>
      <c r="E158" s="13">
        <f>'12-2017'!P169</f>
        <v>485000</v>
      </c>
      <c r="F158" s="130">
        <f t="shared" si="6"/>
        <v>0</v>
      </c>
      <c r="H158" s="74">
        <f>'12-2017'!H169</f>
        <v>0</v>
      </c>
      <c r="I158" s="74">
        <f>'12-2017'!I169</f>
        <v>0</v>
      </c>
      <c r="J158" s="74">
        <f>'12-2017'!J169</f>
        <v>0</v>
      </c>
    </row>
    <row r="159" spans="1:10" s="58" customFormat="1" ht="17.25" hidden="1">
      <c r="A159" s="10">
        <f>'12-2017'!A170</f>
        <v>22</v>
      </c>
      <c r="B159" s="11" t="str">
        <f>'12-2017'!B170</f>
        <v>Ống cống BTLT ƯLT 4m Φ600 H30 miệng loe</v>
      </c>
      <c r="C159" s="12" t="str">
        <f>'12-2017'!C170</f>
        <v>đ/m</v>
      </c>
      <c r="D159" s="13">
        <f>'12-2017'!O170</f>
        <v>520000</v>
      </c>
      <c r="E159" s="13">
        <f>'12-2017'!P170</f>
        <v>520000</v>
      </c>
      <c r="F159" s="130">
        <f t="shared" si="6"/>
        <v>0</v>
      </c>
      <c r="H159" s="74">
        <f>'12-2017'!H170</f>
        <v>0</v>
      </c>
      <c r="I159" s="74">
        <f>'12-2017'!I170</f>
        <v>0</v>
      </c>
      <c r="J159" s="74">
        <f>'12-2017'!J170</f>
        <v>0</v>
      </c>
    </row>
    <row r="160" spans="1:10" s="58" customFormat="1" ht="17.25" hidden="1">
      <c r="A160" s="10">
        <f>'12-2017'!A171</f>
        <v>23</v>
      </c>
      <c r="B160" s="11" t="str">
        <f>'12-2017'!B171</f>
        <v>Ống cống BTLT ƯLT 4m Φ400 VH miệng loe</v>
      </c>
      <c r="C160" s="12" t="str">
        <f>'12-2017'!C171</f>
        <v>đ/m</v>
      </c>
      <c r="D160" s="13">
        <f>'12-2017'!O171</f>
        <v>330000</v>
      </c>
      <c r="E160" s="13">
        <f>'12-2017'!P171</f>
        <v>330000</v>
      </c>
      <c r="F160" s="130">
        <f t="shared" si="6"/>
        <v>0</v>
      </c>
      <c r="H160" s="74">
        <f>'12-2017'!H171</f>
        <v>0</v>
      </c>
      <c r="I160" s="74">
        <f>'12-2017'!I171</f>
        <v>0</v>
      </c>
      <c r="J160" s="74">
        <f>'12-2017'!J171</f>
        <v>0</v>
      </c>
    </row>
    <row r="161" spans="1:10" s="58" customFormat="1" ht="17.25" hidden="1">
      <c r="A161" s="10">
        <f>'12-2017'!A172</f>
        <v>24</v>
      </c>
      <c r="B161" s="11" t="str">
        <f>'12-2017'!B172</f>
        <v>Ống cống BTLT ƯLT 4m Φ400 H10 miệng loe</v>
      </c>
      <c r="C161" s="12" t="str">
        <f>'12-2017'!C172</f>
        <v>đ/m</v>
      </c>
      <c r="D161" s="13">
        <f>'12-2017'!O172</f>
        <v>355000</v>
      </c>
      <c r="E161" s="13">
        <f>'12-2017'!P172</f>
        <v>355000</v>
      </c>
      <c r="F161" s="130">
        <f t="shared" si="6"/>
        <v>0</v>
      </c>
      <c r="H161" s="74">
        <f>'12-2017'!H172</f>
        <v>0</v>
      </c>
      <c r="I161" s="74">
        <f>'12-2017'!I172</f>
        <v>0</v>
      </c>
      <c r="J161" s="74">
        <f>'12-2017'!J172</f>
        <v>0</v>
      </c>
    </row>
    <row r="162" spans="1:10" s="58" customFormat="1" ht="17.25" hidden="1">
      <c r="A162" s="10">
        <f>'12-2017'!A173</f>
        <v>25</v>
      </c>
      <c r="B162" s="11" t="str">
        <f>'12-2017'!B173</f>
        <v>Ống cống BTLT ƯLT 4m Φ400 H30 miệng loe</v>
      </c>
      <c r="C162" s="12" t="str">
        <f>'12-2017'!C173</f>
        <v>đ/m</v>
      </c>
      <c r="D162" s="13">
        <f>'12-2017'!O173</f>
        <v>400000</v>
      </c>
      <c r="E162" s="13">
        <f>'12-2017'!P173</f>
        <v>400000</v>
      </c>
      <c r="F162" s="130">
        <f t="shared" si="6"/>
        <v>0</v>
      </c>
      <c r="H162" s="74">
        <f>'12-2017'!H173</f>
        <v>0</v>
      </c>
      <c r="I162" s="74">
        <f>'12-2017'!I173</f>
        <v>0</v>
      </c>
      <c r="J162" s="74">
        <f>'12-2017'!J173</f>
        <v>0</v>
      </c>
    </row>
    <row r="163" spans="1:10" s="58" customFormat="1" ht="17.25" hidden="1">
      <c r="A163" s="10">
        <f>'12-2017'!A174</f>
        <v>26</v>
      </c>
      <c r="B163" s="11" t="str">
        <f>'12-2017'!B174</f>
        <v>Ống cống BTLT ƯLT 4m Φ300 VH miệng loe</v>
      </c>
      <c r="C163" s="12" t="str">
        <f>'12-2017'!C174</f>
        <v>đ/m</v>
      </c>
      <c r="D163" s="13">
        <f>'12-2017'!O174</f>
        <v>215000</v>
      </c>
      <c r="E163" s="13">
        <f>'12-2017'!P174</f>
        <v>215000</v>
      </c>
      <c r="F163" s="130">
        <f t="shared" si="6"/>
        <v>0</v>
      </c>
      <c r="H163" s="74">
        <f>'12-2017'!H174</f>
        <v>0</v>
      </c>
      <c r="I163" s="74">
        <f>'12-2017'!I174</f>
        <v>0</v>
      </c>
      <c r="J163" s="74">
        <f>'12-2017'!J174</f>
        <v>0</v>
      </c>
    </row>
    <row r="164" spans="1:10" s="58" customFormat="1" ht="17.25" hidden="1">
      <c r="A164" s="10">
        <f>'12-2017'!A175</f>
        <v>27</v>
      </c>
      <c r="B164" s="11" t="str">
        <f>'12-2017'!B175</f>
        <v>Ống cống BTLT ƯLT 4m Φ300 H10 miệng loe</v>
      </c>
      <c r="C164" s="12" t="str">
        <f>'12-2017'!C175</f>
        <v>đ/m</v>
      </c>
      <c r="D164" s="13">
        <f>'12-2017'!O175</f>
        <v>250000</v>
      </c>
      <c r="E164" s="13">
        <f>'12-2017'!P175</f>
        <v>250000</v>
      </c>
      <c r="F164" s="130">
        <f t="shared" si="6"/>
        <v>0</v>
      </c>
      <c r="H164" s="74">
        <f>'12-2017'!H175</f>
        <v>0</v>
      </c>
      <c r="I164" s="74">
        <f>'12-2017'!I175</f>
        <v>0</v>
      </c>
      <c r="J164" s="74">
        <f>'12-2017'!J175</f>
        <v>0</v>
      </c>
    </row>
    <row r="165" spans="1:10" s="58" customFormat="1" ht="17.25" hidden="1">
      <c r="A165" s="10">
        <f>'12-2017'!A176</f>
        <v>28</v>
      </c>
      <c r="B165" s="11" t="str">
        <f>'12-2017'!B176</f>
        <v>Ống cống BTLT ƯLT 4m Φ300 H30 miệng loe</v>
      </c>
      <c r="C165" s="12" t="str">
        <f>'12-2017'!C176</f>
        <v>đ/m</v>
      </c>
      <c r="D165" s="13">
        <f>'12-2017'!O176</f>
        <v>290000</v>
      </c>
      <c r="E165" s="13">
        <f>'12-2017'!P176</f>
        <v>290000</v>
      </c>
      <c r="F165" s="130">
        <f t="shared" si="6"/>
        <v>0</v>
      </c>
      <c r="H165" s="74">
        <f>'12-2017'!H176</f>
        <v>0</v>
      </c>
      <c r="I165" s="74">
        <f>'12-2017'!I176</f>
        <v>0</v>
      </c>
      <c r="J165" s="74">
        <f>'12-2017'!J176</f>
        <v>0</v>
      </c>
    </row>
    <row r="166" spans="1:10" s="58" customFormat="1" ht="32.25" customHeight="1">
      <c r="A166" s="10"/>
      <c r="B166" s="237" t="str">
        <f>'12-2017'!B177:N177</f>
        <v xml:space="preserve"> * Công ty Cổ phần Địa ốc An Giang sản xuất (giao hàng tại Nhà máy cấu kiện bê tông An Giang, xã Vĩnh Thạnh Trung, huyện Châu Phú). Theo bảng giá ngày 07/6/2017</v>
      </c>
      <c r="C166" s="238"/>
      <c r="D166" s="238"/>
      <c r="E166" s="238"/>
      <c r="F166" s="239"/>
      <c r="H166" s="74">
        <f>'12-2017'!H177</f>
        <v>0</v>
      </c>
      <c r="I166" s="74">
        <f>'12-2017'!I177</f>
        <v>0</v>
      </c>
      <c r="J166" s="74">
        <f>'12-2017'!J177</f>
        <v>0</v>
      </c>
    </row>
    <row r="167" spans="1:10" s="58" customFormat="1" ht="17.25" hidden="1">
      <c r="A167" s="10"/>
      <c r="B167" s="237" t="str">
        <f>'12-2017'!B178:N178</f>
        <v xml:space="preserve"> - Cống bê tông ly tâm sản xuất theo tiêu chuẩn 22TCN 272 - 05</v>
      </c>
      <c r="C167" s="238"/>
      <c r="D167" s="238"/>
      <c r="E167" s="238"/>
      <c r="F167" s="239"/>
      <c r="H167" s="74">
        <f>'12-2017'!H178</f>
        <v>0</v>
      </c>
      <c r="I167" s="74">
        <f>'12-2017'!I178</f>
        <v>0</v>
      </c>
      <c r="J167" s="74">
        <f>'12-2017'!J178</f>
        <v>0</v>
      </c>
    </row>
    <row r="168" spans="1:10" s="58" customFormat="1" ht="17.25" hidden="1">
      <c r="A168" s="10"/>
      <c r="B168" s="237" t="str">
        <f>'12-2017'!B179:N179</f>
        <v>Cống Φ 400mm, D = 50mm, M = 28Mpa</v>
      </c>
      <c r="C168" s="238"/>
      <c r="D168" s="238"/>
      <c r="E168" s="238"/>
      <c r="F168" s="239"/>
      <c r="H168" s="74">
        <f>'12-2017'!H179</f>
        <v>0</v>
      </c>
      <c r="I168" s="74">
        <f>'12-2017'!I179</f>
        <v>0</v>
      </c>
      <c r="J168" s="74">
        <f>'12-2017'!J179</f>
        <v>0</v>
      </c>
    </row>
    <row r="169" spans="1:10" s="58" customFormat="1" ht="17.25" hidden="1">
      <c r="A169" s="10">
        <f>'12-2017'!A180</f>
        <v>1</v>
      </c>
      <c r="B169" s="11" t="str">
        <f>'12-2017'!B180</f>
        <v>Hoạt tải 3 x 10-3 Mpa (cống dọc đường), cấp tải thấp</v>
      </c>
      <c r="C169" s="12" t="str">
        <f>'12-2017'!C180</f>
        <v>đ/m</v>
      </c>
      <c r="D169" s="13">
        <f>'12-2017'!O180</f>
        <v>293200</v>
      </c>
      <c r="E169" s="13">
        <f>'12-2017'!P180</f>
        <v>293200</v>
      </c>
      <c r="F169" s="130">
        <f t="shared" ref="F169:F177" si="7">E169-D169</f>
        <v>0</v>
      </c>
      <c r="H169" s="74">
        <f>'12-2017'!H180</f>
        <v>0</v>
      </c>
      <c r="I169" s="74">
        <f>'12-2017'!I180</f>
        <v>0</v>
      </c>
      <c r="J169" s="74">
        <f>'12-2017'!J180</f>
        <v>0</v>
      </c>
    </row>
    <row r="170" spans="1:10" s="58" customFormat="1" ht="17.25" hidden="1">
      <c r="A170" s="10">
        <f>'12-2017'!A181</f>
        <v>2</v>
      </c>
      <c r="B170" s="11" t="str">
        <f>'12-2017'!B181</f>
        <v>Hoạt tải 65% HL93 (cống qua đường &gt; H10), cấp tải tiêu chuẩn</v>
      </c>
      <c r="C170" s="12" t="str">
        <f>'12-2017'!C181</f>
        <v>đ/m</v>
      </c>
      <c r="D170" s="13">
        <f>'12-2017'!O181</f>
        <v>305100</v>
      </c>
      <c r="E170" s="13">
        <f>'12-2017'!P181</f>
        <v>305100</v>
      </c>
      <c r="F170" s="130">
        <f t="shared" si="7"/>
        <v>0</v>
      </c>
      <c r="H170" s="74">
        <f>'12-2017'!H181</f>
        <v>0</v>
      </c>
      <c r="I170" s="74">
        <f>'12-2017'!I181</f>
        <v>0</v>
      </c>
      <c r="J170" s="74">
        <f>'12-2017'!J181</f>
        <v>0</v>
      </c>
    </row>
    <row r="171" spans="1:10" s="58" customFormat="1" ht="17.25" hidden="1">
      <c r="A171" s="10">
        <f>'12-2017'!A182</f>
        <v>3</v>
      </c>
      <c r="B171" s="11" t="str">
        <f>'12-2017'!B182</f>
        <v>Hoạt tải 100% HL93 (cống qua đường &gt; H30), cấp tải cao</v>
      </c>
      <c r="C171" s="12" t="str">
        <f>'12-2017'!C182</f>
        <v>đ/m</v>
      </c>
      <c r="D171" s="13">
        <f>'12-2017'!O182</f>
        <v>318500</v>
      </c>
      <c r="E171" s="13">
        <f>'12-2017'!P182</f>
        <v>318500</v>
      </c>
      <c r="F171" s="130">
        <f t="shared" si="7"/>
        <v>0</v>
      </c>
      <c r="H171" s="74">
        <f>'12-2017'!H182</f>
        <v>0</v>
      </c>
      <c r="I171" s="74">
        <f>'12-2017'!I182</f>
        <v>0</v>
      </c>
      <c r="J171" s="74">
        <f>'12-2017'!J182</f>
        <v>0</v>
      </c>
    </row>
    <row r="172" spans="1:10" s="58" customFormat="1" ht="17.25" hidden="1">
      <c r="A172" s="10"/>
      <c r="B172" s="9" t="str">
        <f>'12-2017'!B183</f>
        <v>Cống Φ 600mm, D = 63mm, M = 28Mpa</v>
      </c>
      <c r="C172" s="12"/>
      <c r="D172" s="13"/>
      <c r="E172" s="13"/>
      <c r="F172" s="130"/>
      <c r="H172" s="74">
        <f>'12-2017'!H183</f>
        <v>0</v>
      </c>
      <c r="I172" s="74">
        <f>'12-2017'!I183</f>
        <v>0</v>
      </c>
      <c r="J172" s="74">
        <f>'12-2017'!J183</f>
        <v>0</v>
      </c>
    </row>
    <row r="173" spans="1:10" s="58" customFormat="1" ht="17.25" hidden="1">
      <c r="A173" s="10">
        <f>'12-2017'!A184</f>
        <v>4</v>
      </c>
      <c r="B173" s="11" t="str">
        <f>'12-2017'!B184</f>
        <v>Hoạt tải 3 x 10-3 Mpa (cống dọc đường), cấp tải thấp</v>
      </c>
      <c r="C173" s="12" t="str">
        <f>'12-2017'!C184</f>
        <v>đ/m</v>
      </c>
      <c r="D173" s="13">
        <f>'12-2017'!O184</f>
        <v>452500</v>
      </c>
      <c r="E173" s="13">
        <f>'12-2017'!P184</f>
        <v>452500</v>
      </c>
      <c r="F173" s="130">
        <f t="shared" si="7"/>
        <v>0</v>
      </c>
      <c r="H173" s="74">
        <f>'12-2017'!H184</f>
        <v>0</v>
      </c>
      <c r="I173" s="74">
        <f>'12-2017'!I184</f>
        <v>0</v>
      </c>
      <c r="J173" s="74">
        <f>'12-2017'!J184</f>
        <v>0</v>
      </c>
    </row>
    <row r="174" spans="1:10" s="58" customFormat="1" ht="17.25" hidden="1">
      <c r="A174" s="10">
        <f>'12-2017'!A185</f>
        <v>5</v>
      </c>
      <c r="B174" s="11" t="str">
        <f>'12-2017'!B185</f>
        <v>Hoạt tải 65% HL93 (cống qua đường &gt; H10), cấp tải tiêu chuẩn</v>
      </c>
      <c r="C174" s="12" t="str">
        <f>'12-2017'!C185</f>
        <v>đ/m</v>
      </c>
      <c r="D174" s="13">
        <f>'12-2017'!O185</f>
        <v>496500</v>
      </c>
      <c r="E174" s="13">
        <f>'12-2017'!P185</f>
        <v>496500</v>
      </c>
      <c r="F174" s="130">
        <f t="shared" si="7"/>
        <v>0</v>
      </c>
      <c r="H174" s="74">
        <f>'12-2017'!H185</f>
        <v>0</v>
      </c>
      <c r="I174" s="74">
        <f>'12-2017'!I185</f>
        <v>0</v>
      </c>
      <c r="J174" s="74">
        <f>'12-2017'!J185</f>
        <v>0</v>
      </c>
    </row>
    <row r="175" spans="1:10" s="58" customFormat="1" ht="17.25" hidden="1">
      <c r="A175" s="10">
        <f>'12-2017'!A186</f>
        <v>6</v>
      </c>
      <c r="B175" s="11" t="str">
        <f>'12-2017'!B186</f>
        <v>Hoạt tải 100% HL93 (cống qua đường &gt; H30), cấp tải cao</v>
      </c>
      <c r="C175" s="12" t="str">
        <f>'12-2017'!C186</f>
        <v>đ/m</v>
      </c>
      <c r="D175" s="13">
        <f>'12-2017'!O186</f>
        <v>529200</v>
      </c>
      <c r="E175" s="13">
        <f>'12-2017'!P186</f>
        <v>529200</v>
      </c>
      <c r="F175" s="130">
        <f t="shared" si="7"/>
        <v>0</v>
      </c>
      <c r="H175" s="74">
        <f>'12-2017'!H186</f>
        <v>0</v>
      </c>
      <c r="I175" s="74">
        <f>'12-2017'!I186</f>
        <v>0</v>
      </c>
      <c r="J175" s="74">
        <f>'12-2017'!J186</f>
        <v>0</v>
      </c>
    </row>
    <row r="176" spans="1:10" s="58" customFormat="1" ht="17.25" hidden="1">
      <c r="A176" s="10"/>
      <c r="B176" s="9" t="str">
        <f>'12-2017'!B187</f>
        <v>Cống Φ 800mm, D = 80mm, M = 28Mpa</v>
      </c>
      <c r="C176" s="12">
        <f>'12-2017'!C187</f>
        <v>0</v>
      </c>
      <c r="D176" s="13">
        <f>'12-2017'!O187</f>
        <v>0</v>
      </c>
      <c r="E176" s="13">
        <f>'12-2017'!P187</f>
        <v>0</v>
      </c>
      <c r="F176" s="130">
        <f t="shared" si="7"/>
        <v>0</v>
      </c>
      <c r="H176" s="74">
        <f>'12-2017'!H187</f>
        <v>0</v>
      </c>
      <c r="I176" s="74">
        <f>'12-2017'!I187</f>
        <v>0</v>
      </c>
      <c r="J176" s="74">
        <f>'12-2017'!J187</f>
        <v>0</v>
      </c>
    </row>
    <row r="177" spans="1:10" s="58" customFormat="1" ht="17.25" hidden="1">
      <c r="A177" s="10">
        <f>'12-2017'!A188</f>
        <v>7</v>
      </c>
      <c r="B177" s="11" t="str">
        <f>'12-2017'!B188</f>
        <v>Hoạt tải 3 x 10-3 Mpa (cống dọc đường), cấp tải thấp</v>
      </c>
      <c r="C177" s="12" t="str">
        <f>'12-2017'!C188</f>
        <v>đ/m</v>
      </c>
      <c r="D177" s="13">
        <f>'12-2017'!O188</f>
        <v>723500</v>
      </c>
      <c r="E177" s="13">
        <f>'12-2017'!P188</f>
        <v>723500</v>
      </c>
      <c r="F177" s="130">
        <f t="shared" si="7"/>
        <v>0</v>
      </c>
      <c r="H177" s="74">
        <f>'12-2017'!H188</f>
        <v>0</v>
      </c>
      <c r="I177" s="74">
        <f>'12-2017'!I188</f>
        <v>0</v>
      </c>
      <c r="J177" s="74">
        <f>'12-2017'!J188</f>
        <v>0</v>
      </c>
    </row>
    <row r="178" spans="1:10" s="58" customFormat="1" ht="17.25" hidden="1">
      <c r="A178" s="10">
        <f>'12-2017'!A189</f>
        <v>8</v>
      </c>
      <c r="B178" s="11" t="str">
        <f>'12-2017'!B189</f>
        <v>Hoạt tải 65% HL93 (cống qua đường &gt; H10), cấp tải tiêu chuẩn</v>
      </c>
      <c r="C178" s="12" t="str">
        <f>'12-2017'!C189</f>
        <v>đ/m</v>
      </c>
      <c r="D178" s="13">
        <f>'12-2017'!O189</f>
        <v>798500</v>
      </c>
      <c r="E178" s="13">
        <f>'12-2017'!P189</f>
        <v>798500</v>
      </c>
      <c r="F178" s="130">
        <f t="shared" ref="F178:F210" si="8">E178-D178</f>
        <v>0</v>
      </c>
      <c r="H178" s="74">
        <f>'12-2017'!H189</f>
        <v>0</v>
      </c>
      <c r="I178" s="74">
        <f>'12-2017'!I189</f>
        <v>0</v>
      </c>
      <c r="J178" s="74">
        <f>'12-2017'!J189</f>
        <v>0</v>
      </c>
    </row>
    <row r="179" spans="1:10" s="58" customFormat="1" ht="17.25" hidden="1">
      <c r="A179" s="10">
        <f>'12-2017'!A190</f>
        <v>9</v>
      </c>
      <c r="B179" s="11" t="str">
        <f>'12-2017'!B190</f>
        <v>Hoạt tải 100% HL93 (cống qua đường &gt; H30), cấp tải cao</v>
      </c>
      <c r="C179" s="12" t="str">
        <f>'12-2017'!C190</f>
        <v>đ/m</v>
      </c>
      <c r="D179" s="13">
        <f>'12-2017'!O190</f>
        <v>897700</v>
      </c>
      <c r="E179" s="13">
        <f>'12-2017'!P190</f>
        <v>897700</v>
      </c>
      <c r="F179" s="130">
        <f t="shared" si="8"/>
        <v>0</v>
      </c>
      <c r="H179" s="74">
        <f>'12-2017'!H190</f>
        <v>0</v>
      </c>
      <c r="I179" s="74">
        <f>'12-2017'!I190</f>
        <v>0</v>
      </c>
      <c r="J179" s="74">
        <f>'12-2017'!J190</f>
        <v>0</v>
      </c>
    </row>
    <row r="180" spans="1:10" s="58" customFormat="1" ht="17.25" hidden="1">
      <c r="A180" s="10"/>
      <c r="B180" s="9" t="str">
        <f>'12-2017'!B191</f>
        <v>Cống Φ 1000mm, D = 100mm</v>
      </c>
      <c r="C180" s="12"/>
      <c r="D180" s="13"/>
      <c r="E180" s="13"/>
      <c r="F180" s="130"/>
      <c r="H180" s="74">
        <f>'12-2017'!H191</f>
        <v>0</v>
      </c>
      <c r="I180" s="74">
        <f>'12-2017'!I191</f>
        <v>0</v>
      </c>
      <c r="J180" s="74">
        <f>'12-2017'!J191</f>
        <v>0</v>
      </c>
    </row>
    <row r="181" spans="1:10" s="58" customFormat="1" ht="17.25" hidden="1">
      <c r="A181" s="10">
        <f>'12-2017'!A192</f>
        <v>10</v>
      </c>
      <c r="B181" s="11" t="str">
        <f>'12-2017'!B192</f>
        <v>Hoạt tải 3 x 10-3 Mpa (cống dọc đường), cấp tải thấp</v>
      </c>
      <c r="C181" s="12" t="str">
        <f>'12-2017'!C192</f>
        <v>đ/m</v>
      </c>
      <c r="D181" s="13">
        <f>'12-2017'!O192</f>
        <v>1146600</v>
      </c>
      <c r="E181" s="13">
        <f>'12-2017'!P192</f>
        <v>1146600</v>
      </c>
      <c r="F181" s="130">
        <f t="shared" si="8"/>
        <v>0</v>
      </c>
      <c r="H181" s="74">
        <f>'12-2017'!H192</f>
        <v>0</v>
      </c>
      <c r="I181" s="74">
        <f>'12-2017'!I192</f>
        <v>0</v>
      </c>
      <c r="J181" s="74">
        <f>'12-2017'!J192</f>
        <v>0</v>
      </c>
    </row>
    <row r="182" spans="1:10" s="58" customFormat="1" ht="17.25" hidden="1">
      <c r="A182" s="10">
        <f>'12-2017'!A193</f>
        <v>11</v>
      </c>
      <c r="B182" s="11" t="str">
        <f>'12-2017'!B193</f>
        <v>Hoạt tải 65% HL93 (cống qua đường &gt; H10), cấp tải tiêu chuẩn</v>
      </c>
      <c r="C182" s="12" t="str">
        <f>'12-2017'!C193</f>
        <v>đ/m</v>
      </c>
      <c r="D182" s="13">
        <f>'12-2017'!O193</f>
        <v>1261500</v>
      </c>
      <c r="E182" s="13">
        <f>'12-2017'!P193</f>
        <v>1261500</v>
      </c>
      <c r="F182" s="130">
        <f t="shared" si="8"/>
        <v>0</v>
      </c>
      <c r="H182" s="74">
        <f>'12-2017'!H193</f>
        <v>0</v>
      </c>
      <c r="I182" s="74">
        <f>'12-2017'!I193</f>
        <v>0</v>
      </c>
      <c r="J182" s="74">
        <f>'12-2017'!J193</f>
        <v>0</v>
      </c>
    </row>
    <row r="183" spans="1:10" s="58" customFormat="1" ht="17.25" hidden="1">
      <c r="A183" s="10">
        <f>'12-2017'!A194</f>
        <v>12</v>
      </c>
      <c r="B183" s="11" t="str">
        <f>'12-2017'!B194</f>
        <v>Hoạt tải 100% HL93 (cống qua đường &gt; H30), cấp tải cao</v>
      </c>
      <c r="C183" s="12" t="str">
        <f>'12-2017'!C194</f>
        <v>đ/m</v>
      </c>
      <c r="D183" s="13">
        <f>'12-2017'!O194</f>
        <v>1424600</v>
      </c>
      <c r="E183" s="13">
        <f>'12-2017'!P194</f>
        <v>1424600</v>
      </c>
      <c r="F183" s="130">
        <f t="shared" si="8"/>
        <v>0</v>
      </c>
      <c r="H183" s="74">
        <f>'12-2017'!H194</f>
        <v>0</v>
      </c>
      <c r="I183" s="74">
        <f>'12-2017'!I194</f>
        <v>0</v>
      </c>
      <c r="J183" s="74">
        <f>'12-2017'!J194</f>
        <v>0</v>
      </c>
    </row>
    <row r="184" spans="1:10" s="58" customFormat="1" ht="17.25" hidden="1">
      <c r="A184" s="10">
        <f>'12-2017'!A195</f>
        <v>0</v>
      </c>
      <c r="B184" s="11" t="str">
        <f>'12-2017'!B195</f>
        <v>Cống Φ 1200mm, D = 120mm</v>
      </c>
      <c r="C184" s="12">
        <f>'12-2017'!C195</f>
        <v>0</v>
      </c>
      <c r="D184" s="13">
        <f>'12-2017'!O195</f>
        <v>0</v>
      </c>
      <c r="E184" s="13">
        <f>'12-2017'!P195</f>
        <v>0</v>
      </c>
      <c r="F184" s="130">
        <f t="shared" si="8"/>
        <v>0</v>
      </c>
      <c r="H184" s="74">
        <f>'12-2017'!H195</f>
        <v>0</v>
      </c>
      <c r="I184" s="74">
        <f>'12-2017'!I195</f>
        <v>0</v>
      </c>
      <c r="J184" s="74">
        <f>'12-2017'!J195</f>
        <v>0</v>
      </c>
    </row>
    <row r="185" spans="1:10" s="58" customFormat="1" ht="17.25" hidden="1">
      <c r="A185" s="10">
        <f>'12-2017'!A196</f>
        <v>13</v>
      </c>
      <c r="B185" s="11" t="str">
        <f>'12-2017'!B196</f>
        <v>Hoạt tải 3 x 10-3 Mpa (cống dọc đường), cấp tải thấp</v>
      </c>
      <c r="C185" s="12" t="str">
        <f>'12-2017'!C196</f>
        <v>đ/m</v>
      </c>
      <c r="D185" s="13">
        <f>'12-2017'!O196</f>
        <v>2208400</v>
      </c>
      <c r="E185" s="13">
        <f>'12-2017'!P196</f>
        <v>2208400</v>
      </c>
      <c r="F185" s="130">
        <f t="shared" si="8"/>
        <v>0</v>
      </c>
      <c r="H185" s="74">
        <f>'12-2017'!H196</f>
        <v>0</v>
      </c>
      <c r="I185" s="74">
        <f>'12-2017'!I196</f>
        <v>0</v>
      </c>
      <c r="J185" s="74">
        <f>'12-2017'!J196</f>
        <v>0</v>
      </c>
    </row>
    <row r="186" spans="1:10" s="58" customFormat="1" ht="17.25" hidden="1">
      <c r="A186" s="10">
        <f>'12-2017'!A197</f>
        <v>14</v>
      </c>
      <c r="B186" s="11" t="str">
        <f>'12-2017'!B197</f>
        <v>Hoạt tải 65% HL93 (cống qua đường &gt; H10), cấp tải tiêu chuẩn</v>
      </c>
      <c r="C186" s="12" t="str">
        <f>'12-2017'!C197</f>
        <v>đ/m</v>
      </c>
      <c r="D186" s="13">
        <f>'12-2017'!O197</f>
        <v>2298700</v>
      </c>
      <c r="E186" s="13">
        <f>'12-2017'!P197</f>
        <v>2298700</v>
      </c>
      <c r="F186" s="130">
        <f t="shared" si="8"/>
        <v>0</v>
      </c>
      <c r="H186" s="74">
        <f>'12-2017'!H197</f>
        <v>0</v>
      </c>
      <c r="I186" s="74">
        <f>'12-2017'!I197</f>
        <v>0</v>
      </c>
      <c r="J186" s="74">
        <f>'12-2017'!J197</f>
        <v>0</v>
      </c>
    </row>
    <row r="187" spans="1:10" s="58" customFormat="1" ht="17.25" hidden="1">
      <c r="A187" s="10">
        <f>'12-2017'!A198</f>
        <v>15</v>
      </c>
      <c r="B187" s="11" t="str">
        <f>'12-2017'!B198</f>
        <v>Hoạt tải 100% HL93 (cống qua đường &gt; H30), cấp tải cao</v>
      </c>
      <c r="C187" s="12" t="str">
        <f>'12-2017'!C198</f>
        <v>đ/m</v>
      </c>
      <c r="D187" s="13">
        <f>'12-2017'!O198</f>
        <v>2437900</v>
      </c>
      <c r="E187" s="13">
        <f>'12-2017'!P198</f>
        <v>2437900</v>
      </c>
      <c r="F187" s="130">
        <f t="shared" si="8"/>
        <v>0</v>
      </c>
      <c r="H187" s="74">
        <f>'12-2017'!H198</f>
        <v>0</v>
      </c>
      <c r="I187" s="74">
        <f>'12-2017'!I198</f>
        <v>0</v>
      </c>
      <c r="J187" s="74">
        <f>'12-2017'!J198</f>
        <v>0</v>
      </c>
    </row>
    <row r="188" spans="1:10" s="58" customFormat="1" ht="17.25" hidden="1">
      <c r="A188" s="10"/>
      <c r="B188" s="9" t="str">
        <f>'12-2017'!B199</f>
        <v>Cống Φ 1500mm, D = 150mm</v>
      </c>
      <c r="C188" s="12"/>
      <c r="D188" s="13"/>
      <c r="E188" s="13"/>
      <c r="F188" s="130"/>
      <c r="H188" s="74">
        <f>'12-2017'!H199</f>
        <v>0</v>
      </c>
      <c r="I188" s="74">
        <f>'12-2017'!I199</f>
        <v>0</v>
      </c>
      <c r="J188" s="74">
        <f>'12-2017'!J199</f>
        <v>0</v>
      </c>
    </row>
    <row r="189" spans="1:10" s="58" customFormat="1" ht="17.25" hidden="1">
      <c r="A189" s="10">
        <f>'12-2017'!A200</f>
        <v>16</v>
      </c>
      <c r="B189" s="11" t="str">
        <f>'12-2017'!B200</f>
        <v>Hoạt tải 3 x 10-3 Mpa (cống dọc đường), cấp tải thấp</v>
      </c>
      <c r="C189" s="12" t="str">
        <f>'12-2017'!C200</f>
        <v>đ/m</v>
      </c>
      <c r="D189" s="13">
        <f>'12-2017'!O200</f>
        <v>2716600</v>
      </c>
      <c r="E189" s="13">
        <f>'12-2017'!P200</f>
        <v>2716600</v>
      </c>
      <c r="F189" s="130">
        <f t="shared" si="8"/>
        <v>0</v>
      </c>
      <c r="H189" s="74">
        <f>'12-2017'!H200</f>
        <v>0</v>
      </c>
      <c r="I189" s="74">
        <f>'12-2017'!I200</f>
        <v>0</v>
      </c>
      <c r="J189" s="74">
        <f>'12-2017'!J200</f>
        <v>0</v>
      </c>
    </row>
    <row r="190" spans="1:10" s="58" customFormat="1" ht="17.25" hidden="1">
      <c r="A190" s="10">
        <f>'12-2017'!A201</f>
        <v>17</v>
      </c>
      <c r="B190" s="11" t="str">
        <f>'12-2017'!B201</f>
        <v>Hoạt tải 65% HL93 (cống qua đường &gt; H10), cấp tải tiêu chuẩn</v>
      </c>
      <c r="C190" s="12" t="str">
        <f>'12-2017'!C201</f>
        <v>đ/m</v>
      </c>
      <c r="D190" s="13">
        <f>'12-2017'!O201</f>
        <v>2890800</v>
      </c>
      <c r="E190" s="13">
        <f>'12-2017'!P201</f>
        <v>2890800</v>
      </c>
      <c r="F190" s="130">
        <f t="shared" si="8"/>
        <v>0</v>
      </c>
      <c r="H190" s="74">
        <f>'12-2017'!H201</f>
        <v>0</v>
      </c>
      <c r="I190" s="74">
        <f>'12-2017'!I201</f>
        <v>0</v>
      </c>
      <c r="J190" s="74">
        <f>'12-2017'!J201</f>
        <v>0</v>
      </c>
    </row>
    <row r="191" spans="1:10" s="58" customFormat="1" ht="17.25" hidden="1">
      <c r="A191" s="10">
        <f>'12-2017'!A202</f>
        <v>18</v>
      </c>
      <c r="B191" s="11" t="str">
        <f>'12-2017'!B202</f>
        <v>Hoạt tải 100% HL93 (cống qua đường &gt; H30), cấp tải cao</v>
      </c>
      <c r="C191" s="12" t="str">
        <f>'12-2017'!C202</f>
        <v>đ/m</v>
      </c>
      <c r="D191" s="13">
        <f>'12-2017'!O202</f>
        <v>3134900</v>
      </c>
      <c r="E191" s="13">
        <f>'12-2017'!P202</f>
        <v>3134900</v>
      </c>
      <c r="F191" s="130">
        <f t="shared" si="8"/>
        <v>0</v>
      </c>
      <c r="H191" s="74">
        <f>'12-2017'!H202</f>
        <v>0</v>
      </c>
      <c r="I191" s="74">
        <f>'12-2017'!I202</f>
        <v>0</v>
      </c>
      <c r="J191" s="74">
        <f>'12-2017'!J202</f>
        <v>0</v>
      </c>
    </row>
    <row r="192" spans="1:10" s="73" customFormat="1" ht="17.25" hidden="1">
      <c r="A192" s="17"/>
      <c r="B192" s="9" t="str">
        <f>'12-2017'!B203</f>
        <v>Gối cống các loại M200 :</v>
      </c>
      <c r="C192" s="8"/>
      <c r="D192" s="22"/>
      <c r="E192" s="22"/>
      <c r="F192" s="131"/>
      <c r="H192" s="74">
        <f>'12-2017'!H203</f>
        <v>0</v>
      </c>
      <c r="I192" s="74">
        <f>'12-2017'!I203</f>
        <v>0</v>
      </c>
      <c r="J192" s="74">
        <f>'12-2017'!J203</f>
        <v>0</v>
      </c>
    </row>
    <row r="193" spans="1:10" s="58" customFormat="1" ht="17.25" hidden="1">
      <c r="A193" s="10">
        <f>'12-2017'!A204</f>
        <v>19</v>
      </c>
      <c r="B193" s="11" t="str">
        <f>'12-2017'!B204</f>
        <v>Gối cống fi 400</v>
      </c>
      <c r="C193" s="12" t="str">
        <f>'12-2017'!C204</f>
        <v>đ/cái</v>
      </c>
      <c r="D193" s="13">
        <f>'12-2017'!O204</f>
        <v>140000</v>
      </c>
      <c r="E193" s="13">
        <f>'12-2017'!P204</f>
        <v>140000</v>
      </c>
      <c r="F193" s="130">
        <f t="shared" si="8"/>
        <v>0</v>
      </c>
      <c r="H193" s="74">
        <f>'12-2017'!H204</f>
        <v>0</v>
      </c>
      <c r="I193" s="74">
        <f>'12-2017'!I204</f>
        <v>0</v>
      </c>
      <c r="J193" s="74">
        <f>'12-2017'!J204</f>
        <v>0</v>
      </c>
    </row>
    <row r="194" spans="1:10" s="58" customFormat="1" ht="17.25" hidden="1">
      <c r="A194" s="10">
        <f>'12-2017'!A205</f>
        <v>20</v>
      </c>
      <c r="B194" s="11" t="str">
        <f>'12-2017'!B205</f>
        <v>Gối cống fi 600</v>
      </c>
      <c r="C194" s="12" t="str">
        <f>'12-2017'!C205</f>
        <v>đ/cái</v>
      </c>
      <c r="D194" s="13">
        <f>'12-2017'!O205</f>
        <v>203000</v>
      </c>
      <c r="E194" s="13">
        <f>'12-2017'!P205</f>
        <v>203000</v>
      </c>
      <c r="F194" s="130">
        <f t="shared" si="8"/>
        <v>0</v>
      </c>
      <c r="H194" s="74">
        <f>'12-2017'!H205</f>
        <v>0</v>
      </c>
      <c r="I194" s="74">
        <f>'12-2017'!I205</f>
        <v>0</v>
      </c>
      <c r="J194" s="74">
        <f>'12-2017'!J205</f>
        <v>0</v>
      </c>
    </row>
    <row r="195" spans="1:10" s="58" customFormat="1" ht="17.25" hidden="1">
      <c r="A195" s="10">
        <f>'12-2017'!A206</f>
        <v>21</v>
      </c>
      <c r="B195" s="11" t="str">
        <f>'12-2017'!B206</f>
        <v>Gối cống fi 800</v>
      </c>
      <c r="C195" s="12" t="str">
        <f>'12-2017'!C206</f>
        <v>đ/cái</v>
      </c>
      <c r="D195" s="13">
        <f>'12-2017'!O206</f>
        <v>250000</v>
      </c>
      <c r="E195" s="13">
        <f>'12-2017'!P206</f>
        <v>250000</v>
      </c>
      <c r="F195" s="130">
        <f t="shared" si="8"/>
        <v>0</v>
      </c>
      <c r="H195" s="74">
        <f>'12-2017'!H206</f>
        <v>0</v>
      </c>
      <c r="I195" s="74">
        <f>'12-2017'!I206</f>
        <v>0</v>
      </c>
      <c r="J195" s="74">
        <f>'12-2017'!J206</f>
        <v>0</v>
      </c>
    </row>
    <row r="196" spans="1:10" s="58" customFormat="1" ht="17.25" hidden="1">
      <c r="A196" s="10">
        <f>'12-2017'!A207</f>
        <v>22</v>
      </c>
      <c r="B196" s="11" t="str">
        <f>'12-2017'!B207</f>
        <v>Gối cống fi 1000</v>
      </c>
      <c r="C196" s="12" t="str">
        <f>'12-2017'!C207</f>
        <v>đ/cái</v>
      </c>
      <c r="D196" s="13">
        <f>'12-2017'!O207</f>
        <v>310000</v>
      </c>
      <c r="E196" s="13">
        <f>'12-2017'!P207</f>
        <v>310000</v>
      </c>
      <c r="F196" s="130">
        <f t="shared" si="8"/>
        <v>0</v>
      </c>
      <c r="H196" s="74">
        <f>'12-2017'!H207</f>
        <v>0</v>
      </c>
      <c r="I196" s="74">
        <f>'12-2017'!I207</f>
        <v>0</v>
      </c>
      <c r="J196" s="74">
        <f>'12-2017'!J207</f>
        <v>0</v>
      </c>
    </row>
    <row r="197" spans="1:10" s="73" customFormat="1" ht="17.25" hidden="1">
      <c r="A197" s="17"/>
      <c r="B197" s="237" t="str">
        <f>'12-2017'!B208</f>
        <v>Giăng cao su các loại:</v>
      </c>
      <c r="C197" s="238"/>
      <c r="D197" s="238"/>
      <c r="E197" s="238"/>
      <c r="F197" s="239"/>
      <c r="H197" s="74">
        <f>'12-2017'!H208</f>
        <v>0</v>
      </c>
      <c r="I197" s="74">
        <f>'12-2017'!I208</f>
        <v>0</v>
      </c>
      <c r="J197" s="74">
        <f>'12-2017'!J208</f>
        <v>0</v>
      </c>
    </row>
    <row r="198" spans="1:10" s="58" customFormat="1" ht="17.25" hidden="1">
      <c r="A198" s="10">
        <f>'12-2017'!A209</f>
        <v>23</v>
      </c>
      <c r="B198" s="11" t="str">
        <f>'12-2017'!B209</f>
        <v>Giăng cao su cống fi 300</v>
      </c>
      <c r="C198" s="12" t="str">
        <f>'12-2017'!C209</f>
        <v>đ/sợi</v>
      </c>
      <c r="D198" s="13">
        <f>'12-2017'!O209</f>
        <v>33500</v>
      </c>
      <c r="E198" s="13">
        <f>'12-2017'!P209</f>
        <v>33500</v>
      </c>
      <c r="F198" s="130">
        <f t="shared" si="8"/>
        <v>0</v>
      </c>
      <c r="H198" s="74">
        <f>'12-2017'!H209</f>
        <v>0</v>
      </c>
      <c r="I198" s="74">
        <f>'12-2017'!I209</f>
        <v>0</v>
      </c>
      <c r="J198" s="74">
        <f>'12-2017'!J209</f>
        <v>0</v>
      </c>
    </row>
    <row r="199" spans="1:10" s="58" customFormat="1" ht="17.25" hidden="1">
      <c r="A199" s="10">
        <f>'12-2017'!A210</f>
        <v>24</v>
      </c>
      <c r="B199" s="11" t="str">
        <f>'12-2017'!B210</f>
        <v>Giăng cao su cống fi 400</v>
      </c>
      <c r="C199" s="12" t="str">
        <f>'12-2017'!C210</f>
        <v>đ/sợi</v>
      </c>
      <c r="D199" s="13">
        <f>'12-2017'!O210</f>
        <v>37800</v>
      </c>
      <c r="E199" s="13">
        <f>'12-2017'!P210</f>
        <v>37800</v>
      </c>
      <c r="F199" s="130">
        <f t="shared" si="8"/>
        <v>0</v>
      </c>
      <c r="H199" s="74">
        <f>'12-2017'!H210</f>
        <v>0</v>
      </c>
      <c r="I199" s="74">
        <f>'12-2017'!I210</f>
        <v>0</v>
      </c>
      <c r="J199" s="74">
        <f>'12-2017'!J210</f>
        <v>0</v>
      </c>
    </row>
    <row r="200" spans="1:10" s="58" customFormat="1" ht="17.25" hidden="1">
      <c r="A200" s="10">
        <f>'12-2017'!A211</f>
        <v>25</v>
      </c>
      <c r="B200" s="11" t="str">
        <f>'12-2017'!B211</f>
        <v>Giăng cao su cống fi 500</v>
      </c>
      <c r="C200" s="12" t="str">
        <f>'12-2017'!C211</f>
        <v>đ/sợi</v>
      </c>
      <c r="D200" s="13">
        <f>'12-2017'!O211</f>
        <v>47500</v>
      </c>
      <c r="E200" s="13">
        <f>'12-2017'!P211</f>
        <v>47500</v>
      </c>
      <c r="F200" s="130">
        <f t="shared" si="8"/>
        <v>0</v>
      </c>
      <c r="H200" s="74">
        <f>'12-2017'!H211</f>
        <v>0</v>
      </c>
      <c r="I200" s="74">
        <f>'12-2017'!I211</f>
        <v>0</v>
      </c>
      <c r="J200" s="74">
        <f>'12-2017'!J211</f>
        <v>0</v>
      </c>
    </row>
    <row r="201" spans="1:10" s="58" customFormat="1" ht="17.25" hidden="1">
      <c r="A201" s="10">
        <f>'12-2017'!A212</f>
        <v>26</v>
      </c>
      <c r="B201" s="11" t="str">
        <f>'12-2017'!B212</f>
        <v>Giăng cao su cống fi 600</v>
      </c>
      <c r="C201" s="12" t="str">
        <f>'12-2017'!C212</f>
        <v>đ/sợi</v>
      </c>
      <c r="D201" s="13">
        <f>'12-2017'!O212</f>
        <v>58400</v>
      </c>
      <c r="E201" s="13">
        <f>'12-2017'!P212</f>
        <v>58400</v>
      </c>
      <c r="F201" s="130">
        <f t="shared" si="8"/>
        <v>0</v>
      </c>
      <c r="H201" s="74">
        <f>'12-2017'!H212</f>
        <v>0</v>
      </c>
      <c r="I201" s="74">
        <f>'12-2017'!I212</f>
        <v>0</v>
      </c>
      <c r="J201" s="74">
        <f>'12-2017'!J212</f>
        <v>0</v>
      </c>
    </row>
    <row r="202" spans="1:10" s="58" customFormat="1" ht="17.25" hidden="1">
      <c r="A202" s="10">
        <f>'12-2017'!A213</f>
        <v>27</v>
      </c>
      <c r="B202" s="11" t="str">
        <f>'12-2017'!B213</f>
        <v>Giăng cao su cống fi 800</v>
      </c>
      <c r="C202" s="12" t="str">
        <f>'12-2017'!C213</f>
        <v>đ/sợi</v>
      </c>
      <c r="D202" s="13">
        <f>'12-2017'!O213</f>
        <v>68200</v>
      </c>
      <c r="E202" s="13">
        <f>'12-2017'!P213</f>
        <v>68200</v>
      </c>
      <c r="F202" s="130">
        <f t="shared" si="8"/>
        <v>0</v>
      </c>
      <c r="H202" s="74">
        <f>'12-2017'!H213</f>
        <v>0</v>
      </c>
      <c r="I202" s="74">
        <f>'12-2017'!I213</f>
        <v>0</v>
      </c>
      <c r="J202" s="74">
        <f>'12-2017'!J213</f>
        <v>0</v>
      </c>
    </row>
    <row r="203" spans="1:10" s="58" customFormat="1" ht="17.25" hidden="1">
      <c r="A203" s="10">
        <f>'12-2017'!A214</f>
        <v>28</v>
      </c>
      <c r="B203" s="11" t="str">
        <f>'12-2017'!B214</f>
        <v>Giăng cao su cống fi 1000</v>
      </c>
      <c r="C203" s="12" t="str">
        <f>'12-2017'!C214</f>
        <v>đ/sợi</v>
      </c>
      <c r="D203" s="13">
        <f>'12-2017'!O214</f>
        <v>79100</v>
      </c>
      <c r="E203" s="13">
        <f>'12-2017'!P214</f>
        <v>79100</v>
      </c>
      <c r="F203" s="130">
        <f t="shared" si="8"/>
        <v>0</v>
      </c>
      <c r="H203" s="74">
        <f>'12-2017'!H214</f>
        <v>0</v>
      </c>
      <c r="I203" s="74">
        <f>'12-2017'!I214</f>
        <v>0</v>
      </c>
      <c r="J203" s="74">
        <f>'12-2017'!J214</f>
        <v>0</v>
      </c>
    </row>
    <row r="204" spans="1:10" s="58" customFormat="1" ht="17.25" hidden="1">
      <c r="A204" s="10">
        <f>'12-2017'!A215</f>
        <v>29</v>
      </c>
      <c r="B204" s="11" t="str">
        <f>'12-2017'!B215</f>
        <v>Giăng cao su cống fi 1500</v>
      </c>
      <c r="C204" s="12" t="str">
        <f>'12-2017'!C215</f>
        <v>đ/sợi</v>
      </c>
      <c r="D204" s="13">
        <f>'12-2017'!O215</f>
        <v>94400</v>
      </c>
      <c r="E204" s="13">
        <f>'12-2017'!P215</f>
        <v>94400</v>
      </c>
      <c r="F204" s="130">
        <f t="shared" si="8"/>
        <v>0</v>
      </c>
      <c r="H204" s="74">
        <f>'12-2017'!H215</f>
        <v>0</v>
      </c>
      <c r="I204" s="74">
        <f>'12-2017'!I215</f>
        <v>0</v>
      </c>
      <c r="J204" s="74">
        <f>'12-2017'!J215</f>
        <v>0</v>
      </c>
    </row>
    <row r="205" spans="1:10" s="58" customFormat="1" ht="17.25" hidden="1">
      <c r="A205" s="10">
        <f>'12-2017'!A216</f>
        <v>30</v>
      </c>
      <c r="B205" s="11" t="str">
        <f>'12-2017'!B216</f>
        <v>Giăng cao su cống fi 1800</v>
      </c>
      <c r="C205" s="12" t="str">
        <f>'12-2017'!C216</f>
        <v>đ/sợi</v>
      </c>
      <c r="D205" s="13">
        <f>'12-2017'!O216</f>
        <v>107000</v>
      </c>
      <c r="E205" s="13">
        <f>'12-2017'!P216</f>
        <v>107000</v>
      </c>
      <c r="F205" s="130">
        <f t="shared" si="8"/>
        <v>0</v>
      </c>
      <c r="H205" s="74">
        <f>'12-2017'!H216</f>
        <v>0</v>
      </c>
      <c r="I205" s="74">
        <f>'12-2017'!I216</f>
        <v>0</v>
      </c>
      <c r="J205" s="74">
        <f>'12-2017'!J216</f>
        <v>0</v>
      </c>
    </row>
    <row r="206" spans="1:10" s="58" customFormat="1" ht="17.25" hidden="1">
      <c r="A206" s="10">
        <f>'12-2017'!A217</f>
        <v>31</v>
      </c>
      <c r="B206" s="11" t="str">
        <f>'12-2017'!B217</f>
        <v>Giăng cao su cống fi 2000</v>
      </c>
      <c r="C206" s="12" t="str">
        <f>'12-2017'!C217</f>
        <v>đ/sợi</v>
      </c>
      <c r="D206" s="13">
        <f>'12-2017'!O217</f>
        <v>118000</v>
      </c>
      <c r="E206" s="13">
        <f>'12-2017'!P217</f>
        <v>118000</v>
      </c>
      <c r="F206" s="130">
        <f t="shared" si="8"/>
        <v>0</v>
      </c>
      <c r="H206" s="74">
        <f>'12-2017'!H217</f>
        <v>0</v>
      </c>
      <c r="I206" s="74">
        <f>'12-2017'!I217</f>
        <v>0</v>
      </c>
      <c r="J206" s="74">
        <f>'12-2017'!J217</f>
        <v>0</v>
      </c>
    </row>
    <row r="207" spans="1:10" s="73" customFormat="1" ht="17.25" hidden="1" customHeight="1">
      <c r="A207" s="17"/>
      <c r="B207" s="237" t="str">
        <f>'12-2017'!B218</f>
        <v xml:space="preserve"> - Cọc bê tông dự ứng lực sản xuất theo tiêu chuẩn 22TCN272-05 và TCXD 205:1998, Cường độ thép 17.250kg/cm2</v>
      </c>
      <c r="C207" s="238"/>
      <c r="D207" s="238"/>
      <c r="E207" s="238"/>
      <c r="F207" s="239"/>
      <c r="H207" s="74">
        <f>'12-2017'!H218</f>
        <v>0</v>
      </c>
      <c r="I207" s="74">
        <f>'12-2017'!I218</f>
        <v>0</v>
      </c>
      <c r="J207" s="74">
        <f>'12-2017'!J218</f>
        <v>0</v>
      </c>
    </row>
    <row r="208" spans="1:10" s="58" customFormat="1" ht="17.25" hidden="1">
      <c r="A208" s="10">
        <f>'12-2017'!A219</f>
        <v>32</v>
      </c>
      <c r="B208" s="11" t="str">
        <f>'12-2017'!B219</f>
        <v>Cọc bê tông DƯL 100 x 100, M400</v>
      </c>
      <c r="C208" s="12" t="str">
        <f>'12-2017'!C219</f>
        <v>đ/m</v>
      </c>
      <c r="D208" s="13">
        <f>'12-2017'!O219</f>
        <v>47600</v>
      </c>
      <c r="E208" s="13">
        <f>'12-2017'!P219</f>
        <v>47600</v>
      </c>
      <c r="F208" s="130">
        <f t="shared" si="8"/>
        <v>0</v>
      </c>
      <c r="H208" s="74">
        <f>'12-2017'!H219</f>
        <v>0</v>
      </c>
      <c r="I208" s="74">
        <f>'12-2017'!I219</f>
        <v>0</v>
      </c>
      <c r="J208" s="74">
        <f>'12-2017'!J219</f>
        <v>0</v>
      </c>
    </row>
    <row r="209" spans="1:10" s="58" customFormat="1" ht="17.25" hidden="1">
      <c r="A209" s="10">
        <f>'12-2017'!A220</f>
        <v>33</v>
      </c>
      <c r="B209" s="11" t="str">
        <f>'12-2017'!B220</f>
        <v>Cọc bê tông DƯL 120 x 120, M400</v>
      </c>
      <c r="C209" s="12" t="str">
        <f>'12-2017'!C220</f>
        <v>đ/m</v>
      </c>
      <c r="D209" s="13">
        <f>'12-2017'!O220</f>
        <v>64900</v>
      </c>
      <c r="E209" s="13">
        <f>'12-2017'!P220</f>
        <v>64900</v>
      </c>
      <c r="F209" s="130">
        <f t="shared" si="8"/>
        <v>0</v>
      </c>
      <c r="H209" s="74">
        <f>'12-2017'!H220</f>
        <v>0</v>
      </c>
      <c r="I209" s="74">
        <f>'12-2017'!I220</f>
        <v>0</v>
      </c>
      <c r="J209" s="74">
        <f>'12-2017'!J220</f>
        <v>0</v>
      </c>
    </row>
    <row r="210" spans="1:10" s="58" customFormat="1" ht="17.25" hidden="1">
      <c r="A210" s="10">
        <f>'12-2017'!A221</f>
        <v>34</v>
      </c>
      <c r="B210" s="11" t="str">
        <f>'12-2017'!B221</f>
        <v>Cọc bê tông DƯL 150 x 150, M400</v>
      </c>
      <c r="C210" s="12" t="str">
        <f>'12-2017'!C221</f>
        <v>đ/m</v>
      </c>
      <c r="D210" s="13">
        <f>'12-2017'!O221</f>
        <v>88500</v>
      </c>
      <c r="E210" s="13">
        <f>'12-2017'!P221</f>
        <v>88500</v>
      </c>
      <c r="F210" s="130">
        <f t="shared" si="8"/>
        <v>0</v>
      </c>
      <c r="H210" s="74">
        <f>'12-2017'!H221</f>
        <v>0</v>
      </c>
      <c r="I210" s="74">
        <f>'12-2017'!I221</f>
        <v>0</v>
      </c>
      <c r="J210" s="74">
        <f>'12-2017'!J221</f>
        <v>0</v>
      </c>
    </row>
    <row r="211" spans="1:10" s="58" customFormat="1" ht="17.25" hidden="1">
      <c r="A211" s="10">
        <f>'12-2017'!A222</f>
        <v>35</v>
      </c>
      <c r="B211" s="11" t="str">
        <f>'12-2017'!B222</f>
        <v>Cọc bê tông DƯL 200 x 200, M400</v>
      </c>
      <c r="C211" s="12" t="str">
        <f>'12-2017'!C222</f>
        <v>đ/m</v>
      </c>
      <c r="D211" s="13">
        <f>'12-2017'!O222</f>
        <v>181900</v>
      </c>
      <c r="E211" s="13">
        <f>'12-2017'!P222</f>
        <v>181900</v>
      </c>
      <c r="F211" s="130">
        <f>E211-D211</f>
        <v>0</v>
      </c>
      <c r="H211" s="74">
        <f>'12-2017'!H222</f>
        <v>0</v>
      </c>
      <c r="I211" s="74">
        <f>'12-2017'!I222</f>
        <v>0</v>
      </c>
      <c r="J211" s="74">
        <f>'12-2017'!J222</f>
        <v>0</v>
      </c>
    </row>
    <row r="212" spans="1:10" s="58" customFormat="1" ht="40.5" hidden="1" customHeight="1">
      <c r="A212" s="10"/>
      <c r="B212" s="237" t="str">
        <f>'12-2017'!B223</f>
        <v>* Cống Bê tông Ly Tâm : Cty TNHH Trường Thắng (Địa chỉ liên hệ: số 116/5 Thoại Ngọc Hầu, P.Mỹ Phước, Tp.LX, An Giang), giao hàng tại Khu Công nghiệp Bình Hòa, huyện Châu Thành. Theo bảng giá ngày 02/6/2017</v>
      </c>
      <c r="C212" s="238"/>
      <c r="D212" s="238"/>
      <c r="E212" s="238"/>
      <c r="F212" s="239"/>
      <c r="H212" s="74">
        <f>'12-2017'!H223</f>
        <v>0</v>
      </c>
      <c r="I212" s="74">
        <f>'12-2017'!I223</f>
        <v>0</v>
      </c>
      <c r="J212" s="74">
        <f>'12-2017'!J223</f>
        <v>0</v>
      </c>
    </row>
    <row r="213" spans="1:10" s="58" customFormat="1" ht="17.25" hidden="1" customHeight="1">
      <c r="A213" s="10"/>
      <c r="B213" s="9" t="str">
        <f>'12-2017'!B224</f>
        <v>Cống Bê tông ly tâm</v>
      </c>
      <c r="C213" s="11">
        <f>'12-2017'!C224</f>
        <v>0</v>
      </c>
      <c r="D213" s="11">
        <f>'12-2017'!D224</f>
        <v>0</v>
      </c>
      <c r="E213" s="11">
        <f>'12-2017'!E224</f>
        <v>0</v>
      </c>
      <c r="F213" s="23">
        <f>'12-2017'!F224</f>
        <v>0</v>
      </c>
      <c r="H213" s="74">
        <f>'12-2017'!H224</f>
        <v>0</v>
      </c>
      <c r="I213" s="74">
        <f>'12-2017'!I224</f>
        <v>0</v>
      </c>
      <c r="J213" s="74">
        <f>'12-2017'!J224</f>
        <v>0</v>
      </c>
    </row>
    <row r="214" spans="1:10" s="58" customFormat="1" ht="17.25" hidden="1">
      <c r="A214" s="10">
        <f>'12-2017'!A225</f>
        <v>1</v>
      </c>
      <c r="B214" s="11" t="str">
        <f>'12-2017'!B225</f>
        <v>Cống  BTLT D300 VH cấp tải thấp</v>
      </c>
      <c r="C214" s="12" t="str">
        <f>'12-2017'!C225</f>
        <v>đ/md</v>
      </c>
      <c r="D214" s="13">
        <f>'12-2017'!O225</f>
        <v>240000</v>
      </c>
      <c r="E214" s="13">
        <f>'12-2017'!P225</f>
        <v>240000</v>
      </c>
      <c r="F214" s="130">
        <f>E214-D214</f>
        <v>0</v>
      </c>
      <c r="H214" s="74">
        <f>'12-2017'!H225</f>
        <v>0</v>
      </c>
      <c r="I214" s="74">
        <f>'12-2017'!I225</f>
        <v>0</v>
      </c>
      <c r="J214" s="74">
        <f>'12-2017'!J225</f>
        <v>0</v>
      </c>
    </row>
    <row r="215" spans="1:10" s="58" customFormat="1" ht="17.25" hidden="1">
      <c r="A215" s="10">
        <f>'12-2017'!A226</f>
        <v>2</v>
      </c>
      <c r="B215" s="11" t="str">
        <f>'12-2017'!B226</f>
        <v>Cống  BTLT D300 VH cấp tiêu chuẩn</v>
      </c>
      <c r="C215" s="12" t="str">
        <f>'12-2017'!C226</f>
        <v>đ/md</v>
      </c>
      <c r="D215" s="13">
        <f>'12-2017'!O226</f>
        <v>250000</v>
      </c>
      <c r="E215" s="13">
        <f>'12-2017'!P226</f>
        <v>250000</v>
      </c>
      <c r="F215" s="130">
        <f>E215-D215</f>
        <v>0</v>
      </c>
      <c r="H215" s="74">
        <f>'12-2017'!H226</f>
        <v>0</v>
      </c>
      <c r="I215" s="74">
        <f>'12-2017'!I226</f>
        <v>0</v>
      </c>
      <c r="J215" s="74">
        <f>'12-2017'!J226</f>
        <v>0</v>
      </c>
    </row>
    <row r="216" spans="1:10" s="58" customFormat="1" ht="17.25" hidden="1">
      <c r="A216" s="10">
        <f>'12-2017'!A227</f>
        <v>3</v>
      </c>
      <c r="B216" s="11" t="str">
        <f>'12-2017'!B227</f>
        <v>Cống  BTLT D300 VH cấp tải cao</v>
      </c>
      <c r="C216" s="12" t="str">
        <f>'12-2017'!C227</f>
        <v>đ/md</v>
      </c>
      <c r="D216" s="13">
        <f>'12-2017'!O227</f>
        <v>260000</v>
      </c>
      <c r="E216" s="13">
        <f>'12-2017'!P227</f>
        <v>260000</v>
      </c>
      <c r="F216" s="130">
        <f>E216-D216</f>
        <v>0</v>
      </c>
      <c r="H216" s="74">
        <f>'12-2017'!H227</f>
        <v>0</v>
      </c>
      <c r="I216" s="74">
        <f>'12-2017'!I227</f>
        <v>0</v>
      </c>
      <c r="J216" s="74">
        <f>'12-2017'!J227</f>
        <v>0</v>
      </c>
    </row>
    <row r="217" spans="1:10" s="58" customFormat="1" ht="17.25" hidden="1">
      <c r="A217" s="10">
        <f>'12-2017'!A228</f>
        <v>4</v>
      </c>
      <c r="B217" s="11" t="str">
        <f>'12-2017'!B228</f>
        <v>Cống  BTLT D400 VH cấp tải thấp</v>
      </c>
      <c r="C217" s="12" t="str">
        <f>'12-2017'!C228</f>
        <v>đ/md</v>
      </c>
      <c r="D217" s="13">
        <f>'12-2017'!O228</f>
        <v>270000</v>
      </c>
      <c r="E217" s="13">
        <f>'12-2017'!P228</f>
        <v>270000</v>
      </c>
      <c r="F217" s="130">
        <f t="shared" ref="F217:F234" si="9">E217-D217</f>
        <v>0</v>
      </c>
      <c r="H217" s="74">
        <f>'12-2017'!H228</f>
        <v>0</v>
      </c>
      <c r="I217" s="74">
        <f>'12-2017'!I228</f>
        <v>0</v>
      </c>
      <c r="J217" s="74">
        <f>'12-2017'!J228</f>
        <v>0</v>
      </c>
    </row>
    <row r="218" spans="1:10" s="58" customFormat="1" ht="17.25" hidden="1">
      <c r="A218" s="10">
        <f>'12-2017'!A229</f>
        <v>5</v>
      </c>
      <c r="B218" s="11" t="str">
        <f>'12-2017'!B229</f>
        <v>Cống  BTLT D400 H10 cấp tải tiêu chuẩn</v>
      </c>
      <c r="C218" s="12" t="str">
        <f>'12-2017'!C229</f>
        <v>đ/md</v>
      </c>
      <c r="D218" s="13">
        <f>'12-2017'!O229</f>
        <v>280000</v>
      </c>
      <c r="E218" s="13">
        <f>'12-2017'!P229</f>
        <v>280000</v>
      </c>
      <c r="F218" s="130">
        <f t="shared" si="9"/>
        <v>0</v>
      </c>
      <c r="H218" s="74">
        <f>'12-2017'!H229</f>
        <v>0</v>
      </c>
      <c r="I218" s="74">
        <f>'12-2017'!I229</f>
        <v>0</v>
      </c>
      <c r="J218" s="74">
        <f>'12-2017'!J229</f>
        <v>0</v>
      </c>
    </row>
    <row r="219" spans="1:10" s="58" customFormat="1" ht="17.25" hidden="1">
      <c r="A219" s="10">
        <f>'12-2017'!A230</f>
        <v>6</v>
      </c>
      <c r="B219" s="11" t="str">
        <f>'12-2017'!B230</f>
        <v>Cống  BTLT D400 H30 cấp tải cao</v>
      </c>
      <c r="C219" s="12" t="str">
        <f>'12-2017'!C230</f>
        <v>đ/md</v>
      </c>
      <c r="D219" s="13">
        <f>'12-2017'!O230</f>
        <v>290000</v>
      </c>
      <c r="E219" s="13">
        <f>'12-2017'!P230</f>
        <v>290000</v>
      </c>
      <c r="F219" s="130">
        <f t="shared" si="9"/>
        <v>0</v>
      </c>
      <c r="H219" s="74">
        <f>'12-2017'!H230</f>
        <v>0</v>
      </c>
      <c r="I219" s="74">
        <f>'12-2017'!I230</f>
        <v>0</v>
      </c>
      <c r="J219" s="74">
        <f>'12-2017'!J230</f>
        <v>0</v>
      </c>
    </row>
    <row r="220" spans="1:10" s="58" customFormat="1" ht="17.25" hidden="1">
      <c r="A220" s="10">
        <f>'12-2017'!A231</f>
        <v>7</v>
      </c>
      <c r="B220" s="11" t="str">
        <f>'12-2017'!B231</f>
        <v>Cống  BTLT D600 VH cấp tải thấp</v>
      </c>
      <c r="C220" s="12" t="str">
        <f>'12-2017'!C231</f>
        <v>đ/md</v>
      </c>
      <c r="D220" s="13">
        <f>'12-2017'!O231</f>
        <v>420000</v>
      </c>
      <c r="E220" s="13">
        <f>'12-2017'!P231</f>
        <v>420000</v>
      </c>
      <c r="F220" s="130">
        <f t="shared" si="9"/>
        <v>0</v>
      </c>
      <c r="H220" s="74">
        <f>'12-2017'!H231</f>
        <v>0</v>
      </c>
      <c r="I220" s="74">
        <f>'12-2017'!I231</f>
        <v>0</v>
      </c>
      <c r="J220" s="74">
        <f>'12-2017'!J231</f>
        <v>0</v>
      </c>
    </row>
    <row r="221" spans="1:10" s="58" customFormat="1" ht="17.25" hidden="1">
      <c r="A221" s="10">
        <f>'12-2017'!A232</f>
        <v>8</v>
      </c>
      <c r="B221" s="11" t="str">
        <f>'12-2017'!B232</f>
        <v>Cống  BTLT D600 H10 cấp tải tiêu chuẩn</v>
      </c>
      <c r="C221" s="12" t="str">
        <f>'12-2017'!C232</f>
        <v>đ/md</v>
      </c>
      <c r="D221" s="13">
        <f>'12-2017'!O232</f>
        <v>470000</v>
      </c>
      <c r="E221" s="13">
        <f>'12-2017'!P232</f>
        <v>470000</v>
      </c>
      <c r="F221" s="130">
        <f t="shared" si="9"/>
        <v>0</v>
      </c>
      <c r="H221" s="74">
        <f>'12-2017'!H232</f>
        <v>0</v>
      </c>
      <c r="I221" s="74">
        <f>'12-2017'!I232</f>
        <v>0</v>
      </c>
      <c r="J221" s="74">
        <f>'12-2017'!J232</f>
        <v>0</v>
      </c>
    </row>
    <row r="222" spans="1:10" s="58" customFormat="1" ht="17.25" hidden="1">
      <c r="A222" s="10">
        <f>'12-2017'!A233</f>
        <v>9</v>
      </c>
      <c r="B222" s="11" t="str">
        <f>'12-2017'!B233</f>
        <v>Cống  BTLT D600 H30 cấp tải cao</v>
      </c>
      <c r="C222" s="12" t="str">
        <f>'12-2017'!C233</f>
        <v>đ/md</v>
      </c>
      <c r="D222" s="13">
        <f>'12-2017'!O233</f>
        <v>500000</v>
      </c>
      <c r="E222" s="13">
        <f>'12-2017'!P233</f>
        <v>500000</v>
      </c>
      <c r="F222" s="130">
        <f t="shared" si="9"/>
        <v>0</v>
      </c>
      <c r="H222" s="74">
        <f>'12-2017'!H233</f>
        <v>0</v>
      </c>
      <c r="I222" s="74">
        <f>'12-2017'!I233</f>
        <v>0</v>
      </c>
      <c r="J222" s="74">
        <f>'12-2017'!J233</f>
        <v>0</v>
      </c>
    </row>
    <row r="223" spans="1:10" s="58" customFormat="1" ht="17.25" hidden="1">
      <c r="A223" s="10">
        <f>'12-2017'!A234</f>
        <v>10</v>
      </c>
      <c r="B223" s="11" t="str">
        <f>'12-2017'!B234</f>
        <v>Cống  BTLT D800 VH cấp tải thấp</v>
      </c>
      <c r="C223" s="12" t="str">
        <f>'12-2017'!C234</f>
        <v>đ/md</v>
      </c>
      <c r="D223" s="13">
        <f>'12-2017'!O234</f>
        <v>670000</v>
      </c>
      <c r="E223" s="13">
        <f>'12-2017'!P234</f>
        <v>670000</v>
      </c>
      <c r="F223" s="130">
        <f t="shared" si="9"/>
        <v>0</v>
      </c>
      <c r="H223" s="74">
        <f>'12-2017'!H234</f>
        <v>0</v>
      </c>
      <c r="I223" s="74">
        <f>'12-2017'!I234</f>
        <v>0</v>
      </c>
      <c r="J223" s="74">
        <f>'12-2017'!J234</f>
        <v>0</v>
      </c>
    </row>
    <row r="224" spans="1:10" s="58" customFormat="1" ht="17.25" hidden="1">
      <c r="A224" s="10">
        <f>'12-2017'!A235</f>
        <v>11</v>
      </c>
      <c r="B224" s="11" t="str">
        <f>'12-2017'!B235</f>
        <v>Cống  BTLT D800 H10 cấp tải tiêu chuẩn</v>
      </c>
      <c r="C224" s="12" t="str">
        <f>'12-2017'!C235</f>
        <v>đ/md</v>
      </c>
      <c r="D224" s="13">
        <f>'12-2017'!O235</f>
        <v>730000</v>
      </c>
      <c r="E224" s="13">
        <f>'12-2017'!P235</f>
        <v>730000</v>
      </c>
      <c r="F224" s="130">
        <f t="shared" si="9"/>
        <v>0</v>
      </c>
      <c r="H224" s="74">
        <f>'12-2017'!H235</f>
        <v>0</v>
      </c>
      <c r="I224" s="74">
        <f>'12-2017'!I235</f>
        <v>0</v>
      </c>
      <c r="J224" s="74">
        <f>'12-2017'!J235</f>
        <v>0</v>
      </c>
    </row>
    <row r="225" spans="1:10" s="58" customFormat="1" ht="17.25" hidden="1">
      <c r="A225" s="10">
        <f>'12-2017'!A236</f>
        <v>12</v>
      </c>
      <c r="B225" s="11" t="str">
        <f>'12-2017'!B236</f>
        <v>Cống  BTLT D800 H30 cấp tải cao</v>
      </c>
      <c r="C225" s="12" t="str">
        <f>'12-2017'!C236</f>
        <v>đ/md</v>
      </c>
      <c r="D225" s="13">
        <f>'12-2017'!O236</f>
        <v>850000</v>
      </c>
      <c r="E225" s="13">
        <f>'12-2017'!P236</f>
        <v>850000</v>
      </c>
      <c r="F225" s="130">
        <f t="shared" si="9"/>
        <v>0</v>
      </c>
      <c r="H225" s="74">
        <f>'12-2017'!H236</f>
        <v>0</v>
      </c>
      <c r="I225" s="74">
        <f>'12-2017'!I236</f>
        <v>0</v>
      </c>
      <c r="J225" s="74">
        <f>'12-2017'!J236</f>
        <v>0</v>
      </c>
    </row>
    <row r="226" spans="1:10" s="58" customFormat="1" ht="17.25" hidden="1">
      <c r="A226" s="10">
        <f>'12-2017'!A237</f>
        <v>13</v>
      </c>
      <c r="B226" s="11" t="str">
        <f>'12-2017'!B237</f>
        <v>Cống  BTLT D1000 VH cấp tải thấp</v>
      </c>
      <c r="C226" s="12" t="str">
        <f>'12-2017'!C237</f>
        <v>đ/md</v>
      </c>
      <c r="D226" s="13">
        <f>'12-2017'!O237</f>
        <v>1080000</v>
      </c>
      <c r="E226" s="13">
        <f>'12-2017'!P237</f>
        <v>1080000</v>
      </c>
      <c r="F226" s="130">
        <f t="shared" si="9"/>
        <v>0</v>
      </c>
      <c r="H226" s="74">
        <f>'12-2017'!H237</f>
        <v>0</v>
      </c>
      <c r="I226" s="74">
        <f>'12-2017'!I237</f>
        <v>0</v>
      </c>
      <c r="J226" s="74">
        <f>'12-2017'!J237</f>
        <v>0</v>
      </c>
    </row>
    <row r="227" spans="1:10" s="58" customFormat="1" ht="17.25" hidden="1">
      <c r="A227" s="10">
        <f>'12-2017'!A238</f>
        <v>14</v>
      </c>
      <c r="B227" s="11" t="str">
        <f>'12-2017'!B238</f>
        <v>Cống  BTLT D1000 H10 cấp tải tiêu chuẩn</v>
      </c>
      <c r="C227" s="12" t="str">
        <f>'12-2017'!C238</f>
        <v>đ/md</v>
      </c>
      <c r="D227" s="13">
        <f>'12-2017'!O238</f>
        <v>1160000</v>
      </c>
      <c r="E227" s="13">
        <f>'12-2017'!P238</f>
        <v>1160000</v>
      </c>
      <c r="F227" s="130">
        <f t="shared" si="9"/>
        <v>0</v>
      </c>
      <c r="H227" s="74">
        <f>'12-2017'!H238</f>
        <v>0</v>
      </c>
      <c r="I227" s="74">
        <f>'12-2017'!I238</f>
        <v>0</v>
      </c>
      <c r="J227" s="74">
        <f>'12-2017'!J238</f>
        <v>0</v>
      </c>
    </row>
    <row r="228" spans="1:10" s="58" customFormat="1" ht="17.25" hidden="1">
      <c r="A228" s="10">
        <f>'12-2017'!A239</f>
        <v>15</v>
      </c>
      <c r="B228" s="11" t="str">
        <f>'12-2017'!B239</f>
        <v>Cống  BTLT D1000 H30 cấp tải cao</v>
      </c>
      <c r="C228" s="12" t="str">
        <f>'12-2017'!C239</f>
        <v>đ/md</v>
      </c>
      <c r="D228" s="13">
        <f>'12-2017'!O239</f>
        <v>1330000</v>
      </c>
      <c r="E228" s="13">
        <f>'12-2017'!P239</f>
        <v>1330000</v>
      </c>
      <c r="F228" s="130">
        <f t="shared" si="9"/>
        <v>0</v>
      </c>
      <c r="H228" s="74">
        <f>'12-2017'!H239</f>
        <v>0</v>
      </c>
      <c r="I228" s="74">
        <f>'12-2017'!I239</f>
        <v>0</v>
      </c>
      <c r="J228" s="74">
        <f>'12-2017'!J239</f>
        <v>0</v>
      </c>
    </row>
    <row r="229" spans="1:10" s="58" customFormat="1" ht="17.25" hidden="1">
      <c r="A229" s="10">
        <f>'12-2017'!A240</f>
        <v>16</v>
      </c>
      <c r="B229" s="11" t="str">
        <f>'12-2017'!B240</f>
        <v>Cống  BTLT D1200 VH cấp tải thấp</v>
      </c>
      <c r="C229" s="12" t="str">
        <f>'12-2017'!C240</f>
        <v>đ/md</v>
      </c>
      <c r="D229" s="13">
        <f>'12-2017'!O240</f>
        <v>2100000</v>
      </c>
      <c r="E229" s="13">
        <f>'12-2017'!P240</f>
        <v>2100000</v>
      </c>
      <c r="F229" s="130">
        <f t="shared" si="9"/>
        <v>0</v>
      </c>
      <c r="H229" s="74">
        <f>'12-2017'!H240</f>
        <v>0</v>
      </c>
      <c r="I229" s="74">
        <f>'12-2017'!I240</f>
        <v>0</v>
      </c>
      <c r="J229" s="74">
        <f>'12-2017'!J240</f>
        <v>0</v>
      </c>
    </row>
    <row r="230" spans="1:10" s="58" customFormat="1" ht="17.25" hidden="1">
      <c r="A230" s="10">
        <f>'12-2017'!A241</f>
        <v>17</v>
      </c>
      <c r="B230" s="11" t="str">
        <f>'12-2017'!B241</f>
        <v>Cống  BTLT D1200 H10 cấp tải tiêu chuẩn</v>
      </c>
      <c r="C230" s="12" t="str">
        <f>'12-2017'!C241</f>
        <v>đ/md</v>
      </c>
      <c r="D230" s="13">
        <f>'12-2017'!O241</f>
        <v>2150000</v>
      </c>
      <c r="E230" s="13">
        <f>'12-2017'!P241</f>
        <v>2150000</v>
      </c>
      <c r="F230" s="130">
        <f t="shared" si="9"/>
        <v>0</v>
      </c>
      <c r="H230" s="74">
        <f>'12-2017'!H241</f>
        <v>0</v>
      </c>
      <c r="I230" s="74">
        <f>'12-2017'!I241</f>
        <v>0</v>
      </c>
      <c r="J230" s="74">
        <f>'12-2017'!J241</f>
        <v>0</v>
      </c>
    </row>
    <row r="231" spans="1:10" s="58" customFormat="1" ht="17.25" hidden="1">
      <c r="A231" s="10">
        <f>'12-2017'!A242</f>
        <v>18</v>
      </c>
      <c r="B231" s="11" t="str">
        <f>'12-2017'!B242</f>
        <v>Cống  BTLT D1200 H30 cấp tải cao</v>
      </c>
      <c r="C231" s="12" t="str">
        <f>'12-2017'!C242</f>
        <v>đ/md</v>
      </c>
      <c r="D231" s="13">
        <f>'12-2017'!O242</f>
        <v>2250000</v>
      </c>
      <c r="E231" s="13">
        <f>'12-2017'!P242</f>
        <v>2250000</v>
      </c>
      <c r="F231" s="130">
        <f t="shared" si="9"/>
        <v>0</v>
      </c>
      <c r="H231" s="74">
        <f>'12-2017'!H242</f>
        <v>0</v>
      </c>
      <c r="I231" s="74">
        <f>'12-2017'!I242</f>
        <v>0</v>
      </c>
      <c r="J231" s="74">
        <f>'12-2017'!J242</f>
        <v>0</v>
      </c>
    </row>
    <row r="232" spans="1:10" s="58" customFormat="1" ht="17.25" hidden="1">
      <c r="A232" s="10">
        <f>'12-2017'!A243</f>
        <v>19</v>
      </c>
      <c r="B232" s="11" t="str">
        <f>'12-2017'!B243</f>
        <v>Cống  BTLT D1500 VH cấp tải thấp</v>
      </c>
      <c r="C232" s="12" t="str">
        <f>'12-2017'!C243</f>
        <v>đ/md</v>
      </c>
      <c r="D232" s="13">
        <f>'12-2017'!O243</f>
        <v>2500000</v>
      </c>
      <c r="E232" s="13">
        <f>'12-2017'!P243</f>
        <v>2500000</v>
      </c>
      <c r="F232" s="130">
        <f t="shared" si="9"/>
        <v>0</v>
      </c>
      <c r="H232" s="74">
        <f>'12-2017'!H243</f>
        <v>0</v>
      </c>
      <c r="I232" s="74">
        <f>'12-2017'!I243</f>
        <v>0</v>
      </c>
      <c r="J232" s="74">
        <f>'12-2017'!J243</f>
        <v>0</v>
      </c>
    </row>
    <row r="233" spans="1:10" s="58" customFormat="1" ht="17.25" hidden="1">
      <c r="A233" s="10">
        <f>'12-2017'!A244</f>
        <v>20</v>
      </c>
      <c r="B233" s="11" t="str">
        <f>'12-2017'!B244</f>
        <v>Cống  BTLT D1500 H10 cấp tải tiêu chuẩn</v>
      </c>
      <c r="C233" s="12" t="str">
        <f>'12-2017'!C244</f>
        <v>đ/md</v>
      </c>
      <c r="D233" s="13">
        <f>'12-2017'!O244</f>
        <v>2700000</v>
      </c>
      <c r="E233" s="13">
        <f>'12-2017'!P244</f>
        <v>2700000</v>
      </c>
      <c r="F233" s="130">
        <f t="shared" si="9"/>
        <v>0</v>
      </c>
      <c r="H233" s="74">
        <f>'12-2017'!H244</f>
        <v>0</v>
      </c>
      <c r="I233" s="74">
        <f>'12-2017'!I244</f>
        <v>0</v>
      </c>
      <c r="J233" s="74">
        <f>'12-2017'!J244</f>
        <v>0</v>
      </c>
    </row>
    <row r="234" spans="1:10" s="58" customFormat="1" ht="17.25" hidden="1">
      <c r="A234" s="10">
        <f>'12-2017'!A245</f>
        <v>21</v>
      </c>
      <c r="B234" s="11" t="str">
        <f>'12-2017'!B245</f>
        <v>Cống  BTLT D1500 H30 cấp tải cao</v>
      </c>
      <c r="C234" s="12" t="str">
        <f>'12-2017'!C245</f>
        <v>đ/md</v>
      </c>
      <c r="D234" s="13">
        <f>'12-2017'!O245</f>
        <v>2900000</v>
      </c>
      <c r="E234" s="13">
        <f>'12-2017'!P245</f>
        <v>2900000</v>
      </c>
      <c r="F234" s="130">
        <f t="shared" si="9"/>
        <v>0</v>
      </c>
      <c r="H234" s="74">
        <f>'12-2017'!H245</f>
        <v>0</v>
      </c>
      <c r="I234" s="74">
        <f>'12-2017'!I245</f>
        <v>0</v>
      </c>
      <c r="J234" s="74">
        <f>'12-2017'!J245</f>
        <v>0</v>
      </c>
    </row>
    <row r="235" spans="1:10" s="58" customFormat="1" ht="17.25" hidden="1">
      <c r="A235" s="10"/>
      <c r="B235" s="9" t="str">
        <f>'12-2017'!B246</f>
        <v>Gối cống</v>
      </c>
      <c r="C235" s="12"/>
      <c r="D235" s="13"/>
      <c r="E235" s="13"/>
      <c r="F235" s="130"/>
      <c r="H235" s="74">
        <f>'12-2017'!H246</f>
        <v>0</v>
      </c>
      <c r="I235" s="74">
        <f>'12-2017'!I246</f>
        <v>0</v>
      </c>
      <c r="J235" s="74">
        <f>'12-2017'!J246</f>
        <v>0</v>
      </c>
    </row>
    <row r="236" spans="1:10" s="58" customFormat="1" ht="17.25" hidden="1">
      <c r="A236" s="10">
        <f>'12-2017'!A247</f>
        <v>22</v>
      </c>
      <c r="B236" s="11" t="str">
        <f>'12-2017'!B247</f>
        <v xml:space="preserve">Gối cống Φ 400 </v>
      </c>
      <c r="C236" s="12" t="str">
        <f>'12-2017'!C247</f>
        <v>đ/cái</v>
      </c>
      <c r="D236" s="13">
        <f>'12-2017'!O247</f>
        <v>130000</v>
      </c>
      <c r="E236" s="13">
        <f>'12-2017'!P247</f>
        <v>130000</v>
      </c>
      <c r="F236" s="130">
        <f t="shared" ref="F236:F250" si="10">E236-D236</f>
        <v>0</v>
      </c>
      <c r="H236" s="74">
        <f>'12-2017'!H247</f>
        <v>0</v>
      </c>
      <c r="I236" s="74">
        <f>'12-2017'!I247</f>
        <v>0</v>
      </c>
      <c r="J236" s="74">
        <f>'12-2017'!J247</f>
        <v>0</v>
      </c>
    </row>
    <row r="237" spans="1:10" s="58" customFormat="1" ht="17.25" hidden="1">
      <c r="A237" s="10">
        <f>'12-2017'!A248</f>
        <v>23</v>
      </c>
      <c r="B237" s="11" t="str">
        <f>'12-2017'!B248</f>
        <v>Gối cống Φ 600</v>
      </c>
      <c r="C237" s="12" t="str">
        <f>'12-2017'!C248</f>
        <v>đ/cái</v>
      </c>
      <c r="D237" s="13">
        <f>'12-2017'!O248</f>
        <v>190000</v>
      </c>
      <c r="E237" s="13">
        <f>'12-2017'!P248</f>
        <v>190000</v>
      </c>
      <c r="F237" s="130">
        <f t="shared" si="10"/>
        <v>0</v>
      </c>
      <c r="H237" s="74">
        <f>'12-2017'!H248</f>
        <v>0</v>
      </c>
      <c r="I237" s="74">
        <f>'12-2017'!I248</f>
        <v>0</v>
      </c>
      <c r="J237" s="74">
        <f>'12-2017'!J248</f>
        <v>0</v>
      </c>
    </row>
    <row r="238" spans="1:10" s="58" customFormat="1" ht="17.25" hidden="1">
      <c r="A238" s="10">
        <f>'12-2017'!A249</f>
        <v>24</v>
      </c>
      <c r="B238" s="11" t="str">
        <f>'12-2017'!B249</f>
        <v>Gối cống Φ 800</v>
      </c>
      <c r="C238" s="12" t="str">
        <f>'12-2017'!C249</f>
        <v>đ/cái</v>
      </c>
      <c r="D238" s="13">
        <f>'12-2017'!O249</f>
        <v>240000</v>
      </c>
      <c r="E238" s="13">
        <f>'12-2017'!P249</f>
        <v>240000</v>
      </c>
      <c r="F238" s="130">
        <f t="shared" si="10"/>
        <v>0</v>
      </c>
      <c r="H238" s="74">
        <f>'12-2017'!H249</f>
        <v>0</v>
      </c>
      <c r="I238" s="74">
        <f>'12-2017'!I249</f>
        <v>0</v>
      </c>
      <c r="J238" s="74">
        <f>'12-2017'!J249</f>
        <v>0</v>
      </c>
    </row>
    <row r="239" spans="1:10" s="58" customFormat="1" ht="17.25" hidden="1">
      <c r="A239" s="10">
        <f>'12-2017'!A250</f>
        <v>25</v>
      </c>
      <c r="B239" s="11" t="str">
        <f>'12-2017'!B250</f>
        <v>Gối cống Φ 100</v>
      </c>
      <c r="C239" s="12" t="str">
        <f>'12-2017'!C250</f>
        <v>đ/cái</v>
      </c>
      <c r="D239" s="13">
        <f>'12-2017'!O250</f>
        <v>300000</v>
      </c>
      <c r="E239" s="13">
        <f>'12-2017'!P250</f>
        <v>300000</v>
      </c>
      <c r="F239" s="130">
        <f t="shared" si="10"/>
        <v>0</v>
      </c>
      <c r="H239" s="74">
        <f>'12-2017'!H250</f>
        <v>0</v>
      </c>
      <c r="I239" s="74">
        <f>'12-2017'!I250</f>
        <v>0</v>
      </c>
      <c r="J239" s="74">
        <f>'12-2017'!J250</f>
        <v>0</v>
      </c>
    </row>
    <row r="240" spans="1:10" s="58" customFormat="1" ht="17.25" hidden="1">
      <c r="A240" s="10"/>
      <c r="B240" s="9" t="str">
        <f>'12-2017'!B251</f>
        <v>Ron cống Bê tông</v>
      </c>
      <c r="C240" s="12"/>
      <c r="D240" s="13"/>
      <c r="E240" s="13"/>
      <c r="F240" s="130"/>
      <c r="H240" s="74">
        <f>'12-2017'!H251</f>
        <v>0</v>
      </c>
      <c r="I240" s="74">
        <f>'12-2017'!I251</f>
        <v>0</v>
      </c>
      <c r="J240" s="74">
        <f>'12-2017'!J251</f>
        <v>0</v>
      </c>
    </row>
    <row r="241" spans="1:10" s="58" customFormat="1" ht="17.25" hidden="1">
      <c r="A241" s="10">
        <f>'12-2017'!A252</f>
        <v>26</v>
      </c>
      <c r="B241" s="11" t="str">
        <f>'12-2017'!B252</f>
        <v>Ron hình thang Φ 300</v>
      </c>
      <c r="C241" s="12" t="str">
        <f>'12-2017'!C252</f>
        <v>đ/cái</v>
      </c>
      <c r="D241" s="13">
        <f>'12-2017'!O252</f>
        <v>36000</v>
      </c>
      <c r="E241" s="13">
        <f>'12-2017'!P252</f>
        <v>36000</v>
      </c>
      <c r="F241" s="130">
        <f t="shared" si="10"/>
        <v>0</v>
      </c>
      <c r="H241" s="74">
        <f>'12-2017'!H252</f>
        <v>0</v>
      </c>
      <c r="I241" s="74">
        <f>'12-2017'!I252</f>
        <v>0</v>
      </c>
      <c r="J241" s="74">
        <f>'12-2017'!J252</f>
        <v>0</v>
      </c>
    </row>
    <row r="242" spans="1:10" s="58" customFormat="1" ht="17.25" hidden="1">
      <c r="A242" s="10">
        <f>'12-2017'!A253</f>
        <v>27</v>
      </c>
      <c r="B242" s="11" t="str">
        <f>'12-2017'!B253</f>
        <v>Ron hình thang Φ 400</v>
      </c>
      <c r="C242" s="12" t="str">
        <f>'12-2017'!C253</f>
        <v>đ/cái</v>
      </c>
      <c r="D242" s="13">
        <f>'12-2017'!O253</f>
        <v>45000</v>
      </c>
      <c r="E242" s="13">
        <f>'12-2017'!P253</f>
        <v>45000</v>
      </c>
      <c r="F242" s="130">
        <f t="shared" si="10"/>
        <v>0</v>
      </c>
      <c r="H242" s="74">
        <f>'12-2017'!H253</f>
        <v>0</v>
      </c>
      <c r="I242" s="74">
        <f>'12-2017'!I253</f>
        <v>0</v>
      </c>
      <c r="J242" s="74">
        <f>'12-2017'!J253</f>
        <v>0</v>
      </c>
    </row>
    <row r="243" spans="1:10" s="58" customFormat="1" ht="17.25" hidden="1">
      <c r="A243" s="10">
        <f>'12-2017'!A254</f>
        <v>28</v>
      </c>
      <c r="B243" s="11" t="str">
        <f>'12-2017'!B254</f>
        <v>Ron hình thang Φ 600</v>
      </c>
      <c r="C243" s="12" t="str">
        <f>'12-2017'!C254</f>
        <v>đ/cái</v>
      </c>
      <c r="D243" s="13">
        <f>'12-2017'!O254</f>
        <v>65000</v>
      </c>
      <c r="E243" s="13">
        <f>'12-2017'!P254</f>
        <v>65000</v>
      </c>
      <c r="F243" s="130">
        <f t="shared" si="10"/>
        <v>0</v>
      </c>
      <c r="H243" s="74">
        <f>'12-2017'!H254</f>
        <v>0</v>
      </c>
      <c r="I243" s="74">
        <f>'12-2017'!I254</f>
        <v>0</v>
      </c>
      <c r="J243" s="74">
        <f>'12-2017'!J254</f>
        <v>0</v>
      </c>
    </row>
    <row r="244" spans="1:10" s="58" customFormat="1" ht="17.25" hidden="1">
      <c r="A244" s="10">
        <f>'12-2017'!A255</f>
        <v>29</v>
      </c>
      <c r="B244" s="11" t="str">
        <f>'12-2017'!B255</f>
        <v>Ron hình thang Φ 800</v>
      </c>
      <c r="C244" s="12" t="str">
        <f>'12-2017'!C255</f>
        <v>đ/cái</v>
      </c>
      <c r="D244" s="13">
        <f>'12-2017'!O255</f>
        <v>110000</v>
      </c>
      <c r="E244" s="13">
        <f>'12-2017'!P255</f>
        <v>110000</v>
      </c>
      <c r="F244" s="130">
        <f t="shared" si="10"/>
        <v>0</v>
      </c>
      <c r="H244" s="74">
        <f>'12-2017'!H255</f>
        <v>0</v>
      </c>
      <c r="I244" s="74">
        <f>'12-2017'!I255</f>
        <v>0</v>
      </c>
      <c r="J244" s="74">
        <f>'12-2017'!J255</f>
        <v>0</v>
      </c>
    </row>
    <row r="245" spans="1:10" s="58" customFormat="1" ht="17.25" hidden="1">
      <c r="A245" s="10">
        <f>'12-2017'!A256</f>
        <v>30</v>
      </c>
      <c r="B245" s="11" t="str">
        <f>'12-2017'!B256</f>
        <v>Ron hình thang Φ 1000</v>
      </c>
      <c r="C245" s="12" t="str">
        <f>'12-2017'!C256</f>
        <v>đ/cái</v>
      </c>
      <c r="D245" s="13">
        <f>'12-2017'!O256</f>
        <v>130000</v>
      </c>
      <c r="E245" s="13">
        <f>'12-2017'!P256</f>
        <v>130000</v>
      </c>
      <c r="F245" s="130">
        <f t="shared" si="10"/>
        <v>0</v>
      </c>
      <c r="H245" s="74">
        <f>'12-2017'!H256</f>
        <v>0</v>
      </c>
      <c r="I245" s="74">
        <f>'12-2017'!I256</f>
        <v>0</v>
      </c>
      <c r="J245" s="74">
        <f>'12-2017'!J256</f>
        <v>0</v>
      </c>
    </row>
    <row r="246" spans="1:10" s="58" customFormat="1" ht="17.25" hidden="1">
      <c r="A246" s="10">
        <f>'12-2017'!A259</f>
        <v>33</v>
      </c>
      <c r="B246" s="11" t="str">
        <f>'12-2017'!B259</f>
        <v>Ron hình tam giác Φ 300</v>
      </c>
      <c r="C246" s="12" t="str">
        <f>'12-2017'!C259</f>
        <v>đ/cái</v>
      </c>
      <c r="D246" s="13">
        <f>'12-2017'!O259</f>
        <v>33000</v>
      </c>
      <c r="E246" s="13">
        <f>'12-2017'!P259</f>
        <v>33000</v>
      </c>
      <c r="F246" s="130">
        <f t="shared" si="10"/>
        <v>0</v>
      </c>
      <c r="H246" s="74">
        <f>'12-2017'!H259</f>
        <v>0</v>
      </c>
      <c r="I246" s="74">
        <f>'12-2017'!I259</f>
        <v>0</v>
      </c>
      <c r="J246" s="74">
        <f>'12-2017'!J259</f>
        <v>0</v>
      </c>
    </row>
    <row r="247" spans="1:10" s="58" customFormat="1" ht="17.25" hidden="1">
      <c r="A247" s="10">
        <f>'12-2017'!A260</f>
        <v>34</v>
      </c>
      <c r="B247" s="11" t="str">
        <f>'12-2017'!B260</f>
        <v>Ron hình tam giác Φ 400</v>
      </c>
      <c r="C247" s="12" t="str">
        <f>'12-2017'!C260</f>
        <v>đ/cái</v>
      </c>
      <c r="D247" s="13">
        <f>'12-2017'!O260</f>
        <v>41000</v>
      </c>
      <c r="E247" s="13">
        <f>'12-2017'!P260</f>
        <v>41000</v>
      </c>
      <c r="F247" s="130">
        <f t="shared" si="10"/>
        <v>0</v>
      </c>
      <c r="H247" s="74">
        <f>'12-2017'!H260</f>
        <v>0</v>
      </c>
      <c r="I247" s="74">
        <f>'12-2017'!I260</f>
        <v>0</v>
      </c>
      <c r="J247" s="74">
        <f>'12-2017'!J260</f>
        <v>0</v>
      </c>
    </row>
    <row r="248" spans="1:10" s="58" customFormat="1" ht="17.25" hidden="1">
      <c r="A248" s="10">
        <f>'12-2017'!A261</f>
        <v>35</v>
      </c>
      <c r="B248" s="11" t="str">
        <f>'12-2017'!B261</f>
        <v>Ron hình tam giác Φ 600</v>
      </c>
      <c r="C248" s="12" t="str">
        <f>'12-2017'!C261</f>
        <v>đ/cái</v>
      </c>
      <c r="D248" s="13">
        <f>'12-2017'!O261</f>
        <v>55000</v>
      </c>
      <c r="E248" s="13">
        <f>'12-2017'!P261</f>
        <v>55000</v>
      </c>
      <c r="F248" s="130">
        <f t="shared" si="10"/>
        <v>0</v>
      </c>
      <c r="H248" s="74">
        <f>'12-2017'!H261</f>
        <v>0</v>
      </c>
      <c r="I248" s="74">
        <f>'12-2017'!I261</f>
        <v>0</v>
      </c>
      <c r="J248" s="74">
        <f>'12-2017'!J261</f>
        <v>0</v>
      </c>
    </row>
    <row r="249" spans="1:10" s="58" customFormat="1" ht="17.25" hidden="1">
      <c r="A249" s="10">
        <f>'12-2017'!A262</f>
        <v>36</v>
      </c>
      <c r="B249" s="11" t="str">
        <f>'12-2017'!B262</f>
        <v>Ron hình tam giác Φ 800</v>
      </c>
      <c r="C249" s="12" t="str">
        <f>'12-2017'!C262</f>
        <v>đ/cái</v>
      </c>
      <c r="D249" s="13">
        <f>'12-2017'!O262</f>
        <v>71000</v>
      </c>
      <c r="E249" s="13">
        <f>'12-2017'!P262</f>
        <v>71000</v>
      </c>
      <c r="F249" s="130">
        <f t="shared" si="10"/>
        <v>0</v>
      </c>
      <c r="H249" s="74">
        <f>'12-2017'!H262</f>
        <v>0</v>
      </c>
      <c r="I249" s="74">
        <f>'12-2017'!I262</f>
        <v>0</v>
      </c>
      <c r="J249" s="74">
        <f>'12-2017'!J262</f>
        <v>0</v>
      </c>
    </row>
    <row r="250" spans="1:10" s="58" customFormat="1" ht="17.25" hidden="1">
      <c r="A250" s="10" t="e">
        <f>'12-2017'!#REF!</f>
        <v>#REF!</v>
      </c>
      <c r="B250" s="11" t="e">
        <f>'12-2017'!#REF!</f>
        <v>#REF!</v>
      </c>
      <c r="C250" s="12" t="e">
        <f>'12-2017'!#REF!</f>
        <v>#REF!</v>
      </c>
      <c r="D250" s="13" t="e">
        <f>'12-2017'!#REF!</f>
        <v>#REF!</v>
      </c>
      <c r="E250" s="13" t="e">
        <f>'12-2017'!#REF!</f>
        <v>#REF!</v>
      </c>
      <c r="F250" s="130" t="e">
        <f t="shared" si="10"/>
        <v>#REF!</v>
      </c>
      <c r="H250" s="74" t="e">
        <f>'12-2017'!#REF!</f>
        <v>#REF!</v>
      </c>
      <c r="I250" s="74" t="e">
        <f>'12-2017'!#REF!</f>
        <v>#REF!</v>
      </c>
      <c r="J250" s="74" t="e">
        <f>'12-2017'!#REF!</f>
        <v>#REF!</v>
      </c>
    </row>
    <row r="251" spans="1:10" s="58" customFormat="1" ht="36.75" customHeight="1">
      <c r="A251" s="10"/>
      <c r="B251" s="237" t="str">
        <f>'12-2017'!B266</f>
        <v xml:space="preserve"> * Cọc bê tông dự ứng lực: Cty TNHH Thái Sơn An Giang sản xuất (Địa chỉ: tỉnh lộ 943, xã Vĩnh Trạch, huyện Thoại Sơn, An Giang), giao hàng tại nơi sản xuất, chưa tính chi phí bốc dỡ vận chuyển. Theo bảng giá ngày 01/11/2017</v>
      </c>
      <c r="C251" s="238"/>
      <c r="D251" s="238"/>
      <c r="E251" s="238"/>
      <c r="F251" s="239"/>
      <c r="H251" s="74">
        <f>'12-2017'!H266</f>
        <v>0</v>
      </c>
      <c r="I251" s="74">
        <f>'12-2017'!I266</f>
        <v>0</v>
      </c>
      <c r="J251" s="74">
        <f>'12-2017'!J266</f>
        <v>0</v>
      </c>
    </row>
    <row r="252" spans="1:10" s="58" customFormat="1" ht="17.25" hidden="1">
      <c r="A252" s="10">
        <f>'12-2017'!A267</f>
        <v>1</v>
      </c>
      <c r="B252" s="11" t="str">
        <f>'12-2017'!B267</f>
        <v>Cọc bê tông DƯL, tiết diện 100x100, M400, chiều dài: 1,0 -4,0 mét</v>
      </c>
      <c r="C252" s="12" t="str">
        <f>'12-2017'!C267</f>
        <v>đ/m</v>
      </c>
      <c r="D252" s="13">
        <f>'12-2017'!O267</f>
        <v>48391</v>
      </c>
      <c r="E252" s="13">
        <f>'12-2017'!P267</f>
        <v>57569</v>
      </c>
      <c r="F252" s="130">
        <f>E252-D252</f>
        <v>9178</v>
      </c>
      <c r="H252" s="74">
        <f>'12-2017'!H267</f>
        <v>57569</v>
      </c>
      <c r="I252" s="74">
        <f>'12-2017'!I267</f>
        <v>0</v>
      </c>
      <c r="J252" s="74">
        <f>'12-2017'!J267</f>
        <v>0</v>
      </c>
    </row>
    <row r="253" spans="1:10" s="58" customFormat="1" ht="17.25" hidden="1">
      <c r="A253" s="10">
        <f>'12-2017'!A268</f>
        <v>2</v>
      </c>
      <c r="B253" s="11" t="str">
        <f>'12-2017'!B268</f>
        <v>Cọc bê tông DƯL, tiết diện 120x120, M400, chiều dài: 1,0 -5,0 mét</v>
      </c>
      <c r="C253" s="12" t="str">
        <f>'12-2017'!C268</f>
        <v>đ/m</v>
      </c>
      <c r="D253" s="13">
        <f>'12-2017'!O268</f>
        <v>62217</v>
      </c>
      <c r="E253" s="13">
        <f>'12-2017'!P268</f>
        <v>71970</v>
      </c>
      <c r="F253" s="130">
        <f>E253-D253</f>
        <v>9753</v>
      </c>
      <c r="H253" s="74">
        <f>'12-2017'!H268</f>
        <v>71970</v>
      </c>
      <c r="I253" s="74">
        <f>'12-2017'!I268</f>
        <v>0</v>
      </c>
      <c r="J253" s="74">
        <f>'12-2017'!J268</f>
        <v>0</v>
      </c>
    </row>
    <row r="254" spans="1:10" s="58" customFormat="1" ht="17.25" hidden="1">
      <c r="A254" s="10">
        <f>'12-2017'!A269</f>
        <v>3</v>
      </c>
      <c r="B254" s="11" t="str">
        <f>'12-2017'!B269</f>
        <v>Cọc bê tông DƯL, tiết diện 150x150, M400, chiều dài: 1,0 -6,0 mét</v>
      </c>
      <c r="C254" s="12" t="str">
        <f>'12-2017'!C269</f>
        <v>đ/m</v>
      </c>
      <c r="D254" s="13">
        <f>'12-2017'!O269</f>
        <v>87505</v>
      </c>
      <c r="E254" s="13">
        <f>'12-2017'!P269</f>
        <v>98319</v>
      </c>
      <c r="F254" s="130">
        <f>E254-D254</f>
        <v>10814</v>
      </c>
      <c r="H254" s="74">
        <f>'12-2017'!H269</f>
        <v>98319</v>
      </c>
      <c r="I254" s="74">
        <f>'12-2017'!I269</f>
        <v>0</v>
      </c>
      <c r="J254" s="74">
        <f>'12-2017'!J269</f>
        <v>0</v>
      </c>
    </row>
    <row r="255" spans="1:10" s="58" customFormat="1" ht="17.25" hidden="1">
      <c r="A255" s="10">
        <f>'12-2017'!A270</f>
        <v>4</v>
      </c>
      <c r="B255" s="11" t="str">
        <f>'12-2017'!B270</f>
        <v>Cọc bê tông DƯL, tiết diện 200x200, M400, chiều dài: 6,0 mét</v>
      </c>
      <c r="C255" s="12" t="str">
        <f>'12-2017'!C270</f>
        <v>đ/m</v>
      </c>
      <c r="D255" s="13">
        <f>'12-2017'!O270</f>
        <v>0</v>
      </c>
      <c r="E255" s="13">
        <f>'12-2017'!P270</f>
        <v>196177</v>
      </c>
      <c r="F255" s="130">
        <f>E255-D255</f>
        <v>196177</v>
      </c>
      <c r="H255" s="74">
        <f>'12-2017'!H270</f>
        <v>196177</v>
      </c>
      <c r="I255" s="74">
        <f>'12-2017'!I270</f>
        <v>0</v>
      </c>
      <c r="J255" s="74">
        <f>'12-2017'!J270</f>
        <v>0</v>
      </c>
    </row>
    <row r="256" spans="1:10" s="58" customFormat="1" ht="33" customHeight="1">
      <c r="A256" s="17"/>
      <c r="B256" s="237" t="str">
        <f>'12-2017'!B271</f>
        <v xml:space="preserve"> * Cống bê tông ly tâm: Cty TNHH MTV Xây Lắp An Giang sản xuất (giao hàng tại Nhà máy, P. Mỹ Thạnh, Tp. LX). Theo bảng giá ngày 7/9/2017 </v>
      </c>
      <c r="C256" s="238"/>
      <c r="D256" s="238"/>
      <c r="E256" s="238"/>
      <c r="F256" s="239"/>
      <c r="H256" s="74">
        <f>'12-2017'!H271</f>
        <v>0</v>
      </c>
      <c r="I256" s="74">
        <f>'12-2017'!I271</f>
        <v>0</v>
      </c>
      <c r="J256" s="74">
        <f>'12-2017'!J271</f>
        <v>0</v>
      </c>
    </row>
    <row r="257" spans="1:10" s="73" customFormat="1" ht="17.25" hidden="1">
      <c r="A257" s="17"/>
      <c r="B257" s="9" t="str">
        <f>'12-2017'!B272</f>
        <v xml:space="preserve"> - Cống bê tông ly tâm sản xuất theo tiêu chuẩn TCCS01:2011</v>
      </c>
      <c r="C257" s="8"/>
      <c r="D257" s="22"/>
      <c r="E257" s="22"/>
      <c r="F257" s="131"/>
      <c r="H257" s="74">
        <f>'12-2017'!H272</f>
        <v>0</v>
      </c>
      <c r="I257" s="74">
        <f>'12-2017'!I272</f>
        <v>0</v>
      </c>
      <c r="J257" s="74">
        <f>'12-2017'!J272</f>
        <v>0</v>
      </c>
    </row>
    <row r="258" spans="1:10" s="73" customFormat="1" ht="17.25" hidden="1">
      <c r="A258" s="17"/>
      <c r="B258" s="9" t="str">
        <f>'12-2017'!B273</f>
        <v>Cống Φ 400mm, D = 50mm, M = 28Mpa</v>
      </c>
      <c r="C258" s="8"/>
      <c r="D258" s="22"/>
      <c r="E258" s="22"/>
      <c r="F258" s="131"/>
      <c r="H258" s="74">
        <f>'12-2017'!H273</f>
        <v>0</v>
      </c>
      <c r="I258" s="74">
        <f>'12-2017'!I273</f>
        <v>0</v>
      </c>
      <c r="J258" s="74">
        <f>'12-2017'!J273</f>
        <v>0</v>
      </c>
    </row>
    <row r="259" spans="1:10" s="58" customFormat="1" ht="17.25" hidden="1">
      <c r="A259" s="10">
        <f>'12-2017'!A274</f>
        <v>1</v>
      </c>
      <c r="B259" s="11" t="str">
        <f>'12-2017'!B274</f>
        <v>Hoạt tải 3 x 10-3 Mpa (cống dọc đường), cấp tải thấp</v>
      </c>
      <c r="C259" s="12" t="str">
        <f>'12-2017'!C274</f>
        <v>đ/m</v>
      </c>
      <c r="D259" s="13">
        <f>'12-2017'!O274</f>
        <v>270000</v>
      </c>
      <c r="E259" s="13">
        <f>'12-2017'!P274</f>
        <v>270000</v>
      </c>
      <c r="F259" s="130">
        <f>E259-D259</f>
        <v>0</v>
      </c>
      <c r="H259" s="74">
        <f>'12-2017'!H274</f>
        <v>0</v>
      </c>
      <c r="I259" s="74">
        <f>'12-2017'!I274</f>
        <v>0</v>
      </c>
      <c r="J259" s="74">
        <f>'12-2017'!J274</f>
        <v>0</v>
      </c>
    </row>
    <row r="260" spans="1:10" s="58" customFormat="1" ht="17.25" hidden="1">
      <c r="A260" s="10">
        <f>'12-2017'!A275</f>
        <v>2</v>
      </c>
      <c r="B260" s="11" t="str">
        <f>'12-2017'!B275</f>
        <v>Hoạt tải 65% HL93 (cống qua đường &gt; H10), cấp tải tiêu chuẩn</v>
      </c>
      <c r="C260" s="12" t="str">
        <f>'12-2017'!C275</f>
        <v>đ/m</v>
      </c>
      <c r="D260" s="13">
        <f>'12-2017'!O275</f>
        <v>286364</v>
      </c>
      <c r="E260" s="13">
        <f>'12-2017'!P275</f>
        <v>286364</v>
      </c>
      <c r="F260" s="130">
        <f>E260-D260</f>
        <v>0</v>
      </c>
      <c r="H260" s="74">
        <f>'12-2017'!H275</f>
        <v>0</v>
      </c>
      <c r="I260" s="74">
        <f>'12-2017'!I275</f>
        <v>0</v>
      </c>
      <c r="J260" s="74">
        <f>'12-2017'!J275</f>
        <v>0</v>
      </c>
    </row>
    <row r="261" spans="1:10" s="58" customFormat="1" ht="17.25" hidden="1">
      <c r="A261" s="10">
        <f>'12-2017'!A276</f>
        <v>3</v>
      </c>
      <c r="B261" s="11" t="str">
        <f>'12-2017'!B276</f>
        <v>Hoạt tải 100% HL93 (cống qua đường &gt; H30), cấp tải cao</v>
      </c>
      <c r="C261" s="12" t="str">
        <f>'12-2017'!C276</f>
        <v>đ/m</v>
      </c>
      <c r="D261" s="13">
        <f>'12-2017'!O276</f>
        <v>300000</v>
      </c>
      <c r="E261" s="13">
        <f>'12-2017'!P276</f>
        <v>300000</v>
      </c>
      <c r="F261" s="130">
        <f>E261-D261</f>
        <v>0</v>
      </c>
      <c r="H261" s="74">
        <f>'12-2017'!H276</f>
        <v>0</v>
      </c>
      <c r="I261" s="74">
        <f>'12-2017'!I276</f>
        <v>0</v>
      </c>
      <c r="J261" s="74">
        <f>'12-2017'!J276</f>
        <v>0</v>
      </c>
    </row>
    <row r="262" spans="1:10" s="73" customFormat="1" ht="17.25" hidden="1">
      <c r="A262" s="17"/>
      <c r="B262" s="9" t="str">
        <f>'12-2017'!B277</f>
        <v>Cống Φ 600mm, D = 50mm, M = 28Mpa</v>
      </c>
      <c r="C262" s="8"/>
      <c r="D262" s="22"/>
      <c r="E262" s="22"/>
      <c r="F262" s="131"/>
      <c r="H262" s="74">
        <f>'12-2017'!H277</f>
        <v>0</v>
      </c>
      <c r="I262" s="74">
        <f>'12-2017'!I277</f>
        <v>0</v>
      </c>
      <c r="J262" s="74">
        <f>'12-2017'!J277</f>
        <v>0</v>
      </c>
    </row>
    <row r="263" spans="1:10" s="58" customFormat="1" ht="17.25" hidden="1">
      <c r="A263" s="10">
        <f>'12-2017'!A278</f>
        <v>4</v>
      </c>
      <c r="B263" s="11" t="str">
        <f>'12-2017'!B278</f>
        <v>Hoạt tải 3 x 10-3 Mpa (cống dọc đường), cấp tải thấp</v>
      </c>
      <c r="C263" s="12" t="str">
        <f>'12-2017'!C278</f>
        <v>đ/m</v>
      </c>
      <c r="D263" s="13">
        <f>'12-2017'!O278</f>
        <v>420000</v>
      </c>
      <c r="E263" s="13">
        <f>'12-2017'!P278</f>
        <v>420000</v>
      </c>
      <c r="F263" s="130">
        <f t="shared" ref="F263:F281" si="11">E263-D263</f>
        <v>0</v>
      </c>
      <c r="H263" s="74">
        <f>'12-2017'!H278</f>
        <v>0</v>
      </c>
      <c r="I263" s="74">
        <f>'12-2017'!I278</f>
        <v>0</v>
      </c>
      <c r="J263" s="74">
        <f>'12-2017'!J278</f>
        <v>0</v>
      </c>
    </row>
    <row r="264" spans="1:10" s="58" customFormat="1" ht="17.25" hidden="1">
      <c r="A264" s="10">
        <f>'12-2017'!A279</f>
        <v>5</v>
      </c>
      <c r="B264" s="11" t="str">
        <f>'12-2017'!B279</f>
        <v>Hoạt tải 65% HL93 (cống qua đường &gt; H10), cấp tải tiêu chuẩn</v>
      </c>
      <c r="C264" s="12" t="str">
        <f>'12-2017'!C279</f>
        <v>đ/m</v>
      </c>
      <c r="D264" s="13">
        <f>'12-2017'!O279</f>
        <v>470000</v>
      </c>
      <c r="E264" s="13">
        <f>'12-2017'!P279</f>
        <v>470000</v>
      </c>
      <c r="F264" s="130">
        <f t="shared" si="11"/>
        <v>0</v>
      </c>
      <c r="H264" s="74">
        <f>'12-2017'!H279</f>
        <v>0</v>
      </c>
      <c r="I264" s="74">
        <f>'12-2017'!I279</f>
        <v>0</v>
      </c>
      <c r="J264" s="74">
        <f>'12-2017'!J279</f>
        <v>0</v>
      </c>
    </row>
    <row r="265" spans="1:10" s="58" customFormat="1" ht="17.25" hidden="1">
      <c r="A265" s="10">
        <f>'12-2017'!A280</f>
        <v>6</v>
      </c>
      <c r="B265" s="11" t="str">
        <f>'12-2017'!B280</f>
        <v>Hoạt tải 100% HL93 (cống qua đường &gt; H30), cấp tải cao</v>
      </c>
      <c r="C265" s="12" t="str">
        <f>'12-2017'!C280</f>
        <v>đ/m</v>
      </c>
      <c r="D265" s="13">
        <f>'12-2017'!O280</f>
        <v>500000</v>
      </c>
      <c r="E265" s="13">
        <f>'12-2017'!P280</f>
        <v>500000</v>
      </c>
      <c r="F265" s="130">
        <f t="shared" si="11"/>
        <v>0</v>
      </c>
      <c r="H265" s="74">
        <f>'12-2017'!H280</f>
        <v>0</v>
      </c>
      <c r="I265" s="74">
        <f>'12-2017'!I280</f>
        <v>0</v>
      </c>
      <c r="J265" s="74">
        <f>'12-2017'!J280</f>
        <v>0</v>
      </c>
    </row>
    <row r="266" spans="1:10" s="73" customFormat="1" ht="17.25" hidden="1">
      <c r="A266" s="17"/>
      <c r="B266" s="9" t="str">
        <f>'12-2017'!B281</f>
        <v>Cống Φ 800mm, D = 80mm, M = 28Mpa</v>
      </c>
      <c r="C266" s="8"/>
      <c r="D266" s="22"/>
      <c r="E266" s="22"/>
      <c r="F266" s="131"/>
      <c r="H266" s="74">
        <f>'12-2017'!H281</f>
        <v>0</v>
      </c>
      <c r="I266" s="74">
        <f>'12-2017'!I281</f>
        <v>0</v>
      </c>
      <c r="J266" s="74">
        <f>'12-2017'!J281</f>
        <v>0</v>
      </c>
    </row>
    <row r="267" spans="1:10" s="58" customFormat="1" ht="17.25" hidden="1">
      <c r="A267" s="10">
        <f>'12-2017'!A282</f>
        <v>7</v>
      </c>
      <c r="B267" s="11" t="str">
        <f>'12-2017'!B282</f>
        <v>Hoạt tải 3 x 10-3 Mpa (cống dọc đường), cấp tải thấp</v>
      </c>
      <c r="C267" s="12" t="str">
        <f>'12-2017'!C282</f>
        <v>đ/m</v>
      </c>
      <c r="D267" s="13">
        <f>'12-2017'!O282</f>
        <v>670000</v>
      </c>
      <c r="E267" s="13">
        <f>'12-2017'!P282</f>
        <v>670000</v>
      </c>
      <c r="F267" s="130">
        <f t="shared" si="11"/>
        <v>0</v>
      </c>
      <c r="H267" s="74">
        <f>'12-2017'!H282</f>
        <v>0</v>
      </c>
      <c r="I267" s="74">
        <f>'12-2017'!I282</f>
        <v>0</v>
      </c>
      <c r="J267" s="74">
        <f>'12-2017'!J282</f>
        <v>0</v>
      </c>
    </row>
    <row r="268" spans="1:10" s="58" customFormat="1" ht="17.25" hidden="1">
      <c r="A268" s="10">
        <f>'12-2017'!A283</f>
        <v>8</v>
      </c>
      <c r="B268" s="11" t="str">
        <f>'12-2017'!B283</f>
        <v>Hoạt tải 65% HL93 (cống qua đường &gt; H10), cấp tải tiêu chuẩn</v>
      </c>
      <c r="C268" s="12" t="str">
        <f>'12-2017'!C283</f>
        <v>đ/m</v>
      </c>
      <c r="D268" s="13">
        <f>'12-2017'!O283</f>
        <v>740000</v>
      </c>
      <c r="E268" s="13">
        <f>'12-2017'!P283</f>
        <v>740000</v>
      </c>
      <c r="F268" s="130">
        <f t="shared" si="11"/>
        <v>0</v>
      </c>
      <c r="H268" s="74">
        <f>'12-2017'!H283</f>
        <v>0</v>
      </c>
      <c r="I268" s="74">
        <f>'12-2017'!I283</f>
        <v>0</v>
      </c>
      <c r="J268" s="74">
        <f>'12-2017'!J283</f>
        <v>0</v>
      </c>
    </row>
    <row r="269" spans="1:10" s="58" customFormat="1" ht="17.25" hidden="1">
      <c r="A269" s="10">
        <f>'12-2017'!A284</f>
        <v>9</v>
      </c>
      <c r="B269" s="11" t="str">
        <f>'12-2017'!B284</f>
        <v>Hoạt tải 100% HL93 (cống qua đường &gt; H30), cấp tải cao</v>
      </c>
      <c r="C269" s="12" t="str">
        <f>'12-2017'!C284</f>
        <v>đ/m</v>
      </c>
      <c r="D269" s="13">
        <f>'12-2017'!O284</f>
        <v>860000</v>
      </c>
      <c r="E269" s="13">
        <f>'12-2017'!P284</f>
        <v>860000</v>
      </c>
      <c r="F269" s="130">
        <f t="shared" si="11"/>
        <v>0</v>
      </c>
      <c r="H269" s="74">
        <f>'12-2017'!H284</f>
        <v>0</v>
      </c>
      <c r="I269" s="74">
        <f>'12-2017'!I284</f>
        <v>0</v>
      </c>
      <c r="J269" s="74">
        <f>'12-2017'!J284</f>
        <v>0</v>
      </c>
    </row>
    <row r="270" spans="1:10" s="73" customFormat="1" ht="17.25" hidden="1">
      <c r="A270" s="17"/>
      <c r="B270" s="9" t="str">
        <f>'12-2017'!B285</f>
        <v>Cống Φ 1000mm, D = 100mm, M = 28Mpa</v>
      </c>
      <c r="C270" s="8"/>
      <c r="D270" s="22"/>
      <c r="E270" s="22"/>
      <c r="F270" s="131"/>
      <c r="H270" s="74">
        <f>'12-2017'!H285</f>
        <v>0</v>
      </c>
      <c r="I270" s="74">
        <f>'12-2017'!I285</f>
        <v>0</v>
      </c>
      <c r="J270" s="74">
        <f>'12-2017'!J285</f>
        <v>0</v>
      </c>
    </row>
    <row r="271" spans="1:10" s="58" customFormat="1" ht="17.25" hidden="1">
      <c r="A271" s="10">
        <f>'12-2017'!A286</f>
        <v>10</v>
      </c>
      <c r="B271" s="11" t="str">
        <f>'12-2017'!B286</f>
        <v>Hoạt tải 3 x 10-3 Mpa (cống dọc đường), cấp tải thấp</v>
      </c>
      <c r="C271" s="12" t="str">
        <f>'12-2017'!C286</f>
        <v>đ/m</v>
      </c>
      <c r="D271" s="13">
        <f>'12-2017'!O286</f>
        <v>1080000</v>
      </c>
      <c r="E271" s="13">
        <f>'12-2017'!P286</f>
        <v>1080000</v>
      </c>
      <c r="F271" s="130">
        <f t="shared" si="11"/>
        <v>0</v>
      </c>
      <c r="H271" s="74">
        <f>'12-2017'!H286</f>
        <v>0</v>
      </c>
      <c r="I271" s="74">
        <f>'12-2017'!I286</f>
        <v>0</v>
      </c>
      <c r="J271" s="74">
        <f>'12-2017'!J286</f>
        <v>0</v>
      </c>
    </row>
    <row r="272" spans="1:10" s="58" customFormat="1" ht="17.25" hidden="1">
      <c r="A272" s="10">
        <f>'12-2017'!A287</f>
        <v>11</v>
      </c>
      <c r="B272" s="11" t="str">
        <f>'12-2017'!B287</f>
        <v>Hoạt tải 65% HL93 (cống qua đường &gt; H10), cấp tải tiêu chuẩn</v>
      </c>
      <c r="C272" s="12" t="str">
        <f>'12-2017'!C287</f>
        <v>đ/m</v>
      </c>
      <c r="D272" s="13">
        <f>'12-2017'!O287</f>
        <v>1172727</v>
      </c>
      <c r="E272" s="13">
        <f>'12-2017'!P287</f>
        <v>1172727</v>
      </c>
      <c r="F272" s="130">
        <f t="shared" si="11"/>
        <v>0</v>
      </c>
      <c r="H272" s="74">
        <f>'12-2017'!H287</f>
        <v>0</v>
      </c>
      <c r="I272" s="74">
        <f>'12-2017'!I287</f>
        <v>0</v>
      </c>
      <c r="J272" s="74">
        <f>'12-2017'!J287</f>
        <v>0</v>
      </c>
    </row>
    <row r="273" spans="1:10" s="58" customFormat="1" ht="17.25" hidden="1">
      <c r="A273" s="10">
        <f>'12-2017'!A288</f>
        <v>12</v>
      </c>
      <c r="B273" s="11" t="str">
        <f>'12-2017'!B288</f>
        <v>Hoạt tải 100% HL93 (cống qua đường &gt; H30), cấp tải cao</v>
      </c>
      <c r="C273" s="12" t="str">
        <f>'12-2017'!C288</f>
        <v>đ/m</v>
      </c>
      <c r="D273" s="13">
        <f>'12-2017'!O288</f>
        <v>1350000</v>
      </c>
      <c r="E273" s="13">
        <f>'12-2017'!P288</f>
        <v>1350000</v>
      </c>
      <c r="F273" s="130">
        <f t="shared" si="11"/>
        <v>0</v>
      </c>
      <c r="H273" s="74">
        <f>'12-2017'!H288</f>
        <v>0</v>
      </c>
      <c r="I273" s="74">
        <f>'12-2017'!I288</f>
        <v>0</v>
      </c>
      <c r="J273" s="74">
        <f>'12-2017'!J288</f>
        <v>0</v>
      </c>
    </row>
    <row r="274" spans="1:10" s="73" customFormat="1" ht="17.25" hidden="1">
      <c r="A274" s="17"/>
      <c r="B274" s="9" t="str">
        <f>'12-2017'!B289</f>
        <v>Cống Φ 1200mm, D = 120mm, M = 28Mpa</v>
      </c>
      <c r="C274" s="8"/>
      <c r="D274" s="22"/>
      <c r="E274" s="22"/>
      <c r="F274" s="131"/>
      <c r="H274" s="74">
        <f>'12-2017'!H289</f>
        <v>0</v>
      </c>
      <c r="I274" s="74">
        <f>'12-2017'!I289</f>
        <v>0</v>
      </c>
      <c r="J274" s="74">
        <f>'12-2017'!J289</f>
        <v>0</v>
      </c>
    </row>
    <row r="275" spans="1:10" s="58" customFormat="1" ht="17.25" hidden="1">
      <c r="A275" s="10">
        <f>'12-2017'!A290</f>
        <v>13</v>
      </c>
      <c r="B275" s="11" t="str">
        <f>'12-2017'!B290</f>
        <v>Hoạt tải 3 x 10-3 Mpa (cống dọc đường), cấp tải thấp</v>
      </c>
      <c r="C275" s="12" t="str">
        <f>'12-2017'!C290</f>
        <v>đ/m</v>
      </c>
      <c r="D275" s="13">
        <f>'12-2017'!O290</f>
        <v>2100000</v>
      </c>
      <c r="E275" s="13">
        <f>'12-2017'!P290</f>
        <v>2100000</v>
      </c>
      <c r="F275" s="130">
        <f t="shared" si="11"/>
        <v>0</v>
      </c>
      <c r="H275" s="74">
        <f>'12-2017'!H290</f>
        <v>0</v>
      </c>
      <c r="I275" s="74">
        <f>'12-2017'!I290</f>
        <v>0</v>
      </c>
      <c r="J275" s="74">
        <f>'12-2017'!J290</f>
        <v>0</v>
      </c>
    </row>
    <row r="276" spans="1:10" s="58" customFormat="1" ht="17.25" hidden="1">
      <c r="A276" s="10">
        <f>'12-2017'!A291</f>
        <v>14</v>
      </c>
      <c r="B276" s="11" t="str">
        <f>'12-2017'!B291</f>
        <v>Hoạt tải 65% HL93 (cống qua đường &gt; H10), cấp tải tiêu chuẩn</v>
      </c>
      <c r="C276" s="12" t="str">
        <f>'12-2017'!C291</f>
        <v>đ/m</v>
      </c>
      <c r="D276" s="13">
        <f>'12-2017'!O291</f>
        <v>2150000</v>
      </c>
      <c r="E276" s="13">
        <f>'12-2017'!P291</f>
        <v>2150000</v>
      </c>
      <c r="F276" s="130">
        <f t="shared" si="11"/>
        <v>0</v>
      </c>
      <c r="H276" s="74">
        <f>'12-2017'!H291</f>
        <v>0</v>
      </c>
      <c r="I276" s="74">
        <f>'12-2017'!I291</f>
        <v>0</v>
      </c>
      <c r="J276" s="74">
        <f>'12-2017'!J291</f>
        <v>0</v>
      </c>
    </row>
    <row r="277" spans="1:10" s="58" customFormat="1" ht="17.25" hidden="1">
      <c r="A277" s="10">
        <f>'12-2017'!A292</f>
        <v>15</v>
      </c>
      <c r="B277" s="11" t="str">
        <f>'12-2017'!B292</f>
        <v>Hoạt tải 100% HL93 (cống qua đường &gt; H30), cấp tải cao</v>
      </c>
      <c r="C277" s="12" t="str">
        <f>'12-2017'!C292</f>
        <v>đ/m</v>
      </c>
      <c r="D277" s="13">
        <f>'12-2017'!O292</f>
        <v>2300000</v>
      </c>
      <c r="E277" s="13">
        <f>'12-2017'!P292</f>
        <v>2300000</v>
      </c>
      <c r="F277" s="130">
        <f t="shared" si="11"/>
        <v>0</v>
      </c>
      <c r="H277" s="74">
        <f>'12-2017'!H292</f>
        <v>0</v>
      </c>
      <c r="I277" s="74">
        <f>'12-2017'!I292</f>
        <v>0</v>
      </c>
      <c r="J277" s="74">
        <f>'12-2017'!J292</f>
        <v>0</v>
      </c>
    </row>
    <row r="278" spans="1:10" s="73" customFormat="1" ht="17.25" hidden="1">
      <c r="A278" s="17"/>
      <c r="B278" s="9" t="str">
        <f>'12-2017'!B293</f>
        <v>Cống Φ 1500mm, D = 130mm, M = 28Mpa</v>
      </c>
      <c r="C278" s="8"/>
      <c r="D278" s="22"/>
      <c r="E278" s="22"/>
      <c r="F278" s="131"/>
      <c r="H278" s="74">
        <f>'12-2017'!H293</f>
        <v>0</v>
      </c>
      <c r="I278" s="74">
        <f>'12-2017'!I293</f>
        <v>0</v>
      </c>
      <c r="J278" s="74">
        <f>'12-2017'!J293</f>
        <v>0</v>
      </c>
    </row>
    <row r="279" spans="1:10" s="58" customFormat="1" ht="17.25" hidden="1">
      <c r="A279" s="10">
        <f>'12-2017'!A294</f>
        <v>16</v>
      </c>
      <c r="B279" s="11" t="str">
        <f>'12-2017'!B294</f>
        <v>Hoạt tải 3 x 10-3 Mpa (cống dọc đường), cấp tải thấp</v>
      </c>
      <c r="C279" s="12" t="str">
        <f>'12-2017'!C294</f>
        <v>đ/m</v>
      </c>
      <c r="D279" s="13">
        <f>'12-2017'!O294</f>
        <v>2500000</v>
      </c>
      <c r="E279" s="13">
        <f>'12-2017'!P294</f>
        <v>2500000</v>
      </c>
      <c r="F279" s="130">
        <f t="shared" si="11"/>
        <v>0</v>
      </c>
      <c r="H279" s="74">
        <f>'12-2017'!H294</f>
        <v>0</v>
      </c>
      <c r="I279" s="74">
        <f>'12-2017'!I294</f>
        <v>0</v>
      </c>
      <c r="J279" s="74">
        <f>'12-2017'!J294</f>
        <v>0</v>
      </c>
    </row>
    <row r="280" spans="1:10" s="58" customFormat="1" ht="17.25" hidden="1">
      <c r="A280" s="10">
        <f>'12-2017'!A295</f>
        <v>17</v>
      </c>
      <c r="B280" s="11" t="str">
        <f>'12-2017'!B295</f>
        <v>Hoạt tải 65% HL93 (cống qua đường &gt; H10), cấp tải tiêu chuẩn</v>
      </c>
      <c r="C280" s="12" t="str">
        <f>'12-2017'!C295</f>
        <v>đ/m</v>
      </c>
      <c r="D280" s="13">
        <f>'12-2017'!O295</f>
        <v>2700000</v>
      </c>
      <c r="E280" s="13">
        <f>'12-2017'!P295</f>
        <v>2700000</v>
      </c>
      <c r="F280" s="130">
        <f t="shared" si="11"/>
        <v>0</v>
      </c>
      <c r="H280" s="74">
        <f>'12-2017'!H295</f>
        <v>0</v>
      </c>
      <c r="I280" s="74">
        <f>'12-2017'!I295</f>
        <v>0</v>
      </c>
      <c r="J280" s="74">
        <f>'12-2017'!J295</f>
        <v>0</v>
      </c>
    </row>
    <row r="281" spans="1:10" s="58" customFormat="1" ht="17.25" hidden="1">
      <c r="A281" s="10">
        <f>'12-2017'!A296</f>
        <v>18</v>
      </c>
      <c r="B281" s="11" t="str">
        <f>'12-2017'!B296</f>
        <v>Hoạt tải 100% HL93 (cống qua đường &gt; H30), cấp tải cao</v>
      </c>
      <c r="C281" s="12" t="str">
        <f>'12-2017'!C296</f>
        <v>đ/m</v>
      </c>
      <c r="D281" s="13">
        <f>'12-2017'!O296</f>
        <v>2950000</v>
      </c>
      <c r="E281" s="13">
        <f>'12-2017'!P296</f>
        <v>2950000</v>
      </c>
      <c r="F281" s="130">
        <f t="shared" si="11"/>
        <v>0</v>
      </c>
      <c r="H281" s="74">
        <f>'12-2017'!H296</f>
        <v>0</v>
      </c>
      <c r="I281" s="74">
        <f>'12-2017'!I296</f>
        <v>0</v>
      </c>
      <c r="J281" s="74">
        <f>'12-2017'!J296</f>
        <v>0</v>
      </c>
    </row>
    <row r="282" spans="1:10" s="73" customFormat="1" ht="17.25">
      <c r="A282" s="17" t="str">
        <f>'12-2017'!A297</f>
        <v>VI</v>
      </c>
      <c r="B282" s="9" t="str">
        <f>'12-2017'!B297</f>
        <v>XI MĂNG :</v>
      </c>
      <c r="C282" s="8"/>
      <c r="D282" s="22"/>
      <c r="E282" s="22"/>
      <c r="F282" s="131"/>
      <c r="H282" s="74">
        <f>'12-2017'!H297</f>
        <v>0</v>
      </c>
      <c r="I282" s="74">
        <f>'12-2017'!I297</f>
        <v>0</v>
      </c>
      <c r="J282" s="74">
        <f>'12-2017'!J297</f>
        <v>0</v>
      </c>
    </row>
    <row r="283" spans="1:10" s="58" customFormat="1" ht="17.25">
      <c r="A283" s="10"/>
      <c r="B283" s="237" t="str">
        <f>'12-2017'!B298</f>
        <v xml:space="preserve"> * Xi măng các loại : Cty TNHH MTV Xây Lắp AG (giao tại Nhà máy xi măng An Giang). Theo bảng giá ngày 07/9/2017</v>
      </c>
      <c r="C283" s="238"/>
      <c r="D283" s="238"/>
      <c r="E283" s="238"/>
      <c r="F283" s="239"/>
      <c r="H283" s="74">
        <f>'12-2017'!H298</f>
        <v>0</v>
      </c>
      <c r="I283" s="74">
        <f>'12-2017'!I298</f>
        <v>0</v>
      </c>
      <c r="J283" s="74">
        <f>'12-2017'!J298</f>
        <v>0</v>
      </c>
    </row>
    <row r="284" spans="1:10" s="58" customFormat="1" ht="17.25" hidden="1">
      <c r="A284" s="10">
        <f>'12-2017'!A299</f>
        <v>1</v>
      </c>
      <c r="B284" s="11" t="str">
        <f>'12-2017'!B299</f>
        <v xml:space="preserve"> Xi măng ACIFA PCB 30 (bao 50kg)</v>
      </c>
      <c r="C284" s="12" t="str">
        <f>'12-2017'!C299</f>
        <v>đ/bao</v>
      </c>
      <c r="D284" s="13">
        <f>'12-2017'!O299</f>
        <v>66364</v>
      </c>
      <c r="E284" s="13">
        <f>'12-2017'!P299</f>
        <v>66364</v>
      </c>
      <c r="F284" s="130">
        <f t="shared" ref="F284:F290" si="12">E284-D284</f>
        <v>0</v>
      </c>
      <c r="H284" s="74">
        <f>'12-2017'!H299</f>
        <v>0</v>
      </c>
      <c r="I284" s="74">
        <f>'12-2017'!I299</f>
        <v>0</v>
      </c>
      <c r="J284" s="74">
        <f>'12-2017'!J299</f>
        <v>0</v>
      </c>
    </row>
    <row r="285" spans="1:10" s="58" customFormat="1" ht="17.25" hidden="1">
      <c r="A285" s="10">
        <f>'12-2017'!A300</f>
        <v>2</v>
      </c>
      <c r="B285" s="11" t="str">
        <f>'12-2017'!B300</f>
        <v xml:space="preserve"> Xi măng ACIFA PCB 40 (bao 50kg)</v>
      </c>
      <c r="C285" s="12" t="str">
        <f>'12-2017'!C300</f>
        <v>đ/bao</v>
      </c>
      <c r="D285" s="13">
        <f>'12-2017'!O300</f>
        <v>69091</v>
      </c>
      <c r="E285" s="13">
        <f>'12-2017'!P300</f>
        <v>69091</v>
      </c>
      <c r="F285" s="130">
        <f t="shared" si="12"/>
        <v>0</v>
      </c>
      <c r="H285" s="74">
        <f>'12-2017'!H300</f>
        <v>0</v>
      </c>
      <c r="I285" s="74">
        <f>'12-2017'!I300</f>
        <v>0</v>
      </c>
      <c r="J285" s="74">
        <f>'12-2017'!J300</f>
        <v>0</v>
      </c>
    </row>
    <row r="286" spans="1:10" s="58" customFormat="1" ht="17.25" hidden="1">
      <c r="A286" s="10">
        <f>'12-2017'!A301</f>
        <v>3</v>
      </c>
      <c r="B286" s="11" t="str">
        <f>'12-2017'!B301</f>
        <v>Xi măng trắng  (1 bao = 40kg)</v>
      </c>
      <c r="C286" s="12" t="str">
        <f>'12-2017'!C301</f>
        <v>đ/bao</v>
      </c>
      <c r="D286" s="13">
        <f>'12-2017'!O301</f>
        <v>138182</v>
      </c>
      <c r="E286" s="13">
        <f>'12-2017'!P301</f>
        <v>138182</v>
      </c>
      <c r="F286" s="130">
        <f t="shared" si="12"/>
        <v>0</v>
      </c>
      <c r="H286" s="74">
        <f>'12-2017'!H301</f>
        <v>0</v>
      </c>
      <c r="I286" s="74">
        <f>'12-2017'!I301</f>
        <v>0</v>
      </c>
      <c r="J286" s="74">
        <f>'12-2017'!J301</f>
        <v>0</v>
      </c>
    </row>
    <row r="287" spans="1:10" s="58" customFormat="1" ht="17.25" hidden="1">
      <c r="A287" s="10">
        <f>'12-2017'!A302</f>
        <v>4</v>
      </c>
      <c r="B287" s="11" t="str">
        <f>'12-2017'!B302</f>
        <v>Xi măng Holcim PCB 40 (bao 50kg)</v>
      </c>
      <c r="C287" s="12" t="str">
        <f>'12-2017'!C302</f>
        <v>đ/bao</v>
      </c>
      <c r="D287" s="13">
        <f>'12-2017'!O302</f>
        <v>81818</v>
      </c>
      <c r="E287" s="13">
        <f>'12-2017'!P302</f>
        <v>81818</v>
      </c>
      <c r="F287" s="130">
        <f t="shared" si="12"/>
        <v>0</v>
      </c>
      <c r="H287" s="74">
        <f>'12-2017'!H302</f>
        <v>0</v>
      </c>
      <c r="I287" s="74">
        <f>'12-2017'!I302</f>
        <v>0</v>
      </c>
      <c r="J287" s="74">
        <f>'12-2017'!J302</f>
        <v>0</v>
      </c>
    </row>
    <row r="288" spans="1:10" s="58" customFormat="1" ht="17.25" hidden="1">
      <c r="A288" s="10">
        <f>'12-2017'!A303</f>
        <v>5</v>
      </c>
      <c r="B288" s="11" t="str">
        <f>'12-2017'!B303</f>
        <v>Xi măng Hà Tiên II PCB 40 (bao 50kg)</v>
      </c>
      <c r="C288" s="12" t="str">
        <f>'12-2017'!C303</f>
        <v>đ/bao</v>
      </c>
      <c r="D288" s="13">
        <f>'12-2017'!O303</f>
        <v>77273</v>
      </c>
      <c r="E288" s="13">
        <f>'12-2017'!P303</f>
        <v>77273</v>
      </c>
      <c r="F288" s="130">
        <f t="shared" si="12"/>
        <v>0</v>
      </c>
      <c r="H288" s="74">
        <f>'12-2017'!H303</f>
        <v>0</v>
      </c>
      <c r="I288" s="74">
        <f>'12-2017'!I303</f>
        <v>0</v>
      </c>
      <c r="J288" s="74">
        <f>'12-2017'!J303</f>
        <v>0</v>
      </c>
    </row>
    <row r="289" spans="1:10" s="58" customFormat="1" ht="17.25" hidden="1">
      <c r="A289" s="10">
        <f>'12-2017'!A304</f>
        <v>6</v>
      </c>
      <c r="B289" s="11" t="str">
        <f>'12-2017'!B304</f>
        <v>Xi măng Hà Tiên II PCB 50 (bao 50kg)</v>
      </c>
      <c r="C289" s="12" t="str">
        <f>'12-2017'!C304</f>
        <v>đ/bao</v>
      </c>
      <c r="D289" s="13">
        <f>'12-2017'!O304</f>
        <v>79545</v>
      </c>
      <c r="E289" s="13">
        <f>'12-2017'!P304</f>
        <v>79545</v>
      </c>
      <c r="F289" s="130">
        <f t="shared" si="12"/>
        <v>0</v>
      </c>
      <c r="H289" s="74">
        <f>'12-2017'!H304</f>
        <v>0</v>
      </c>
      <c r="I289" s="74">
        <f>'12-2017'!I304</f>
        <v>0</v>
      </c>
      <c r="J289" s="74">
        <f>'12-2017'!J304</f>
        <v>0</v>
      </c>
    </row>
    <row r="290" spans="1:10" s="58" customFormat="1" ht="17.25" hidden="1">
      <c r="A290" s="10">
        <f>'12-2017'!A305</f>
        <v>7</v>
      </c>
      <c r="B290" s="11" t="str">
        <f>'12-2017'!B305</f>
        <v>Xi măng Hà Tiên đa dụng</v>
      </c>
      <c r="C290" s="12" t="str">
        <f>'12-2017'!C305</f>
        <v>đ/bao</v>
      </c>
      <c r="D290" s="13">
        <f>'12-2017'!O305</f>
        <v>71136</v>
      </c>
      <c r="E290" s="13">
        <f>'12-2017'!P305</f>
        <v>71136</v>
      </c>
      <c r="F290" s="130">
        <f t="shared" si="12"/>
        <v>0</v>
      </c>
      <c r="H290" s="74">
        <f>'12-2017'!H305</f>
        <v>0</v>
      </c>
      <c r="I290" s="74">
        <f>'12-2017'!I305</f>
        <v>0</v>
      </c>
      <c r="J290" s="74">
        <f>'12-2017'!J305</f>
        <v>0</v>
      </c>
    </row>
    <row r="291" spans="1:10" s="73" customFormat="1" ht="36.75" customHeight="1">
      <c r="A291" s="17"/>
      <c r="B291" s="237" t="str">
        <f>'12-2017'!B306</f>
        <v xml:space="preserve"> * Xi măng Vicem Hà Tiên (giá bán tại nhà máy Kiên Lương; trạm nghiền Phú Hữu, trạm nghiền Long An, chưa bao gồm các chi phí khác). Theo bảng giá ngày 01/12/2017</v>
      </c>
      <c r="C291" s="238"/>
      <c r="D291" s="238"/>
      <c r="E291" s="238"/>
      <c r="F291" s="239"/>
      <c r="H291" s="74">
        <f>'12-2017'!H306</f>
        <v>0</v>
      </c>
      <c r="I291" s="74">
        <f>'12-2017'!I306</f>
        <v>0</v>
      </c>
      <c r="J291" s="74">
        <f>'12-2017'!J306</f>
        <v>0</v>
      </c>
    </row>
    <row r="292" spans="1:10" s="58" customFormat="1" ht="17.25">
      <c r="A292" s="10">
        <f>'12-2017'!A307</f>
        <v>1</v>
      </c>
      <c r="B292" s="11" t="str">
        <f>'12-2017'!B307</f>
        <v>Xi măng Vicem Hà Tiên PCB 40 (bao 50kg)</v>
      </c>
      <c r="C292" s="12" t="str">
        <f>'12-2017'!C307</f>
        <v>đ/bao</v>
      </c>
      <c r="D292" s="13">
        <f>'12-2017'!O307</f>
        <v>68181.818181818177</v>
      </c>
      <c r="E292" s="13">
        <f>'12-2017'!P307</f>
        <v>68181.818181818177</v>
      </c>
      <c r="F292" s="130">
        <f>E292-D292</f>
        <v>0</v>
      </c>
      <c r="H292" s="74">
        <f>'12-2017'!H307</f>
        <v>68181.818181818177</v>
      </c>
      <c r="I292" s="74">
        <f>'12-2017'!I307</f>
        <v>0</v>
      </c>
      <c r="J292" s="74">
        <f>'12-2017'!J307</f>
        <v>0</v>
      </c>
    </row>
    <row r="293" spans="1:10" s="58" customFormat="1" ht="17.25">
      <c r="A293" s="10">
        <f>'12-2017'!A308</f>
        <v>2</v>
      </c>
      <c r="B293" s="11" t="str">
        <f>'12-2017'!B308</f>
        <v>Xi măng Vicem Hà Tiên đa dụng (bao 50kg)</v>
      </c>
      <c r="C293" s="12" t="str">
        <f>'12-2017'!C308</f>
        <v>đ/bao</v>
      </c>
      <c r="D293" s="13">
        <f>'12-2017'!O308</f>
        <v>59090.909090909088</v>
      </c>
      <c r="E293" s="13">
        <f>'12-2017'!P308</f>
        <v>59090.909090909088</v>
      </c>
      <c r="F293" s="130">
        <f>E293-D293</f>
        <v>0</v>
      </c>
      <c r="H293" s="74">
        <f>'12-2017'!H308</f>
        <v>59090.909090909088</v>
      </c>
      <c r="I293" s="74">
        <f>'12-2017'!I308</f>
        <v>0</v>
      </c>
      <c r="J293" s="74">
        <f>'12-2017'!J308</f>
        <v>0</v>
      </c>
    </row>
    <row r="294" spans="1:10" s="58" customFormat="1" ht="17.25">
      <c r="A294" s="10">
        <f>'12-2017'!A309</f>
        <v>3</v>
      </c>
      <c r="B294" s="11" t="str">
        <f>'12-2017'!B309</f>
        <v>Xi măng Vicem Hà Tiên xây tô (bao 50kg, đường thủy)</v>
      </c>
      <c r="C294" s="12" t="str">
        <f>'12-2017'!C309</f>
        <v>đ/bao</v>
      </c>
      <c r="D294" s="13">
        <f>'12-2017'!O309</f>
        <v>60909.090909090897</v>
      </c>
      <c r="E294" s="13">
        <f>'12-2017'!P309</f>
        <v>60909.090909090897</v>
      </c>
      <c r="F294" s="130">
        <f>E294-D294</f>
        <v>0</v>
      </c>
      <c r="H294" s="74">
        <f>'12-2017'!H309</f>
        <v>60909.090909090897</v>
      </c>
      <c r="I294" s="74">
        <f>'12-2017'!I309</f>
        <v>0</v>
      </c>
      <c r="J294" s="74">
        <f>'12-2017'!J309</f>
        <v>0</v>
      </c>
    </row>
    <row r="295" spans="1:10" s="58" customFormat="1" ht="17.25" hidden="1">
      <c r="A295" s="10" t="e">
        <f>'12-2017'!#REF!</f>
        <v>#REF!</v>
      </c>
      <c r="B295" s="11" t="e">
        <f>'12-2017'!#REF!</f>
        <v>#REF!</v>
      </c>
      <c r="C295" s="12" t="e">
        <f>'12-2017'!#REF!</f>
        <v>#REF!</v>
      </c>
      <c r="D295" s="13" t="e">
        <f>'12-2017'!#REF!</f>
        <v>#REF!</v>
      </c>
      <c r="E295" s="13" t="e">
        <f>'12-2017'!#REF!</f>
        <v>#REF!</v>
      </c>
      <c r="F295" s="130" t="e">
        <f>E295-D295</f>
        <v>#REF!</v>
      </c>
      <c r="H295" s="74" t="e">
        <f>'12-2017'!#REF!</f>
        <v>#REF!</v>
      </c>
      <c r="I295" s="74" t="e">
        <f>'12-2017'!#REF!</f>
        <v>#REF!</v>
      </c>
      <c r="J295" s="74" t="e">
        <f>'12-2017'!#REF!</f>
        <v>#REF!</v>
      </c>
    </row>
    <row r="296" spans="1:10" s="73" customFormat="1" ht="17.25">
      <c r="A296" s="17"/>
      <c r="B296" s="237" t="str">
        <f>'12-2017'!B310</f>
        <v xml:space="preserve"> * Xi măng Công Thanh (Tòa nhà TINA, 21/4-16 Hàm Nghi, Bến Nghé, Q1, TP HCM): Theo bảng giá ngày 01/12/2017</v>
      </c>
      <c r="C296" s="238"/>
      <c r="D296" s="238"/>
      <c r="E296" s="238"/>
      <c r="F296" s="239"/>
      <c r="H296" s="74">
        <f>'12-2017'!H310</f>
        <v>0</v>
      </c>
      <c r="I296" s="74">
        <f>'12-2017'!I310</f>
        <v>0</v>
      </c>
      <c r="J296" s="74">
        <f>'12-2017'!J310</f>
        <v>0</v>
      </c>
    </row>
    <row r="297" spans="1:10" s="58" customFormat="1" ht="17.25">
      <c r="A297" s="10">
        <f>'12-2017'!A311</f>
        <v>1</v>
      </c>
      <c r="B297" s="11" t="str">
        <f>'12-2017'!B311</f>
        <v>Xi măng Công Thanh PCB40 (bao 50kg)</v>
      </c>
      <c r="C297" s="12" t="str">
        <f>'12-2017'!C311</f>
        <v>đ/bao</v>
      </c>
      <c r="D297" s="13">
        <f>'12-2017'!O311</f>
        <v>78500</v>
      </c>
      <c r="E297" s="13">
        <f>'12-2017'!P311</f>
        <v>78500</v>
      </c>
      <c r="F297" s="130">
        <f>E297-D297</f>
        <v>0</v>
      </c>
      <c r="H297" s="74">
        <f>'12-2017'!H311</f>
        <v>78500</v>
      </c>
      <c r="I297" s="74">
        <f>'12-2017'!I311</f>
        <v>88000</v>
      </c>
      <c r="J297" s="74">
        <f>'12-2017'!J311</f>
        <v>0</v>
      </c>
    </row>
    <row r="298" spans="1:10" s="58" customFormat="1" ht="17.25">
      <c r="A298" s="10"/>
      <c r="B298" s="237" t="str">
        <f>'12-2017'!B312</f>
        <v>* Xi măng Đỉnh Cao ((giá bán tại nhà máy tại Thới Thuận - Thốt Nốt - Cần Thơ). Theo bảng giá ngày 20/5/2017</v>
      </c>
      <c r="C298" s="238"/>
      <c r="D298" s="238"/>
      <c r="E298" s="238"/>
      <c r="F298" s="239"/>
      <c r="H298" s="74">
        <f>'12-2017'!H312</f>
        <v>0</v>
      </c>
      <c r="I298" s="74">
        <f>'12-2017'!I312</f>
        <v>0</v>
      </c>
      <c r="J298" s="74">
        <f>'12-2017'!J312</f>
        <v>0</v>
      </c>
    </row>
    <row r="299" spans="1:10" s="58" customFormat="1" ht="17.25" hidden="1">
      <c r="A299" s="10">
        <f>'12-2017'!A313</f>
        <v>1</v>
      </c>
      <c r="B299" s="11" t="str">
        <f>'12-2017'!B313</f>
        <v>Xi măng Tophome PCB40 (bao 50kg)</v>
      </c>
      <c r="C299" s="12" t="str">
        <f>'12-2017'!C313</f>
        <v>đ/bao</v>
      </c>
      <c r="D299" s="13">
        <f>'12-2017'!O313</f>
        <v>86000</v>
      </c>
      <c r="E299" s="13">
        <f>'12-2017'!P313</f>
        <v>86000</v>
      </c>
      <c r="F299" s="130">
        <f>E299-D299</f>
        <v>0</v>
      </c>
      <c r="H299" s="74">
        <f>'12-2017'!H313</f>
        <v>0</v>
      </c>
      <c r="I299" s="74">
        <f>'12-2017'!I313</f>
        <v>0</v>
      </c>
      <c r="J299" s="74">
        <f>'12-2017'!J313</f>
        <v>0</v>
      </c>
    </row>
    <row r="300" spans="1:10" s="73" customFormat="1" ht="17.25">
      <c r="A300" s="17" t="str">
        <f>'12-2017'!A314</f>
        <v>VII</v>
      </c>
      <c r="B300" s="237" t="str">
        <f>'12-2017'!B314</f>
        <v>THÉP CÁC LOẠI :</v>
      </c>
      <c r="C300" s="238"/>
      <c r="D300" s="238"/>
      <c r="E300" s="238"/>
      <c r="F300" s="239"/>
      <c r="H300" s="74">
        <f>'12-2017'!H314</f>
        <v>0</v>
      </c>
      <c r="I300" s="74">
        <f>'12-2017'!I314</f>
        <v>0</v>
      </c>
      <c r="J300" s="74">
        <f>'12-2017'!J314</f>
        <v>0</v>
      </c>
    </row>
    <row r="301" spans="1:10" s="73" customFormat="1" ht="37.5" customHeight="1">
      <c r="A301" s="17"/>
      <c r="B301" s="237" t="str">
        <f>'12-2017'!B315</f>
        <v>* Công ty TNHH Thương mại và sản xuất Thép Việt (thép Pomina). Giá chưa bao gồm phí vận chuyển và bẻ, giao hàng trên phương tiện bên mua tại Nhà máy, KCN Sóng Thần II, huyện Dĩ An, tỉnh Bình Dương. Theo bảng giá ngày 01/12/2017</v>
      </c>
      <c r="C301" s="238"/>
      <c r="D301" s="238"/>
      <c r="E301" s="238"/>
      <c r="F301" s="239"/>
      <c r="H301" s="74">
        <f>'12-2017'!H315</f>
        <v>0</v>
      </c>
      <c r="I301" s="74">
        <f>'12-2017'!I315</f>
        <v>0</v>
      </c>
      <c r="J301" s="74">
        <f>'12-2017'!J315</f>
        <v>0</v>
      </c>
    </row>
    <row r="302" spans="1:10" s="58" customFormat="1" ht="17.25" customHeight="1">
      <c r="A302" s="10">
        <f>'12-2017'!A316</f>
        <v>1</v>
      </c>
      <c r="B302" s="11" t="str">
        <f>'12-2017'!B316</f>
        <v>Thép cuộn fi 6mm CB240T</v>
      </c>
      <c r="C302" s="12" t="str">
        <f>'12-2017'!C316</f>
        <v>đ/kg</v>
      </c>
      <c r="D302" s="13">
        <f>'12-2017'!O316</f>
        <v>14100</v>
      </c>
      <c r="E302" s="13">
        <f>'12-2017'!P316</f>
        <v>14100</v>
      </c>
      <c r="F302" s="130">
        <f t="shared" ref="F302:F316" si="13">E302-D302</f>
        <v>0</v>
      </c>
      <c r="H302" s="74">
        <f>'12-2017'!H316</f>
        <v>14100</v>
      </c>
      <c r="I302" s="74">
        <f>'12-2017'!I316</f>
        <v>0</v>
      </c>
      <c r="J302" s="74">
        <f>'12-2017'!J316</f>
        <v>0</v>
      </c>
    </row>
    <row r="303" spans="1:10" s="58" customFormat="1" ht="17.25" customHeight="1">
      <c r="A303" s="10">
        <f>'12-2017'!A317</f>
        <v>2</v>
      </c>
      <c r="B303" s="11" t="str">
        <f>'12-2017'!B317</f>
        <v xml:space="preserve">Thép cuộn fi 8mm CB240T </v>
      </c>
      <c r="C303" s="12" t="str">
        <f>'12-2017'!C317</f>
        <v>đ/kg</v>
      </c>
      <c r="D303" s="13">
        <f>'12-2017'!O317</f>
        <v>14100</v>
      </c>
      <c r="E303" s="13">
        <f>'12-2017'!P317</f>
        <v>14100</v>
      </c>
      <c r="F303" s="130">
        <f t="shared" si="13"/>
        <v>0</v>
      </c>
      <c r="H303" s="74">
        <f>'12-2017'!H317</f>
        <v>14100</v>
      </c>
      <c r="I303" s="74">
        <f>'12-2017'!I317</f>
        <v>0</v>
      </c>
      <c r="J303" s="74">
        <f>'12-2017'!J317</f>
        <v>0</v>
      </c>
    </row>
    <row r="304" spans="1:10" s="58" customFormat="1" ht="17.25" customHeight="1">
      <c r="A304" s="10">
        <f>'12-2017'!A318</f>
        <v>3</v>
      </c>
      <c r="B304" s="11" t="str">
        <f>'12-2017'!B318</f>
        <v xml:space="preserve">Thép cuộn fi 10mm CB240T </v>
      </c>
      <c r="C304" s="12" t="str">
        <f>'12-2017'!C318</f>
        <v>đ/kg</v>
      </c>
      <c r="D304" s="13">
        <f>'12-2017'!O318</f>
        <v>14240</v>
      </c>
      <c r="E304" s="13">
        <f>'12-2017'!P318</f>
        <v>14240</v>
      </c>
      <c r="F304" s="130">
        <f t="shared" si="13"/>
        <v>0</v>
      </c>
      <c r="H304" s="74">
        <f>'12-2017'!H318</f>
        <v>14240</v>
      </c>
      <c r="I304" s="74">
        <f>'12-2017'!I318</f>
        <v>0</v>
      </c>
      <c r="J304" s="74">
        <f>'12-2017'!J318</f>
        <v>0</v>
      </c>
    </row>
    <row r="305" spans="1:10" s="58" customFormat="1" ht="17.25" customHeight="1">
      <c r="A305" s="10">
        <f>'12-2017'!A319</f>
        <v>4</v>
      </c>
      <c r="B305" s="11" t="str">
        <f>'12-2017'!B319</f>
        <v>Thép cây vằn  fi 10 SD390</v>
      </c>
      <c r="C305" s="12" t="str">
        <f>'12-2017'!C319</f>
        <v>đ/kg</v>
      </c>
      <c r="D305" s="13">
        <f>'12-2017'!O319</f>
        <v>14250</v>
      </c>
      <c r="E305" s="13">
        <f>'12-2017'!P319</f>
        <v>14250</v>
      </c>
      <c r="F305" s="130">
        <f t="shared" si="13"/>
        <v>0</v>
      </c>
      <c r="H305" s="74">
        <f>'12-2017'!H319</f>
        <v>14250</v>
      </c>
      <c r="I305" s="74">
        <f>'12-2017'!I319</f>
        <v>0</v>
      </c>
      <c r="J305" s="74">
        <f>'12-2017'!J319</f>
        <v>0</v>
      </c>
    </row>
    <row r="306" spans="1:10" s="58" customFormat="1" ht="17.25" customHeight="1">
      <c r="A306" s="10">
        <f>'12-2017'!A320</f>
        <v>5</v>
      </c>
      <c r="B306" s="11" t="str">
        <f>'12-2017'!B320</f>
        <v xml:space="preserve">Thép cây vằn fi 12-32  SD390 </v>
      </c>
      <c r="C306" s="12" t="str">
        <f>'12-2017'!C320</f>
        <v>đ/kg</v>
      </c>
      <c r="D306" s="13">
        <f>'12-2017'!O320</f>
        <v>14100</v>
      </c>
      <c r="E306" s="13">
        <f>'12-2017'!P320</f>
        <v>14100</v>
      </c>
      <c r="F306" s="130">
        <f t="shared" si="13"/>
        <v>0</v>
      </c>
      <c r="H306" s="74">
        <f>'12-2017'!H320</f>
        <v>14100</v>
      </c>
      <c r="I306" s="74">
        <f>'12-2017'!I320</f>
        <v>0</v>
      </c>
      <c r="J306" s="74">
        <f>'12-2017'!J320</f>
        <v>0</v>
      </c>
    </row>
    <row r="307" spans="1:10" s="58" customFormat="1" ht="17.25" customHeight="1">
      <c r="A307" s="10">
        <f>'12-2017'!A321</f>
        <v>6</v>
      </c>
      <c r="B307" s="11" t="str">
        <f>'12-2017'!B321</f>
        <v xml:space="preserve">Thép cây vằn fi 36-40 SD390 </v>
      </c>
      <c r="C307" s="12" t="str">
        <f>'12-2017'!C321</f>
        <v>đ/kg</v>
      </c>
      <c r="D307" s="13">
        <f>'12-2017'!O321</f>
        <v>14400</v>
      </c>
      <c r="E307" s="13">
        <f>'12-2017'!P321</f>
        <v>14400</v>
      </c>
      <c r="F307" s="130">
        <f t="shared" si="13"/>
        <v>0</v>
      </c>
      <c r="H307" s="74">
        <f>'12-2017'!H321</f>
        <v>14400</v>
      </c>
      <c r="I307" s="74">
        <f>'12-2017'!I321</f>
        <v>0</v>
      </c>
      <c r="J307" s="74">
        <f>'12-2017'!J321</f>
        <v>0</v>
      </c>
    </row>
    <row r="308" spans="1:10" s="58" customFormat="1" ht="17.25" customHeight="1">
      <c r="A308" s="10">
        <f>'12-2017'!A322</f>
        <v>7</v>
      </c>
      <c r="B308" s="11" t="str">
        <f>'12-2017'!B322</f>
        <v>Thép cây vằn  fi 10 Grade 60</v>
      </c>
      <c r="C308" s="12" t="str">
        <f>'12-2017'!C322</f>
        <v>đ/kg</v>
      </c>
      <c r="D308" s="13">
        <f>'12-2017'!O322</f>
        <v>14450</v>
      </c>
      <c r="E308" s="13">
        <f>'12-2017'!P322</f>
        <v>14450</v>
      </c>
      <c r="F308" s="130">
        <f t="shared" si="13"/>
        <v>0</v>
      </c>
      <c r="H308" s="74">
        <f>'12-2017'!H322</f>
        <v>14450</v>
      </c>
      <c r="I308" s="74">
        <f>'12-2017'!I322</f>
        <v>0</v>
      </c>
      <c r="J308" s="74">
        <f>'12-2017'!J322</f>
        <v>0</v>
      </c>
    </row>
    <row r="309" spans="1:10" s="58" customFormat="1" ht="17.25" customHeight="1">
      <c r="A309" s="10">
        <f>'12-2017'!A323</f>
        <v>8</v>
      </c>
      <c r="B309" s="11" t="str">
        <f>'12-2017'!B323</f>
        <v xml:space="preserve">Thép cây vằn fi 12-32  Grade 60 </v>
      </c>
      <c r="C309" s="12" t="str">
        <f>'12-2017'!C323</f>
        <v>đ/kg</v>
      </c>
      <c r="D309" s="13">
        <f>'12-2017'!O323</f>
        <v>14300</v>
      </c>
      <c r="E309" s="13">
        <f>'12-2017'!P323</f>
        <v>14300</v>
      </c>
      <c r="F309" s="130">
        <f t="shared" si="13"/>
        <v>0</v>
      </c>
      <c r="H309" s="74">
        <f>'12-2017'!H323</f>
        <v>14300</v>
      </c>
      <c r="I309" s="74">
        <f>'12-2017'!I323</f>
        <v>0</v>
      </c>
      <c r="J309" s="74">
        <f>'12-2017'!J323</f>
        <v>0</v>
      </c>
    </row>
    <row r="310" spans="1:10" s="58" customFormat="1" ht="17.25" customHeight="1">
      <c r="A310" s="10">
        <f>'12-2017'!A324</f>
        <v>9</v>
      </c>
      <c r="B310" s="11" t="str">
        <f>'12-2017'!B324</f>
        <v xml:space="preserve">Thép cây vằn fi 36-40  Grade 60 </v>
      </c>
      <c r="C310" s="12" t="str">
        <f>'12-2017'!C324</f>
        <v>đ/kg</v>
      </c>
      <c r="D310" s="13">
        <f>'12-2017'!O324</f>
        <v>14600</v>
      </c>
      <c r="E310" s="13">
        <f>'12-2017'!P324</f>
        <v>14600</v>
      </c>
      <c r="F310" s="130">
        <f t="shared" si="13"/>
        <v>0</v>
      </c>
      <c r="H310" s="74">
        <f>'12-2017'!H324</f>
        <v>14600</v>
      </c>
      <c r="I310" s="74">
        <f>'12-2017'!I324</f>
        <v>0</v>
      </c>
      <c r="J310" s="74">
        <f>'12-2017'!J324</f>
        <v>0</v>
      </c>
    </row>
    <row r="311" spans="1:10" s="58" customFormat="1" ht="17.25" customHeight="1">
      <c r="A311" s="10">
        <f>'12-2017'!A325</f>
        <v>10</v>
      </c>
      <c r="B311" s="11" t="str">
        <f>'12-2017'!B325</f>
        <v>Thép cây vằn  fi 10 CB400V</v>
      </c>
      <c r="C311" s="12" t="str">
        <f>'12-2017'!C325</f>
        <v>đ/kg</v>
      </c>
      <c r="D311" s="13">
        <f>'12-2017'!O325</f>
        <v>14250</v>
      </c>
      <c r="E311" s="13">
        <f>'12-2017'!P325</f>
        <v>14250</v>
      </c>
      <c r="F311" s="130">
        <f t="shared" si="13"/>
        <v>0</v>
      </c>
      <c r="H311" s="74">
        <f>'12-2017'!H325</f>
        <v>14250</v>
      </c>
      <c r="I311" s="74">
        <f>'12-2017'!I325</f>
        <v>0</v>
      </c>
      <c r="J311" s="74">
        <f>'12-2017'!J325</f>
        <v>0</v>
      </c>
    </row>
    <row r="312" spans="1:10" s="58" customFormat="1" ht="17.25" customHeight="1">
      <c r="A312" s="10">
        <f>'12-2017'!A326</f>
        <v>11</v>
      </c>
      <c r="B312" s="11" t="str">
        <f>'12-2017'!B326</f>
        <v xml:space="preserve">Thép cây vằn fi 12-32  CB400V </v>
      </c>
      <c r="C312" s="12" t="str">
        <f>'12-2017'!C326</f>
        <v>đ/kg</v>
      </c>
      <c r="D312" s="13">
        <f>'12-2017'!O326</f>
        <v>14100</v>
      </c>
      <c r="E312" s="13">
        <f>'12-2017'!P326</f>
        <v>14100</v>
      </c>
      <c r="F312" s="130">
        <f t="shared" si="13"/>
        <v>0</v>
      </c>
      <c r="H312" s="74">
        <f>'12-2017'!H326</f>
        <v>14100</v>
      </c>
      <c r="I312" s="74">
        <f>'12-2017'!I326</f>
        <v>0</v>
      </c>
      <c r="J312" s="74">
        <f>'12-2017'!J326</f>
        <v>0</v>
      </c>
    </row>
    <row r="313" spans="1:10" s="58" customFormat="1" ht="17.25" customHeight="1">
      <c r="A313" s="10">
        <f>'12-2017'!A327</f>
        <v>12</v>
      </c>
      <c r="B313" s="11" t="str">
        <f>'12-2017'!B327</f>
        <v>Thép cây vằn fi 36-40 CB400V</v>
      </c>
      <c r="C313" s="12" t="str">
        <f>'12-2017'!C327</f>
        <v>đ/kg</v>
      </c>
      <c r="D313" s="13">
        <f>'12-2017'!O327</f>
        <v>14400</v>
      </c>
      <c r="E313" s="13">
        <f>'12-2017'!P327</f>
        <v>14400</v>
      </c>
      <c r="F313" s="130">
        <f t="shared" si="13"/>
        <v>0</v>
      </c>
      <c r="H313" s="74">
        <f>'12-2017'!H327</f>
        <v>14400</v>
      </c>
      <c r="I313" s="74">
        <f>'12-2017'!I327</f>
        <v>0</v>
      </c>
      <c r="J313" s="74">
        <f>'12-2017'!J327</f>
        <v>0</v>
      </c>
    </row>
    <row r="314" spans="1:10" s="58" customFormat="1" ht="17.25" customHeight="1">
      <c r="A314" s="10">
        <f>'12-2017'!A328</f>
        <v>13</v>
      </c>
      <c r="B314" s="11" t="str">
        <f>'12-2017'!B328</f>
        <v>Thép cây vằn  fi 10 CB500V</v>
      </c>
      <c r="C314" s="12" t="str">
        <f>'12-2017'!C328</f>
        <v>đ/kg</v>
      </c>
      <c r="D314" s="13">
        <f>'12-2017'!O328</f>
        <v>14550</v>
      </c>
      <c r="E314" s="13">
        <f>'12-2017'!P328</f>
        <v>14550</v>
      </c>
      <c r="F314" s="130">
        <f t="shared" si="13"/>
        <v>0</v>
      </c>
      <c r="H314" s="74">
        <f>'12-2017'!H328</f>
        <v>14550</v>
      </c>
      <c r="I314" s="74">
        <f>'12-2017'!I328</f>
        <v>0</v>
      </c>
      <c r="J314" s="74">
        <f>'12-2017'!J328</f>
        <v>0</v>
      </c>
    </row>
    <row r="315" spans="1:10" s="58" customFormat="1" ht="17.25" customHeight="1">
      <c r="A315" s="10">
        <f>'12-2017'!A329</f>
        <v>14</v>
      </c>
      <c r="B315" s="11" t="str">
        <f>'12-2017'!B329</f>
        <v>Thép cây vằn fi 12-32  CB500V</v>
      </c>
      <c r="C315" s="12" t="str">
        <f>'12-2017'!C329</f>
        <v>đ/kg</v>
      </c>
      <c r="D315" s="13">
        <f>'12-2017'!O329</f>
        <v>14400</v>
      </c>
      <c r="E315" s="13">
        <f>'12-2017'!P329</f>
        <v>14400</v>
      </c>
      <c r="F315" s="130">
        <f t="shared" si="13"/>
        <v>0</v>
      </c>
      <c r="H315" s="74">
        <f>'12-2017'!H329</f>
        <v>14400</v>
      </c>
      <c r="I315" s="74">
        <f>'12-2017'!I329</f>
        <v>0</v>
      </c>
      <c r="J315" s="74">
        <f>'12-2017'!J329</f>
        <v>0</v>
      </c>
    </row>
    <row r="316" spans="1:10" s="58" customFormat="1" ht="17.25" customHeight="1">
      <c r="A316" s="10">
        <f>'12-2017'!A330</f>
        <v>15</v>
      </c>
      <c r="B316" s="11" t="str">
        <f>'12-2017'!B330</f>
        <v>Thép cây vằn fi 36-40 CB500V</v>
      </c>
      <c r="C316" s="12" t="str">
        <f>'12-2017'!C330</f>
        <v>đ/kg</v>
      </c>
      <c r="D316" s="13">
        <f>'12-2017'!O330</f>
        <v>14700</v>
      </c>
      <c r="E316" s="13">
        <f>'12-2017'!P330</f>
        <v>14700</v>
      </c>
      <c r="F316" s="130">
        <f t="shared" si="13"/>
        <v>0</v>
      </c>
      <c r="H316" s="74">
        <f>'12-2017'!H330</f>
        <v>14700</v>
      </c>
      <c r="I316" s="74">
        <f>'12-2017'!I330</f>
        <v>0</v>
      </c>
      <c r="J316" s="74">
        <f>'12-2017'!J330</f>
        <v>0</v>
      </c>
    </row>
    <row r="317" spans="1:10" s="73" customFormat="1" ht="17.25">
      <c r="A317" s="17"/>
      <c r="B317" s="237" t="str">
        <f>'12-2017'!B331</f>
        <v>* Công ty Thép Tây Đô: giao hàng tại Nhà máy (lô 45, đường số 2, KCN Trà Nóc 1, Tp.Cần Thơ). Theo bảng giá ngày 30/11/2017</v>
      </c>
      <c r="C317" s="238"/>
      <c r="D317" s="238"/>
      <c r="E317" s="238"/>
      <c r="F317" s="239"/>
      <c r="H317" s="74">
        <f>'12-2017'!H331</f>
        <v>0</v>
      </c>
      <c r="I317" s="74">
        <f>'12-2017'!I331</f>
        <v>0</v>
      </c>
      <c r="J317" s="74">
        <f>'12-2017'!J331</f>
        <v>0</v>
      </c>
    </row>
    <row r="318" spans="1:10" s="58" customFormat="1" ht="17.25">
      <c r="A318" s="10">
        <f>'12-2017'!A332</f>
        <v>1</v>
      </c>
      <c r="B318" s="11" t="str">
        <f>'12-2017'!B332</f>
        <v>Thép cuộn  fi 6 CT3</v>
      </c>
      <c r="C318" s="12" t="str">
        <f>'12-2017'!C332</f>
        <v>đ/kg</v>
      </c>
      <c r="D318" s="13">
        <f>'12-2017'!O332</f>
        <v>13950</v>
      </c>
      <c r="E318" s="13">
        <f>'12-2017'!P332</f>
        <v>13650</v>
      </c>
      <c r="F318" s="130">
        <f t="shared" ref="F318:F331" si="14">E318-D318</f>
        <v>-300</v>
      </c>
      <c r="H318" s="74">
        <f>'12-2017'!H332</f>
        <v>13650</v>
      </c>
      <c r="I318" s="74">
        <f>'12-2017'!I332</f>
        <v>0</v>
      </c>
      <c r="J318" s="74">
        <f>'12-2017'!J332</f>
        <v>0</v>
      </c>
    </row>
    <row r="319" spans="1:10" s="58" customFormat="1" ht="17.25">
      <c r="A319" s="10">
        <f>'12-2017'!A333</f>
        <v>2</v>
      </c>
      <c r="B319" s="11" t="str">
        <f>'12-2017'!B333</f>
        <v>Thép cuộn  fi 8 CT3</v>
      </c>
      <c r="C319" s="12" t="str">
        <f>'12-2017'!C333</f>
        <v>đ/kg</v>
      </c>
      <c r="D319" s="13">
        <f>'12-2017'!O333</f>
        <v>13900</v>
      </c>
      <c r="E319" s="13">
        <f>'12-2017'!P333</f>
        <v>13600</v>
      </c>
      <c r="F319" s="130">
        <f t="shared" si="14"/>
        <v>-300</v>
      </c>
      <c r="H319" s="74">
        <f>'12-2017'!H333</f>
        <v>13600</v>
      </c>
      <c r="I319" s="74">
        <f>'12-2017'!I333</f>
        <v>0</v>
      </c>
      <c r="J319" s="74">
        <f>'12-2017'!J333</f>
        <v>0</v>
      </c>
    </row>
    <row r="320" spans="1:10" s="58" customFormat="1" ht="17.25">
      <c r="A320" s="10">
        <f>'12-2017'!A335</f>
        <v>3</v>
      </c>
      <c r="B320" s="11" t="str">
        <f>'12-2017'!B335</f>
        <v>Thép thanh vằn  fi 10  SD295A</v>
      </c>
      <c r="C320" s="12" t="str">
        <f>'12-2017'!C335</f>
        <v>đ/kg</v>
      </c>
      <c r="D320" s="13">
        <f>'12-2017'!O335</f>
        <v>13800</v>
      </c>
      <c r="E320" s="13">
        <f>'12-2017'!P335</f>
        <v>13550</v>
      </c>
      <c r="F320" s="130">
        <f t="shared" si="14"/>
        <v>-250</v>
      </c>
      <c r="H320" s="74">
        <f>'12-2017'!H335</f>
        <v>13550</v>
      </c>
      <c r="I320" s="74">
        <f>'12-2017'!I335</f>
        <v>0</v>
      </c>
      <c r="J320" s="74">
        <f>'12-2017'!J335</f>
        <v>0</v>
      </c>
    </row>
    <row r="321" spans="1:10" s="58" customFormat="1" ht="17.25">
      <c r="A321" s="10">
        <f>'12-2017'!A336</f>
        <v>4</v>
      </c>
      <c r="B321" s="11" t="str">
        <f>'12-2017'!B336</f>
        <v>Thép thanh vằn  fi 12 - 25 CB300</v>
      </c>
      <c r="C321" s="12" t="str">
        <f>'12-2017'!C336</f>
        <v>đ/kg</v>
      </c>
      <c r="D321" s="13">
        <f>'12-2017'!O336</f>
        <v>13650</v>
      </c>
      <c r="E321" s="13">
        <f>'12-2017'!P336</f>
        <v>13400</v>
      </c>
      <c r="F321" s="130">
        <f t="shared" si="14"/>
        <v>-250</v>
      </c>
      <c r="H321" s="74">
        <f>'12-2017'!H336</f>
        <v>13400</v>
      </c>
      <c r="I321" s="74">
        <f>'12-2017'!I336</f>
        <v>0</v>
      </c>
      <c r="J321" s="74">
        <f>'12-2017'!J336</f>
        <v>0</v>
      </c>
    </row>
    <row r="322" spans="1:10" s="73" customFormat="1" ht="17.25">
      <c r="A322" s="17"/>
      <c r="B322" s="237" t="str">
        <f>'12-2017'!B337</f>
        <v xml:space="preserve"> * Cty TNHH MTV Xây Lắp AG (giao tại Kho Phan Bội Châu, P.Bình Khánh). Theo bảng giá ngày 07/9/2017</v>
      </c>
      <c r="C322" s="238"/>
      <c r="D322" s="238"/>
      <c r="E322" s="238"/>
      <c r="F322" s="239"/>
      <c r="H322" s="78">
        <f>'12-2017'!H337</f>
        <v>0</v>
      </c>
      <c r="I322" s="78">
        <f>'12-2017'!I337</f>
        <v>0</v>
      </c>
      <c r="J322" s="78">
        <f>'12-2017'!J337</f>
        <v>0</v>
      </c>
    </row>
    <row r="323" spans="1:10" s="73" customFormat="1" ht="17.25" hidden="1">
      <c r="A323" s="17"/>
      <c r="B323" s="9" t="str">
        <f>'12-2017'!B338</f>
        <v>Thép cuộn  fi 6 CT3 (Miền Nam)</v>
      </c>
      <c r="C323" s="8"/>
      <c r="D323" s="22"/>
      <c r="E323" s="22"/>
      <c r="F323" s="131"/>
      <c r="H323" s="74">
        <f>'12-2017'!H338</f>
        <v>0</v>
      </c>
      <c r="I323" s="74">
        <f>'12-2017'!I338</f>
        <v>0</v>
      </c>
      <c r="J323" s="74">
        <f>'12-2017'!J338</f>
        <v>0</v>
      </c>
    </row>
    <row r="324" spans="1:10" s="58" customFormat="1" ht="17.25" hidden="1">
      <c r="A324" s="10">
        <f>'12-2017'!A339</f>
        <v>2</v>
      </c>
      <c r="B324" s="11" t="str">
        <f>'12-2017'!B339</f>
        <v>Thép cuộn  fi 8 CT3 (Miền Nam)</v>
      </c>
      <c r="C324" s="12" t="str">
        <f>'12-2017'!C339</f>
        <v>đ/kg</v>
      </c>
      <c r="D324" s="13">
        <f>'12-2017'!D338</f>
        <v>13455</v>
      </c>
      <c r="E324" s="13">
        <f>'12-2017'!H338</f>
        <v>0</v>
      </c>
      <c r="F324" s="130">
        <f t="shared" si="14"/>
        <v>-13455</v>
      </c>
      <c r="H324" s="74">
        <f>'12-2017'!H339</f>
        <v>0</v>
      </c>
      <c r="I324" s="74">
        <f>'12-2017'!I339</f>
        <v>0</v>
      </c>
      <c r="J324" s="74">
        <f>'12-2017'!J339</f>
        <v>0</v>
      </c>
    </row>
    <row r="325" spans="1:10" s="58" customFormat="1" ht="17.25" hidden="1">
      <c r="A325" s="10">
        <f>'12-2017'!A340</f>
        <v>3</v>
      </c>
      <c r="B325" s="11" t="str">
        <f>'12-2017'!B340</f>
        <v>Thép thanh vằn  fi 10  SD295 (Miền Nam)</v>
      </c>
      <c r="C325" s="12" t="str">
        <f>'12-2017'!C340</f>
        <v>đ/kg</v>
      </c>
      <c r="D325" s="13">
        <f>'12-2017'!D339</f>
        <v>13455</v>
      </c>
      <c r="E325" s="13">
        <f>'12-2017'!H339</f>
        <v>0</v>
      </c>
      <c r="F325" s="130">
        <f t="shared" si="14"/>
        <v>-13455</v>
      </c>
      <c r="H325" s="74">
        <f>'12-2017'!H340</f>
        <v>0</v>
      </c>
      <c r="I325" s="74">
        <f>'12-2017'!I340</f>
        <v>0</v>
      </c>
      <c r="J325" s="74">
        <f>'12-2017'!J340</f>
        <v>0</v>
      </c>
    </row>
    <row r="326" spans="1:10" s="58" customFormat="1" ht="17.25" hidden="1">
      <c r="A326" s="10">
        <f>'12-2017'!A341</f>
        <v>4</v>
      </c>
      <c r="B326" s="11" t="str">
        <f>'12-2017'!B341</f>
        <v>Thép thanh vằn  fi 12  SD295 (Miền Nam)</v>
      </c>
      <c r="C326" s="12" t="str">
        <f>'12-2017'!C341</f>
        <v>đ/kg</v>
      </c>
      <c r="D326" s="13">
        <f>'12-2017'!D340</f>
        <v>13318</v>
      </c>
      <c r="E326" s="13">
        <f>'12-2017'!H340</f>
        <v>0</v>
      </c>
      <c r="F326" s="130">
        <f t="shared" si="14"/>
        <v>-13318</v>
      </c>
      <c r="H326" s="74">
        <f>'12-2017'!H341</f>
        <v>0</v>
      </c>
      <c r="I326" s="74">
        <f>'12-2017'!I341</f>
        <v>0</v>
      </c>
      <c r="J326" s="74">
        <f>'12-2017'!J341</f>
        <v>0</v>
      </c>
    </row>
    <row r="327" spans="1:10" s="58" customFormat="1" ht="17.25" hidden="1">
      <c r="A327" s="10">
        <f>'12-2017'!A342</f>
        <v>5</v>
      </c>
      <c r="B327" s="11" t="str">
        <f>'12-2017'!B342</f>
        <v>Thép thanh vằn  fi 14-25  SD29 (Miền Nam)</v>
      </c>
      <c r="C327" s="12" t="str">
        <f>'12-2017'!C342</f>
        <v>đ/kg</v>
      </c>
      <c r="D327" s="13">
        <f>'12-2017'!D341</f>
        <v>13227</v>
      </c>
      <c r="E327" s="13">
        <f>'12-2017'!H341</f>
        <v>0</v>
      </c>
      <c r="F327" s="130">
        <f t="shared" si="14"/>
        <v>-13227</v>
      </c>
      <c r="H327" s="74">
        <f>'12-2017'!H342</f>
        <v>0</v>
      </c>
      <c r="I327" s="74">
        <f>'12-2017'!I342</f>
        <v>0</v>
      </c>
      <c r="J327" s="74">
        <f>'12-2017'!J342</f>
        <v>0</v>
      </c>
    </row>
    <row r="328" spans="1:10" s="58" customFormat="1" ht="17.25" hidden="1">
      <c r="A328" s="10">
        <f>'12-2017'!A343</f>
        <v>6</v>
      </c>
      <c r="B328" s="11" t="str">
        <f>'12-2017'!B343</f>
        <v>Thép cuộn  fi 6 (Tây Đô)</v>
      </c>
      <c r="C328" s="12" t="str">
        <f>'12-2017'!C343</f>
        <v>đ/kg</v>
      </c>
      <c r="D328" s="13">
        <f>'12-2017'!D342</f>
        <v>13227</v>
      </c>
      <c r="E328" s="13">
        <f>'12-2017'!H342</f>
        <v>0</v>
      </c>
      <c r="F328" s="130">
        <f t="shared" si="14"/>
        <v>-13227</v>
      </c>
      <c r="H328" s="74">
        <f>'12-2017'!H343</f>
        <v>0</v>
      </c>
      <c r="I328" s="74">
        <f>'12-2017'!I343</f>
        <v>0</v>
      </c>
      <c r="J328" s="74">
        <f>'12-2017'!J343</f>
        <v>0</v>
      </c>
    </row>
    <row r="329" spans="1:10" s="58" customFormat="1" ht="17.25" hidden="1">
      <c r="A329" s="10">
        <f>'12-2017'!A344</f>
        <v>7</v>
      </c>
      <c r="B329" s="11" t="str">
        <f>'12-2017'!B344</f>
        <v>Thép cuộn  fi 8 (Tây Đô)</v>
      </c>
      <c r="C329" s="12" t="str">
        <f>'12-2017'!C344</f>
        <v>đ/kg</v>
      </c>
      <c r="D329" s="13">
        <f>'12-2017'!D343</f>
        <v>13455</v>
      </c>
      <c r="E329" s="13">
        <f>'12-2017'!H343</f>
        <v>0</v>
      </c>
      <c r="F329" s="130">
        <f t="shared" si="14"/>
        <v>-13455</v>
      </c>
      <c r="H329" s="74">
        <f>'12-2017'!H344</f>
        <v>0</v>
      </c>
      <c r="I329" s="74">
        <f>'12-2017'!I344</f>
        <v>0</v>
      </c>
      <c r="J329" s="74">
        <f>'12-2017'!J344</f>
        <v>0</v>
      </c>
    </row>
    <row r="330" spans="1:10" s="58" customFormat="1" ht="17.25" hidden="1">
      <c r="A330" s="10">
        <v>7</v>
      </c>
      <c r="B330" s="11" t="str">
        <f>'12-2017'!B345</f>
        <v>Thép cuộn  fi 10 (Tây Đô)</v>
      </c>
      <c r="C330" s="12" t="str">
        <f>'12-2017'!C345</f>
        <v>đ/kg</v>
      </c>
      <c r="D330" s="13">
        <f>'12-2017'!D344</f>
        <v>13455</v>
      </c>
      <c r="E330" s="13">
        <f>'12-2017'!H344</f>
        <v>0</v>
      </c>
      <c r="F330" s="130">
        <f>E330-D330</f>
        <v>-13455</v>
      </c>
      <c r="H330" s="74">
        <f>'12-2017'!H345</f>
        <v>0</v>
      </c>
      <c r="I330" s="74">
        <f>'12-2017'!I345</f>
        <v>0</v>
      </c>
      <c r="J330" s="74">
        <f>'12-2017'!J345</f>
        <v>0</v>
      </c>
    </row>
    <row r="331" spans="1:10" s="58" customFormat="1" ht="17.25" hidden="1">
      <c r="A331" s="10">
        <v>8</v>
      </c>
      <c r="B331" s="11" t="str">
        <f>'12-2017'!B346</f>
        <v>Thép thanh vằn  fi 12-20  (Tây Đô)</v>
      </c>
      <c r="C331" s="12" t="str">
        <f>'12-2017'!C346</f>
        <v>đ/kg</v>
      </c>
      <c r="D331" s="13">
        <f>'12-2017'!D345</f>
        <v>13318</v>
      </c>
      <c r="E331" s="13">
        <f>'12-2017'!H345</f>
        <v>0</v>
      </c>
      <c r="F331" s="130">
        <f t="shared" si="14"/>
        <v>-13318</v>
      </c>
      <c r="H331" s="74">
        <f>'12-2017'!H346</f>
        <v>0</v>
      </c>
      <c r="I331" s="74">
        <f>'12-2017'!I346</f>
        <v>0</v>
      </c>
      <c r="J331" s="74">
        <f>'12-2017'!J346</f>
        <v>0</v>
      </c>
    </row>
    <row r="332" spans="1:10" s="73" customFormat="1" ht="33">
      <c r="A332" s="17"/>
      <c r="B332" s="9" t="str">
        <f>'12-2017'!B347</f>
        <v>* Xí nghiệp Cơ khí Long Xuyên - Cửa hàng KD Sắt Thép, địa chỉ liên hệ: 28/1 Trần Hưng Đạo, P. Mỹ Quý, Tp.LX, An Giang. Theo bảng giá ngày 19/10/2017</v>
      </c>
      <c r="C332" s="8"/>
      <c r="D332" s="22"/>
      <c r="E332" s="22"/>
      <c r="F332" s="131"/>
      <c r="H332" s="78">
        <f>'12-2017'!H347</f>
        <v>0</v>
      </c>
      <c r="I332" s="78">
        <f>'12-2017'!I347</f>
        <v>0</v>
      </c>
      <c r="J332" s="78">
        <f>'12-2017'!J347</f>
        <v>0</v>
      </c>
    </row>
    <row r="333" spans="1:10" s="73" customFormat="1" ht="17.25" hidden="1">
      <c r="A333" s="17"/>
      <c r="B333" s="9" t="str">
        <f>'12-2017'!B348</f>
        <v xml:space="preserve"> - Tole tấm các loại:</v>
      </c>
      <c r="C333" s="8"/>
      <c r="D333" s="22"/>
      <c r="E333" s="22"/>
      <c r="F333" s="131"/>
      <c r="H333" s="78">
        <f>'12-2017'!H348</f>
        <v>0</v>
      </c>
      <c r="I333" s="78">
        <f>'12-2017'!I348</f>
        <v>0</v>
      </c>
      <c r="J333" s="78">
        <f>'12-2017'!J348</f>
        <v>0</v>
      </c>
    </row>
    <row r="334" spans="1:10" s="58" customFormat="1" ht="17.25" hidden="1">
      <c r="A334" s="10">
        <f>'12-2017'!A349</f>
        <v>1</v>
      </c>
      <c r="B334" s="11" t="str">
        <f>'12-2017'!B349</f>
        <v xml:space="preserve"> 3 li x 1,5m x 6m (SS400 - Trung Quốc)</v>
      </c>
      <c r="C334" s="12" t="str">
        <f>'12-2017'!C349</f>
        <v>đ/kg</v>
      </c>
      <c r="D334" s="13">
        <f>'12-2017'!O349</f>
        <v>14850</v>
      </c>
      <c r="E334" s="13">
        <f>'12-2017'!P349</f>
        <v>14850</v>
      </c>
      <c r="F334" s="130">
        <f>E334-D334</f>
        <v>0</v>
      </c>
      <c r="H334" s="74">
        <f>'12-2017'!H349</f>
        <v>0</v>
      </c>
      <c r="I334" s="74">
        <f>'12-2017'!I349</f>
        <v>0</v>
      </c>
      <c r="J334" s="74">
        <f>'12-2017'!J349</f>
        <v>0</v>
      </c>
    </row>
    <row r="335" spans="1:10" s="58" customFormat="1" ht="17.25" hidden="1">
      <c r="A335" s="10">
        <f>'12-2017'!A350</f>
        <v>2</v>
      </c>
      <c r="B335" s="11" t="str">
        <f>'12-2017'!B350</f>
        <v xml:space="preserve"> 4 li x 1,5m x 6m (SS400 - Trung Quốc)</v>
      </c>
      <c r="C335" s="12" t="str">
        <f>'12-2017'!C350</f>
        <v>đ/kg</v>
      </c>
      <c r="D335" s="13">
        <f>'12-2017'!O350</f>
        <v>14750</v>
      </c>
      <c r="E335" s="13">
        <f>'12-2017'!P350</f>
        <v>14750</v>
      </c>
      <c r="F335" s="130">
        <f>E335-D335</f>
        <v>0</v>
      </c>
      <c r="H335" s="74">
        <f>'12-2017'!H350</f>
        <v>0</v>
      </c>
      <c r="I335" s="74">
        <f>'12-2017'!I350</f>
        <v>0</v>
      </c>
      <c r="J335" s="74">
        <f>'12-2017'!J350</f>
        <v>0</v>
      </c>
    </row>
    <row r="336" spans="1:10" s="58" customFormat="1" ht="17.25" hidden="1">
      <c r="A336" s="10">
        <f>'12-2017'!A351</f>
        <v>3</v>
      </c>
      <c r="B336" s="11" t="str">
        <f>'12-2017'!B351</f>
        <v xml:space="preserve"> 5 li x 1,5m x 6m (SS400 - Trung Quốc)</v>
      </c>
      <c r="C336" s="12" t="str">
        <f>'12-2017'!C351</f>
        <v>đ/kg</v>
      </c>
      <c r="D336" s="13">
        <f>'12-2017'!O351</f>
        <v>14750</v>
      </c>
      <c r="E336" s="13">
        <f>'12-2017'!P351</f>
        <v>14750</v>
      </c>
      <c r="F336" s="130">
        <f>E336-D336</f>
        <v>0</v>
      </c>
      <c r="H336" s="74">
        <f>'12-2017'!H351</f>
        <v>0</v>
      </c>
      <c r="I336" s="74">
        <f>'12-2017'!I351</f>
        <v>0</v>
      </c>
      <c r="J336" s="74">
        <f>'12-2017'!J351</f>
        <v>0</v>
      </c>
    </row>
    <row r="337" spans="1:10" s="58" customFormat="1" ht="17.25" hidden="1">
      <c r="A337" s="10">
        <f>'12-2017'!A352</f>
        <v>4</v>
      </c>
      <c r="B337" s="11" t="str">
        <f>'12-2017'!B352</f>
        <v xml:space="preserve"> 6 li x 1,5m x 6m (SS400 - Trung Quốc)</v>
      </c>
      <c r="C337" s="12" t="str">
        <f>'12-2017'!C352</f>
        <v>đ/kg</v>
      </c>
      <c r="D337" s="13">
        <f>'12-2017'!O352</f>
        <v>14750</v>
      </c>
      <c r="E337" s="13">
        <f>'12-2017'!P352</f>
        <v>14750</v>
      </c>
      <c r="F337" s="130">
        <f>E337-D337</f>
        <v>0</v>
      </c>
      <c r="H337" s="74">
        <f>'12-2017'!H352</f>
        <v>0</v>
      </c>
      <c r="I337" s="74">
        <f>'12-2017'!I352</f>
        <v>0</v>
      </c>
      <c r="J337" s="74">
        <f>'12-2017'!J352</f>
        <v>0</v>
      </c>
    </row>
    <row r="338" spans="1:10" s="58" customFormat="1" ht="17.25" hidden="1">
      <c r="A338" s="10">
        <f>'12-2017'!A353</f>
        <v>5</v>
      </c>
      <c r="B338" s="11" t="str">
        <f>'12-2017'!B353</f>
        <v xml:space="preserve"> 8 li x 1,5m x 6m (SS400 - Trung Quốc)</v>
      </c>
      <c r="C338" s="12" t="str">
        <f>'12-2017'!C353</f>
        <v>đ/kg</v>
      </c>
      <c r="D338" s="13">
        <f>'12-2017'!O353</f>
        <v>14750</v>
      </c>
      <c r="E338" s="13">
        <f>'12-2017'!P353</f>
        <v>14750</v>
      </c>
      <c r="F338" s="130">
        <f t="shared" ref="F338:F373" si="15">E338-D338</f>
        <v>0</v>
      </c>
      <c r="H338" s="74">
        <f>'12-2017'!H353</f>
        <v>0</v>
      </c>
      <c r="I338" s="74">
        <f>'12-2017'!I353</f>
        <v>0</v>
      </c>
      <c r="J338" s="74">
        <f>'12-2017'!J353</f>
        <v>0</v>
      </c>
    </row>
    <row r="339" spans="1:10" s="58" customFormat="1" ht="17.25" hidden="1">
      <c r="A339" s="10">
        <f>'12-2017'!A354</f>
        <v>6</v>
      </c>
      <c r="B339" s="11" t="str">
        <f>'12-2017'!B354</f>
        <v xml:space="preserve"> 10 li x 1,5m x 6m (SS400 - Trung Quốc)</v>
      </c>
      <c r="C339" s="12" t="str">
        <f>'12-2017'!C354</f>
        <v>đ/kg</v>
      </c>
      <c r="D339" s="13">
        <f>'12-2017'!O354</f>
        <v>14750</v>
      </c>
      <c r="E339" s="13">
        <f>'12-2017'!P354</f>
        <v>14750</v>
      </c>
      <c r="F339" s="130">
        <f t="shared" si="15"/>
        <v>0</v>
      </c>
      <c r="H339" s="74">
        <f>'12-2017'!H354</f>
        <v>0</v>
      </c>
      <c r="I339" s="74">
        <f>'12-2017'!I354</f>
        <v>0</v>
      </c>
      <c r="J339" s="74">
        <f>'12-2017'!J354</f>
        <v>0</v>
      </c>
    </row>
    <row r="340" spans="1:10" s="58" customFormat="1" ht="17.25" hidden="1">
      <c r="A340" s="10">
        <f>'12-2017'!A355</f>
        <v>7</v>
      </c>
      <c r="B340" s="11" t="str">
        <f>'12-2017'!B355</f>
        <v xml:space="preserve"> 12 li x 1,5m x 6m (SS400 - Trung Quốc)</v>
      </c>
      <c r="C340" s="12" t="str">
        <f>'12-2017'!C355</f>
        <v>đ/kg</v>
      </c>
      <c r="D340" s="13">
        <f>'12-2017'!O355</f>
        <v>14850</v>
      </c>
      <c r="E340" s="13">
        <f>'12-2017'!P355</f>
        <v>14850</v>
      </c>
      <c r="F340" s="130">
        <f t="shared" si="15"/>
        <v>0</v>
      </c>
      <c r="H340" s="74">
        <f>'12-2017'!H355</f>
        <v>0</v>
      </c>
      <c r="I340" s="74">
        <f>'12-2017'!I355</f>
        <v>0</v>
      </c>
      <c r="J340" s="74">
        <f>'12-2017'!J355</f>
        <v>0</v>
      </c>
    </row>
    <row r="341" spans="1:10" s="73" customFormat="1" ht="17.25" hidden="1">
      <c r="A341" s="17"/>
      <c r="B341" s="9" t="str">
        <f>'12-2017'!B356</f>
        <v xml:space="preserve"> - Thép hình chữ I:</v>
      </c>
      <c r="C341" s="8"/>
      <c r="D341" s="22"/>
      <c r="E341" s="22"/>
      <c r="F341" s="131"/>
      <c r="H341" s="78">
        <f>'12-2017'!H356</f>
        <v>0</v>
      </c>
      <c r="I341" s="78">
        <f>'12-2017'!I356</f>
        <v>0</v>
      </c>
      <c r="J341" s="78">
        <f>'12-2017'!J356</f>
        <v>0</v>
      </c>
    </row>
    <row r="342" spans="1:10" s="58" customFormat="1" ht="17.25" hidden="1">
      <c r="A342" s="10">
        <f>'12-2017'!A357</f>
        <v>8</v>
      </c>
      <c r="B342" s="11" t="str">
        <f>'12-2017'!B357</f>
        <v xml:space="preserve"> Thép hình I 100 dài 6m (SS400 - Trung Quốc)</v>
      </c>
      <c r="C342" s="12" t="str">
        <f>'12-2017'!C357</f>
        <v>đ/kg</v>
      </c>
      <c r="D342" s="13">
        <f>'12-2017'!O357</f>
        <v>15903</v>
      </c>
      <c r="E342" s="13">
        <f>'12-2017'!P357</f>
        <v>15903</v>
      </c>
      <c r="F342" s="130">
        <f t="shared" si="15"/>
        <v>0</v>
      </c>
      <c r="H342" s="74">
        <f>'12-2017'!H357</f>
        <v>0</v>
      </c>
      <c r="I342" s="74">
        <f>'12-2017'!I357</f>
        <v>0</v>
      </c>
      <c r="J342" s="74">
        <f>'12-2017'!J357</f>
        <v>0</v>
      </c>
    </row>
    <row r="343" spans="1:10" s="58" customFormat="1" ht="17.25" hidden="1">
      <c r="A343" s="10">
        <f>'12-2017'!A358</f>
        <v>9</v>
      </c>
      <c r="B343" s="11" t="str">
        <f>'12-2017'!B358</f>
        <v xml:space="preserve"> Thép hình I 120 dài 6m (SS400 - Trung Quốc)</v>
      </c>
      <c r="C343" s="12" t="str">
        <f>'12-2017'!C358</f>
        <v>đ/kg</v>
      </c>
      <c r="D343" s="13">
        <f>'12-2017'!O358</f>
        <v>15878</v>
      </c>
      <c r="E343" s="13">
        <f>'12-2017'!P358</f>
        <v>15878</v>
      </c>
      <c r="F343" s="130">
        <f t="shared" si="15"/>
        <v>0</v>
      </c>
      <c r="H343" s="74">
        <f>'12-2017'!H358</f>
        <v>0</v>
      </c>
      <c r="I343" s="74">
        <f>'12-2017'!I358</f>
        <v>0</v>
      </c>
      <c r="J343" s="74">
        <f>'12-2017'!J358</f>
        <v>0</v>
      </c>
    </row>
    <row r="344" spans="1:10" s="58" customFormat="1" ht="17.25" hidden="1">
      <c r="A344" s="10">
        <f>'12-2017'!A359</f>
        <v>10</v>
      </c>
      <c r="B344" s="11" t="str">
        <f>'12-2017'!B359</f>
        <v xml:space="preserve"> Thép hình I 150 dài 6m (SS400 - Trung Quốc)</v>
      </c>
      <c r="C344" s="12" t="str">
        <f>'12-2017'!C359</f>
        <v>đ/kg</v>
      </c>
      <c r="D344" s="13">
        <f>'12-2017'!O359</f>
        <v>15750</v>
      </c>
      <c r="E344" s="13">
        <f>'12-2017'!P359</f>
        <v>15750</v>
      </c>
      <c r="F344" s="130">
        <f t="shared" si="15"/>
        <v>0</v>
      </c>
      <c r="H344" s="74">
        <f>'12-2017'!H359</f>
        <v>0</v>
      </c>
      <c r="I344" s="74">
        <f>'12-2017'!I359</f>
        <v>0</v>
      </c>
      <c r="J344" s="74">
        <f>'12-2017'!J359</f>
        <v>0</v>
      </c>
    </row>
    <row r="345" spans="1:10" s="58" customFormat="1" ht="17.25" hidden="1">
      <c r="A345" s="10">
        <f>'12-2017'!A360</f>
        <v>11</v>
      </c>
      <c r="B345" s="11" t="str">
        <f>'12-2017'!B360</f>
        <v xml:space="preserve"> Thép hình I 200 dài 6m (SS400 - Trung Quốc)</v>
      </c>
      <c r="C345" s="12" t="str">
        <f>'12-2017'!C360</f>
        <v>đ/kg</v>
      </c>
      <c r="D345" s="13">
        <f>'12-2017'!O360</f>
        <v>15750</v>
      </c>
      <c r="E345" s="13">
        <f>'12-2017'!P360</f>
        <v>15750</v>
      </c>
      <c r="F345" s="130">
        <f t="shared" si="15"/>
        <v>0</v>
      </c>
      <c r="H345" s="74">
        <f>'12-2017'!H360</f>
        <v>0</v>
      </c>
      <c r="I345" s="74">
        <f>'12-2017'!I360</f>
        <v>0</v>
      </c>
      <c r="J345" s="74">
        <f>'12-2017'!J360</f>
        <v>0</v>
      </c>
    </row>
    <row r="346" spans="1:10" s="58" customFormat="1" ht="17.25" hidden="1">
      <c r="A346" s="10">
        <f>'12-2017'!A361</f>
        <v>12</v>
      </c>
      <c r="B346" s="11" t="str">
        <f>'12-2017'!B361</f>
        <v xml:space="preserve"> Thép hình I 250 dài 6m (SS400 - Trung Quốc)</v>
      </c>
      <c r="C346" s="12" t="str">
        <f>'12-2017'!C361</f>
        <v>đ/kg</v>
      </c>
      <c r="D346" s="13">
        <f>'12-2017'!O361</f>
        <v>15950</v>
      </c>
      <c r="E346" s="13">
        <f>'12-2017'!P361</f>
        <v>15950</v>
      </c>
      <c r="F346" s="130">
        <f t="shared" si="15"/>
        <v>0</v>
      </c>
      <c r="H346" s="74">
        <f>'12-2017'!H361</f>
        <v>0</v>
      </c>
      <c r="I346" s="74">
        <f>'12-2017'!I361</f>
        <v>0</v>
      </c>
      <c r="J346" s="74">
        <f>'12-2017'!J361</f>
        <v>0</v>
      </c>
    </row>
    <row r="347" spans="1:10" s="58" customFormat="1" ht="17.25" hidden="1">
      <c r="A347" s="10">
        <f>'12-2017'!A362</f>
        <v>13</v>
      </c>
      <c r="B347" s="11" t="str">
        <f>'12-2017'!B362</f>
        <v xml:space="preserve"> Thép hình I 300 dài 6m (SS400 - Trung Quốc)</v>
      </c>
      <c r="C347" s="12" t="str">
        <f>'12-2017'!C362</f>
        <v>đ/kg</v>
      </c>
      <c r="D347" s="13">
        <f>'12-2017'!O362</f>
        <v>15950</v>
      </c>
      <c r="E347" s="13">
        <f>'12-2017'!P362</f>
        <v>15950</v>
      </c>
      <c r="F347" s="130">
        <f t="shared" si="15"/>
        <v>0</v>
      </c>
      <c r="H347" s="74">
        <f>'12-2017'!H362</f>
        <v>0</v>
      </c>
      <c r="I347" s="74">
        <f>'12-2017'!I362</f>
        <v>0</v>
      </c>
      <c r="J347" s="74">
        <f>'12-2017'!J362</f>
        <v>0</v>
      </c>
    </row>
    <row r="348" spans="1:10" s="73" customFormat="1" ht="17.25" hidden="1">
      <c r="A348" s="17"/>
      <c r="B348" s="9" t="str">
        <f>'12-2017'!B363</f>
        <v xml:space="preserve"> - Thép hộp các loại (cây dài 6m):</v>
      </c>
      <c r="C348" s="8"/>
      <c r="D348" s="22"/>
      <c r="E348" s="22"/>
      <c r="F348" s="131"/>
      <c r="H348" s="78">
        <f>'12-2017'!H363</f>
        <v>0</v>
      </c>
      <c r="I348" s="78">
        <f>'12-2017'!I363</f>
        <v>0</v>
      </c>
      <c r="J348" s="78">
        <f>'12-2017'!J363</f>
        <v>0</v>
      </c>
    </row>
    <row r="349" spans="1:10" s="58" customFormat="1" ht="17.25" hidden="1">
      <c r="A349" s="10">
        <f>'12-2017'!A364</f>
        <v>14</v>
      </c>
      <c r="B349" s="11" t="str">
        <f>'12-2017'!B364</f>
        <v>Thép hộp 13 x 26 x 1,2 (Trung Quốc)</v>
      </c>
      <c r="C349" s="12" t="str">
        <f>'12-2017'!C364</f>
        <v>đ/cây</v>
      </c>
      <c r="D349" s="13">
        <f>'12-2017'!O364</f>
        <v>79560</v>
      </c>
      <c r="E349" s="13">
        <f>'12-2017'!P364</f>
        <v>79560</v>
      </c>
      <c r="F349" s="130">
        <f t="shared" si="15"/>
        <v>0</v>
      </c>
      <c r="H349" s="74">
        <f>'12-2017'!H364</f>
        <v>0</v>
      </c>
      <c r="I349" s="74">
        <f>'12-2017'!I364</f>
        <v>0</v>
      </c>
      <c r="J349" s="74">
        <f>'12-2017'!J364</f>
        <v>0</v>
      </c>
    </row>
    <row r="350" spans="1:10" s="58" customFormat="1" ht="17.25" hidden="1">
      <c r="A350" s="10">
        <f>'12-2017'!A365</f>
        <v>15</v>
      </c>
      <c r="B350" s="11" t="str">
        <f>'12-2017'!B365</f>
        <v>Thép hộp 20 x 40 x 1,2 (Trung Quốc)</v>
      </c>
      <c r="C350" s="12" t="str">
        <f>'12-2017'!C365</f>
        <v>đ/cây</v>
      </c>
      <c r="D350" s="13">
        <f>'12-2017'!O365</f>
        <v>125970</v>
      </c>
      <c r="E350" s="13">
        <f>'12-2017'!P365</f>
        <v>125970</v>
      </c>
      <c r="F350" s="130">
        <f t="shared" si="15"/>
        <v>0</v>
      </c>
      <c r="H350" s="74">
        <f>'12-2017'!H365</f>
        <v>0</v>
      </c>
      <c r="I350" s="74">
        <f>'12-2017'!I365</f>
        <v>0</v>
      </c>
      <c r="J350" s="74">
        <f>'12-2017'!J365</f>
        <v>0</v>
      </c>
    </row>
    <row r="351" spans="1:10" s="58" customFormat="1" ht="17.25" hidden="1">
      <c r="A351" s="10">
        <f>'12-2017'!A366</f>
        <v>16</v>
      </c>
      <c r="B351" s="11" t="str">
        <f>'12-2017'!B366</f>
        <v>Thép hộp 25 x 50 x 1,2 (Trung Quốc)</v>
      </c>
      <c r="C351" s="12" t="str">
        <f>'12-2017'!C366</f>
        <v>đ/cây</v>
      </c>
      <c r="D351" s="13">
        <f>'12-2017'!O366</f>
        <v>158925</v>
      </c>
      <c r="E351" s="13">
        <f>'12-2017'!P366</f>
        <v>158925</v>
      </c>
      <c r="F351" s="130">
        <f t="shared" si="15"/>
        <v>0</v>
      </c>
      <c r="H351" s="74">
        <f>'12-2017'!H366</f>
        <v>0</v>
      </c>
      <c r="I351" s="74">
        <f>'12-2017'!I366</f>
        <v>0</v>
      </c>
      <c r="J351" s="74">
        <f>'12-2017'!J366</f>
        <v>0</v>
      </c>
    </row>
    <row r="352" spans="1:10" s="58" customFormat="1" ht="17.25" hidden="1">
      <c r="A352" s="10">
        <f>'12-2017'!A367</f>
        <v>17</v>
      </c>
      <c r="B352" s="11" t="str">
        <f>'12-2017'!B367</f>
        <v>Thép hộp 30 x 60 x 1,2 (Trung Quốc)</v>
      </c>
      <c r="C352" s="12" t="str">
        <f>'12-2017'!C367</f>
        <v>đ/cây</v>
      </c>
      <c r="D352" s="13">
        <f>'12-2017'!O367</f>
        <v>192075</v>
      </c>
      <c r="E352" s="13">
        <f>'12-2017'!P367</f>
        <v>192075</v>
      </c>
      <c r="F352" s="130">
        <f t="shared" si="15"/>
        <v>0</v>
      </c>
      <c r="H352" s="74">
        <f>'12-2017'!H367</f>
        <v>0</v>
      </c>
      <c r="I352" s="74">
        <f>'12-2017'!I367</f>
        <v>0</v>
      </c>
      <c r="J352" s="74">
        <f>'12-2017'!J367</f>
        <v>0</v>
      </c>
    </row>
    <row r="353" spans="1:10" s="58" customFormat="1" ht="17.25" hidden="1">
      <c r="A353" s="10">
        <f>'12-2017'!A368</f>
        <v>18</v>
      </c>
      <c r="B353" s="11" t="str">
        <f>'12-2017'!B368</f>
        <v>Thép hộp 40 x 80 x 1,2 (Trung Quốc)</v>
      </c>
      <c r="C353" s="12" t="str">
        <f>'12-2017'!C368</f>
        <v>đ/cây</v>
      </c>
      <c r="D353" s="13">
        <f>'12-2017'!O368</f>
        <v>299910</v>
      </c>
      <c r="E353" s="13">
        <f>'12-2017'!P368</f>
        <v>299910</v>
      </c>
      <c r="F353" s="130">
        <f t="shared" si="15"/>
        <v>0</v>
      </c>
      <c r="H353" s="74">
        <f>'12-2017'!H368</f>
        <v>0</v>
      </c>
      <c r="I353" s="74">
        <f>'12-2017'!I368</f>
        <v>0</v>
      </c>
      <c r="J353" s="74">
        <f>'12-2017'!J368</f>
        <v>0</v>
      </c>
    </row>
    <row r="354" spans="1:10" s="58" customFormat="1" ht="17.25" hidden="1">
      <c r="A354" s="10">
        <f>'12-2017'!A369</f>
        <v>19</v>
      </c>
      <c r="B354" s="11" t="str">
        <f>'12-2017'!B369</f>
        <v>Thép hộp 50 x 100 x 1,4 (Trung Quốc)</v>
      </c>
      <c r="C354" s="12" t="str">
        <f>'12-2017'!C369</f>
        <v>đ/cây</v>
      </c>
      <c r="D354" s="13">
        <f>'12-2017'!O369</f>
        <v>376935</v>
      </c>
      <c r="E354" s="13">
        <f>'12-2017'!P369</f>
        <v>376935</v>
      </c>
      <c r="F354" s="130">
        <f t="shared" si="15"/>
        <v>0</v>
      </c>
      <c r="H354" s="74">
        <f>'12-2017'!H369</f>
        <v>0</v>
      </c>
      <c r="I354" s="74">
        <f>'12-2017'!I369</f>
        <v>0</v>
      </c>
      <c r="J354" s="74">
        <f>'12-2017'!J369</f>
        <v>0</v>
      </c>
    </row>
    <row r="355" spans="1:10" s="58" customFormat="1" ht="17.25" hidden="1">
      <c r="A355" s="10" t="e">
        <f>'12-2017'!#REF!</f>
        <v>#REF!</v>
      </c>
      <c r="B355" s="11" t="e">
        <f>'12-2017'!#REF!</f>
        <v>#REF!</v>
      </c>
      <c r="C355" s="12" t="e">
        <f>'12-2017'!#REF!</f>
        <v>#REF!</v>
      </c>
      <c r="D355" s="13" t="e">
        <f>'12-2017'!#REF!</f>
        <v>#REF!</v>
      </c>
      <c r="E355" s="13" t="e">
        <f>'12-2017'!#REF!</f>
        <v>#REF!</v>
      </c>
      <c r="F355" s="130" t="e">
        <f t="shared" si="15"/>
        <v>#REF!</v>
      </c>
      <c r="H355" s="74" t="e">
        <f>'12-2017'!#REF!</f>
        <v>#REF!</v>
      </c>
      <c r="I355" s="74" t="e">
        <f>'12-2017'!#REF!</f>
        <v>#REF!</v>
      </c>
      <c r="J355" s="74" t="e">
        <f>'12-2017'!#REF!</f>
        <v>#REF!</v>
      </c>
    </row>
    <row r="356" spans="1:10" s="58" customFormat="1" ht="17.25" hidden="1">
      <c r="A356" s="10">
        <f>'12-2017'!A370</f>
        <v>20</v>
      </c>
      <c r="B356" s="11" t="str">
        <f>'12-2017'!B370</f>
        <v>Thép hộp 60 x 120 x 1,5 (Trung Quốc)</v>
      </c>
      <c r="C356" s="12" t="str">
        <f>'12-2017'!C370</f>
        <v>đ/cây</v>
      </c>
      <c r="D356" s="13">
        <f>'12-2017'!O370</f>
        <v>486135</v>
      </c>
      <c r="E356" s="13">
        <f>'12-2017'!P370</f>
        <v>486135</v>
      </c>
      <c r="F356" s="130">
        <f t="shared" si="15"/>
        <v>0</v>
      </c>
      <c r="H356" s="74">
        <f>'12-2017'!H370</f>
        <v>0</v>
      </c>
      <c r="I356" s="74">
        <f>'12-2017'!I370</f>
        <v>0</v>
      </c>
      <c r="J356" s="74">
        <f>'12-2017'!J370</f>
        <v>0</v>
      </c>
    </row>
    <row r="357" spans="1:10" s="73" customFormat="1" ht="17.25" hidden="1">
      <c r="A357" s="17"/>
      <c r="B357" s="9" t="str">
        <f>'12-2017'!B371</f>
        <v xml:space="preserve"> - Thép ống kẽm mạ một mặt (ống dài 6m):</v>
      </c>
      <c r="C357" s="8"/>
      <c r="D357" s="22"/>
      <c r="E357" s="22"/>
      <c r="F357" s="131"/>
      <c r="H357" s="78">
        <f>'12-2017'!H371</f>
        <v>0</v>
      </c>
      <c r="I357" s="78">
        <f>'12-2017'!I371</f>
        <v>0</v>
      </c>
      <c r="J357" s="78">
        <f>'12-2017'!J371</f>
        <v>0</v>
      </c>
    </row>
    <row r="358" spans="1:10" s="58" customFormat="1" ht="17.25" hidden="1">
      <c r="A358" s="10">
        <f>'12-2017'!A372</f>
        <v>21</v>
      </c>
      <c r="B358" s="11" t="str">
        <f>'12-2017'!B372</f>
        <v xml:space="preserve">Ống kẽm fi 21 x 1,4 li </v>
      </c>
      <c r="C358" s="12" t="str">
        <f>'12-2017'!C372</f>
        <v>đ/ống</v>
      </c>
      <c r="D358" s="13">
        <f>'12-2017'!O372</f>
        <v>79950</v>
      </c>
      <c r="E358" s="13">
        <f>'12-2017'!P372</f>
        <v>79950</v>
      </c>
      <c r="F358" s="130">
        <f t="shared" si="15"/>
        <v>0</v>
      </c>
      <c r="H358" s="74">
        <f>'12-2017'!H372</f>
        <v>0</v>
      </c>
      <c r="I358" s="74">
        <f>'12-2017'!I372</f>
        <v>0</v>
      </c>
      <c r="J358" s="74">
        <f>'12-2017'!J372</f>
        <v>0</v>
      </c>
    </row>
    <row r="359" spans="1:10" s="58" customFormat="1" ht="17.25" hidden="1">
      <c r="A359" s="10">
        <f>'12-2017'!A373</f>
        <v>22</v>
      </c>
      <c r="B359" s="11" t="str">
        <f>'12-2017'!B373</f>
        <v>Ống kẽm fi 27 x 1,4 li</v>
      </c>
      <c r="C359" s="12" t="str">
        <f>'12-2017'!C373</f>
        <v>đ/ống</v>
      </c>
      <c r="D359" s="13">
        <f>'12-2017'!O373</f>
        <v>101400</v>
      </c>
      <c r="E359" s="13">
        <f>'12-2017'!P373</f>
        <v>101400</v>
      </c>
      <c r="F359" s="130">
        <f t="shared" si="15"/>
        <v>0</v>
      </c>
      <c r="H359" s="74">
        <f>'12-2017'!H373</f>
        <v>0</v>
      </c>
      <c r="I359" s="74">
        <f>'12-2017'!I373</f>
        <v>0</v>
      </c>
      <c r="J359" s="74">
        <f>'12-2017'!J373</f>
        <v>0</v>
      </c>
    </row>
    <row r="360" spans="1:10" s="58" customFormat="1" ht="17.25" hidden="1">
      <c r="A360" s="10">
        <f>'12-2017'!A374</f>
        <v>23</v>
      </c>
      <c r="B360" s="11" t="str">
        <f>'12-2017'!B374</f>
        <v>Ống kẽm fi 34 x 1,4 li</v>
      </c>
      <c r="C360" s="12" t="str">
        <f>'12-2017'!C374</f>
        <v>đ/ống</v>
      </c>
      <c r="D360" s="13">
        <f>'12-2017'!O374</f>
        <v>129675</v>
      </c>
      <c r="E360" s="13">
        <f>'12-2017'!P374</f>
        <v>129675</v>
      </c>
      <c r="F360" s="130">
        <f t="shared" si="15"/>
        <v>0</v>
      </c>
      <c r="H360" s="74">
        <f>'12-2017'!H374</f>
        <v>0</v>
      </c>
      <c r="I360" s="74">
        <f>'12-2017'!I374</f>
        <v>0</v>
      </c>
      <c r="J360" s="74">
        <f>'12-2017'!J374</f>
        <v>0</v>
      </c>
    </row>
    <row r="361" spans="1:10" s="58" customFormat="1" ht="17.25" hidden="1">
      <c r="A361" s="10">
        <f>'12-2017'!A375</f>
        <v>24</v>
      </c>
      <c r="B361" s="11" t="str">
        <f>'12-2017'!B375</f>
        <v>Ống kẽm fi 42 x 1,5 li</v>
      </c>
      <c r="C361" s="12" t="str">
        <f>'12-2017'!C375</f>
        <v>đ/ống</v>
      </c>
      <c r="D361" s="13">
        <f>'12-2017'!O375</f>
        <v>164775</v>
      </c>
      <c r="E361" s="13">
        <f>'12-2017'!P375</f>
        <v>164775</v>
      </c>
      <c r="F361" s="130">
        <f t="shared" si="15"/>
        <v>0</v>
      </c>
      <c r="H361" s="74">
        <f>'12-2017'!H375</f>
        <v>0</v>
      </c>
      <c r="I361" s="74">
        <f>'12-2017'!I375</f>
        <v>0</v>
      </c>
      <c r="J361" s="74">
        <f>'12-2017'!J375</f>
        <v>0</v>
      </c>
    </row>
    <row r="362" spans="1:10" s="58" customFormat="1" ht="17.25" hidden="1">
      <c r="A362" s="10">
        <f>'12-2017'!A376</f>
        <v>25</v>
      </c>
      <c r="B362" s="11" t="str">
        <f>'12-2017'!B376</f>
        <v>Ống kẽm fi 49 x 1,4 li</v>
      </c>
      <c r="C362" s="12" t="str">
        <f>'12-2017'!C376</f>
        <v>đ/ống</v>
      </c>
      <c r="D362" s="13">
        <f>'12-2017'!O376</f>
        <v>187395</v>
      </c>
      <c r="E362" s="13">
        <f>'12-2017'!P376</f>
        <v>187395</v>
      </c>
      <c r="F362" s="130">
        <f t="shared" si="15"/>
        <v>0</v>
      </c>
      <c r="H362" s="74">
        <f>'12-2017'!H376</f>
        <v>0</v>
      </c>
      <c r="I362" s="74">
        <f>'12-2017'!I376</f>
        <v>0</v>
      </c>
      <c r="J362" s="74">
        <f>'12-2017'!J376</f>
        <v>0</v>
      </c>
    </row>
    <row r="363" spans="1:10" s="58" customFormat="1" ht="17.25" hidden="1">
      <c r="A363" s="10">
        <f>'12-2017'!A377</f>
        <v>26</v>
      </c>
      <c r="B363" s="11" t="str">
        <f>'12-2017'!B377</f>
        <v>Ống kẽm fi 60 x 1,4 li</v>
      </c>
      <c r="C363" s="12" t="str">
        <f>'12-2017'!C377</f>
        <v>đ/ống</v>
      </c>
      <c r="D363" s="13">
        <f>'12-2017'!O377</f>
        <v>236340</v>
      </c>
      <c r="E363" s="13">
        <f>'12-2017'!P377</f>
        <v>236340</v>
      </c>
      <c r="F363" s="130">
        <f t="shared" si="15"/>
        <v>0</v>
      </c>
      <c r="H363" s="74">
        <f>'12-2017'!H377</f>
        <v>0</v>
      </c>
      <c r="I363" s="74">
        <f>'12-2017'!I377</f>
        <v>0</v>
      </c>
      <c r="J363" s="74">
        <f>'12-2017'!J377</f>
        <v>0</v>
      </c>
    </row>
    <row r="364" spans="1:10" s="58" customFormat="1" ht="17.25" hidden="1">
      <c r="A364" s="10">
        <f>'12-2017'!A378</f>
        <v>27</v>
      </c>
      <c r="B364" s="11" t="str">
        <f>'12-2017'!B378</f>
        <v>Ống kẽm fi 76 x 1,4 li</v>
      </c>
      <c r="C364" s="12" t="str">
        <f>'12-2017'!C378</f>
        <v>đ/ống</v>
      </c>
      <c r="D364" s="13">
        <f>'12-2017'!O378</f>
        <v>320775</v>
      </c>
      <c r="E364" s="13">
        <f>'12-2017'!P378</f>
        <v>320775</v>
      </c>
      <c r="F364" s="130">
        <f t="shared" si="15"/>
        <v>0</v>
      </c>
      <c r="H364" s="74">
        <f>'12-2017'!H378</f>
        <v>0</v>
      </c>
      <c r="I364" s="74">
        <f>'12-2017'!I378</f>
        <v>0</v>
      </c>
      <c r="J364" s="74">
        <f>'12-2017'!J378</f>
        <v>0</v>
      </c>
    </row>
    <row r="365" spans="1:10" s="58" customFormat="1" ht="17.25" hidden="1">
      <c r="A365" s="10">
        <f>'12-2017'!A379</f>
        <v>28</v>
      </c>
      <c r="B365" s="11" t="str">
        <f>'12-2017'!B379</f>
        <v>Ống kẽm fi 90 x 1,4 li</v>
      </c>
      <c r="C365" s="12" t="str">
        <f>'12-2017'!C379</f>
        <v>đ/ống</v>
      </c>
      <c r="D365" s="13">
        <f>'12-2017'!O379</f>
        <v>375765</v>
      </c>
      <c r="E365" s="13">
        <f>'12-2017'!P379</f>
        <v>375765</v>
      </c>
      <c r="F365" s="130">
        <f t="shared" si="15"/>
        <v>0</v>
      </c>
      <c r="H365" s="74">
        <f>'12-2017'!H379</f>
        <v>0</v>
      </c>
      <c r="I365" s="74">
        <f>'12-2017'!I379</f>
        <v>0</v>
      </c>
      <c r="J365" s="74">
        <f>'12-2017'!J379</f>
        <v>0</v>
      </c>
    </row>
    <row r="366" spans="1:10" s="58" customFormat="1" ht="17.25" hidden="1">
      <c r="A366" s="10">
        <f>'12-2017'!A380</f>
        <v>29</v>
      </c>
      <c r="B366" s="11" t="str">
        <f>'12-2017'!B380</f>
        <v>Ống kẽm fi 114 x 1,4 li</v>
      </c>
      <c r="C366" s="12" t="str">
        <f>'12-2017'!C380</f>
        <v>đ/ống</v>
      </c>
      <c r="D366" s="13">
        <f>'12-2017'!O380</f>
        <v>580125</v>
      </c>
      <c r="E366" s="13">
        <f>'12-2017'!P380</f>
        <v>580125</v>
      </c>
      <c r="F366" s="130">
        <f t="shared" si="15"/>
        <v>0</v>
      </c>
      <c r="H366" s="74">
        <f>'12-2017'!H380</f>
        <v>0</v>
      </c>
      <c r="I366" s="74">
        <f>'12-2017'!I380</f>
        <v>0</v>
      </c>
      <c r="J366" s="74">
        <f>'12-2017'!J380</f>
        <v>0</v>
      </c>
    </row>
    <row r="367" spans="1:10" s="73" customFormat="1" ht="17.25" hidden="1">
      <c r="A367" s="17"/>
      <c r="B367" s="9" t="str">
        <f>'12-2017'!B381</f>
        <v xml:space="preserve"> - Thép ống kẽm mạ kẽm NQ hai mặt (ống dài 6m):</v>
      </c>
      <c r="C367" s="8"/>
      <c r="D367" s="22"/>
      <c r="E367" s="22"/>
      <c r="F367" s="131"/>
      <c r="H367" s="78">
        <f>'12-2017'!H381</f>
        <v>0</v>
      </c>
      <c r="I367" s="78">
        <f>'12-2017'!I381</f>
        <v>0</v>
      </c>
      <c r="J367" s="78">
        <f>'12-2017'!J381</f>
        <v>0</v>
      </c>
    </row>
    <row r="368" spans="1:10" s="58" customFormat="1" ht="17.25" hidden="1">
      <c r="A368" s="10">
        <f>'12-2017'!A382</f>
        <v>30</v>
      </c>
      <c r="B368" s="11" t="str">
        <f>'12-2017'!B382</f>
        <v xml:space="preserve">Ống kẽm fi 21 x 1,4 li </v>
      </c>
      <c r="C368" s="12" t="str">
        <f>'12-2017'!C382</f>
        <v>đ/ống</v>
      </c>
      <c r="D368" s="13">
        <f>'12-2017'!O382</f>
        <v>79950</v>
      </c>
      <c r="E368" s="13">
        <f>'12-2017'!P382</f>
        <v>79950</v>
      </c>
      <c r="F368" s="130">
        <f t="shared" si="15"/>
        <v>0</v>
      </c>
      <c r="H368" s="74">
        <f>'12-2017'!H382</f>
        <v>0</v>
      </c>
      <c r="I368" s="74">
        <f>'12-2017'!I382</f>
        <v>0</v>
      </c>
      <c r="J368" s="74">
        <f>'12-2017'!J382</f>
        <v>0</v>
      </c>
    </row>
    <row r="369" spans="1:10" s="58" customFormat="1" ht="17.25" hidden="1">
      <c r="A369" s="10">
        <f>'12-2017'!A383</f>
        <v>31</v>
      </c>
      <c r="B369" s="11" t="str">
        <f>'12-2017'!B383</f>
        <v>Ống kẽm fi 27 x 1,4 li</v>
      </c>
      <c r="C369" s="12" t="str">
        <f>'12-2017'!C383</f>
        <v>đ/ống</v>
      </c>
      <c r="D369" s="13">
        <f>'12-2017'!O383</f>
        <v>101400</v>
      </c>
      <c r="E369" s="13">
        <f>'12-2017'!P383</f>
        <v>101400</v>
      </c>
      <c r="F369" s="130">
        <f t="shared" si="15"/>
        <v>0</v>
      </c>
      <c r="H369" s="74">
        <f>'12-2017'!H383</f>
        <v>0</v>
      </c>
      <c r="I369" s="74">
        <f>'12-2017'!I383</f>
        <v>0</v>
      </c>
      <c r="J369" s="74">
        <f>'12-2017'!J383</f>
        <v>0</v>
      </c>
    </row>
    <row r="370" spans="1:10" s="58" customFormat="1" ht="17.25" hidden="1">
      <c r="A370" s="10">
        <f>'12-2017'!A384</f>
        <v>32</v>
      </c>
      <c r="B370" s="11" t="str">
        <f>'12-2017'!B384</f>
        <v>Ống kẽm fi 34 x 1,4 li</v>
      </c>
      <c r="C370" s="12" t="str">
        <f>'12-2017'!C384</f>
        <v>đ/ống</v>
      </c>
      <c r="D370" s="13">
        <f>'12-2017'!O384</f>
        <v>129675</v>
      </c>
      <c r="E370" s="13">
        <f>'12-2017'!P384</f>
        <v>129675</v>
      </c>
      <c r="F370" s="130">
        <f t="shared" si="15"/>
        <v>0</v>
      </c>
      <c r="H370" s="74">
        <f>'12-2017'!H384</f>
        <v>0</v>
      </c>
      <c r="I370" s="74">
        <f>'12-2017'!I384</f>
        <v>0</v>
      </c>
      <c r="J370" s="74">
        <f>'12-2017'!J384</f>
        <v>0</v>
      </c>
    </row>
    <row r="371" spans="1:10" s="58" customFormat="1" ht="17.25" hidden="1">
      <c r="A371" s="10">
        <f>'12-2017'!A385</f>
        <v>33</v>
      </c>
      <c r="B371" s="11" t="str">
        <f>'12-2017'!B385</f>
        <v>Ống kẽm fi 42 x 1,5 li</v>
      </c>
      <c r="C371" s="12" t="str">
        <f>'12-2017'!C385</f>
        <v>đ/ống</v>
      </c>
      <c r="D371" s="13">
        <f>'12-2017'!O385</f>
        <v>164775</v>
      </c>
      <c r="E371" s="13">
        <f>'12-2017'!P385</f>
        <v>164775</v>
      </c>
      <c r="F371" s="130">
        <f t="shared" si="15"/>
        <v>0</v>
      </c>
      <c r="H371" s="74">
        <f>'12-2017'!H385</f>
        <v>0</v>
      </c>
      <c r="I371" s="74">
        <f>'12-2017'!I385</f>
        <v>0</v>
      </c>
      <c r="J371" s="74">
        <f>'12-2017'!J385</f>
        <v>0</v>
      </c>
    </row>
    <row r="372" spans="1:10" s="58" customFormat="1" ht="17.25" hidden="1">
      <c r="A372" s="10">
        <f>'12-2017'!A386</f>
        <v>34</v>
      </c>
      <c r="B372" s="11" t="str">
        <f>'12-2017'!B386</f>
        <v>Ống kẽm fi 49 x 1,4 li</v>
      </c>
      <c r="C372" s="12" t="str">
        <f>'12-2017'!C386</f>
        <v>đ/ống</v>
      </c>
      <c r="D372" s="13">
        <f>'12-2017'!O386</f>
        <v>187395</v>
      </c>
      <c r="E372" s="13">
        <f>'12-2017'!P386</f>
        <v>187395</v>
      </c>
      <c r="F372" s="130">
        <f t="shared" si="15"/>
        <v>0</v>
      </c>
      <c r="H372" s="74">
        <f>'12-2017'!H386</f>
        <v>0</v>
      </c>
      <c r="I372" s="74">
        <f>'12-2017'!I386</f>
        <v>0</v>
      </c>
      <c r="J372" s="74">
        <f>'12-2017'!J386</f>
        <v>0</v>
      </c>
    </row>
    <row r="373" spans="1:10" s="58" customFormat="1" ht="17.25" hidden="1">
      <c r="A373" s="10">
        <f>'12-2017'!A387</f>
        <v>35</v>
      </c>
      <c r="B373" s="11" t="str">
        <f>'12-2017'!B387</f>
        <v>Ống kẽm fi 60 x 1,4 li</v>
      </c>
      <c r="C373" s="12" t="str">
        <f>'12-2017'!C387</f>
        <v>đ/ống</v>
      </c>
      <c r="D373" s="13">
        <f>'12-2017'!O387</f>
        <v>236340</v>
      </c>
      <c r="E373" s="13">
        <f>'12-2017'!P387</f>
        <v>236340</v>
      </c>
      <c r="F373" s="130">
        <f t="shared" si="15"/>
        <v>0</v>
      </c>
      <c r="H373" s="74">
        <f>'12-2017'!H387</f>
        <v>0</v>
      </c>
      <c r="I373" s="74">
        <f>'12-2017'!I387</f>
        <v>0</v>
      </c>
      <c r="J373" s="74">
        <f>'12-2017'!J387</f>
        <v>0</v>
      </c>
    </row>
    <row r="374" spans="1:10" s="58" customFormat="1" ht="17.25" hidden="1">
      <c r="A374" s="10">
        <f>'12-2017'!A388</f>
        <v>36</v>
      </c>
      <c r="B374" s="11" t="str">
        <f>'12-2017'!B388</f>
        <v>Ống kẽm fi 76 x 1,5 li</v>
      </c>
      <c r="C374" s="12" t="str">
        <f>'12-2017'!C388</f>
        <v>đ/ống</v>
      </c>
      <c r="D374" s="13">
        <f>'12-2017'!O388</f>
        <v>320775</v>
      </c>
      <c r="E374" s="13">
        <f>'12-2017'!P388</f>
        <v>320775</v>
      </c>
      <c r="F374" s="130">
        <f>E374-D374</f>
        <v>0</v>
      </c>
      <c r="H374" s="74">
        <f>'12-2017'!H388</f>
        <v>0</v>
      </c>
      <c r="I374" s="74">
        <f>'12-2017'!I388</f>
        <v>0</v>
      </c>
      <c r="J374" s="74">
        <f>'12-2017'!J388</f>
        <v>0</v>
      </c>
    </row>
    <row r="375" spans="1:10" s="58" customFormat="1" ht="17.25" hidden="1">
      <c r="A375" s="10">
        <f>'12-2017'!A389</f>
        <v>37</v>
      </c>
      <c r="B375" s="11" t="str">
        <f>'12-2017'!B389</f>
        <v>Ống kẽm fi 90 x 1,5 li</v>
      </c>
      <c r="C375" s="12" t="str">
        <f>'12-2017'!C389</f>
        <v>đ/ống</v>
      </c>
      <c r="D375" s="13">
        <f>'12-2017'!O389</f>
        <v>375765</v>
      </c>
      <c r="E375" s="13">
        <f>'12-2017'!P389</f>
        <v>375765</v>
      </c>
      <c r="F375" s="130">
        <f>E375-D375</f>
        <v>0</v>
      </c>
      <c r="H375" s="74">
        <f>'12-2017'!H389</f>
        <v>0</v>
      </c>
      <c r="I375" s="74">
        <f>'12-2017'!I389</f>
        <v>0</v>
      </c>
      <c r="J375" s="74">
        <f>'12-2017'!J389</f>
        <v>0</v>
      </c>
    </row>
    <row r="376" spans="1:10" s="58" customFormat="1" ht="17.25" hidden="1">
      <c r="A376" s="10">
        <f>'12-2017'!A390</f>
        <v>38</v>
      </c>
      <c r="B376" s="11" t="str">
        <f>'12-2017'!B390</f>
        <v>Ống kẽm fi 114 x 1,8 li</v>
      </c>
      <c r="C376" s="12" t="str">
        <f>'12-2017'!C390</f>
        <v>đ/ống</v>
      </c>
      <c r="D376" s="13">
        <f>'12-2017'!O390</f>
        <v>580125</v>
      </c>
      <c r="E376" s="13">
        <f>'12-2017'!P390</f>
        <v>580125</v>
      </c>
      <c r="F376" s="130">
        <f>E376-D376</f>
        <v>0</v>
      </c>
      <c r="H376" s="74">
        <f>'12-2017'!H390</f>
        <v>0</v>
      </c>
      <c r="I376" s="74">
        <f>'12-2017'!I390</f>
        <v>0</v>
      </c>
      <c r="J376" s="74">
        <f>'12-2017'!J390</f>
        <v>0</v>
      </c>
    </row>
    <row r="377" spans="1:10" s="73" customFormat="1" ht="37.5" customHeight="1">
      <c r="A377" s="17"/>
      <c r="B377" s="237" t="str">
        <f>'12-2017'!B391</f>
        <v>* Cty TNHH thép SeAH Việt Nam (số 7, đường 3A, KCN Biên Hòa II, Đồng Nai), giao hàng tại tỉnh An Giang. Theo bảng giá ngày 15/12/2017</v>
      </c>
      <c r="C377" s="238"/>
      <c r="D377" s="238"/>
      <c r="E377" s="238"/>
      <c r="F377" s="239"/>
      <c r="H377" s="74">
        <f>'12-2017'!H391</f>
        <v>0</v>
      </c>
      <c r="I377" s="74">
        <f>'12-2017'!I391</f>
        <v>0</v>
      </c>
      <c r="J377" s="74">
        <f>'12-2017'!J391</f>
        <v>0</v>
      </c>
    </row>
    <row r="378" spans="1:10" s="73" customFormat="1" ht="17.25">
      <c r="A378" s="17"/>
      <c r="B378" s="9" t="str">
        <f>'12-2017'!B392</f>
        <v xml:space="preserve"> - Ống thép mạ kẽm (BS 1387 hoặc ASTM A53)</v>
      </c>
      <c r="C378" s="8"/>
      <c r="D378" s="22"/>
      <c r="E378" s="22"/>
      <c r="F378" s="131"/>
      <c r="H378" s="74">
        <f>'12-2017'!H392</f>
        <v>0</v>
      </c>
      <c r="I378" s="74">
        <f>'12-2017'!I392</f>
        <v>0</v>
      </c>
      <c r="J378" s="74">
        <f>'12-2017'!J392</f>
        <v>0</v>
      </c>
    </row>
    <row r="379" spans="1:10" s="58" customFormat="1" ht="17.25">
      <c r="A379" s="10">
        <f>'12-2017'!A393</f>
        <v>1</v>
      </c>
      <c r="B379" s="11" t="str">
        <f>'12-2017'!B393</f>
        <v xml:space="preserve">Ống thép mạ kẽm nhúng nóng dày 1.6mm-1.9mm. Đường kính từ DN10- DN100 </v>
      </c>
      <c r="C379" s="12" t="str">
        <f>'12-2017'!C393</f>
        <v>đ/kg</v>
      </c>
      <c r="D379" s="13">
        <f>'12-2017'!D393</f>
        <v>24000</v>
      </c>
      <c r="E379" s="13">
        <f>'12-2017'!P393</f>
        <v>24000</v>
      </c>
      <c r="F379" s="130">
        <f t="shared" ref="F379:F430" si="16">E379-D379</f>
        <v>0</v>
      </c>
      <c r="H379" s="74">
        <f>'12-2017'!H393</f>
        <v>24000</v>
      </c>
      <c r="I379" s="74">
        <f>'12-2017'!I393</f>
        <v>0</v>
      </c>
      <c r="J379" s="74">
        <f>'12-2017'!J393</f>
        <v>0</v>
      </c>
    </row>
    <row r="380" spans="1:10" s="58" customFormat="1" ht="17.25">
      <c r="A380" s="10">
        <f>'12-2017'!A394</f>
        <v>2</v>
      </c>
      <c r="B380" s="11" t="str">
        <f>'12-2017'!B394</f>
        <v xml:space="preserve">Ống thép mạ kẽm nhúng nóng dày 2.0mm-5.4mm. Đường kính từ DN10 - DN100 </v>
      </c>
      <c r="C380" s="12" t="str">
        <f>'12-2017'!C394</f>
        <v>đ/kg</v>
      </c>
      <c r="D380" s="13">
        <f>'12-2017'!D394</f>
        <v>23200</v>
      </c>
      <c r="E380" s="13">
        <f>'12-2017'!P394</f>
        <v>23200</v>
      </c>
      <c r="F380" s="130">
        <f t="shared" si="16"/>
        <v>0</v>
      </c>
      <c r="H380" s="74">
        <f>'12-2017'!H394</f>
        <v>23200</v>
      </c>
      <c r="I380" s="74">
        <f>'12-2017'!I394</f>
        <v>0</v>
      </c>
      <c r="J380" s="74">
        <f>'12-2017'!J394</f>
        <v>0</v>
      </c>
    </row>
    <row r="381" spans="1:10" s="58" customFormat="1" ht="17.25">
      <c r="A381" s="10">
        <f>'12-2017'!A395</f>
        <v>3</v>
      </c>
      <c r="B381" s="11" t="str">
        <f>'12-2017'!B395</f>
        <v xml:space="preserve">Ống thép mạ kẽm nhúng nóng dày trên 5.4mmmm. Đường kính từ DN10 - DN100 </v>
      </c>
      <c r="C381" s="12" t="str">
        <f>'12-2017'!C395</f>
        <v>đ/kg</v>
      </c>
      <c r="D381" s="13">
        <f>'12-2017'!D395</f>
        <v>23200</v>
      </c>
      <c r="E381" s="13">
        <f>'12-2017'!P395</f>
        <v>23200</v>
      </c>
      <c r="F381" s="130">
        <f t="shared" si="16"/>
        <v>0</v>
      </c>
      <c r="H381" s="74">
        <f>'12-2017'!H395</f>
        <v>23200</v>
      </c>
      <c r="I381" s="74">
        <f>'12-2017'!I395</f>
        <v>0</v>
      </c>
      <c r="J381" s="74">
        <f>'12-2017'!J395</f>
        <v>0</v>
      </c>
    </row>
    <row r="382" spans="1:10" s="58" customFormat="1" ht="17.25">
      <c r="A382" s="10">
        <f>'12-2017'!A396</f>
        <v>4</v>
      </c>
      <c r="B382" s="11" t="str">
        <f>'12-2017'!B396</f>
        <v xml:space="preserve">Ống thép mạ kẽm nhúng nóng dày 3.4mm - 8.2mm. Đường kính từ DN125 - DN200 </v>
      </c>
      <c r="C382" s="12" t="str">
        <f>'12-2017'!C396</f>
        <v>đ/kg</v>
      </c>
      <c r="D382" s="13">
        <f>'12-2017'!D396</f>
        <v>23600</v>
      </c>
      <c r="E382" s="13">
        <f>'12-2017'!P396</f>
        <v>23600</v>
      </c>
      <c r="F382" s="130">
        <f t="shared" si="16"/>
        <v>0</v>
      </c>
      <c r="H382" s="74">
        <f>'12-2017'!H396</f>
        <v>23600</v>
      </c>
      <c r="I382" s="74">
        <f>'12-2017'!I396</f>
        <v>0</v>
      </c>
      <c r="J382" s="74">
        <f>'12-2017'!J396</f>
        <v>0</v>
      </c>
    </row>
    <row r="383" spans="1:10" s="73" customFormat="1" ht="17.25">
      <c r="A383" s="17"/>
      <c r="B383" s="9" t="str">
        <f>'12-2017'!B397</f>
        <v xml:space="preserve"> - Ống tôn kẽm (tròn, vuông, hộp) mã hiệu BS 1387 hoặc ASTM A500</v>
      </c>
      <c r="C383" s="8"/>
      <c r="D383" s="22"/>
      <c r="E383" s="22"/>
      <c r="F383" s="131"/>
      <c r="H383" s="74">
        <f>'12-2017'!H397</f>
        <v>0</v>
      </c>
      <c r="I383" s="74">
        <f>'12-2017'!I397</f>
        <v>0</v>
      </c>
      <c r="J383" s="74">
        <f>'12-2017'!J397</f>
        <v>0</v>
      </c>
    </row>
    <row r="384" spans="1:10" s="58" customFormat="1" ht="17.25">
      <c r="A384" s="10">
        <f>'12-2017'!A398</f>
        <v>5</v>
      </c>
      <c r="B384" s="11" t="str">
        <f>'12-2017'!B398</f>
        <v xml:space="preserve">Ống tôn kẽm (tròn, vuông, hộp) dày 1.0mm-2,3mm. Đường kính từ DN10 - DN200 </v>
      </c>
      <c r="C384" s="12" t="str">
        <f>'12-2017'!C398</f>
        <v>đ/kg</v>
      </c>
      <c r="D384" s="13">
        <f>'12-2017'!D398</f>
        <v>18600</v>
      </c>
      <c r="E384" s="13">
        <f>'12-2017'!P398</f>
        <v>18600</v>
      </c>
      <c r="F384" s="130">
        <f t="shared" si="16"/>
        <v>0</v>
      </c>
      <c r="H384" s="74">
        <f>'12-2017'!H398</f>
        <v>18600</v>
      </c>
      <c r="I384" s="74">
        <f>'12-2017'!I398</f>
        <v>0</v>
      </c>
      <c r="J384" s="74">
        <f>'12-2017'!J398</f>
        <v>0</v>
      </c>
    </row>
    <row r="385" spans="1:10" s="73" customFormat="1" ht="41.25" customHeight="1">
      <c r="A385" s="17"/>
      <c r="B385" s="237" t="str">
        <f>'12-2017'!B399</f>
        <v>* Công ty TNHH Thép VINA KYOEI (KCN Phú Mỹ I, huyện Tân Thành, tỉnh Bà Rịa- Vũng Tàu), giá bán cho Nhà phân phối chính thức và giao hàng tại nhà máy Vina Kyoei. Theo bảng giá ngày 25/8/2017</v>
      </c>
      <c r="C385" s="238"/>
      <c r="D385" s="238"/>
      <c r="E385" s="238"/>
      <c r="F385" s="239"/>
      <c r="H385" s="74">
        <f>'12-2017'!H399</f>
        <v>0</v>
      </c>
      <c r="I385" s="74">
        <f>'12-2017'!I399</f>
        <v>0</v>
      </c>
      <c r="J385" s="74">
        <f>'12-2017'!J399</f>
        <v>0</v>
      </c>
    </row>
    <row r="386" spans="1:10" s="58" customFormat="1" ht="17.25" hidden="1">
      <c r="A386" s="10">
        <f>'12-2017'!A400</f>
        <v>1</v>
      </c>
      <c r="B386" s="11" t="str">
        <f>'12-2017'!B400</f>
        <v>Thép cuộn Φ6 mác thép CB240-T/ CB300-T/ SWRM12/ CT3</v>
      </c>
      <c r="C386" s="12" t="str">
        <f>'12-2017'!C400</f>
        <v>đ/kg</v>
      </c>
      <c r="D386" s="13">
        <f>'12-2017'!O400</f>
        <v>14020</v>
      </c>
      <c r="E386" s="13">
        <f>'12-2017'!P400</f>
        <v>14020</v>
      </c>
      <c r="F386" s="130">
        <f t="shared" si="16"/>
        <v>0</v>
      </c>
      <c r="H386" s="74">
        <f>'12-2017'!H400</f>
        <v>0</v>
      </c>
      <c r="I386" s="74">
        <f>'12-2017'!I400</f>
        <v>0</v>
      </c>
      <c r="J386" s="74">
        <f>'12-2017'!J400</f>
        <v>0</v>
      </c>
    </row>
    <row r="387" spans="1:10" s="58" customFormat="1" ht="17.25" hidden="1">
      <c r="A387" s="10">
        <f>'12-2017'!A401</f>
        <v>2</v>
      </c>
      <c r="B387" s="11" t="str">
        <f>'12-2017'!B401</f>
        <v>Thép cuộn Φ8 mác thép CB240-T/ CB300-T/ SWRM12/ CT6</v>
      </c>
      <c r="C387" s="12" t="str">
        <f>'12-2017'!C401</f>
        <v>đ/kg</v>
      </c>
      <c r="D387" s="13">
        <f>'12-2017'!O401</f>
        <v>13950</v>
      </c>
      <c r="E387" s="13">
        <f>'12-2017'!P401</f>
        <v>13950</v>
      </c>
      <c r="F387" s="130">
        <f t="shared" si="16"/>
        <v>0</v>
      </c>
      <c r="H387" s="74">
        <f>'12-2017'!H401</f>
        <v>0</v>
      </c>
      <c r="I387" s="74">
        <f>'12-2017'!I401</f>
        <v>0</v>
      </c>
      <c r="J387" s="74">
        <f>'12-2017'!J401</f>
        <v>0</v>
      </c>
    </row>
    <row r="388" spans="1:10" s="58" customFormat="1" ht="17.25" hidden="1">
      <c r="A388" s="10">
        <f>'12-2017'!A402</f>
        <v>3</v>
      </c>
      <c r="B388" s="11" t="str">
        <f>'12-2017'!B402</f>
        <v>Thép cuộn Φ10 mác thép CB240-T/ CB300-T/ SWRM12/ CT8</v>
      </c>
      <c r="C388" s="12" t="str">
        <f>'12-2017'!C402</f>
        <v>đ/kg</v>
      </c>
      <c r="D388" s="13">
        <f>'12-2017'!O402</f>
        <v>14100</v>
      </c>
      <c r="E388" s="13">
        <f>'12-2017'!P402</f>
        <v>14100</v>
      </c>
      <c r="F388" s="130">
        <f t="shared" si="16"/>
        <v>0</v>
      </c>
      <c r="H388" s="74">
        <f>'12-2017'!H402</f>
        <v>0</v>
      </c>
      <c r="I388" s="74">
        <f>'12-2017'!I402</f>
        <v>0</v>
      </c>
      <c r="J388" s="74">
        <f>'12-2017'!J402</f>
        <v>0</v>
      </c>
    </row>
    <row r="389" spans="1:10" s="58" customFormat="1" ht="17.25" hidden="1">
      <c r="A389" s="10">
        <f>'12-2017'!A403</f>
        <v>4</v>
      </c>
      <c r="B389" s="11" t="str">
        <f>'12-2017'!B403</f>
        <v>Thép thanh vằn D10 mác CB300-V/SD295A</v>
      </c>
      <c r="C389" s="12" t="str">
        <f>'12-2017'!C403</f>
        <v>đ/kg</v>
      </c>
      <c r="D389" s="13">
        <f>'12-2017'!O403</f>
        <v>13700</v>
      </c>
      <c r="E389" s="13">
        <f>'12-2017'!P403</f>
        <v>13700</v>
      </c>
      <c r="F389" s="130">
        <f t="shared" si="16"/>
        <v>0</v>
      </c>
      <c r="H389" s="74">
        <f>'12-2017'!H403</f>
        <v>0</v>
      </c>
      <c r="I389" s="74">
        <f>'12-2017'!I403</f>
        <v>0</v>
      </c>
      <c r="J389" s="74">
        <f>'12-2017'!J403</f>
        <v>0</v>
      </c>
    </row>
    <row r="390" spans="1:10" s="58" customFormat="1" ht="17.25" hidden="1">
      <c r="A390" s="10">
        <f>'12-2017'!A404</f>
        <v>5</v>
      </c>
      <c r="B390" s="11" t="str">
        <f>'12-2017'!B404</f>
        <v>Thép thanh vằn D10 mác CB400-V/SD390/G60</v>
      </c>
      <c r="C390" s="12" t="str">
        <f>'12-2017'!C404</f>
        <v>đ/kg</v>
      </c>
      <c r="D390" s="13">
        <f>'12-2017'!O404</f>
        <v>13880</v>
      </c>
      <c r="E390" s="13">
        <f>'12-2017'!P404</f>
        <v>13880</v>
      </c>
      <c r="F390" s="130">
        <f t="shared" si="16"/>
        <v>0</v>
      </c>
      <c r="H390" s="74">
        <f>'12-2017'!H404</f>
        <v>0</v>
      </c>
      <c r="I390" s="74">
        <f>'12-2017'!I404</f>
        <v>0</v>
      </c>
      <c r="J390" s="74">
        <f>'12-2017'!J404</f>
        <v>0</v>
      </c>
    </row>
    <row r="391" spans="1:10" s="58" customFormat="1" ht="17.25" hidden="1">
      <c r="A391" s="10">
        <f>'12-2017'!A405</f>
        <v>6</v>
      </c>
      <c r="B391" s="11" t="str">
        <f>'12-2017'!B405</f>
        <v>Thép thanh vằn D12 ÷ D32 mác CB300V/SD295A</v>
      </c>
      <c r="C391" s="12" t="str">
        <f>'12-2017'!C405</f>
        <v>đ/kg</v>
      </c>
      <c r="D391" s="13">
        <f>'12-2017'!O405</f>
        <v>13500</v>
      </c>
      <c r="E391" s="13">
        <f>'12-2017'!P405</f>
        <v>13500</v>
      </c>
      <c r="F391" s="130">
        <f t="shared" si="16"/>
        <v>0</v>
      </c>
      <c r="H391" s="74">
        <f>'12-2017'!H405</f>
        <v>0</v>
      </c>
      <c r="I391" s="74">
        <f>'12-2017'!I405</f>
        <v>0</v>
      </c>
      <c r="J391" s="74">
        <f>'12-2017'!J405</f>
        <v>0</v>
      </c>
    </row>
    <row r="392" spans="1:10" s="58" customFormat="1" ht="17.25" hidden="1">
      <c r="A392" s="10">
        <f>'12-2017'!A406</f>
        <v>7</v>
      </c>
      <c r="B392" s="11" t="str">
        <f>'12-2017'!B406</f>
        <v>Thép thanh vằn D12 ÷ D32 mác CB400V/SD390/G60</v>
      </c>
      <c r="C392" s="12" t="str">
        <f>'12-2017'!C406</f>
        <v>đ/kg</v>
      </c>
      <c r="D392" s="13">
        <f>'12-2017'!O406</f>
        <v>13680</v>
      </c>
      <c r="E392" s="13">
        <f>'12-2017'!P406</f>
        <v>13680</v>
      </c>
      <c r="F392" s="130">
        <f t="shared" si="16"/>
        <v>0</v>
      </c>
      <c r="H392" s="74">
        <f>'12-2017'!H406</f>
        <v>0</v>
      </c>
      <c r="I392" s="74">
        <f>'12-2017'!I406</f>
        <v>0</v>
      </c>
      <c r="J392" s="74">
        <f>'12-2017'!J406</f>
        <v>0</v>
      </c>
    </row>
    <row r="393" spans="1:10" s="73" customFormat="1" ht="17.25">
      <c r="A393" s="17" t="str">
        <f>'12-2017'!A407</f>
        <v>VIII</v>
      </c>
      <c r="B393" s="237" t="str">
        <f>'12-2017'!B407</f>
        <v xml:space="preserve">SẢN PHẨM HỆ GIÀN VÀ XÀ GỒ THÉP MẠ </v>
      </c>
      <c r="C393" s="238"/>
      <c r="D393" s="238"/>
      <c r="E393" s="238"/>
      <c r="F393" s="239"/>
      <c r="H393" s="74">
        <f>'12-2017'!H407</f>
        <v>0</v>
      </c>
      <c r="I393" s="74">
        <f>'12-2017'!I407</f>
        <v>0</v>
      </c>
      <c r="J393" s="74">
        <f>'12-2017'!J407</f>
        <v>0</v>
      </c>
    </row>
    <row r="394" spans="1:10" s="73" customFormat="1" ht="17.25">
      <c r="A394" s="17"/>
      <c r="B394" s="237" t="str">
        <f>'12-2017'!B408</f>
        <v xml:space="preserve"> * Công ty NS TNHH BLUESCOPE LYSAGHT VIỆT NAM. Theo bảng giá từ ngày 01/10/2017. Giao tại Long Xuyên.</v>
      </c>
      <c r="C394" s="238"/>
      <c r="D394" s="238"/>
      <c r="E394" s="238"/>
      <c r="F394" s="239"/>
      <c r="H394" s="74">
        <f>'12-2017'!H408</f>
        <v>0</v>
      </c>
      <c r="I394" s="74">
        <f>'12-2017'!I408</f>
        <v>0</v>
      </c>
      <c r="J394" s="74">
        <f>'12-2017'!J408</f>
        <v>0</v>
      </c>
    </row>
    <row r="395" spans="1:10" s="73" customFormat="1" ht="17.25" hidden="1">
      <c r="A395" s="17"/>
      <c r="B395" s="237" t="str">
        <f>'12-2017'!B409</f>
        <v xml:space="preserve">  - Xà gồ, thanh dàn, vì kèo thép mạ hợp kim nhôm kẽm cường độ cao - BLUESCOPELYSAGHT</v>
      </c>
      <c r="C395" s="238"/>
      <c r="D395" s="238"/>
      <c r="E395" s="238"/>
      <c r="F395" s="239"/>
      <c r="H395" s="74">
        <f>'12-2017'!H409</f>
        <v>0</v>
      </c>
      <c r="I395" s="74">
        <f>'12-2017'!I409</f>
        <v>0</v>
      </c>
      <c r="J395" s="74">
        <f>'12-2017'!J409</f>
        <v>0</v>
      </c>
    </row>
    <row r="396" spans="1:10" s="58" customFormat="1" ht="17.25" hidden="1">
      <c r="A396" s="10">
        <f>'12-2017'!A410</f>
        <v>1</v>
      </c>
      <c r="B396" s="11" t="str">
        <f>'12-2017'!B410</f>
        <v>Lysaght Smartruss C4075, dày 0.75mm TCT (Bề dày sau mạ 0.8mm)</v>
      </c>
      <c r="C396" s="12" t="str">
        <f>'12-2017'!C410</f>
        <v>đ/m</v>
      </c>
      <c r="D396" s="13">
        <f>'12-2017'!O410</f>
        <v>39270</v>
      </c>
      <c r="E396" s="13">
        <f>'12-2017'!P410</f>
        <v>39270</v>
      </c>
      <c r="F396" s="130">
        <f t="shared" si="16"/>
        <v>0</v>
      </c>
      <c r="H396" s="74">
        <f>'12-2017'!H410</f>
        <v>0</v>
      </c>
      <c r="I396" s="74">
        <f>'12-2017'!I410</f>
        <v>0</v>
      </c>
      <c r="J396" s="74">
        <f>'12-2017'!J410</f>
        <v>0</v>
      </c>
    </row>
    <row r="397" spans="1:10" s="58" customFormat="1" ht="17.25" hidden="1">
      <c r="A397" s="10">
        <f>'12-2017'!A411</f>
        <v>2</v>
      </c>
      <c r="B397" s="11" t="str">
        <f>'12-2017'!B411</f>
        <v>Lysaght Smartruss C7560, dày 0.66mm TCT (Bề dày sau mạ 0.66mm)</v>
      </c>
      <c r="C397" s="12" t="str">
        <f>'12-2017'!C411</f>
        <v>đ/m</v>
      </c>
      <c r="D397" s="13">
        <f>'12-2017'!O411</f>
        <v>43230</v>
      </c>
      <c r="E397" s="13">
        <f>'12-2017'!P411</f>
        <v>43230</v>
      </c>
      <c r="F397" s="130">
        <f t="shared" si="16"/>
        <v>0</v>
      </c>
      <c r="H397" s="74">
        <f>'12-2017'!H411</f>
        <v>0</v>
      </c>
      <c r="I397" s="74">
        <f>'12-2017'!I411</f>
        <v>0</v>
      </c>
      <c r="J397" s="74">
        <f>'12-2017'!J411</f>
        <v>0</v>
      </c>
    </row>
    <row r="398" spans="1:10" s="58" customFormat="1" ht="17.25" hidden="1">
      <c r="A398" s="10">
        <f>'12-2017'!A412</f>
        <v>3</v>
      </c>
      <c r="B398" s="11" t="str">
        <f>'12-2017'!B412</f>
        <v>Lysaght Smartruss C7575, dày 0.81mm TCT (Bề dày sau mạ 0.81mm)</v>
      </c>
      <c r="C398" s="12" t="str">
        <f>'12-2017'!C412</f>
        <v>đ/m</v>
      </c>
      <c r="D398" s="13">
        <f>'12-2017'!O412</f>
        <v>53130</v>
      </c>
      <c r="E398" s="13">
        <f>'12-2017'!P412</f>
        <v>53130</v>
      </c>
      <c r="F398" s="130">
        <f t="shared" si="16"/>
        <v>0</v>
      </c>
      <c r="H398" s="74">
        <f>'12-2017'!H412</f>
        <v>0</v>
      </c>
      <c r="I398" s="74">
        <f>'12-2017'!I412</f>
        <v>0</v>
      </c>
      <c r="J398" s="74">
        <f>'12-2017'!J412</f>
        <v>0</v>
      </c>
    </row>
    <row r="399" spans="1:10" s="58" customFormat="1" ht="17.25" hidden="1">
      <c r="A399" s="10">
        <f>'12-2017'!A413</f>
        <v>4</v>
      </c>
      <c r="B399" s="11" t="str">
        <f>'12-2017'!B413</f>
        <v>Lysaght Smartruss C7510, dày 1.06mm TCT (Bề dày sau mạ 1.06mm)</v>
      </c>
      <c r="C399" s="12" t="str">
        <f>'12-2017'!C413</f>
        <v>đ/m</v>
      </c>
      <c r="D399" s="13">
        <f>'12-2017'!O413</f>
        <v>61600</v>
      </c>
      <c r="E399" s="13">
        <f>'12-2017'!P413</f>
        <v>61600</v>
      </c>
      <c r="F399" s="130">
        <f t="shared" si="16"/>
        <v>0</v>
      </c>
      <c r="H399" s="74">
        <f>'12-2017'!H413</f>
        <v>0</v>
      </c>
      <c r="I399" s="74">
        <f>'12-2017'!I413</f>
        <v>0</v>
      </c>
      <c r="J399" s="74">
        <f>'12-2017'!J413</f>
        <v>0</v>
      </c>
    </row>
    <row r="400" spans="1:10" s="58" customFormat="1" ht="17.25" hidden="1">
      <c r="A400" s="10">
        <f>'12-2017'!A414</f>
        <v>5</v>
      </c>
      <c r="B400" s="11" t="str">
        <f>'12-2017'!B414</f>
        <v>Lysaght Smartruss C10075, dày 0.81mm TCT (Bề dày sau mạ 0.81mm)</v>
      </c>
      <c r="C400" s="12" t="str">
        <f>'12-2017'!C414</f>
        <v>đ/m</v>
      </c>
      <c r="D400" s="13">
        <f>'12-2017'!O414</f>
        <v>69520</v>
      </c>
      <c r="E400" s="13">
        <f>'12-2017'!P414</f>
        <v>69520</v>
      </c>
      <c r="F400" s="130">
        <f t="shared" si="16"/>
        <v>0</v>
      </c>
      <c r="H400" s="74">
        <f>'12-2017'!H414</f>
        <v>0</v>
      </c>
      <c r="I400" s="74">
        <f>'12-2017'!I414</f>
        <v>0</v>
      </c>
      <c r="J400" s="74">
        <f>'12-2017'!J414</f>
        <v>0</v>
      </c>
    </row>
    <row r="401" spans="1:10" s="58" customFormat="1" ht="17.25" hidden="1">
      <c r="A401" s="10">
        <f>'12-2017'!A415</f>
        <v>6</v>
      </c>
      <c r="B401" s="11" t="str">
        <f>'12-2017'!B415</f>
        <v>Lysaght Smartruss C10010, dày 1.06mm TCT (Bề dày sau mạ 1.06mm)</v>
      </c>
      <c r="C401" s="12" t="str">
        <f>'12-2017'!C415</f>
        <v>đ/m</v>
      </c>
      <c r="D401" s="13">
        <f>'12-2017'!O415</f>
        <v>80740</v>
      </c>
      <c r="E401" s="13">
        <f>'12-2017'!P415</f>
        <v>80740</v>
      </c>
      <c r="F401" s="130">
        <f t="shared" si="16"/>
        <v>0</v>
      </c>
      <c r="H401" s="74">
        <f>'12-2017'!H415</f>
        <v>0</v>
      </c>
      <c r="I401" s="74">
        <f>'12-2017'!I415</f>
        <v>0</v>
      </c>
      <c r="J401" s="74">
        <f>'12-2017'!J415</f>
        <v>0</v>
      </c>
    </row>
    <row r="402" spans="1:10" s="73" customFormat="1" ht="17.25" hidden="1">
      <c r="A402" s="17"/>
      <c r="B402" s="237" t="str">
        <f>'12-2017'!B416</f>
        <v xml:space="preserve">  - Thanh rui mè thép mạ hợp kim nhôm kẽm cường độ cao BLUESCOPELYSAGHT</v>
      </c>
      <c r="C402" s="238"/>
      <c r="D402" s="238"/>
      <c r="E402" s="238"/>
      <c r="F402" s="239"/>
      <c r="H402" s="74">
        <f>'12-2017'!H416</f>
        <v>0</v>
      </c>
      <c r="I402" s="74">
        <f>'12-2017'!I416</f>
        <v>0</v>
      </c>
      <c r="J402" s="74">
        <f>'12-2017'!J416</f>
        <v>0</v>
      </c>
    </row>
    <row r="403" spans="1:10" s="58" customFormat="1" ht="17.25" hidden="1">
      <c r="A403" s="10">
        <f>'12-2017'!A417</f>
        <v>7</v>
      </c>
      <c r="B403" s="11" t="str">
        <f>'12-2017'!B417</f>
        <v>Lysaght Smartruss TS4048, dày 0.53mmTCT (Bề dày sau mạ 0.53mm)</v>
      </c>
      <c r="C403" s="12" t="str">
        <f>'12-2017'!C417</f>
        <v>đ/m</v>
      </c>
      <c r="D403" s="13">
        <f>'12-2017'!O417</f>
        <v>32120</v>
      </c>
      <c r="E403" s="13">
        <f>'12-2017'!P417</f>
        <v>32120</v>
      </c>
      <c r="F403" s="130">
        <f t="shared" si="16"/>
        <v>0</v>
      </c>
      <c r="H403" s="74">
        <f>'12-2017'!H417</f>
        <v>0</v>
      </c>
      <c r="I403" s="74">
        <f>'12-2017'!I417</f>
        <v>0</v>
      </c>
      <c r="J403" s="74">
        <f>'12-2017'!J417</f>
        <v>0</v>
      </c>
    </row>
    <row r="404" spans="1:10" s="58" customFormat="1" ht="17.25" hidden="1">
      <c r="A404" s="10">
        <f>'12-2017'!A418</f>
        <v>8</v>
      </c>
      <c r="B404" s="11" t="str">
        <f>'12-2017'!B418</f>
        <v>Lysaght Smartruss TS4060, dày 0.65mmTCT (Bề dày sau mạ 0.65mm)</v>
      </c>
      <c r="C404" s="12" t="str">
        <f>'12-2017'!C418</f>
        <v>đ/m</v>
      </c>
      <c r="D404" s="13">
        <f>'12-2017'!O418</f>
        <v>39600</v>
      </c>
      <c r="E404" s="13">
        <f>'12-2017'!P418</f>
        <v>39600</v>
      </c>
      <c r="F404" s="130">
        <f t="shared" si="16"/>
        <v>0</v>
      </c>
      <c r="H404" s="74">
        <f>'12-2017'!H418</f>
        <v>0</v>
      </c>
      <c r="I404" s="74">
        <f>'12-2017'!I418</f>
        <v>0</v>
      </c>
      <c r="J404" s="74">
        <f>'12-2017'!J418</f>
        <v>0</v>
      </c>
    </row>
    <row r="405" spans="1:10" s="58" customFormat="1" ht="17.25" hidden="1">
      <c r="A405" s="10">
        <f>'12-2017'!A419</f>
        <v>9</v>
      </c>
      <c r="B405" s="11" t="str">
        <f>'12-2017'!B419</f>
        <v>Lysaght Smartruss TS6175, dày 0.8mmTCT (Bề dày sau mạ 0.8mm)</v>
      </c>
      <c r="C405" s="12" t="str">
        <f>'12-2017'!C419</f>
        <v>đ/m</v>
      </c>
      <c r="D405" s="13">
        <f>'12-2017'!O419</f>
        <v>62480</v>
      </c>
      <c r="E405" s="13">
        <f>'12-2017'!P419</f>
        <v>62480</v>
      </c>
      <c r="F405" s="130">
        <f t="shared" si="16"/>
        <v>0</v>
      </c>
      <c r="H405" s="74">
        <f>'12-2017'!H419</f>
        <v>0</v>
      </c>
      <c r="I405" s="74">
        <f>'12-2017'!I419</f>
        <v>0</v>
      </c>
      <c r="J405" s="74">
        <f>'12-2017'!J419</f>
        <v>0</v>
      </c>
    </row>
    <row r="406" spans="1:10" s="58" customFormat="1" ht="17.25" hidden="1">
      <c r="A406" s="10">
        <f>'12-2017'!A420</f>
        <v>10</v>
      </c>
      <c r="B406" s="11" t="str">
        <f>'12-2017'!B420</f>
        <v>Lysaght Smartruss TS6110,  dày 1.05mmTCT (Bề dày sau mạ 1.05mm)</v>
      </c>
      <c r="C406" s="12" t="str">
        <f>'12-2017'!C420</f>
        <v>đ/m</v>
      </c>
      <c r="D406" s="13">
        <f>'12-2017'!O420</f>
        <v>72600</v>
      </c>
      <c r="E406" s="13">
        <f>'12-2017'!P420</f>
        <v>72600</v>
      </c>
      <c r="F406" s="130">
        <f t="shared" si="16"/>
        <v>0</v>
      </c>
      <c r="H406" s="74">
        <f>'12-2017'!H420</f>
        <v>0</v>
      </c>
      <c r="I406" s="74">
        <f>'12-2017'!I420</f>
        <v>0</v>
      </c>
      <c r="J406" s="74">
        <f>'12-2017'!J420</f>
        <v>0</v>
      </c>
    </row>
    <row r="407" spans="1:10" s="73" customFormat="1" ht="17.25" hidden="1">
      <c r="A407" s="17"/>
      <c r="B407" s="237" t="str">
        <f>'12-2017'!B421</f>
        <v xml:space="preserve"> - Phụ kiện đi kèm thép mạ hợp kim nhôm kẽm BLUESCOPELYSAGHT</v>
      </c>
      <c r="C407" s="238">
        <f>'12-2017'!C421</f>
        <v>0</v>
      </c>
      <c r="D407" s="238">
        <f>'12-2017'!O421</f>
        <v>0</v>
      </c>
      <c r="E407" s="238">
        <f>'12-2017'!P421</f>
        <v>0</v>
      </c>
      <c r="F407" s="239">
        <f t="shared" si="16"/>
        <v>0</v>
      </c>
      <c r="H407" s="78">
        <f>'12-2017'!H421</f>
        <v>0</v>
      </c>
      <c r="I407" s="78">
        <f>'12-2017'!I421</f>
        <v>0</v>
      </c>
      <c r="J407" s="78">
        <f>'12-2017'!J421</f>
        <v>0</v>
      </c>
    </row>
    <row r="408" spans="1:10" s="58" customFormat="1" ht="17.25" hidden="1">
      <c r="A408" s="10">
        <f>'12-2017'!A422</f>
        <v>11</v>
      </c>
      <c r="B408" s="11" t="str">
        <f>'12-2017'!B422</f>
        <v>Vít liên kết ITW BTEK 12-14x20</v>
      </c>
      <c r="C408" s="12" t="str">
        <f>'12-2017'!C422</f>
        <v>đ/con</v>
      </c>
      <c r="D408" s="13">
        <f>'12-2017'!O422</f>
        <v>1430</v>
      </c>
      <c r="E408" s="13">
        <f>'12-2017'!P422</f>
        <v>1430</v>
      </c>
      <c r="F408" s="130">
        <f t="shared" si="16"/>
        <v>0</v>
      </c>
      <c r="H408" s="74">
        <f>'12-2017'!H422</f>
        <v>0</v>
      </c>
      <c r="I408" s="74">
        <f>'12-2017'!I422</f>
        <v>0</v>
      </c>
      <c r="J408" s="74">
        <f>'12-2017'!J422</f>
        <v>0</v>
      </c>
    </row>
    <row r="409" spans="1:10" s="58" customFormat="1" ht="17.25" hidden="1">
      <c r="A409" s="10">
        <f>'12-2017'!A423</f>
        <v>12</v>
      </c>
      <c r="B409" s="11" t="str">
        <f>'12-2017'!B423</f>
        <v>Vít liên kết TRUSSTITE (d=6mm)</v>
      </c>
      <c r="C409" s="12" t="str">
        <f>'12-2017'!C423</f>
        <v>đ/con</v>
      </c>
      <c r="D409" s="13">
        <f>'12-2017'!O423</f>
        <v>2860</v>
      </c>
      <c r="E409" s="13">
        <f>'12-2017'!P423</f>
        <v>2860</v>
      </c>
      <c r="F409" s="130">
        <f t="shared" si="16"/>
        <v>0</v>
      </c>
      <c r="H409" s="74">
        <f>'12-2017'!H423</f>
        <v>0</v>
      </c>
      <c r="I409" s="74">
        <f>'12-2017'!I423</f>
        <v>0</v>
      </c>
      <c r="J409" s="74">
        <f>'12-2017'!J423</f>
        <v>0</v>
      </c>
    </row>
    <row r="410" spans="1:10" s="58" customFormat="1" ht="17.25" hidden="1">
      <c r="A410" s="10">
        <f>'12-2017'!A424</f>
        <v>13</v>
      </c>
      <c r="B410" s="11" t="str">
        <f>'12-2017'!B424</f>
        <v>Bulon đạn M12 và ty răng 8.8 - M12x150mm, 2 long đền, 2 tán</v>
      </c>
      <c r="C410" s="12" t="str">
        <f>'12-2017'!C424</f>
        <v>đ/con</v>
      </c>
      <c r="D410" s="13">
        <f>'12-2017'!O424</f>
        <v>17325</v>
      </c>
      <c r="E410" s="13">
        <f>'12-2017'!P424</f>
        <v>17325</v>
      </c>
      <c r="F410" s="130">
        <f t="shared" si="16"/>
        <v>0</v>
      </c>
      <c r="H410" s="74">
        <f>'12-2017'!H424</f>
        <v>0</v>
      </c>
      <c r="I410" s="74">
        <f>'12-2017'!I424</f>
        <v>0</v>
      </c>
      <c r="J410" s="74">
        <f>'12-2017'!J424</f>
        <v>0</v>
      </c>
    </row>
    <row r="411" spans="1:10" s="58" customFormat="1" ht="17.25" hidden="1">
      <c r="A411" s="10">
        <f>'12-2017'!A425</f>
        <v>14</v>
      </c>
      <c r="B411" s="11" t="str">
        <f>'12-2017'!B425</f>
        <v>Bát liên kết đỉnh kèo mạ nhôm kẽm, dày 1.0mm - BM3</v>
      </c>
      <c r="C411" s="12" t="str">
        <f>'12-2017'!C425</f>
        <v>đ/cái</v>
      </c>
      <c r="D411" s="13">
        <f>'12-2017'!O425</f>
        <v>17930</v>
      </c>
      <c r="E411" s="13">
        <f>'12-2017'!P425</f>
        <v>17930</v>
      </c>
      <c r="F411" s="130">
        <f t="shared" si="16"/>
        <v>0</v>
      </c>
      <c r="H411" s="74">
        <f>'12-2017'!H425</f>
        <v>0</v>
      </c>
      <c r="I411" s="74">
        <f>'12-2017'!I425</f>
        <v>0</v>
      </c>
      <c r="J411" s="74">
        <f>'12-2017'!J425</f>
        <v>0</v>
      </c>
    </row>
    <row r="412" spans="1:10" s="58" customFormat="1" ht="17.25" hidden="1">
      <c r="A412" s="10">
        <f>'12-2017'!A426</f>
        <v>15</v>
      </c>
      <c r="B412" s="11" t="str">
        <f>'12-2017'!B426</f>
        <v>Bát liên kết kèo và wall plate mạ kẽm, dày 1.9mm - BM1</v>
      </c>
      <c r="C412" s="12" t="str">
        <f>'12-2017'!C426</f>
        <v>đ/cái</v>
      </c>
      <c r="D412" s="13">
        <f>'12-2017'!O426</f>
        <v>18370</v>
      </c>
      <c r="E412" s="13">
        <f>'12-2017'!P426</f>
        <v>18370</v>
      </c>
      <c r="F412" s="130">
        <f t="shared" si="16"/>
        <v>0</v>
      </c>
      <c r="H412" s="74">
        <f>'12-2017'!H426</f>
        <v>0</v>
      </c>
      <c r="I412" s="74">
        <f>'12-2017'!I426</f>
        <v>0</v>
      </c>
      <c r="J412" s="74">
        <f>'12-2017'!J426</f>
        <v>0</v>
      </c>
    </row>
    <row r="413" spans="1:10" s="58" customFormat="1" ht="17.25" hidden="1">
      <c r="A413" s="10">
        <f>'12-2017'!A427</f>
        <v>16</v>
      </c>
      <c r="B413" s="11" t="str">
        <f>'12-2017'!B427</f>
        <v>Thanh valley rafter U40/U61, mạ nhôm kẽm, dày 0.81mm, màu đồng-AZ200 (dài 6m)</v>
      </c>
      <c r="C413" s="12" t="str">
        <f>'12-2017'!C427</f>
        <v>đ/m</v>
      </c>
      <c r="D413" s="13">
        <f>'12-2017'!O427</f>
        <v>68860</v>
      </c>
      <c r="E413" s="13">
        <f>'12-2017'!P427</f>
        <v>68860</v>
      </c>
      <c r="F413" s="130">
        <f t="shared" si="16"/>
        <v>0</v>
      </c>
      <c r="H413" s="74">
        <f>'12-2017'!H427</f>
        <v>0</v>
      </c>
      <c r="I413" s="74">
        <f>'12-2017'!I427</f>
        <v>0</v>
      </c>
      <c r="J413" s="74">
        <f>'12-2017'!J427</f>
        <v>0</v>
      </c>
    </row>
    <row r="414" spans="1:10" s="58" customFormat="1" ht="17.25" hidden="1">
      <c r="A414" s="10">
        <f>'12-2017'!A428</f>
        <v>17</v>
      </c>
      <c r="B414" s="11" t="str">
        <f>'12-2017'!B428</f>
        <v>Thanh valley rafter U40/U61, mạ nhôm kẽm, dày 0.54mm, màu đồng-AZ200 (dài 6m)</v>
      </c>
      <c r="C414" s="12" t="str">
        <f>'12-2017'!C428</f>
        <v>đ/m</v>
      </c>
      <c r="D414" s="13">
        <f>'12-2017'!O428</f>
        <v>48400</v>
      </c>
      <c r="E414" s="13">
        <f>'12-2017'!P428</f>
        <v>48400</v>
      </c>
      <c r="F414" s="130">
        <f t="shared" si="16"/>
        <v>0</v>
      </c>
      <c r="H414" s="74">
        <f>'12-2017'!H428</f>
        <v>0</v>
      </c>
      <c r="I414" s="74">
        <f>'12-2017'!I428</f>
        <v>0</v>
      </c>
      <c r="J414" s="74">
        <f>'12-2017'!J428</f>
        <v>0</v>
      </c>
    </row>
    <row r="415" spans="1:10" s="58" customFormat="1" ht="17.25" hidden="1">
      <c r="A415" s="10">
        <f>'12-2017'!A429</f>
        <v>18</v>
      </c>
      <c r="B415" s="11" t="str">
        <f>'12-2017'!B429</f>
        <v>Máng xối thung lũng, Colorbond, dày 0,48mm APT,khổ 300mm, mạ màu (dài 6m)</v>
      </c>
      <c r="C415" s="12" t="str">
        <f>'12-2017'!C429</f>
        <v>đ/m</v>
      </c>
      <c r="D415" s="13">
        <f>'12-2017'!O429</f>
        <v>91080</v>
      </c>
      <c r="E415" s="13">
        <f>'12-2017'!P429</f>
        <v>91080</v>
      </c>
      <c r="F415" s="130">
        <f t="shared" si="16"/>
        <v>0</v>
      </c>
      <c r="H415" s="74">
        <f>'12-2017'!H429</f>
        <v>0</v>
      </c>
      <c r="I415" s="74">
        <f>'12-2017'!I429</f>
        <v>0</v>
      </c>
      <c r="J415" s="74">
        <f>'12-2017'!J429</f>
        <v>0</v>
      </c>
    </row>
    <row r="416" spans="1:10" s="58" customFormat="1" ht="17.25" hidden="1">
      <c r="A416" s="10">
        <f>'12-2017'!A430</f>
        <v>19</v>
      </c>
      <c r="B416" s="11" t="str">
        <f>'12-2017'!B430</f>
        <v>Máng xối thung lũng, thép Zincalume,khổ 300mm (dài 6m)</v>
      </c>
      <c r="C416" s="12" t="str">
        <f>'12-2017'!C430</f>
        <v>đ/m</v>
      </c>
      <c r="D416" s="13">
        <f>'12-2017'!O430</f>
        <v>73370</v>
      </c>
      <c r="E416" s="13">
        <f>'12-2017'!P430</f>
        <v>73370</v>
      </c>
      <c r="F416" s="130">
        <f t="shared" si="16"/>
        <v>0</v>
      </c>
      <c r="H416" s="74">
        <f>'12-2017'!H430</f>
        <v>0</v>
      </c>
      <c r="I416" s="74">
        <f>'12-2017'!I430</f>
        <v>0</v>
      </c>
      <c r="J416" s="74">
        <f>'12-2017'!J430</f>
        <v>0</v>
      </c>
    </row>
    <row r="417" spans="1:10" s="58" customFormat="1" ht="17.25" hidden="1">
      <c r="A417" s="10">
        <f>'12-2017'!A431</f>
        <v>20</v>
      </c>
      <c r="B417" s="11" t="str">
        <f>'12-2017'!B431</f>
        <v>Thanh giằng mái khổ 50mm, mạ nhôm kẽm, D 0.81mm, màu đồng  AZ200 (dài 50m)</v>
      </c>
      <c r="C417" s="12" t="str">
        <f>'12-2017'!C431</f>
        <v>đ/m</v>
      </c>
      <c r="D417" s="13">
        <f>'12-2017'!O431</f>
        <v>25960</v>
      </c>
      <c r="E417" s="13">
        <f>'12-2017'!P431</f>
        <v>25960</v>
      </c>
      <c r="F417" s="130">
        <f t="shared" si="16"/>
        <v>0</v>
      </c>
      <c r="H417" s="74">
        <f>'12-2017'!H431</f>
        <v>0</v>
      </c>
      <c r="I417" s="74">
        <f>'12-2017'!I431</f>
        <v>0</v>
      </c>
      <c r="J417" s="74">
        <f>'12-2017'!J431</f>
        <v>0</v>
      </c>
    </row>
    <row r="418" spans="1:10" s="58" customFormat="1" ht="17.25" hidden="1">
      <c r="A418" s="10"/>
      <c r="B418" s="237" t="str">
        <f>'12-2017'!B432</f>
        <v xml:space="preserve">  - Khung thép, xà gồ thép khẩu độ lớn, mạ kẽm cường độ cao Lysaght Zine Hi Ten 275g/m2, G450Mpa (chưa tính công lắp đặt Tôn)</v>
      </c>
      <c r="C418" s="238">
        <f>'12-2017'!C432</f>
        <v>0</v>
      </c>
      <c r="D418" s="238">
        <f>'12-2017'!O432</f>
        <v>0</v>
      </c>
      <c r="E418" s="238">
        <f>'12-2017'!P432</f>
        <v>0</v>
      </c>
      <c r="F418" s="239">
        <f t="shared" si="16"/>
        <v>0</v>
      </c>
      <c r="H418" s="74">
        <f>'12-2017'!H432</f>
        <v>0</v>
      </c>
      <c r="I418" s="74">
        <f>'12-2017'!I432</f>
        <v>0</v>
      </c>
      <c r="J418" s="74">
        <f>'12-2017'!J432</f>
        <v>0</v>
      </c>
    </row>
    <row r="419" spans="1:10" s="58" customFormat="1" ht="17.25" hidden="1">
      <c r="A419" s="10">
        <f>'12-2017'!A433</f>
        <v>21</v>
      </c>
      <c r="B419" s="11" t="str">
        <f>'12-2017'!B433</f>
        <v>C &amp; Z 10012 (dày 1,2mm), trọng lượng 2,09kg/m</v>
      </c>
      <c r="C419" s="12" t="str">
        <f>'12-2017'!C433</f>
        <v>đ/m</v>
      </c>
      <c r="D419" s="13">
        <f>'12-2017'!O433</f>
        <v>106370</v>
      </c>
      <c r="E419" s="13">
        <f>'12-2017'!P433</f>
        <v>106370</v>
      </c>
      <c r="F419" s="130">
        <f t="shared" si="16"/>
        <v>0</v>
      </c>
      <c r="H419" s="74">
        <f>'12-2017'!H433</f>
        <v>0</v>
      </c>
      <c r="I419" s="74">
        <f>'12-2017'!I433</f>
        <v>0</v>
      </c>
      <c r="J419" s="74">
        <f>'12-2017'!J433</f>
        <v>0</v>
      </c>
    </row>
    <row r="420" spans="1:10" s="58" customFormat="1" ht="17.25" hidden="1">
      <c r="A420" s="10">
        <f>'12-2017'!A434</f>
        <v>22</v>
      </c>
      <c r="B420" s="11" t="str">
        <f>'12-2017'!B434</f>
        <v>C &amp; Z 10015 (dày 1,5mm), trọng lượng 2,61kg/m</v>
      </c>
      <c r="C420" s="12" t="str">
        <f>'12-2017'!C434</f>
        <v>đ/m</v>
      </c>
      <c r="D420" s="13">
        <f>'12-2017'!O434</f>
        <v>131560</v>
      </c>
      <c r="E420" s="13">
        <f>'12-2017'!P434</f>
        <v>131560</v>
      </c>
      <c r="F420" s="130">
        <f t="shared" si="16"/>
        <v>0</v>
      </c>
      <c r="H420" s="74">
        <f>'12-2017'!H434</f>
        <v>0</v>
      </c>
      <c r="I420" s="74">
        <f>'12-2017'!I434</f>
        <v>0</v>
      </c>
      <c r="J420" s="74">
        <f>'12-2017'!J434</f>
        <v>0</v>
      </c>
    </row>
    <row r="421" spans="1:10" s="58" customFormat="1" ht="17.25" hidden="1">
      <c r="A421" s="10">
        <f>'12-2017'!A435</f>
        <v>23</v>
      </c>
      <c r="B421" s="11" t="str">
        <f>'12-2017'!B435</f>
        <v>C &amp; Z 10019 (dày 1,9mm), trọng lượng 3,31kg/m</v>
      </c>
      <c r="C421" s="12" t="str">
        <f>'12-2017'!C435</f>
        <v>đ/m</v>
      </c>
      <c r="D421" s="13">
        <f>'12-2017'!O435</f>
        <v>165110</v>
      </c>
      <c r="E421" s="13">
        <f>'12-2017'!P435</f>
        <v>165110</v>
      </c>
      <c r="F421" s="130">
        <f t="shared" si="16"/>
        <v>0</v>
      </c>
      <c r="H421" s="74">
        <f>'12-2017'!H435</f>
        <v>0</v>
      </c>
      <c r="I421" s="74">
        <f>'12-2017'!I435</f>
        <v>0</v>
      </c>
      <c r="J421" s="74">
        <f>'12-2017'!J435</f>
        <v>0</v>
      </c>
    </row>
    <row r="422" spans="1:10" s="58" customFormat="1" ht="17.25" hidden="1">
      <c r="A422" s="10">
        <f>'12-2017'!A436</f>
        <v>24</v>
      </c>
      <c r="B422" s="11" t="str">
        <f>'12-2017'!B436</f>
        <v>C &amp; Z 15012 (dày 1,2mm), trọng lượng 2,87kg/m</v>
      </c>
      <c r="C422" s="12" t="str">
        <f>'12-2017'!C436</f>
        <v>đ/m</v>
      </c>
      <c r="D422" s="13">
        <f>'12-2017'!O436</f>
        <v>143880</v>
      </c>
      <c r="E422" s="13">
        <f>'12-2017'!P436</f>
        <v>143880</v>
      </c>
      <c r="F422" s="130">
        <f t="shared" si="16"/>
        <v>0</v>
      </c>
      <c r="H422" s="74">
        <f>'12-2017'!H436</f>
        <v>0</v>
      </c>
      <c r="I422" s="74">
        <f>'12-2017'!I436</f>
        <v>0</v>
      </c>
      <c r="J422" s="74">
        <f>'12-2017'!J436</f>
        <v>0</v>
      </c>
    </row>
    <row r="423" spans="1:10" s="58" customFormat="1" ht="17.25" hidden="1">
      <c r="A423" s="10">
        <f>'12-2017'!A437</f>
        <v>25</v>
      </c>
      <c r="B423" s="11" t="str">
        <f>'12-2017'!B437</f>
        <v>C &amp; Z 15015 (dày 1,5mm), trọng lượng 3,58kg/m</v>
      </c>
      <c r="C423" s="12" t="str">
        <f>'12-2017'!C437</f>
        <v>đ/m</v>
      </c>
      <c r="D423" s="13">
        <f>'12-2017'!O437</f>
        <v>178420</v>
      </c>
      <c r="E423" s="13">
        <f>'12-2017'!P437</f>
        <v>178420</v>
      </c>
      <c r="F423" s="130">
        <f t="shared" si="16"/>
        <v>0</v>
      </c>
      <c r="H423" s="74">
        <f>'12-2017'!H437</f>
        <v>0</v>
      </c>
      <c r="I423" s="74">
        <f>'12-2017'!I437</f>
        <v>0</v>
      </c>
      <c r="J423" s="74">
        <f>'12-2017'!J437</f>
        <v>0</v>
      </c>
    </row>
    <row r="424" spans="1:10" s="58" customFormat="1" ht="17.25" hidden="1">
      <c r="A424" s="10">
        <f>'12-2017'!A438</f>
        <v>26</v>
      </c>
      <c r="B424" s="11" t="str">
        <f>'12-2017'!B438</f>
        <v>C &amp; Z 15019 (dày 1,9mm), trọng lượng 4,54kg/m</v>
      </c>
      <c r="C424" s="12" t="str">
        <f>'12-2017'!C438</f>
        <v>đ/m</v>
      </c>
      <c r="D424" s="13">
        <f>'12-2017'!O438</f>
        <v>224510</v>
      </c>
      <c r="E424" s="13">
        <f>'12-2017'!P438</f>
        <v>224510</v>
      </c>
      <c r="F424" s="130">
        <f t="shared" si="16"/>
        <v>0</v>
      </c>
      <c r="H424" s="74">
        <f>'12-2017'!H438</f>
        <v>0</v>
      </c>
      <c r="I424" s="74">
        <f>'12-2017'!I438</f>
        <v>0</v>
      </c>
      <c r="J424" s="74">
        <f>'12-2017'!J438</f>
        <v>0</v>
      </c>
    </row>
    <row r="425" spans="1:10" s="58" customFormat="1" ht="17.25" hidden="1">
      <c r="A425" s="10">
        <f>'12-2017'!A439</f>
        <v>27</v>
      </c>
      <c r="B425" s="11" t="str">
        <f>'12-2017'!B439</f>
        <v>C &amp; Z 20015 (dày 1,5mm), trọng lượng 4,56kg/m</v>
      </c>
      <c r="C425" s="12" t="str">
        <f>'12-2017'!C439</f>
        <v>đ/m</v>
      </c>
      <c r="D425" s="13">
        <f>'12-2017'!O439</f>
        <v>225280</v>
      </c>
      <c r="E425" s="13">
        <f>'12-2017'!P439</f>
        <v>225280</v>
      </c>
      <c r="F425" s="130">
        <f t="shared" si="16"/>
        <v>0</v>
      </c>
      <c r="H425" s="74">
        <f>'12-2017'!H439</f>
        <v>0</v>
      </c>
      <c r="I425" s="74">
        <f>'12-2017'!I439</f>
        <v>0</v>
      </c>
      <c r="J425" s="74">
        <f>'12-2017'!J439</f>
        <v>0</v>
      </c>
    </row>
    <row r="426" spans="1:10" s="58" customFormat="1" ht="17.25" hidden="1">
      <c r="A426" s="10">
        <f>'12-2017'!A440</f>
        <v>28</v>
      </c>
      <c r="B426" s="11" t="str">
        <f>'12-2017'!B440</f>
        <v>C &amp; Z 20019 (dày 1,9mm), trọng lượng 5,77kg/m</v>
      </c>
      <c r="C426" s="12" t="str">
        <f>'12-2017'!C440</f>
        <v>đ/m</v>
      </c>
      <c r="D426" s="13">
        <f>'12-2017'!O440</f>
        <v>283910</v>
      </c>
      <c r="E426" s="13">
        <f>'12-2017'!P440</f>
        <v>283910</v>
      </c>
      <c r="F426" s="130">
        <f t="shared" si="16"/>
        <v>0</v>
      </c>
      <c r="H426" s="74">
        <f>'12-2017'!H440</f>
        <v>0</v>
      </c>
      <c r="I426" s="74">
        <f>'12-2017'!I440</f>
        <v>0</v>
      </c>
      <c r="J426" s="74">
        <f>'12-2017'!J440</f>
        <v>0</v>
      </c>
    </row>
    <row r="427" spans="1:10" s="58" customFormat="1" ht="17.25" hidden="1">
      <c r="A427" s="10">
        <f>'12-2017'!A441</f>
        <v>29</v>
      </c>
      <c r="B427" s="11" t="str">
        <f>'12-2017'!B441</f>
        <v>C &amp; Z 20024 (dày 2,4mm), trọng lượng 7,29kg/m</v>
      </c>
      <c r="C427" s="12" t="str">
        <f>'12-2017'!C441</f>
        <v>đ/m</v>
      </c>
      <c r="D427" s="13">
        <f>'12-2017'!O441</f>
        <v>357170</v>
      </c>
      <c r="E427" s="13">
        <f>'12-2017'!P441</f>
        <v>357170</v>
      </c>
      <c r="F427" s="130">
        <f t="shared" si="16"/>
        <v>0</v>
      </c>
      <c r="H427" s="74">
        <f>'12-2017'!H441</f>
        <v>0</v>
      </c>
      <c r="I427" s="74">
        <f>'12-2017'!I441</f>
        <v>0</v>
      </c>
      <c r="J427" s="74">
        <f>'12-2017'!J441</f>
        <v>0</v>
      </c>
    </row>
    <row r="428" spans="1:10" s="58" customFormat="1" ht="17.25" hidden="1">
      <c r="A428" s="10">
        <f>'12-2017'!A442</f>
        <v>30</v>
      </c>
      <c r="B428" s="11" t="str">
        <f>'12-2017'!B442</f>
        <v>C &amp; Z 25019 (dày 1,9mm), trọng lượng 6,54kg/m</v>
      </c>
      <c r="C428" s="12" t="str">
        <f>'12-2017'!C442</f>
        <v>đ/m</v>
      </c>
      <c r="D428" s="13">
        <f>'12-2017'!O442</f>
        <v>321090</v>
      </c>
      <c r="E428" s="13">
        <f>'12-2017'!P442</f>
        <v>321090</v>
      </c>
      <c r="F428" s="130">
        <f t="shared" si="16"/>
        <v>0</v>
      </c>
      <c r="H428" s="74">
        <f>'12-2017'!H442</f>
        <v>0</v>
      </c>
      <c r="I428" s="74">
        <f>'12-2017'!I442</f>
        <v>0</v>
      </c>
      <c r="J428" s="74">
        <f>'12-2017'!J442</f>
        <v>0</v>
      </c>
    </row>
    <row r="429" spans="1:10" s="58" customFormat="1" ht="17.25" hidden="1">
      <c r="A429" s="10">
        <f>'12-2017'!A443</f>
        <v>31</v>
      </c>
      <c r="B429" s="11" t="str">
        <f>'12-2017'!B443</f>
        <v>C &amp; Z 25024 (dày 2,4mm), trọng lượng 8,26kg/m</v>
      </c>
      <c r="C429" s="12" t="str">
        <f>'12-2017'!C443</f>
        <v>đ/m</v>
      </c>
      <c r="D429" s="13">
        <f>'12-2017'!O443</f>
        <v>404140</v>
      </c>
      <c r="E429" s="13">
        <f>'12-2017'!P443</f>
        <v>404140</v>
      </c>
      <c r="F429" s="130">
        <f t="shared" si="16"/>
        <v>0</v>
      </c>
      <c r="H429" s="74">
        <f>'12-2017'!H443</f>
        <v>0</v>
      </c>
      <c r="I429" s="74">
        <f>'12-2017'!I443</f>
        <v>0</v>
      </c>
      <c r="J429" s="74">
        <f>'12-2017'!J443</f>
        <v>0</v>
      </c>
    </row>
    <row r="430" spans="1:10" s="58" customFormat="1" ht="17.25" hidden="1">
      <c r="A430" s="10">
        <f>'12-2017'!A444</f>
        <v>32</v>
      </c>
      <c r="B430" s="11" t="str">
        <f>'12-2017'!B444</f>
        <v>C &amp; Z 30024 (dày 2,4mm), trọng lượng 10,21kg/m</v>
      </c>
      <c r="C430" s="12" t="str">
        <f>'12-2017'!C444</f>
        <v>đ/m</v>
      </c>
      <c r="D430" s="13">
        <f>'12-2017'!O444</f>
        <v>563750</v>
      </c>
      <c r="E430" s="13">
        <f>'12-2017'!P444</f>
        <v>563750</v>
      </c>
      <c r="F430" s="130">
        <f t="shared" si="16"/>
        <v>0</v>
      </c>
      <c r="H430" s="74">
        <f>'12-2017'!H444</f>
        <v>0</v>
      </c>
      <c r="I430" s="74">
        <f>'12-2017'!I444</f>
        <v>0</v>
      </c>
      <c r="J430" s="74">
        <f>'12-2017'!J444</f>
        <v>0</v>
      </c>
    </row>
    <row r="431" spans="1:10" s="58" customFormat="1" ht="17.25" hidden="1">
      <c r="A431" s="10">
        <f>'12-2017'!A445</f>
        <v>33</v>
      </c>
      <c r="B431" s="11" t="str">
        <f>'12-2017'!B445</f>
        <v>C &amp; Z 40024 (dày 2,4mm), trọng lượng 13,41kg/m</v>
      </c>
      <c r="C431" s="12" t="str">
        <f>'12-2017'!C445</f>
        <v>đ/m</v>
      </c>
      <c r="D431" s="13">
        <f>'12-2017'!O445</f>
        <v>745470</v>
      </c>
      <c r="E431" s="13">
        <f>'12-2017'!P445</f>
        <v>745470</v>
      </c>
      <c r="F431" s="130">
        <f t="shared" ref="F431:F483" si="17">E431-D431</f>
        <v>0</v>
      </c>
      <c r="H431" s="74">
        <f>'12-2017'!H445</f>
        <v>0</v>
      </c>
      <c r="I431" s="74">
        <f>'12-2017'!I445</f>
        <v>0</v>
      </c>
      <c r="J431" s="74">
        <f>'12-2017'!J445</f>
        <v>0</v>
      </c>
    </row>
    <row r="432" spans="1:10" s="58" customFormat="1" ht="17.25" hidden="1">
      <c r="A432" s="10">
        <f>'12-2017'!A446</f>
        <v>34</v>
      </c>
      <c r="B432" s="11" t="str">
        <f>'12-2017'!B446</f>
        <v xml:space="preserve">Thanh giằng xà gồ 51 x 28 x 1,5mm (chưa tính bulông) </v>
      </c>
      <c r="C432" s="12" t="str">
        <f>'12-2017'!C446</f>
        <v>đ/m</v>
      </c>
      <c r="D432" s="13">
        <f>'12-2017'!O446</f>
        <v>56870</v>
      </c>
      <c r="E432" s="13">
        <f>'12-2017'!P446</f>
        <v>56870</v>
      </c>
      <c r="F432" s="130">
        <f t="shared" si="17"/>
        <v>0</v>
      </c>
      <c r="H432" s="74">
        <f>'12-2017'!H446</f>
        <v>0</v>
      </c>
      <c r="I432" s="74">
        <f>'12-2017'!I446</f>
        <v>0</v>
      </c>
      <c r="J432" s="74">
        <f>'12-2017'!J446</f>
        <v>0</v>
      </c>
    </row>
    <row r="433" spans="1:10" s="58" customFormat="1" ht="17.25" hidden="1">
      <c r="A433" s="10">
        <f>'12-2017'!A447</f>
        <v>35</v>
      </c>
      <c r="B433" s="11" t="str">
        <f>'12-2017'!B447</f>
        <v xml:space="preserve">Bu lông cho xà gồ M12 - G4.6 </v>
      </c>
      <c r="C433" s="12" t="str">
        <f>'12-2017'!C447</f>
        <v>đ/bộ</v>
      </c>
      <c r="D433" s="13">
        <f>'12-2017'!O447</f>
        <v>5159</v>
      </c>
      <c r="E433" s="13">
        <f>'12-2017'!P447</f>
        <v>5159</v>
      </c>
      <c r="F433" s="130">
        <f t="shared" si="17"/>
        <v>0</v>
      </c>
      <c r="H433" s="74">
        <f>'12-2017'!H447</f>
        <v>0</v>
      </c>
      <c r="I433" s="74">
        <f>'12-2017'!I447</f>
        <v>0</v>
      </c>
      <c r="J433" s="74">
        <f>'12-2017'!J447</f>
        <v>0</v>
      </c>
    </row>
    <row r="434" spans="1:10" s="73" customFormat="1" ht="17.25">
      <c r="A434" s="17" t="str">
        <f>'12-2017'!A448</f>
        <v>IX</v>
      </c>
      <c r="B434" s="237" t="str">
        <f>'12-2017'!B448</f>
        <v xml:space="preserve">TOLE CÁC LOẠI </v>
      </c>
      <c r="C434" s="238"/>
      <c r="D434" s="238"/>
      <c r="E434" s="238"/>
      <c r="F434" s="239"/>
      <c r="H434" s="74">
        <f>'12-2017'!H448</f>
        <v>0</v>
      </c>
      <c r="I434" s="74">
        <f>'12-2017'!I448</f>
        <v>0</v>
      </c>
      <c r="J434" s="74">
        <f>'12-2017'!J448</f>
        <v>0</v>
      </c>
    </row>
    <row r="435" spans="1:10" s="73" customFormat="1" ht="17.25">
      <c r="A435" s="17"/>
      <c r="B435" s="237" t="str">
        <f>'12-2017'!B449</f>
        <v>* Cty NS TNHH BLUESCOPE LYSAGHT VIỆT NAM. Theo bảng giá từ ngày 01/10/2017</v>
      </c>
      <c r="C435" s="238"/>
      <c r="D435" s="238"/>
      <c r="E435" s="238"/>
      <c r="F435" s="239"/>
      <c r="H435" s="74">
        <f>'12-2017'!H449</f>
        <v>0</v>
      </c>
      <c r="I435" s="74">
        <f>'12-2017'!I449</f>
        <v>0</v>
      </c>
      <c r="J435" s="74">
        <f>'12-2017'!J449</f>
        <v>0</v>
      </c>
    </row>
    <row r="436" spans="1:10" s="73" customFormat="1" ht="17.25" hidden="1">
      <c r="A436" s="17"/>
      <c r="B436" s="9" t="str">
        <f>'12-2017'!B450</f>
        <v xml:space="preserve">   Tole LYSAGHT TRIMDEK OPTIMA - rộng 1015mm: </v>
      </c>
      <c r="C436" s="8"/>
      <c r="D436" s="22"/>
      <c r="E436" s="22"/>
      <c r="F436" s="131"/>
      <c r="H436" s="74">
        <f>'12-2017'!H450</f>
        <v>0</v>
      </c>
      <c r="I436" s="74">
        <f>'12-2017'!I450</f>
        <v>0</v>
      </c>
      <c r="J436" s="74">
        <f>'12-2017'!J450</f>
        <v>0</v>
      </c>
    </row>
    <row r="437" spans="1:10" s="58" customFormat="1" ht="17.25" hidden="1">
      <c r="A437" s="10">
        <f>'12-2017'!A451</f>
        <v>1</v>
      </c>
      <c r="B437" s="11" t="str">
        <f>'12-2017'!B451</f>
        <v>Lysaght Trimdek 0.45mmTCTx1015mm-Zincalume-G550AZ150</v>
      </c>
      <c r="C437" s="12" t="str">
        <f>'12-2017'!C451</f>
        <v>đ/m2</v>
      </c>
      <c r="D437" s="13">
        <f>'12-2017'!O451</f>
        <v>260370</v>
      </c>
      <c r="E437" s="13">
        <f>'12-2017'!P451</f>
        <v>260370</v>
      </c>
      <c r="F437" s="130">
        <f t="shared" si="17"/>
        <v>0</v>
      </c>
      <c r="H437" s="74">
        <f>'12-2017'!H451</f>
        <v>0</v>
      </c>
      <c r="I437" s="74">
        <f>'12-2017'!I451</f>
        <v>0</v>
      </c>
      <c r="J437" s="74">
        <f>'12-2017'!J451</f>
        <v>0</v>
      </c>
    </row>
    <row r="438" spans="1:10" s="58" customFormat="1" ht="17.25" hidden="1">
      <c r="A438" s="10">
        <f>'12-2017'!A452</f>
        <v>2</v>
      </c>
      <c r="B438" s="11" t="str">
        <f>'12-2017'!B452</f>
        <v>Lysaght Trimdek 0.43mmAPTx1015mmCOLORBONDXRW-G550AZ150</v>
      </c>
      <c r="C438" s="12" t="str">
        <f>'12-2017'!C452</f>
        <v>đ/m2</v>
      </c>
      <c r="D438" s="13">
        <f>'12-2017'!O452</f>
        <v>304370</v>
      </c>
      <c r="E438" s="13">
        <f>'12-2017'!P452</f>
        <v>304370</v>
      </c>
      <c r="F438" s="130">
        <f t="shared" si="17"/>
        <v>0</v>
      </c>
      <c r="H438" s="74">
        <f>'12-2017'!H452</f>
        <v>0</v>
      </c>
      <c r="I438" s="74">
        <f>'12-2017'!I452</f>
        <v>0</v>
      </c>
      <c r="J438" s="74">
        <f>'12-2017'!J452</f>
        <v>0</v>
      </c>
    </row>
    <row r="439" spans="1:10" s="58" customFormat="1" ht="17.25" hidden="1">
      <c r="A439" s="10">
        <f>'12-2017'!A453</f>
        <v>3</v>
      </c>
      <c r="B439" s="11" t="str">
        <f>'12-2017'!B453</f>
        <v>Lysaght Trimdek 0.48mmAPTx1015mmCOLORBONDXRW-G550AZ150</v>
      </c>
      <c r="C439" s="12" t="str">
        <f>'12-2017'!C453</f>
        <v>đ/m2</v>
      </c>
      <c r="D439" s="13">
        <f>'12-2017'!O453</f>
        <v>329890</v>
      </c>
      <c r="E439" s="13">
        <f>'12-2017'!P453</f>
        <v>329890</v>
      </c>
      <c r="F439" s="130">
        <f t="shared" si="17"/>
        <v>0</v>
      </c>
      <c r="H439" s="74">
        <f>'12-2017'!H453</f>
        <v>0</v>
      </c>
      <c r="I439" s="74">
        <f>'12-2017'!I453</f>
        <v>0</v>
      </c>
      <c r="J439" s="74">
        <f>'12-2017'!J453</f>
        <v>0</v>
      </c>
    </row>
    <row r="440" spans="1:10" s="73" customFormat="1" ht="17.25" hidden="1">
      <c r="A440" s="17"/>
      <c r="B440" s="9" t="str">
        <f>'12-2017'!B454</f>
        <v xml:space="preserve">   Tole  LYSAGHT KLIP-LOK: </v>
      </c>
      <c r="C440" s="8"/>
      <c r="D440" s="22"/>
      <c r="E440" s="22"/>
      <c r="F440" s="131"/>
      <c r="H440" s="74">
        <f>'12-2017'!H454</f>
        <v>0</v>
      </c>
      <c r="I440" s="74">
        <f>'12-2017'!I454</f>
        <v>0</v>
      </c>
      <c r="J440" s="74">
        <f>'12-2017'!J454</f>
        <v>0</v>
      </c>
    </row>
    <row r="441" spans="1:10" s="58" customFormat="1" ht="33" hidden="1">
      <c r="A441" s="10">
        <f>'12-2017'!A455</f>
        <v>4</v>
      </c>
      <c r="B441" s="11" t="str">
        <f>'12-2017'!B455</f>
        <v>Tôn lạnh Lysaght Klip-Lok 406mm, 3 sóng- chiều cao sóng 41mm, thép Zincalume AZ150, dày 0,45mm, liên kết bằng đai KL65</v>
      </c>
      <c r="C441" s="12" t="str">
        <f>'12-2017'!C455</f>
        <v>đ/m2</v>
      </c>
      <c r="D441" s="13">
        <f>'12-2017'!O455</f>
        <v>317020</v>
      </c>
      <c r="E441" s="13">
        <f>'12-2017'!P455</f>
        <v>317020</v>
      </c>
      <c r="F441" s="130">
        <f t="shared" si="17"/>
        <v>0</v>
      </c>
      <c r="H441" s="74">
        <f>'12-2017'!H455</f>
        <v>0</v>
      </c>
      <c r="I441" s="74">
        <f>'12-2017'!I455</f>
        <v>0</v>
      </c>
      <c r="J441" s="74">
        <f>'12-2017'!J455</f>
        <v>0</v>
      </c>
    </row>
    <row r="442" spans="1:10" s="58" customFormat="1" ht="33" hidden="1">
      <c r="A442" s="10">
        <f>'12-2017'!A456</f>
        <v>5</v>
      </c>
      <c r="B442" s="11" t="str">
        <f>'12-2017'!B456</f>
        <v>Tôn lạnh màu Lysaght Klip-Lok 406mm, 3 sóng- chiều cao sóng 41mm, thép Clean ColorbondXRW AZ150, dày 0,48mm, liên kết bằng đai KL65</v>
      </c>
      <c r="C442" s="12" t="str">
        <f>'12-2017'!C456</f>
        <v>đ/m2</v>
      </c>
      <c r="D442" s="13">
        <f>'12-2017'!O456</f>
        <v>399850</v>
      </c>
      <c r="E442" s="13">
        <f>'12-2017'!P456</f>
        <v>399850</v>
      </c>
      <c r="F442" s="130">
        <f t="shared" si="17"/>
        <v>0</v>
      </c>
      <c r="H442" s="74">
        <f>'12-2017'!H456</f>
        <v>0</v>
      </c>
      <c r="I442" s="74">
        <f>'12-2017'!I456</f>
        <v>0</v>
      </c>
      <c r="J442" s="74">
        <f>'12-2017'!J456</f>
        <v>0</v>
      </c>
    </row>
    <row r="443" spans="1:10" s="73" customFormat="1" ht="17.25" hidden="1">
      <c r="A443" s="17"/>
      <c r="B443" s="9" t="str">
        <f>'12-2017'!B457</f>
        <v xml:space="preserve"> - Phụ kiện của tole Lysaght Klip-Lok:</v>
      </c>
      <c r="C443" s="8"/>
      <c r="D443" s="22"/>
      <c r="E443" s="22"/>
      <c r="F443" s="131"/>
      <c r="H443" s="74">
        <f>'12-2017'!H457</f>
        <v>0</v>
      </c>
      <c r="I443" s="74">
        <f>'12-2017'!I457</f>
        <v>0</v>
      </c>
      <c r="J443" s="74">
        <f>'12-2017'!J457</f>
        <v>0</v>
      </c>
    </row>
    <row r="444" spans="1:10" s="58" customFormat="1" ht="17.25" hidden="1">
      <c r="A444" s="10">
        <f>'12-2017'!A458</f>
        <v>6</v>
      </c>
      <c r="B444" s="11" t="str">
        <f>'12-2017'!B458</f>
        <v>Đai kẹp mạ kẽm KL65</v>
      </c>
      <c r="C444" s="12" t="str">
        <f>'12-2017'!C458</f>
        <v>đ/cái</v>
      </c>
      <c r="D444" s="13">
        <f>'12-2017'!O458</f>
        <v>14520</v>
      </c>
      <c r="E444" s="13">
        <f>'12-2017'!P458</f>
        <v>14520</v>
      </c>
      <c r="F444" s="130">
        <f t="shared" si="17"/>
        <v>0</v>
      </c>
      <c r="H444" s="74">
        <f>'12-2017'!H458</f>
        <v>0</v>
      </c>
      <c r="I444" s="74">
        <f>'12-2017'!I458</f>
        <v>0</v>
      </c>
      <c r="J444" s="74">
        <f>'12-2017'!J458</f>
        <v>0</v>
      </c>
    </row>
    <row r="445" spans="1:10" s="58" customFormat="1" ht="17.25" hidden="1">
      <c r="A445" s="10">
        <f>'12-2017'!A459</f>
        <v>7</v>
      </c>
      <c r="B445" s="11" t="str">
        <f>'12-2017'!B459</f>
        <v>Vít gắn đai Klip-Lok vào xà thép &lt; 5mm</v>
      </c>
      <c r="C445" s="12" t="str">
        <f>'12-2017'!C459</f>
        <v>đ/cái</v>
      </c>
      <c r="D445" s="13">
        <f>'12-2017'!O459</f>
        <v>781</v>
      </c>
      <c r="E445" s="13">
        <f>'12-2017'!P459</f>
        <v>781</v>
      </c>
      <c r="F445" s="130">
        <f t="shared" si="17"/>
        <v>0</v>
      </c>
      <c r="H445" s="74">
        <f>'12-2017'!H459</f>
        <v>0</v>
      </c>
      <c r="I445" s="74">
        <f>'12-2017'!I459</f>
        <v>0</v>
      </c>
      <c r="J445" s="74">
        <f>'12-2017'!J459</f>
        <v>0</v>
      </c>
    </row>
    <row r="446" spans="1:10" s="73" customFormat="1" ht="17.25">
      <c r="A446" s="17" t="str">
        <f>'12-2017'!A460</f>
        <v>X</v>
      </c>
      <c r="B446" s="237" t="str">
        <f>'12-2017'!B460</f>
        <v>TẤM TRẦN CÁC LOẠI</v>
      </c>
      <c r="C446" s="238"/>
      <c r="D446" s="238"/>
      <c r="E446" s="238"/>
      <c r="F446" s="239"/>
      <c r="H446" s="74">
        <f>'12-2017'!H460</f>
        <v>0</v>
      </c>
      <c r="I446" s="74">
        <f>'12-2017'!I460</f>
        <v>0</v>
      </c>
      <c r="J446" s="74">
        <f>'12-2017'!J460</f>
        <v>0</v>
      </c>
    </row>
    <row r="447" spans="1:10" s="73" customFormat="1" ht="17.25">
      <c r="A447" s="17"/>
      <c r="B447" s="237" t="str">
        <f>'12-2017'!B461</f>
        <v xml:space="preserve"> * Hệ giàn thép SMARTRUSS : Cty NS TNHH BLUESCOPE LYSAGHT VIỆT NAM. Theo bảng giá từ ngày 01/10/2017</v>
      </c>
      <c r="C447" s="238"/>
      <c r="D447" s="238"/>
      <c r="E447" s="238"/>
      <c r="F447" s="239"/>
      <c r="H447" s="74">
        <f>'12-2017'!H461</f>
        <v>0</v>
      </c>
      <c r="I447" s="74">
        <f>'12-2017'!I461</f>
        <v>0</v>
      </c>
      <c r="J447" s="74">
        <f>'12-2017'!J461</f>
        <v>0</v>
      </c>
    </row>
    <row r="448" spans="1:10" s="58" customFormat="1" ht="17.25" hidden="1">
      <c r="A448" s="10">
        <f>'12-2017'!A462</f>
        <v>1</v>
      </c>
      <c r="B448" s="11" t="str">
        <f>'12-2017'!B462</f>
        <v>Hệ giàn thép Smartruss-Bluscope lysaght cho mái ngói</v>
      </c>
      <c r="C448" s="12"/>
      <c r="D448" s="13"/>
      <c r="E448" s="13"/>
      <c r="F448" s="130"/>
      <c r="H448" s="74">
        <f>'12-2017'!H462</f>
        <v>0</v>
      </c>
      <c r="I448" s="74">
        <f>'12-2017'!I462</f>
        <v>0</v>
      </c>
      <c r="J448" s="74">
        <f>'12-2017'!J462</f>
        <v>0</v>
      </c>
    </row>
    <row r="449" spans="1:10" s="58" customFormat="1" ht="17.25" hidden="1">
      <c r="A449" s="10"/>
      <c r="B449" s="11" t="str">
        <f>'12-2017'!B463</f>
        <v>- Vật tư hệ vì kèo thép 2 lớp (bảo hành 25 năm) chưa tính công lắp đặt ngói</v>
      </c>
      <c r="C449" s="12" t="str">
        <f>'12-2017'!C463</f>
        <v>đ/m2</v>
      </c>
      <c r="D449" s="13">
        <f>'12-2017'!O463</f>
        <v>540540</v>
      </c>
      <c r="E449" s="13">
        <f>'12-2017'!P463</f>
        <v>540540</v>
      </c>
      <c r="F449" s="130">
        <f t="shared" si="17"/>
        <v>0</v>
      </c>
      <c r="H449" s="74">
        <f>'12-2017'!H463</f>
        <v>0</v>
      </c>
      <c r="I449" s="74">
        <f>'12-2017'!I463</f>
        <v>0</v>
      </c>
      <c r="J449" s="74">
        <f>'12-2017'!J463</f>
        <v>0</v>
      </c>
    </row>
    <row r="450" spans="1:10" s="58" customFormat="1" ht="17.25" hidden="1">
      <c r="A450" s="10">
        <f>'12-2017'!A464</f>
        <v>2</v>
      </c>
      <c r="B450" s="11" t="str">
        <f>'12-2017'!B464</f>
        <v>Hệ giàn thép Smartruss-Bluscope lysaght cho mái đổ bêtông</v>
      </c>
      <c r="C450" s="12"/>
      <c r="D450" s="13"/>
      <c r="E450" s="13"/>
      <c r="F450" s="130"/>
      <c r="H450" s="74">
        <f>'12-2017'!H464</f>
        <v>0</v>
      </c>
      <c r="I450" s="74">
        <f>'12-2017'!I464</f>
        <v>0</v>
      </c>
      <c r="J450" s="74">
        <f>'12-2017'!J464</f>
        <v>0</v>
      </c>
    </row>
    <row r="451" spans="1:10" s="58" customFormat="1" ht="17.25" hidden="1">
      <c r="A451" s="10"/>
      <c r="B451" s="11" t="str">
        <f>'12-2017'!B465</f>
        <v>- Vật tư hệ vì kèo thép mái bêtông (bảo hành 25 năm), chưa tính công lắp đặt ngói</v>
      </c>
      <c r="C451" s="12" t="str">
        <f>'12-2017'!C465</f>
        <v>đ/m2</v>
      </c>
      <c r="D451" s="13">
        <f>'12-2017'!O465</f>
        <v>410010</v>
      </c>
      <c r="E451" s="13">
        <f>'12-2017'!P465</f>
        <v>410010</v>
      </c>
      <c r="F451" s="130">
        <f t="shared" si="17"/>
        <v>0</v>
      </c>
      <c r="H451" s="74">
        <f>'12-2017'!H465</f>
        <v>0</v>
      </c>
      <c r="I451" s="74">
        <f>'12-2017'!I465</f>
        <v>0</v>
      </c>
      <c r="J451" s="74">
        <f>'12-2017'!J465</f>
        <v>0</v>
      </c>
    </row>
    <row r="452" spans="1:10" s="58" customFormat="1" ht="17.25" hidden="1">
      <c r="A452" s="10">
        <f>'12-2017'!A466</f>
        <v>3</v>
      </c>
      <c r="B452" s="11" t="str">
        <f>'12-2017'!B466</f>
        <v>Hệ giàn thép Smartruss-Bluscope lysaght cho mái lợp tôn, chưa tính công lắp đặt tôn</v>
      </c>
      <c r="C452" s="12" t="str">
        <f>'12-2017'!C466</f>
        <v>đ/m2</v>
      </c>
      <c r="D452" s="13">
        <f>'12-2017'!O466</f>
        <v>444444</v>
      </c>
      <c r="E452" s="13">
        <f>'12-2017'!P466</f>
        <v>444444</v>
      </c>
      <c r="F452" s="130">
        <f t="shared" si="17"/>
        <v>0</v>
      </c>
      <c r="H452" s="74">
        <f>'12-2017'!H466</f>
        <v>0</v>
      </c>
      <c r="I452" s="74">
        <f>'12-2017'!I466</f>
        <v>0</v>
      </c>
      <c r="J452" s="74">
        <f>'12-2017'!J466</f>
        <v>0</v>
      </c>
    </row>
    <row r="453" spans="1:10" s="58" customFormat="1" ht="17.25" hidden="1">
      <c r="A453" s="10">
        <f>'12-2017'!A467</f>
        <v>4</v>
      </c>
      <c r="B453" s="11" t="str">
        <f>'12-2017'!B467</f>
        <v>Tấm trần Ceidek, dày 0,43mmAPT, rộng 150mm - Apex</v>
      </c>
      <c r="C453" s="12" t="str">
        <f>'12-2017'!C467</f>
        <v>đ/m2</v>
      </c>
      <c r="D453" s="13">
        <f>'12-2017'!O467</f>
        <v>325490</v>
      </c>
      <c r="E453" s="13">
        <f>'12-2017'!P467</f>
        <v>325490</v>
      </c>
      <c r="F453" s="130">
        <f t="shared" si="17"/>
        <v>0</v>
      </c>
      <c r="H453" s="74">
        <f>'12-2017'!H467</f>
        <v>0</v>
      </c>
      <c r="I453" s="74">
        <f>'12-2017'!I467</f>
        <v>0</v>
      </c>
      <c r="J453" s="74">
        <f>'12-2017'!J467</f>
        <v>0</v>
      </c>
    </row>
    <row r="454" spans="1:10" s="58" customFormat="1" ht="17.25" hidden="1">
      <c r="A454" s="10">
        <f>'12-2017'!A468</f>
        <v>5</v>
      </c>
      <c r="B454" s="11" t="str">
        <f>'12-2017'!B468</f>
        <v>- Khung treo trần Ceidek -C43x27-0.05mmTCT (Zincalume) - dài 3 mét/cây</v>
      </c>
      <c r="C454" s="12" t="str">
        <f>'12-2017'!C468</f>
        <v>đ/m</v>
      </c>
      <c r="D454" s="13">
        <f>'12-2017'!O468</f>
        <v>221210</v>
      </c>
      <c r="E454" s="13">
        <f>'12-2017'!P468</f>
        <v>221210</v>
      </c>
      <c r="F454" s="130">
        <f t="shared" si="17"/>
        <v>0</v>
      </c>
      <c r="H454" s="74">
        <f>'12-2017'!H468</f>
        <v>0</v>
      </c>
      <c r="I454" s="74">
        <f>'12-2017'!I468</f>
        <v>0</v>
      </c>
      <c r="J454" s="74">
        <f>'12-2017'!J468</f>
        <v>0</v>
      </c>
    </row>
    <row r="455" spans="1:10" s="58" customFormat="1" ht="17.25" hidden="1">
      <c r="A455" s="10">
        <f>'12-2017'!A469</f>
        <v>6</v>
      </c>
      <c r="B455" s="11" t="str">
        <f>'12-2017'!B469</f>
        <v>- Dây treo trần đk 4mm - dài 3m/cây</v>
      </c>
      <c r="C455" s="12" t="str">
        <f>'12-2017'!C469</f>
        <v>đ/m</v>
      </c>
      <c r="D455" s="13">
        <f>'12-2017'!O469</f>
        <v>18260</v>
      </c>
      <c r="E455" s="13">
        <f>'12-2017'!P469</f>
        <v>18260</v>
      </c>
      <c r="F455" s="130">
        <f t="shared" si="17"/>
        <v>0</v>
      </c>
      <c r="H455" s="74">
        <f>'12-2017'!H469</f>
        <v>0</v>
      </c>
      <c r="I455" s="74">
        <f>'12-2017'!I469</f>
        <v>0</v>
      </c>
      <c r="J455" s="74">
        <f>'12-2017'!J469</f>
        <v>0</v>
      </c>
    </row>
    <row r="456" spans="1:10" s="58" customFormat="1" ht="17.25" hidden="1">
      <c r="A456" s="10">
        <f>'12-2017'!A470</f>
        <v>7</v>
      </c>
      <c r="B456" s="11" t="str">
        <f>'12-2017'!B470</f>
        <v>- Tăng đơ cho dây treo đk 4mm</v>
      </c>
      <c r="C456" s="12" t="str">
        <f>'12-2017'!C470</f>
        <v>cái</v>
      </c>
      <c r="D456" s="13">
        <f>'12-2017'!O470</f>
        <v>1892</v>
      </c>
      <c r="E456" s="13">
        <f>'12-2017'!P470</f>
        <v>1892</v>
      </c>
      <c r="F456" s="130">
        <f t="shared" si="17"/>
        <v>0</v>
      </c>
      <c r="H456" s="74">
        <f>'12-2017'!H470</f>
        <v>0</v>
      </c>
      <c r="I456" s="74">
        <f>'12-2017'!I470</f>
        <v>0</v>
      </c>
      <c r="J456" s="74">
        <f>'12-2017'!J470</f>
        <v>0</v>
      </c>
    </row>
    <row r="457" spans="1:10" s="58" customFormat="1" ht="42.75" customHeight="1">
      <c r="A457" s="10"/>
      <c r="B457" s="237" t="str">
        <f>'12-2017'!B471</f>
        <v xml:space="preserve"> * Trần &amp; Vách ngăn thạch cao : Cty TNHH Xây dựng-Thương mại-Dịch vụ Lê Trần, địa chỉ: 25 Trần Bình Trọng, P.1, Q.5, Tp.HCM. Chưa bao gồm phí lắp đặt. Theo bảng giá ngày 20/11/2017</v>
      </c>
      <c r="C457" s="238"/>
      <c r="D457" s="238"/>
      <c r="E457" s="238"/>
      <c r="F457" s="239"/>
      <c r="H457" s="74">
        <f>'12-2017'!H471</f>
        <v>0</v>
      </c>
      <c r="I457" s="74">
        <f>'12-2017'!I471</f>
        <v>0</v>
      </c>
      <c r="J457" s="74">
        <f>'12-2017'!J471</f>
        <v>0</v>
      </c>
    </row>
    <row r="458" spans="1:10" s="58" customFormat="1" ht="82.5">
      <c r="A458" s="10">
        <f>'12-2017'!A472</f>
        <v>1</v>
      </c>
      <c r="B458" s="11" t="str">
        <f>'12-2017'!B472</f>
        <v>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v>
      </c>
      <c r="C458" s="12" t="str">
        <f>'12-2017'!C472</f>
        <v>đ/m2</v>
      </c>
      <c r="D458" s="13">
        <f>'12-2017'!O472</f>
        <v>126000</v>
      </c>
      <c r="E458" s="13">
        <f>'12-2017'!P472</f>
        <v>126000</v>
      </c>
      <c r="F458" s="130">
        <f t="shared" si="17"/>
        <v>0</v>
      </c>
      <c r="H458" s="74">
        <f>'12-2017'!H472</f>
        <v>0</v>
      </c>
      <c r="I458" s="74">
        <f>'12-2017'!I472</f>
        <v>126000</v>
      </c>
      <c r="J458" s="74">
        <f>'12-2017'!J472</f>
        <v>128000</v>
      </c>
    </row>
    <row r="459" spans="1:10" s="58" customFormat="1" ht="82.5">
      <c r="A459" s="10">
        <f>'12-2017'!A473</f>
        <v>2</v>
      </c>
      <c r="B459" s="11" t="str">
        <f>'12-2017'!B473</f>
        <v>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v>
      </c>
      <c r="C459" s="12" t="str">
        <f>'12-2017'!C473</f>
        <v>đ/m2</v>
      </c>
      <c r="D459" s="13">
        <f>'12-2017'!O473</f>
        <v>121000</v>
      </c>
      <c r="E459" s="13">
        <f>'12-2017'!P473</f>
        <v>121000</v>
      </c>
      <c r="F459" s="130">
        <f t="shared" si="17"/>
        <v>0</v>
      </c>
      <c r="H459" s="74" t="str">
        <f>'12-2017'!H473</f>
        <v xml:space="preserve"> </v>
      </c>
      <c r="I459" s="74">
        <f>'12-2017'!I473</f>
        <v>121000</v>
      </c>
      <c r="J459" s="74">
        <f>'12-2017'!J473</f>
        <v>123000</v>
      </c>
    </row>
    <row r="460" spans="1:10" s="58" customFormat="1" ht="82.5">
      <c r="A460" s="10">
        <f>'12-2017'!A474</f>
        <v>3</v>
      </c>
      <c r="B460" s="11" t="str">
        <f>'12-2017'!B474</f>
        <v>Trần khung chìm LÊ TRẦN MacroTEK S400 mạ nhôm kẽm, tấm thạch cao tiêu chuẩn 9,5mm
- Thanh chính LÊ TRẦN MacroTEK S400_(4000x35x14x0,4mm) @ 800mm
- Thanh phụ LÊ TRẦN MacroTEK S400_(4000x35x14x0,4mm) @ 406mm
- Thanh góc LÊ TRẦN MacroTEK W300_(21x21x4000x0,32mm)</v>
      </c>
      <c r="C460" s="12" t="str">
        <f>'12-2017'!C474</f>
        <v>đ/m2</v>
      </c>
      <c r="D460" s="13">
        <f>'12-2017'!O474</f>
        <v>126000</v>
      </c>
      <c r="E460" s="13">
        <f>'12-2017'!P474</f>
        <v>126000</v>
      </c>
      <c r="F460" s="130">
        <f t="shared" si="17"/>
        <v>0</v>
      </c>
      <c r="H460" s="74">
        <f>'12-2017'!H474</f>
        <v>0</v>
      </c>
      <c r="I460" s="74">
        <f>'12-2017'!I474</f>
        <v>126000</v>
      </c>
      <c r="J460" s="74">
        <f>'12-2017'!J474</f>
        <v>128000</v>
      </c>
    </row>
    <row r="461" spans="1:10" s="58" customFormat="1" ht="82.5">
      <c r="A461" s="10">
        <f>'12-2017'!A475</f>
        <v>4</v>
      </c>
      <c r="B461" s="11" t="str">
        <f>'12-2017'!B475</f>
        <v>Trần khung chìm LÊ TRẦN ChannelTEK Pro, tấm thạch cao tiêu chuẩn 9,5mm
- Thanh chính LÊ TRẦN ChannelTEK Pro_Thanh xương cá (3660x20x30x0,6mm)@1000mm
- Thanh phụ LÊ TRẦN MacroTEK S450(4000x35x14x0,41mm)@407mm
- Thanh góc LÊ TRẦN MacroTEK W300(4000x21x21x0,32mm)</v>
      </c>
      <c r="C461" s="12" t="str">
        <f>'12-2017'!C475</f>
        <v>đ/m2</v>
      </c>
      <c r="D461" s="13">
        <f>'12-2017'!O475</f>
        <v>136000</v>
      </c>
      <c r="E461" s="13">
        <f>'12-2017'!P475</f>
        <v>136000</v>
      </c>
      <c r="F461" s="130">
        <f t="shared" si="17"/>
        <v>0</v>
      </c>
      <c r="H461" s="74">
        <f>'12-2017'!H475</f>
        <v>0</v>
      </c>
      <c r="I461" s="74">
        <f>'12-2017'!I475</f>
        <v>136000</v>
      </c>
      <c r="J461" s="74">
        <f>'12-2017'!J475</f>
        <v>138000</v>
      </c>
    </row>
    <row r="462" spans="1:10" s="58" customFormat="1" ht="115.5">
      <c r="A462" s="10">
        <f>'12-2017'!A476</f>
        <v>5</v>
      </c>
      <c r="B462" s="11" t="str">
        <f>'12-2017'!B476</f>
        <v>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v>
      </c>
      <c r="C462" s="12" t="str">
        <f>'12-2017'!C476</f>
        <v>đ/m2</v>
      </c>
      <c r="D462" s="13">
        <f>'12-2017'!O476</f>
        <v>256000</v>
      </c>
      <c r="E462" s="13">
        <f>'12-2017'!P476</f>
        <v>256000</v>
      </c>
      <c r="F462" s="130">
        <f t="shared" si="17"/>
        <v>0</v>
      </c>
      <c r="H462" s="74">
        <f>'12-2017'!H476</f>
        <v>0</v>
      </c>
      <c r="I462" s="74">
        <f>'12-2017'!I476</f>
        <v>256000</v>
      </c>
      <c r="J462" s="74">
        <f>'12-2017'!J476</f>
        <v>261000</v>
      </c>
    </row>
    <row r="463" spans="1:10" s="73" customFormat="1" ht="17.25">
      <c r="A463" s="17" t="str">
        <f>'12-2017'!A477</f>
        <v>XI</v>
      </c>
      <c r="B463" s="9" t="str">
        <f>'12-2017'!B477</f>
        <v>GẠCH, NGÓI CÁC LOẠI:</v>
      </c>
      <c r="C463" s="8"/>
      <c r="D463" s="22"/>
      <c r="E463" s="22"/>
      <c r="F463" s="131"/>
      <c r="H463" s="74">
        <f>'12-2017'!H477</f>
        <v>0</v>
      </c>
      <c r="I463" s="74">
        <f>'12-2017'!I477</f>
        <v>0</v>
      </c>
      <c r="J463" s="74">
        <f>'12-2017'!J477</f>
        <v>0</v>
      </c>
    </row>
    <row r="464" spans="1:10" s="73" customFormat="1" ht="17.25">
      <c r="A464" s="17"/>
      <c r="B464" s="9" t="str">
        <f>'12-2017'!B478</f>
        <v>Gạch lát vỉa hè:</v>
      </c>
      <c r="C464" s="8"/>
      <c r="D464" s="22"/>
      <c r="E464" s="22"/>
      <c r="F464" s="131"/>
      <c r="H464" s="74">
        <f>'12-2017'!H478</f>
        <v>0</v>
      </c>
      <c r="I464" s="74">
        <f>'12-2017'!I478</f>
        <v>0</v>
      </c>
      <c r="J464" s="74">
        <f>'12-2017'!J478</f>
        <v>0</v>
      </c>
    </row>
    <row r="465" spans="1:10" s="73" customFormat="1" ht="36.75" hidden="1" customHeight="1">
      <c r="A465" s="17"/>
      <c r="B465" s="237" t="str">
        <f>'12-2017'!B479</f>
        <v>* Gạch Terrazzo - Lát vĩa hè TCVN 7744:2007 : Cty CP Địa ốc An Giang SX (giao trên phương tiên của bên mua tại Nhà máy cấu kiện bê tông An Giang, xã Vĩnh Thạnh Trung, Châu Phú). Theo bảng giá ngày 07/6/2017</v>
      </c>
      <c r="C465" s="238"/>
      <c r="D465" s="238"/>
      <c r="E465" s="238"/>
      <c r="F465" s="239"/>
      <c r="H465" s="74">
        <f>'12-2017'!H479</f>
        <v>0</v>
      </c>
      <c r="I465" s="74">
        <f>'12-2017'!I479</f>
        <v>0</v>
      </c>
      <c r="J465" s="74">
        <f>'12-2017'!J479</f>
        <v>0</v>
      </c>
    </row>
    <row r="466" spans="1:10" s="58" customFormat="1" ht="33" hidden="1">
      <c r="A466" s="10">
        <f>'12-2017'!A480</f>
        <v>1</v>
      </c>
      <c r="B466" s="11" t="str">
        <f>'12-2017'!B480</f>
        <v>Quy cách (400 x 400)mm, dày 30mm (+/-1.3) màu đỏ, vàng, tím, xanh lá cây, xám điểm hồng, xám xanh</v>
      </c>
      <c r="C466" s="12" t="str">
        <f>'12-2017'!C480</f>
        <v>đ/m2</v>
      </c>
      <c r="D466" s="13">
        <f>'12-2017'!O480</f>
        <v>90910</v>
      </c>
      <c r="E466" s="13">
        <f>'12-2017'!P480</f>
        <v>90910</v>
      </c>
      <c r="F466" s="130">
        <f t="shared" si="17"/>
        <v>0</v>
      </c>
      <c r="H466" s="74">
        <f>'12-2017'!H480</f>
        <v>0</v>
      </c>
      <c r="I466" s="74">
        <f>'12-2017'!I480</f>
        <v>0</v>
      </c>
      <c r="J466" s="74">
        <f>'12-2017'!J480</f>
        <v>0</v>
      </c>
    </row>
    <row r="467" spans="1:10" s="58" customFormat="1" ht="17.25" hidden="1">
      <c r="A467" s="10">
        <f>'12-2017'!A481</f>
        <v>2</v>
      </c>
      <c r="B467" s="11" t="str">
        <f>'12-2017'!B481</f>
        <v>Quy cách (400 x 400)mm, dày 30mm (+/-1.3) màu xám, xám tro</v>
      </c>
      <c r="C467" s="12" t="str">
        <f>'12-2017'!C481</f>
        <v>đ/m2</v>
      </c>
      <c r="D467" s="13">
        <f>'12-2017'!O481</f>
        <v>85050</v>
      </c>
      <c r="E467" s="13">
        <f>'12-2017'!P481</f>
        <v>85050</v>
      </c>
      <c r="F467" s="130">
        <f t="shared" si="17"/>
        <v>0</v>
      </c>
      <c r="H467" s="74">
        <f>'12-2017'!H481</f>
        <v>0</v>
      </c>
      <c r="I467" s="74">
        <f>'12-2017'!I481</f>
        <v>0</v>
      </c>
      <c r="J467" s="74">
        <f>'12-2017'!J481</f>
        <v>0</v>
      </c>
    </row>
    <row r="468" spans="1:10" s="73" customFormat="1" ht="17.25" hidden="1">
      <c r="A468" s="17"/>
      <c r="B468" s="9" t="str">
        <f>'12-2017'!B482</f>
        <v>Gạch địa phương :</v>
      </c>
      <c r="C468" s="8"/>
      <c r="D468" s="22"/>
      <c r="E468" s="22"/>
      <c r="F468" s="131"/>
      <c r="H468" s="74">
        <f>'12-2017'!H482</f>
        <v>0</v>
      </c>
      <c r="I468" s="74">
        <f>'12-2017'!I482</f>
        <v>0</v>
      </c>
      <c r="J468" s="74">
        <f>'12-2017'!J482</f>
        <v>0</v>
      </c>
    </row>
    <row r="469" spans="1:10" s="73" customFormat="1" ht="17.25" hidden="1">
      <c r="A469" s="17"/>
      <c r="B469" s="9" t="str">
        <f>'12-2017'!B483</f>
        <v xml:space="preserve"> * Cơ sở gạch huyện Châu Thành (cách cầu Chắc Cà Đao 2 km, giá bán tại lò)</v>
      </c>
      <c r="C469" s="8"/>
      <c r="D469" s="22"/>
      <c r="E469" s="22"/>
      <c r="F469" s="131"/>
      <c r="H469" s="74">
        <f>'12-2017'!H483</f>
        <v>0</v>
      </c>
      <c r="I469" s="74">
        <f>'12-2017'!I483</f>
        <v>0</v>
      </c>
      <c r="J469" s="74">
        <f>'12-2017'!J483</f>
        <v>0</v>
      </c>
    </row>
    <row r="470" spans="1:10" s="58" customFormat="1" ht="17.25" hidden="1">
      <c r="A470" s="10">
        <f>'12-2017'!A484</f>
        <v>1</v>
      </c>
      <c r="B470" s="11" t="str">
        <f>'12-2017'!B484</f>
        <v>Gạch ống loại 1 (7,5 x 7,5 x 17,5)</v>
      </c>
      <c r="C470" s="12" t="str">
        <f>'12-2017'!C484</f>
        <v>đ/viên</v>
      </c>
      <c r="D470" s="13">
        <f>'12-2017'!O484</f>
        <v>681.81818181818176</v>
      </c>
      <c r="E470" s="13">
        <f>'12-2017'!P484</f>
        <v>681.81818181818176</v>
      </c>
      <c r="F470" s="130">
        <f t="shared" si="17"/>
        <v>0</v>
      </c>
      <c r="H470" s="74">
        <f>'12-2017'!H484</f>
        <v>0</v>
      </c>
      <c r="I470" s="74">
        <f>'12-2017'!I484</f>
        <v>0</v>
      </c>
      <c r="J470" s="74">
        <f>'12-2017'!J484</f>
        <v>0</v>
      </c>
    </row>
    <row r="471" spans="1:10" s="58" customFormat="1" ht="17.25" hidden="1">
      <c r="A471" s="10">
        <f>'12-2017'!A485</f>
        <v>2</v>
      </c>
      <c r="B471" s="11" t="str">
        <f>'12-2017'!B485</f>
        <v>Gạch ống loại 2 (7,5 x 7,5 x 17,5)</v>
      </c>
      <c r="C471" s="12" t="str">
        <f>'12-2017'!C485</f>
        <v>đ/viên</v>
      </c>
      <c r="D471" s="13">
        <f>'12-2017'!O485</f>
        <v>636.36363636363626</v>
      </c>
      <c r="E471" s="13">
        <f>'12-2017'!P485</f>
        <v>636.36363636363626</v>
      </c>
      <c r="F471" s="130">
        <f t="shared" si="17"/>
        <v>0</v>
      </c>
      <c r="H471" s="74">
        <f>'12-2017'!H485</f>
        <v>0</v>
      </c>
      <c r="I471" s="74">
        <f>'12-2017'!I485</f>
        <v>0</v>
      </c>
      <c r="J471" s="74">
        <f>'12-2017'!J485</f>
        <v>0</v>
      </c>
    </row>
    <row r="472" spans="1:10" s="58" customFormat="1" ht="17.25" hidden="1">
      <c r="A472" s="10">
        <f>'12-2017'!A486</f>
        <v>3</v>
      </c>
      <c r="B472" s="11" t="str">
        <f>'12-2017'!B486</f>
        <v>Gạch thẻ loại 1 (3,5 x 7,5 x 17,5)</v>
      </c>
      <c r="C472" s="12" t="str">
        <f>'12-2017'!C486</f>
        <v>đ/viên</v>
      </c>
      <c r="D472" s="13">
        <f>'12-2017'!O486</f>
        <v>590.90909090909088</v>
      </c>
      <c r="E472" s="13">
        <f>'12-2017'!P486</f>
        <v>590.90909090909088</v>
      </c>
      <c r="F472" s="130">
        <f t="shared" si="17"/>
        <v>0</v>
      </c>
      <c r="H472" s="74">
        <f>'12-2017'!H486</f>
        <v>0</v>
      </c>
      <c r="I472" s="74">
        <f>'12-2017'!I486</f>
        <v>0</v>
      </c>
      <c r="J472" s="74">
        <f>'12-2017'!J486</f>
        <v>0</v>
      </c>
    </row>
    <row r="473" spans="1:10" s="58" customFormat="1" ht="17.25" hidden="1">
      <c r="A473" s="10">
        <f>'12-2017'!A487</f>
        <v>4</v>
      </c>
      <c r="B473" s="11" t="str">
        <f>'12-2017'!B487</f>
        <v>Gạch thẻ loại 2 (3,5 x 7,5 x 17,5)</v>
      </c>
      <c r="C473" s="12" t="str">
        <f>'12-2017'!C487</f>
        <v>đ/viên</v>
      </c>
      <c r="D473" s="13">
        <f>'12-2017'!O487</f>
        <v>545.45454545454538</v>
      </c>
      <c r="E473" s="13">
        <f>'12-2017'!P487</f>
        <v>545.45454545454538</v>
      </c>
      <c r="F473" s="130">
        <f t="shared" si="17"/>
        <v>0</v>
      </c>
      <c r="H473" s="74">
        <f>'12-2017'!H487</f>
        <v>0</v>
      </c>
      <c r="I473" s="74">
        <f>'12-2017'!I487</f>
        <v>0</v>
      </c>
      <c r="J473" s="74">
        <f>'12-2017'!J487</f>
        <v>0</v>
      </c>
    </row>
    <row r="474" spans="1:10" s="73" customFormat="1" ht="17.25" hidden="1">
      <c r="A474" s="17"/>
      <c r="B474" s="9" t="str">
        <f>'12-2017'!B488</f>
        <v xml:space="preserve"> * Cơ sở gạch huyện Châu Phú (cách thị trấn Cái Dầu 2,5 km)</v>
      </c>
      <c r="C474" s="8"/>
      <c r="D474" s="22"/>
      <c r="E474" s="22"/>
      <c r="F474" s="131"/>
      <c r="H474" s="74">
        <f>'12-2017'!H488</f>
        <v>0</v>
      </c>
      <c r="I474" s="74">
        <f>'12-2017'!I488</f>
        <v>0</v>
      </c>
      <c r="J474" s="74">
        <f>'12-2017'!J488</f>
        <v>0</v>
      </c>
    </row>
    <row r="475" spans="1:10" s="58" customFormat="1" ht="17.25" hidden="1">
      <c r="A475" s="10">
        <f>'12-2017'!A489</f>
        <v>1</v>
      </c>
      <c r="B475" s="11" t="str">
        <f>'12-2017'!B489</f>
        <v>Gạch ống loại 1 (7,5 x 7,5 x 17,5)</v>
      </c>
      <c r="C475" s="12" t="str">
        <f>'12-2017'!C489</f>
        <v>đ/viên</v>
      </c>
      <c r="D475" s="13">
        <f>'12-2017'!O489</f>
        <v>850</v>
      </c>
      <c r="E475" s="13">
        <f>'12-2017'!P489</f>
        <v>850</v>
      </c>
      <c r="F475" s="130">
        <f t="shared" si="17"/>
        <v>0</v>
      </c>
      <c r="H475" s="74">
        <f>'12-2017'!H489</f>
        <v>0</v>
      </c>
      <c r="I475" s="74">
        <f>'12-2017'!I489</f>
        <v>0</v>
      </c>
      <c r="J475" s="74">
        <f>'12-2017'!J489</f>
        <v>0</v>
      </c>
    </row>
    <row r="476" spans="1:10" s="58" customFormat="1" ht="17.25" hidden="1">
      <c r="A476" s="10">
        <f>'12-2017'!A490</f>
        <v>2</v>
      </c>
      <c r="B476" s="11" t="str">
        <f>'12-2017'!B490</f>
        <v>Gạch ống loại 2 (7,5 x 7,5 x 17,5)</v>
      </c>
      <c r="C476" s="12" t="str">
        <f>'12-2017'!C490</f>
        <v>đ/viên</v>
      </c>
      <c r="D476" s="13">
        <f>'12-2017'!O490</f>
        <v>800</v>
      </c>
      <c r="E476" s="13">
        <f>'12-2017'!P490</f>
        <v>800</v>
      </c>
      <c r="F476" s="130">
        <f t="shared" si="17"/>
        <v>0</v>
      </c>
      <c r="H476" s="74">
        <f>'12-2017'!H490</f>
        <v>0</v>
      </c>
      <c r="I476" s="74">
        <f>'12-2017'!I490</f>
        <v>0</v>
      </c>
      <c r="J476" s="74">
        <f>'12-2017'!J490</f>
        <v>0</v>
      </c>
    </row>
    <row r="477" spans="1:10" s="58" customFormat="1" ht="17.25" hidden="1">
      <c r="A477" s="10">
        <f>'12-2017'!A491</f>
        <v>3</v>
      </c>
      <c r="B477" s="11" t="str">
        <f>'12-2017'!B491</f>
        <v>Gạch thẻ loại 1 (3,5 x 7,5 x 17,5)</v>
      </c>
      <c r="C477" s="12" t="str">
        <f>'12-2017'!C491</f>
        <v>đ/viên</v>
      </c>
      <c r="D477" s="13">
        <f>'12-2017'!O491</f>
        <v>850</v>
      </c>
      <c r="E477" s="13">
        <f>'12-2017'!P491</f>
        <v>850</v>
      </c>
      <c r="F477" s="130">
        <f t="shared" si="17"/>
        <v>0</v>
      </c>
      <c r="H477" s="74">
        <f>'12-2017'!H491</f>
        <v>0</v>
      </c>
      <c r="I477" s="74">
        <f>'12-2017'!I491</f>
        <v>0</v>
      </c>
      <c r="J477" s="74">
        <f>'12-2017'!J491</f>
        <v>0</v>
      </c>
    </row>
    <row r="478" spans="1:10" s="58" customFormat="1" ht="17.25" hidden="1">
      <c r="A478" s="10">
        <f>'12-2017'!A492</f>
        <v>4</v>
      </c>
      <c r="B478" s="11" t="str">
        <f>'12-2017'!B492</f>
        <v>Gạch thẻ loại 2 (3,5 x 7,5 x 17,5)</v>
      </c>
      <c r="C478" s="12" t="str">
        <f>'12-2017'!C492</f>
        <v>đ/viên</v>
      </c>
      <c r="D478" s="13">
        <f>'12-2017'!O492</f>
        <v>800</v>
      </c>
      <c r="E478" s="13">
        <f>'12-2017'!P492</f>
        <v>800</v>
      </c>
      <c r="F478" s="130">
        <f t="shared" si="17"/>
        <v>0</v>
      </c>
      <c r="H478" s="74">
        <f>'12-2017'!H492</f>
        <v>0</v>
      </c>
      <c r="I478" s="74">
        <f>'12-2017'!I492</f>
        <v>0</v>
      </c>
      <c r="J478" s="74">
        <f>'12-2017'!J492</f>
        <v>0</v>
      </c>
    </row>
    <row r="479" spans="1:10" s="73" customFormat="1" ht="17.25" hidden="1">
      <c r="A479" s="17"/>
      <c r="B479" s="9" t="str">
        <f>'12-2017'!B493</f>
        <v xml:space="preserve"> * Cơ sở gạch huyện Chợ Mới (cách thị trấn Chợ Mới 5 km)</v>
      </c>
      <c r="C479" s="8"/>
      <c r="D479" s="22"/>
      <c r="E479" s="22"/>
      <c r="F479" s="131"/>
      <c r="H479" s="74">
        <f>'12-2017'!H493</f>
        <v>0</v>
      </c>
      <c r="I479" s="74">
        <f>'12-2017'!I493</f>
        <v>0</v>
      </c>
      <c r="J479" s="74">
        <f>'12-2017'!J493</f>
        <v>0</v>
      </c>
    </row>
    <row r="480" spans="1:10" s="58" customFormat="1" ht="17.25" hidden="1">
      <c r="A480" s="10">
        <f>'12-2017'!A494</f>
        <v>1</v>
      </c>
      <c r="B480" s="11" t="str">
        <f>'12-2017'!B494</f>
        <v>Gạch ống loại 1 (7,5 x 7,5 x 17,5)</v>
      </c>
      <c r="C480" s="12" t="str">
        <f>'12-2017'!C494</f>
        <v>đ/viên</v>
      </c>
      <c r="D480" s="13">
        <f>'12-2017'!O494</f>
        <v>750</v>
      </c>
      <c r="E480" s="13">
        <f>'12-2017'!P494</f>
        <v>750</v>
      </c>
      <c r="F480" s="130">
        <f t="shared" si="17"/>
        <v>0</v>
      </c>
      <c r="H480" s="74">
        <f>'12-2017'!H494</f>
        <v>0</v>
      </c>
      <c r="I480" s="74">
        <f>'12-2017'!I494</f>
        <v>0</v>
      </c>
      <c r="J480" s="74">
        <f>'12-2017'!J494</f>
        <v>0</v>
      </c>
    </row>
    <row r="481" spans="1:10" s="58" customFormat="1" ht="17.25" hidden="1">
      <c r="A481" s="10">
        <f>'12-2017'!A495</f>
        <v>2</v>
      </c>
      <c r="B481" s="11" t="str">
        <f>'12-2017'!B495</f>
        <v>Gạch ống loại 2 (7,5 x 7,5 x 17,5)</v>
      </c>
      <c r="C481" s="12" t="str">
        <f>'12-2017'!C495</f>
        <v>đ/viên</v>
      </c>
      <c r="D481" s="13">
        <f>'12-2017'!O495</f>
        <v>680</v>
      </c>
      <c r="E481" s="13">
        <f>'12-2017'!P495</f>
        <v>680</v>
      </c>
      <c r="F481" s="130">
        <f t="shared" si="17"/>
        <v>0</v>
      </c>
      <c r="H481" s="74">
        <f>'12-2017'!H495</f>
        <v>0</v>
      </c>
      <c r="I481" s="74">
        <f>'12-2017'!I495</f>
        <v>0</v>
      </c>
      <c r="J481" s="74">
        <f>'12-2017'!J495</f>
        <v>0</v>
      </c>
    </row>
    <row r="482" spans="1:10" s="58" customFormat="1" ht="17.25" hidden="1">
      <c r="A482" s="10">
        <f>'12-2017'!A496</f>
        <v>3</v>
      </c>
      <c r="B482" s="11" t="str">
        <f>'12-2017'!B496</f>
        <v>Gạch thẻ loại 1 (3,5 x 7,5 x 17,5)</v>
      </c>
      <c r="C482" s="12" t="str">
        <f>'12-2017'!C496</f>
        <v>đ/viên</v>
      </c>
      <c r="D482" s="13">
        <f>'12-2017'!O496</f>
        <v>730</v>
      </c>
      <c r="E482" s="13">
        <f>'12-2017'!P496</f>
        <v>730</v>
      </c>
      <c r="F482" s="130">
        <f t="shared" si="17"/>
        <v>0</v>
      </c>
      <c r="H482" s="74">
        <f>'12-2017'!H496</f>
        <v>0</v>
      </c>
      <c r="I482" s="74">
        <f>'12-2017'!I496</f>
        <v>0</v>
      </c>
      <c r="J482" s="74">
        <f>'12-2017'!J496</f>
        <v>0</v>
      </c>
    </row>
    <row r="483" spans="1:10" s="58" customFormat="1" ht="17.25" hidden="1">
      <c r="A483" s="10">
        <f>'12-2017'!A497</f>
        <v>4</v>
      </c>
      <c r="B483" s="11" t="str">
        <f>'12-2017'!B497</f>
        <v>Gạch thẻ loại 2 (3,5 x 7,5 x 17,5)</v>
      </c>
      <c r="C483" s="12" t="str">
        <f>'12-2017'!C497</f>
        <v>đ/viên</v>
      </c>
      <c r="D483" s="13">
        <f>'12-2017'!O497</f>
        <v>650</v>
      </c>
      <c r="E483" s="13">
        <f>'12-2017'!P497</f>
        <v>650</v>
      </c>
      <c r="F483" s="130">
        <f t="shared" si="17"/>
        <v>0</v>
      </c>
      <c r="H483" s="74">
        <f>'12-2017'!H497</f>
        <v>0</v>
      </c>
      <c r="I483" s="74">
        <f>'12-2017'!I497</f>
        <v>0</v>
      </c>
      <c r="J483" s="74">
        <f>'12-2017'!J497</f>
        <v>0</v>
      </c>
    </row>
    <row r="484" spans="1:10" s="73" customFormat="1" ht="17.25" hidden="1">
      <c r="A484" s="17"/>
      <c r="B484" s="9" t="str">
        <f>'12-2017'!B498</f>
        <v xml:space="preserve"> * Cơ sở gạch huyện Phú Tân (cách thị trấn Phú Tân 3 km)</v>
      </c>
      <c r="C484" s="8"/>
      <c r="D484" s="22"/>
      <c r="E484" s="22"/>
      <c r="F484" s="131"/>
      <c r="H484" s="74">
        <f>'12-2017'!H498</f>
        <v>0</v>
      </c>
      <c r="I484" s="74">
        <f>'12-2017'!I498</f>
        <v>0</v>
      </c>
      <c r="J484" s="74">
        <f>'12-2017'!J498</f>
        <v>0</v>
      </c>
    </row>
    <row r="485" spans="1:10" s="58" customFormat="1" ht="17.25" hidden="1">
      <c r="A485" s="10">
        <f>'12-2017'!A499</f>
        <v>1</v>
      </c>
      <c r="B485" s="11" t="str">
        <f>'12-2017'!B499</f>
        <v>Gạch ống loại 1 (7,5 x 7,5 x 17,5)</v>
      </c>
      <c r="C485" s="12" t="str">
        <f>'12-2017'!C499</f>
        <v>đ/viên</v>
      </c>
      <c r="D485" s="13">
        <f>'12-2017'!O499</f>
        <v>681.81818181818176</v>
      </c>
      <c r="E485" s="13">
        <f>'12-2017'!P499</f>
        <v>681.81818181818176</v>
      </c>
      <c r="F485" s="130">
        <f t="shared" ref="F485:F538" si="18">E485-D485</f>
        <v>0</v>
      </c>
      <c r="H485" s="74">
        <f>'12-2017'!H499</f>
        <v>0</v>
      </c>
      <c r="I485" s="74">
        <f>'12-2017'!I499</f>
        <v>0</v>
      </c>
      <c r="J485" s="74">
        <f>'12-2017'!J499</f>
        <v>0</v>
      </c>
    </row>
    <row r="486" spans="1:10" s="58" customFormat="1" ht="17.25" hidden="1">
      <c r="A486" s="10">
        <f>'12-2017'!A500</f>
        <v>2</v>
      </c>
      <c r="B486" s="11" t="str">
        <f>'12-2017'!B500</f>
        <v>Gạch ống loại 2 (7,5 x 7,5 x 17,5)</v>
      </c>
      <c r="C486" s="12" t="str">
        <f>'12-2017'!C500</f>
        <v>đ/viên</v>
      </c>
      <c r="D486" s="13">
        <f>'12-2017'!O500</f>
        <v>636.36363636363626</v>
      </c>
      <c r="E486" s="13">
        <f>'12-2017'!P500</f>
        <v>636.36363636363626</v>
      </c>
      <c r="F486" s="130">
        <f t="shared" si="18"/>
        <v>0</v>
      </c>
      <c r="H486" s="74">
        <f>'12-2017'!H500</f>
        <v>0</v>
      </c>
      <c r="I486" s="74">
        <f>'12-2017'!I500</f>
        <v>0</v>
      </c>
      <c r="J486" s="74">
        <f>'12-2017'!J500</f>
        <v>0</v>
      </c>
    </row>
    <row r="487" spans="1:10" s="58" customFormat="1" ht="17.25" hidden="1">
      <c r="A487" s="10">
        <f>'12-2017'!A501</f>
        <v>3</v>
      </c>
      <c r="B487" s="11" t="str">
        <f>'12-2017'!B501</f>
        <v>Gạch thẻ loại 1 (3,5 x 7,5 x 17,5)</v>
      </c>
      <c r="C487" s="12" t="str">
        <f>'12-2017'!C501</f>
        <v>đ/viên</v>
      </c>
      <c r="D487" s="13">
        <f>'12-2017'!O501</f>
        <v>618.18181818181813</v>
      </c>
      <c r="E487" s="13">
        <f>'12-2017'!P501</f>
        <v>618.18181818181813</v>
      </c>
      <c r="F487" s="130">
        <f t="shared" si="18"/>
        <v>0</v>
      </c>
      <c r="H487" s="74">
        <f>'12-2017'!H501</f>
        <v>0</v>
      </c>
      <c r="I487" s="74">
        <f>'12-2017'!I501</f>
        <v>0</v>
      </c>
      <c r="J487" s="74">
        <f>'12-2017'!J501</f>
        <v>0</v>
      </c>
    </row>
    <row r="488" spans="1:10" s="58" customFormat="1" ht="17.25" hidden="1">
      <c r="A488" s="10">
        <f>'12-2017'!A502</f>
        <v>4</v>
      </c>
      <c r="B488" s="11" t="str">
        <f>'12-2017'!B502</f>
        <v>Gạch thẻ loại 2 (3,5 x 7,5 x 17,5)</v>
      </c>
      <c r="C488" s="12" t="str">
        <f>'12-2017'!C502</f>
        <v>đ/viên</v>
      </c>
      <c r="D488" s="13">
        <f>'12-2017'!O502</f>
        <v>590.90909090909088</v>
      </c>
      <c r="E488" s="13">
        <f>'12-2017'!P502</f>
        <v>590.90909090909088</v>
      </c>
      <c r="F488" s="130">
        <f t="shared" si="18"/>
        <v>0</v>
      </c>
      <c r="H488" s="74">
        <f>'12-2017'!H502</f>
        <v>0</v>
      </c>
      <c r="I488" s="74">
        <f>'12-2017'!I502</f>
        <v>0</v>
      </c>
      <c r="J488" s="74">
        <f>'12-2017'!J502</f>
        <v>0</v>
      </c>
    </row>
    <row r="489" spans="1:10" s="73" customFormat="1" ht="33" customHeight="1">
      <c r="A489" s="17"/>
      <c r="B489" s="237" t="str">
        <f>'12-2017'!B503</f>
        <v xml:space="preserve"> *Giá bán tại nhà máy gạch ngói Tuynel Long Xuyên (giá xuất xưởng): Công ty TNHH MTV Xây Lắp An Giang. Theo bảng giá ngày 07/9/2017</v>
      </c>
      <c r="C489" s="238"/>
      <c r="D489" s="238"/>
      <c r="E489" s="238"/>
      <c r="F489" s="239"/>
      <c r="H489" s="74">
        <f>'12-2017'!H503</f>
        <v>0</v>
      </c>
      <c r="I489" s="74">
        <f>'12-2017'!I503</f>
        <v>0</v>
      </c>
      <c r="J489" s="74">
        <f>'12-2017'!J503</f>
        <v>0</v>
      </c>
    </row>
    <row r="490" spans="1:10" s="58" customFormat="1" ht="17.25" hidden="1">
      <c r="A490" s="10">
        <f>'12-2017'!A504</f>
        <v>1</v>
      </c>
      <c r="B490" s="11" t="str">
        <f>'12-2017'!B504</f>
        <v xml:space="preserve"> Gạch ống 9 x 19</v>
      </c>
      <c r="C490" s="12" t="str">
        <f>'12-2017'!C504</f>
        <v>đ/viên</v>
      </c>
      <c r="D490" s="13">
        <f>'12-2017'!O504</f>
        <v>1000</v>
      </c>
      <c r="E490" s="13">
        <f>'12-2017'!P504</f>
        <v>1000</v>
      </c>
      <c r="F490" s="130">
        <f t="shared" si="18"/>
        <v>0</v>
      </c>
      <c r="H490" s="74">
        <f>'12-2017'!H504</f>
        <v>0</v>
      </c>
      <c r="I490" s="74">
        <f>'12-2017'!I504</f>
        <v>0</v>
      </c>
      <c r="J490" s="74">
        <f>'12-2017'!J504</f>
        <v>0</v>
      </c>
    </row>
    <row r="491" spans="1:10" s="58" customFormat="1" ht="17.25" hidden="1">
      <c r="A491" s="10">
        <f>'12-2017'!A505</f>
        <v>2</v>
      </c>
      <c r="B491" s="11" t="str">
        <f>'12-2017'!B505</f>
        <v xml:space="preserve"> Gạch thẻ 9 x 19</v>
      </c>
      <c r="C491" s="12" t="str">
        <f>'12-2017'!C505</f>
        <v>đ/viên</v>
      </c>
      <c r="D491" s="13">
        <f>'12-2017'!O505</f>
        <v>1000</v>
      </c>
      <c r="E491" s="13">
        <f>'12-2017'!P505</f>
        <v>1000</v>
      </c>
      <c r="F491" s="130">
        <f>E491-D491</f>
        <v>0</v>
      </c>
      <c r="H491" s="74">
        <f>'12-2017'!H505</f>
        <v>0</v>
      </c>
      <c r="I491" s="74">
        <f>'12-2017'!I505</f>
        <v>0</v>
      </c>
      <c r="J491" s="74">
        <f>'12-2017'!J505</f>
        <v>0</v>
      </c>
    </row>
    <row r="492" spans="1:10" s="58" customFormat="1" ht="17.25" hidden="1">
      <c r="A492" s="10">
        <f>'12-2017'!A506</f>
        <v>3</v>
      </c>
      <c r="B492" s="11" t="str">
        <f>'12-2017'!B506</f>
        <v>Gạch ống 8 x 18</v>
      </c>
      <c r="C492" s="12" t="str">
        <f>'12-2017'!C506</f>
        <v>đ/viên</v>
      </c>
      <c r="D492" s="13">
        <f>'12-2017'!O506</f>
        <v>882</v>
      </c>
      <c r="E492" s="13">
        <f>'12-2017'!P506</f>
        <v>882</v>
      </c>
      <c r="F492" s="130">
        <f>E492-D492</f>
        <v>0</v>
      </c>
      <c r="H492" s="74">
        <f>'12-2017'!H506</f>
        <v>0</v>
      </c>
      <c r="I492" s="74">
        <f>'12-2017'!I506</f>
        <v>0</v>
      </c>
      <c r="J492" s="74">
        <f>'12-2017'!J506</f>
        <v>0</v>
      </c>
    </row>
    <row r="493" spans="1:10" s="58" customFormat="1" ht="17.25" hidden="1">
      <c r="A493" s="10">
        <f>'12-2017'!A507</f>
        <v>4</v>
      </c>
      <c r="B493" s="11" t="str">
        <f>'12-2017'!B507</f>
        <v>Gạch thẻ 8 x 18</v>
      </c>
      <c r="C493" s="12" t="str">
        <f>'12-2017'!C507</f>
        <v>đ/viên</v>
      </c>
      <c r="D493" s="13">
        <f>'12-2017'!O507</f>
        <v>882</v>
      </c>
      <c r="E493" s="13">
        <f>'12-2017'!P507</f>
        <v>882</v>
      </c>
      <c r="F493" s="130">
        <f>E493-D493</f>
        <v>0</v>
      </c>
      <c r="H493" s="74">
        <f>'12-2017'!H507</f>
        <v>0</v>
      </c>
      <c r="I493" s="74">
        <f>'12-2017'!I507</f>
        <v>0</v>
      </c>
      <c r="J493" s="74">
        <f>'12-2017'!J507</f>
        <v>0</v>
      </c>
    </row>
    <row r="494" spans="1:10" s="58" customFormat="1" ht="17.25" hidden="1">
      <c r="A494" s="10">
        <f>'12-2017'!A508</f>
        <v>5</v>
      </c>
      <c r="B494" s="11" t="str">
        <f>'12-2017'!B508</f>
        <v xml:space="preserve"> Ngói lợp 22 viên/m2 (hóa chất)</v>
      </c>
      <c r="C494" s="12" t="str">
        <f>'12-2017'!C508</f>
        <v>đ/viên</v>
      </c>
      <c r="D494" s="13">
        <f>'12-2017'!O508</f>
        <v>6545</v>
      </c>
      <c r="E494" s="13">
        <f>'12-2017'!P508</f>
        <v>6545</v>
      </c>
      <c r="F494" s="130">
        <f t="shared" ref="F494:F500" si="19">E494-D494</f>
        <v>0</v>
      </c>
      <c r="H494" s="74">
        <f>'12-2017'!H516</f>
        <v>0</v>
      </c>
      <c r="I494" s="74">
        <f>'12-2017'!I516</f>
        <v>0</v>
      </c>
      <c r="J494" s="74">
        <f>'12-2017'!J516</f>
        <v>0</v>
      </c>
    </row>
    <row r="495" spans="1:10" s="58" customFormat="1" ht="17.25" hidden="1">
      <c r="A495" s="10">
        <f>'12-2017'!A509</f>
        <v>6</v>
      </c>
      <c r="B495" s="11" t="str">
        <f>'12-2017'!B509</f>
        <v xml:space="preserve"> Ngói vẫy cá 65 viên/m2 (hóa chất)</v>
      </c>
      <c r="C495" s="12" t="str">
        <f>'12-2017'!C509</f>
        <v>đ/viên</v>
      </c>
      <c r="D495" s="13">
        <f>'12-2017'!O509</f>
        <v>4091</v>
      </c>
      <c r="E495" s="13">
        <f>'12-2017'!P509</f>
        <v>4091</v>
      </c>
      <c r="F495" s="130">
        <f t="shared" si="19"/>
        <v>0</v>
      </c>
      <c r="H495" s="74">
        <f>'12-2017'!H517</f>
        <v>0</v>
      </c>
      <c r="I495" s="74">
        <f>'12-2017'!I517</f>
        <v>0</v>
      </c>
      <c r="J495" s="74">
        <f>'12-2017'!J517</f>
        <v>0</v>
      </c>
    </row>
    <row r="496" spans="1:10" s="58" customFormat="1" ht="17.25" hidden="1">
      <c r="A496" s="10">
        <f>'12-2017'!A510</f>
        <v>7</v>
      </c>
      <c r="B496" s="11" t="str">
        <f>'12-2017'!B510</f>
        <v xml:space="preserve"> Ngói âm (hoá chất)</v>
      </c>
      <c r="C496" s="12" t="str">
        <f>'12-2017'!C510</f>
        <v>đ/viên</v>
      </c>
      <c r="D496" s="13">
        <f>'12-2017'!O510</f>
        <v>3182</v>
      </c>
      <c r="E496" s="13">
        <f>'12-2017'!P510</f>
        <v>3182</v>
      </c>
      <c r="F496" s="130">
        <f t="shared" si="19"/>
        <v>0</v>
      </c>
      <c r="H496" s="74">
        <f>'12-2017'!H508</f>
        <v>0</v>
      </c>
      <c r="I496" s="74">
        <f>'12-2017'!I508</f>
        <v>0</v>
      </c>
      <c r="J496" s="74">
        <f>'12-2017'!J508</f>
        <v>0</v>
      </c>
    </row>
    <row r="497" spans="1:10" s="58" customFormat="1" ht="17.25" hidden="1">
      <c r="A497" s="10">
        <f>'12-2017'!A511</f>
        <v>8</v>
      </c>
      <c r="B497" s="11" t="str">
        <f>'12-2017'!B511</f>
        <v xml:space="preserve"> Ngói dương (hoá chất)</v>
      </c>
      <c r="C497" s="12" t="str">
        <f>'12-2017'!C511</f>
        <v>đ/viên</v>
      </c>
      <c r="D497" s="13">
        <f>'12-2017'!O511</f>
        <v>2818</v>
      </c>
      <c r="E497" s="13">
        <f>'12-2017'!P511</f>
        <v>2818</v>
      </c>
      <c r="F497" s="130">
        <f t="shared" si="19"/>
        <v>0</v>
      </c>
      <c r="H497" s="74">
        <f>'12-2017'!H509</f>
        <v>0</v>
      </c>
      <c r="I497" s="74">
        <f>'12-2017'!I509</f>
        <v>0</v>
      </c>
      <c r="J497" s="74">
        <f>'12-2017'!J509</f>
        <v>0</v>
      </c>
    </row>
    <row r="498" spans="1:10" s="58" customFormat="1" ht="17.25" hidden="1">
      <c r="A498" s="10">
        <f>'12-2017'!A512</f>
        <v>9</v>
      </c>
      <c r="B498" s="11" t="str">
        <f>'12-2017'!B512</f>
        <v xml:space="preserve"> Ngói diềm âm (hóa chất)</v>
      </c>
      <c r="C498" s="12" t="str">
        <f>'12-2017'!C512</f>
        <v>đ/viên</v>
      </c>
      <c r="D498" s="13">
        <f>'12-2017'!O512</f>
        <v>6091</v>
      </c>
      <c r="E498" s="13">
        <f>'12-2017'!P512</f>
        <v>6091</v>
      </c>
      <c r="F498" s="130">
        <f t="shared" si="19"/>
        <v>0</v>
      </c>
      <c r="H498" s="74">
        <f>'12-2017'!H510</f>
        <v>0</v>
      </c>
      <c r="I498" s="74">
        <f>'12-2017'!I510</f>
        <v>0</v>
      </c>
      <c r="J498" s="74">
        <f>'12-2017'!J510</f>
        <v>0</v>
      </c>
    </row>
    <row r="499" spans="1:10" s="58" customFormat="1" ht="17.25" hidden="1">
      <c r="A499" s="10">
        <f>'12-2017'!A513</f>
        <v>10</v>
      </c>
      <c r="B499" s="11" t="str">
        <f>'12-2017'!B513</f>
        <v xml:space="preserve"> Ngói diềm dương (hóa chất)</v>
      </c>
      <c r="C499" s="12" t="str">
        <f>'12-2017'!C513</f>
        <v>đ/viên</v>
      </c>
      <c r="D499" s="13">
        <f>'12-2017'!O513</f>
        <v>4455</v>
      </c>
      <c r="E499" s="13">
        <f>'12-2017'!P513</f>
        <v>4455</v>
      </c>
      <c r="F499" s="130">
        <f t="shared" si="19"/>
        <v>0</v>
      </c>
      <c r="H499" s="74">
        <f>'12-2017'!H511</f>
        <v>0</v>
      </c>
      <c r="I499" s="74">
        <f>'12-2017'!I511</f>
        <v>0</v>
      </c>
      <c r="J499" s="74">
        <f>'12-2017'!J511</f>
        <v>0</v>
      </c>
    </row>
    <row r="500" spans="1:10" s="58" customFormat="1" ht="17.25" hidden="1">
      <c r="A500" s="10">
        <f>'12-2017'!A514</f>
        <v>11</v>
      </c>
      <c r="B500" s="11" t="str">
        <f>'12-2017'!B514</f>
        <v xml:space="preserve"> Ngói mũi hài (hoá chất)</v>
      </c>
      <c r="C500" s="12" t="str">
        <f>'12-2017'!C514</f>
        <v>đ/viên</v>
      </c>
      <c r="D500" s="13">
        <f>'12-2017'!O514</f>
        <v>1682</v>
      </c>
      <c r="E500" s="13">
        <f>'12-2017'!P514</f>
        <v>1682</v>
      </c>
      <c r="F500" s="130">
        <f t="shared" si="19"/>
        <v>0</v>
      </c>
      <c r="H500" s="74">
        <f>'12-2017'!H512</f>
        <v>0</v>
      </c>
      <c r="I500" s="74">
        <f>'12-2017'!I512</f>
        <v>0</v>
      </c>
      <c r="J500" s="74">
        <f>'12-2017'!J512</f>
        <v>0</v>
      </c>
    </row>
    <row r="501" spans="1:10" s="58" customFormat="1" ht="17.25" hidden="1">
      <c r="A501" s="10">
        <f>'12-2017'!A515</f>
        <v>12</v>
      </c>
      <c r="B501" s="11" t="str">
        <f>'12-2017'!B515</f>
        <v xml:space="preserve"> Ngói vẫy rồng (hoá chất)</v>
      </c>
      <c r="C501" s="12" t="str">
        <f>'12-2017'!C515</f>
        <v>đ/viên</v>
      </c>
      <c r="D501" s="13">
        <f>'12-2017'!O515</f>
        <v>1682</v>
      </c>
      <c r="E501" s="13">
        <f>'12-2017'!P515</f>
        <v>1682</v>
      </c>
      <c r="F501" s="130">
        <f>E501-D501</f>
        <v>0</v>
      </c>
      <c r="H501" s="74">
        <f>'12-2017'!H513</f>
        <v>0</v>
      </c>
      <c r="I501" s="74">
        <f>'12-2017'!I513</f>
        <v>0</v>
      </c>
      <c r="J501" s="74">
        <f>'12-2017'!J513</f>
        <v>0</v>
      </c>
    </row>
    <row r="502" spans="1:10" s="58" customFormat="1" ht="17.25" hidden="1">
      <c r="A502" s="10">
        <f>'12-2017'!A516</f>
        <v>13</v>
      </c>
      <c r="B502" s="11" t="str">
        <f>'12-2017'!B516</f>
        <v xml:space="preserve"> Gạch cẩn (hóa chất)</v>
      </c>
      <c r="C502" s="12" t="str">
        <f>'12-2017'!C516</f>
        <v>đ/viên</v>
      </c>
      <c r="D502" s="13">
        <f>'12-2017'!O516</f>
        <v>909</v>
      </c>
      <c r="E502" s="13">
        <f>'12-2017'!P516</f>
        <v>909</v>
      </c>
      <c r="F502" s="130">
        <f>E502-D502</f>
        <v>0</v>
      </c>
      <c r="H502" s="74">
        <f>'12-2017'!H514</f>
        <v>0</v>
      </c>
      <c r="I502" s="74">
        <f>'12-2017'!I514</f>
        <v>0</v>
      </c>
      <c r="J502" s="74">
        <f>'12-2017'!J514</f>
        <v>0</v>
      </c>
    </row>
    <row r="503" spans="1:10" s="58" customFormat="1" ht="17.25" hidden="1">
      <c r="A503" s="10">
        <f>'12-2017'!A517</f>
        <v>14</v>
      </c>
      <c r="B503" s="11" t="str">
        <f>'12-2017'!B517</f>
        <v xml:space="preserve"> Gạch trang trí (Hauydi)</v>
      </c>
      <c r="C503" s="12" t="str">
        <f>'12-2017'!C517</f>
        <v>đ/viên</v>
      </c>
      <c r="D503" s="13">
        <f>'12-2017'!O517</f>
        <v>2909</v>
      </c>
      <c r="E503" s="13">
        <f>'12-2017'!P517</f>
        <v>2909</v>
      </c>
      <c r="F503" s="130">
        <f>E503-D503</f>
        <v>0</v>
      </c>
      <c r="H503" s="74">
        <f>'12-2017'!H515</f>
        <v>0</v>
      </c>
      <c r="I503" s="74">
        <f>'12-2017'!I515</f>
        <v>0</v>
      </c>
      <c r="J503" s="74">
        <f>'12-2017'!J515</f>
        <v>0</v>
      </c>
    </row>
    <row r="504" spans="1:10" s="58" customFormat="1" ht="17.25" hidden="1">
      <c r="A504" s="10">
        <f>'12-2017'!A518</f>
        <v>15</v>
      </c>
      <c r="B504" s="11" t="str">
        <f>'12-2017'!B518</f>
        <v xml:space="preserve"> Ngói sắp nóc (hoá chất)</v>
      </c>
      <c r="C504" s="12" t="str">
        <f>'12-2017'!C518</f>
        <v>đ/viên</v>
      </c>
      <c r="D504" s="13">
        <f>'12-2017'!O518</f>
        <v>7909</v>
      </c>
      <c r="E504" s="13">
        <f>'12-2017'!P518</f>
        <v>7909</v>
      </c>
      <c r="F504" s="130">
        <f>E504-D504</f>
        <v>0</v>
      </c>
      <c r="H504" s="74">
        <f>'12-2017'!H518</f>
        <v>0</v>
      </c>
      <c r="I504" s="74">
        <f>'12-2017'!I518</f>
        <v>0</v>
      </c>
      <c r="J504" s="74">
        <f>'12-2017'!J518</f>
        <v>0</v>
      </c>
    </row>
    <row r="505" spans="1:10" s="58" customFormat="1" ht="17.25" hidden="1">
      <c r="A505" s="10">
        <f>'12-2017'!A519</f>
        <v>16</v>
      </c>
      <c r="B505" s="11" t="str">
        <f>'12-2017'!B519</f>
        <v xml:space="preserve"> Ngói sắp nóc nhỏ (hoá chất)</v>
      </c>
      <c r="C505" s="12" t="str">
        <f>'12-2017'!C519</f>
        <v>đ/viên</v>
      </c>
      <c r="D505" s="13">
        <f>'12-2017'!O519</f>
        <v>3182</v>
      </c>
      <c r="E505" s="13">
        <f>'12-2017'!P519</f>
        <v>3182</v>
      </c>
      <c r="F505" s="130">
        <f>E505-D505</f>
        <v>0</v>
      </c>
      <c r="H505" s="74">
        <f>'12-2017'!H519</f>
        <v>0</v>
      </c>
      <c r="I505" s="74">
        <f>'12-2017'!I519</f>
        <v>0</v>
      </c>
      <c r="J505" s="74">
        <f>'12-2017'!J519</f>
        <v>0</v>
      </c>
    </row>
    <row r="506" spans="1:10" s="73" customFormat="1" ht="33" hidden="1" customHeight="1">
      <c r="A506" s="17"/>
      <c r="B506" s="237" t="e">
        <f>'12-2017'!#REF!</f>
        <v>#REF!</v>
      </c>
      <c r="C506" s="238"/>
      <c r="D506" s="238"/>
      <c r="E506" s="238"/>
      <c r="F506" s="239"/>
      <c r="H506" s="74" t="e">
        <f>'12-2017'!#REF!</f>
        <v>#REF!</v>
      </c>
      <c r="I506" s="74" t="e">
        <f>'12-2017'!#REF!</f>
        <v>#REF!</v>
      </c>
      <c r="J506" s="74" t="e">
        <f>'12-2017'!#REF!</f>
        <v>#REF!</v>
      </c>
    </row>
    <row r="507" spans="1:10" s="58" customFormat="1" ht="17.25" hidden="1">
      <c r="A507" s="10" t="e">
        <f>'12-2017'!#REF!</f>
        <v>#REF!</v>
      </c>
      <c r="B507" s="11" t="e">
        <f>'12-2017'!#REF!</f>
        <v>#REF!</v>
      </c>
      <c r="C507" s="12" t="e">
        <f>'12-2017'!#REF!</f>
        <v>#REF!</v>
      </c>
      <c r="D507" s="13" t="e">
        <f>'12-2017'!#REF!</f>
        <v>#REF!</v>
      </c>
      <c r="E507" s="13" t="e">
        <f>'12-2017'!#REF!</f>
        <v>#REF!</v>
      </c>
      <c r="F507" s="130" t="e">
        <f t="shared" si="18"/>
        <v>#REF!</v>
      </c>
      <c r="H507" s="74" t="e">
        <f>'12-2017'!#REF!</f>
        <v>#REF!</v>
      </c>
      <c r="I507" s="74" t="e">
        <f>'12-2017'!#REF!</f>
        <v>#REF!</v>
      </c>
      <c r="J507" s="74" t="e">
        <f>'12-2017'!#REF!</f>
        <v>#REF!</v>
      </c>
    </row>
    <row r="508" spans="1:10" s="58" customFormat="1" ht="17.25" hidden="1">
      <c r="A508" s="10" t="e">
        <f>'12-2017'!#REF!</f>
        <v>#REF!</v>
      </c>
      <c r="B508" s="11" t="e">
        <f>'12-2017'!#REF!</f>
        <v>#REF!</v>
      </c>
      <c r="C508" s="12" t="e">
        <f>'12-2017'!#REF!</f>
        <v>#REF!</v>
      </c>
      <c r="D508" s="13" t="e">
        <f>'12-2017'!#REF!</f>
        <v>#REF!</v>
      </c>
      <c r="E508" s="13" t="e">
        <f>'12-2017'!#REF!</f>
        <v>#REF!</v>
      </c>
      <c r="F508" s="130" t="e">
        <f t="shared" si="18"/>
        <v>#REF!</v>
      </c>
      <c r="H508" s="74" t="e">
        <f>'12-2017'!#REF!</f>
        <v>#REF!</v>
      </c>
      <c r="I508" s="74" t="e">
        <f>'12-2017'!#REF!</f>
        <v>#REF!</v>
      </c>
      <c r="J508" s="74" t="e">
        <f>'12-2017'!#REF!</f>
        <v>#REF!</v>
      </c>
    </row>
    <row r="509" spans="1:10" s="58" customFormat="1" ht="17.25" hidden="1">
      <c r="A509" s="10" t="e">
        <f>'12-2017'!#REF!</f>
        <v>#REF!</v>
      </c>
      <c r="B509" s="11" t="e">
        <f>'12-2017'!#REF!</f>
        <v>#REF!</v>
      </c>
      <c r="C509" s="12" t="e">
        <f>'12-2017'!#REF!</f>
        <v>#REF!</v>
      </c>
      <c r="D509" s="13" t="e">
        <f>'12-2017'!#REF!</f>
        <v>#REF!</v>
      </c>
      <c r="E509" s="13" t="e">
        <f>'12-2017'!#REF!</f>
        <v>#REF!</v>
      </c>
      <c r="F509" s="130" t="e">
        <f t="shared" si="18"/>
        <v>#REF!</v>
      </c>
      <c r="H509" s="74" t="e">
        <f>'12-2017'!#REF!</f>
        <v>#REF!</v>
      </c>
      <c r="I509" s="74" t="e">
        <f>'12-2017'!#REF!</f>
        <v>#REF!</v>
      </c>
      <c r="J509" s="74" t="e">
        <f>'12-2017'!#REF!</f>
        <v>#REF!</v>
      </c>
    </row>
    <row r="510" spans="1:10" s="58" customFormat="1" ht="17.25" hidden="1">
      <c r="A510" s="10" t="e">
        <f>'12-2017'!#REF!</f>
        <v>#REF!</v>
      </c>
      <c r="B510" s="11" t="e">
        <f>'12-2017'!#REF!</f>
        <v>#REF!</v>
      </c>
      <c r="C510" s="12" t="e">
        <f>'12-2017'!#REF!</f>
        <v>#REF!</v>
      </c>
      <c r="D510" s="13" t="e">
        <f>'12-2017'!#REF!</f>
        <v>#REF!</v>
      </c>
      <c r="E510" s="13" t="e">
        <f>'12-2017'!#REF!</f>
        <v>#REF!</v>
      </c>
      <c r="F510" s="130" t="e">
        <f t="shared" si="18"/>
        <v>#REF!</v>
      </c>
      <c r="H510" s="74" t="e">
        <f>'12-2017'!#REF!</f>
        <v>#REF!</v>
      </c>
      <c r="I510" s="74" t="e">
        <f>'12-2017'!#REF!</f>
        <v>#REF!</v>
      </c>
      <c r="J510" s="74" t="e">
        <f>'12-2017'!#REF!</f>
        <v>#REF!</v>
      </c>
    </row>
    <row r="511" spans="1:10" s="73" customFormat="1" ht="33" customHeight="1">
      <c r="A511" s="17"/>
      <c r="B511" s="237" t="str">
        <f>'12-2017'!B520</f>
        <v xml:space="preserve"> * Giá bán gạch Tuynel tại nhà máy gạch Tri Tôn An Giang (giá xuất xưởng): Công ty TNHH MTV Xây Lắp An Giang. Theo bảng giá ngày 07/9/2017</v>
      </c>
      <c r="C511" s="238"/>
      <c r="D511" s="238"/>
      <c r="E511" s="238"/>
      <c r="F511" s="239"/>
      <c r="H511" s="74">
        <f>'12-2017'!H520</f>
        <v>0</v>
      </c>
      <c r="I511" s="74">
        <f>'12-2017'!I520</f>
        <v>0</v>
      </c>
      <c r="J511" s="74">
        <f>'12-2017'!J520</f>
        <v>0</v>
      </c>
    </row>
    <row r="512" spans="1:10" s="58" customFormat="1" ht="17.25" hidden="1">
      <c r="A512" s="10">
        <f>'12-2017'!A521</f>
        <v>1</v>
      </c>
      <c r="B512" s="11" t="str">
        <f>'12-2017'!B521</f>
        <v>Gạch ống 8 x 18</v>
      </c>
      <c r="C512" s="12" t="str">
        <f>'12-2017'!C521</f>
        <v>đ/viên</v>
      </c>
      <c r="D512" s="13">
        <f>'12-2017'!O521</f>
        <v>864</v>
      </c>
      <c r="E512" s="13">
        <f>'12-2017'!P521</f>
        <v>864</v>
      </c>
      <c r="F512" s="130">
        <f t="shared" si="18"/>
        <v>0</v>
      </c>
      <c r="H512" s="74">
        <f>'12-2017'!H521</f>
        <v>0</v>
      </c>
      <c r="I512" s="74">
        <f>'12-2017'!I521</f>
        <v>0</v>
      </c>
      <c r="J512" s="74">
        <f>'12-2017'!J521</f>
        <v>0</v>
      </c>
    </row>
    <row r="513" spans="1:10" s="58" customFormat="1" ht="17.25" hidden="1">
      <c r="A513" s="10">
        <f>'12-2017'!A522</f>
        <v>2</v>
      </c>
      <c r="B513" s="11" t="str">
        <f>'12-2017'!B522</f>
        <v>Gạch thẻ 8 x 18</v>
      </c>
      <c r="C513" s="12" t="str">
        <f>'12-2017'!C522</f>
        <v>đ/viên</v>
      </c>
      <c r="D513" s="13">
        <f>'12-2017'!O522</f>
        <v>845</v>
      </c>
      <c r="E513" s="13">
        <f>'12-2017'!P522</f>
        <v>845</v>
      </c>
      <c r="F513" s="130">
        <f t="shared" si="18"/>
        <v>0</v>
      </c>
      <c r="H513" s="74">
        <f>'12-2017'!H522</f>
        <v>0</v>
      </c>
      <c r="I513" s="74">
        <f>'12-2017'!I522</f>
        <v>0</v>
      </c>
      <c r="J513" s="74">
        <f>'12-2017'!J522</f>
        <v>0</v>
      </c>
    </row>
    <row r="514" spans="1:10" s="73" customFormat="1" ht="49.5" hidden="1" customHeight="1">
      <c r="A514" s="17"/>
      <c r="B514" s="237" t="str">
        <f>'12-2017'!B523</f>
        <v xml:space="preserve"> * Cty TNHH CN LAMA VN (Đại lý Tín Đạt, số 933/86 đường Phạm Cự Lượng, Tp. LX, AG),  bao gồm phí giao hàng đến công trình tại An Giang, không bao gồm chi phí dỡ hàng xuống. Theo bảng giá ngày 03/03/2017</v>
      </c>
      <c r="C514" s="238"/>
      <c r="D514" s="238"/>
      <c r="E514" s="238"/>
      <c r="F514" s="239"/>
      <c r="H514" s="74">
        <f>'12-2017'!H523</f>
        <v>0</v>
      </c>
      <c r="I514" s="74">
        <f>'12-2017'!I523</f>
        <v>0</v>
      </c>
      <c r="J514" s="74">
        <f>'12-2017'!J523</f>
        <v>0</v>
      </c>
    </row>
    <row r="515" spans="1:10" s="73" customFormat="1" ht="17.25" hidden="1">
      <c r="A515" s="17"/>
      <c r="B515" s="9" t="str">
        <f>'12-2017'!B524</f>
        <v>Ngói LAMA ROMAN</v>
      </c>
      <c r="C515" s="8"/>
      <c r="D515" s="22"/>
      <c r="E515" s="22"/>
      <c r="F515" s="131"/>
      <c r="H515" s="74">
        <f>'12-2017'!H524</f>
        <v>0</v>
      </c>
      <c r="I515" s="74">
        <f>'12-2017'!I524</f>
        <v>0</v>
      </c>
      <c r="J515" s="74">
        <f>'12-2017'!J524</f>
        <v>0</v>
      </c>
    </row>
    <row r="516" spans="1:10" s="73" customFormat="1" ht="17.25" hidden="1">
      <c r="A516" s="17"/>
      <c r="B516" s="9" t="str">
        <f>'12-2017'!B525</f>
        <v>Ngói chính</v>
      </c>
      <c r="C516" s="8"/>
      <c r="D516" s="22"/>
      <c r="E516" s="22"/>
      <c r="F516" s="131"/>
      <c r="H516" s="74">
        <f>'12-2017'!H525</f>
        <v>0</v>
      </c>
      <c r="I516" s="74">
        <f>'12-2017'!I525</f>
        <v>0</v>
      </c>
      <c r="J516" s="74">
        <f>'12-2017'!J525</f>
        <v>0</v>
      </c>
    </row>
    <row r="517" spans="1:10" s="58" customFormat="1" ht="17.25" hidden="1">
      <c r="A517" s="10">
        <f>'12-2017'!A526</f>
        <v>1</v>
      </c>
      <c r="B517" s="11" t="str">
        <f>'12-2017'!B526</f>
        <v>- Nhóm một màu: L101, L102, L103, L104</v>
      </c>
      <c r="C517" s="12" t="str">
        <f>'12-2017'!C526</f>
        <v>đ/viên</v>
      </c>
      <c r="D517" s="13">
        <f>'12-2017'!O526</f>
        <v>13154.545454545454</v>
      </c>
      <c r="E517" s="13">
        <f>'12-2017'!P526</f>
        <v>13154.545454545454</v>
      </c>
      <c r="F517" s="130">
        <f t="shared" si="18"/>
        <v>0</v>
      </c>
      <c r="H517" s="74">
        <f>'12-2017'!H526</f>
        <v>0</v>
      </c>
      <c r="I517" s="74">
        <f>'12-2017'!I526</f>
        <v>0</v>
      </c>
      <c r="J517" s="74">
        <f>'12-2017'!J526</f>
        <v>0</v>
      </c>
    </row>
    <row r="518" spans="1:10" s="58" customFormat="1" ht="17.25" hidden="1">
      <c r="A518" s="10">
        <f>'12-2017'!A527</f>
        <v>2</v>
      </c>
      <c r="B518" s="11" t="str">
        <f>'12-2017'!B527</f>
        <v>- Nhóm hai màu: L201, L203, L204 và Nhóm màu đặc biệt: L105, L226</v>
      </c>
      <c r="C518" s="12" t="str">
        <f>'12-2017'!C527</f>
        <v>đ/viên</v>
      </c>
      <c r="D518" s="13">
        <f>'12-2017'!O527</f>
        <v>13454.545454545454</v>
      </c>
      <c r="E518" s="13">
        <f>'12-2017'!P527</f>
        <v>13454.545454545454</v>
      </c>
      <c r="F518" s="130">
        <f t="shared" si="18"/>
        <v>0</v>
      </c>
      <c r="H518" s="74">
        <f>'12-2017'!H527</f>
        <v>0</v>
      </c>
      <c r="I518" s="74">
        <f>'12-2017'!I527</f>
        <v>0</v>
      </c>
      <c r="J518" s="74">
        <f>'12-2017'!J527</f>
        <v>0</v>
      </c>
    </row>
    <row r="519" spans="1:10" s="58" customFormat="1" ht="17.25" hidden="1">
      <c r="A519" s="10">
        <f>'12-2017'!A528</f>
        <v>3</v>
      </c>
      <c r="B519" s="11" t="str">
        <f>'12-2017'!B528</f>
        <v>Ngói nóc</v>
      </c>
      <c r="C519" s="12" t="str">
        <f>'12-2017'!C528</f>
        <v>đ/viên</v>
      </c>
      <c r="D519" s="13">
        <f>'12-2017'!O528</f>
        <v>24999.999999999996</v>
      </c>
      <c r="E519" s="13">
        <f>'12-2017'!P528</f>
        <v>24999.999999999996</v>
      </c>
      <c r="F519" s="130">
        <f t="shared" si="18"/>
        <v>0</v>
      </c>
      <c r="H519" s="74">
        <f>'12-2017'!H528</f>
        <v>0</v>
      </c>
      <c r="I519" s="74">
        <f>'12-2017'!I528</f>
        <v>0</v>
      </c>
      <c r="J519" s="74">
        <f>'12-2017'!J528</f>
        <v>0</v>
      </c>
    </row>
    <row r="520" spans="1:10" s="58" customFormat="1" ht="17.25" hidden="1">
      <c r="A520" s="10">
        <f>'12-2017'!A529</f>
        <v>4</v>
      </c>
      <c r="B520" s="11" t="str">
        <f>'12-2017'!B529</f>
        <v>Ngói rìa</v>
      </c>
      <c r="C520" s="12" t="str">
        <f>'12-2017'!C529</f>
        <v>đ/viên</v>
      </c>
      <c r="D520" s="13">
        <f>'12-2017'!O529</f>
        <v>24999.999999999996</v>
      </c>
      <c r="E520" s="13">
        <f>'12-2017'!P529</f>
        <v>24999.999999999996</v>
      </c>
      <c r="F520" s="130">
        <f t="shared" si="18"/>
        <v>0</v>
      </c>
      <c r="H520" s="74">
        <f>'12-2017'!H529</f>
        <v>0</v>
      </c>
      <c r="I520" s="74">
        <f>'12-2017'!I529</f>
        <v>0</v>
      </c>
      <c r="J520" s="74">
        <f>'12-2017'!J529</f>
        <v>0</v>
      </c>
    </row>
    <row r="521" spans="1:10" s="58" customFormat="1" ht="17.25" hidden="1">
      <c r="A521" s="10">
        <f>'12-2017'!A530</f>
        <v>5</v>
      </c>
      <c r="B521" s="11" t="str">
        <f>'12-2017'!B530</f>
        <v>Ngói cuối rìa</v>
      </c>
      <c r="C521" s="12" t="str">
        <f>'12-2017'!C530</f>
        <v>đ/viên</v>
      </c>
      <c r="D521" s="13">
        <f>'12-2017'!O530</f>
        <v>30454.545454545452</v>
      </c>
      <c r="E521" s="13">
        <f>'12-2017'!P530</f>
        <v>30454.545454545452</v>
      </c>
      <c r="F521" s="130">
        <f t="shared" si="18"/>
        <v>0</v>
      </c>
      <c r="H521" s="74">
        <f>'12-2017'!H530</f>
        <v>0</v>
      </c>
      <c r="I521" s="74">
        <f>'12-2017'!I530</f>
        <v>0</v>
      </c>
      <c r="J521" s="74">
        <f>'12-2017'!J530</f>
        <v>0</v>
      </c>
    </row>
    <row r="522" spans="1:10" s="58" customFormat="1" ht="17.25" hidden="1">
      <c r="A522" s="10">
        <f>'12-2017'!A531</f>
        <v>6</v>
      </c>
      <c r="B522" s="11" t="str">
        <f>'12-2017'!B531</f>
        <v>Ngói cuối nóc</v>
      </c>
      <c r="C522" s="12" t="str">
        <f>'12-2017'!C531</f>
        <v>đ/viên</v>
      </c>
      <c r="D522" s="13">
        <f>'12-2017'!O531</f>
        <v>32272.727272727268</v>
      </c>
      <c r="E522" s="13">
        <f>'12-2017'!P531</f>
        <v>32272.727272727268</v>
      </c>
      <c r="F522" s="130">
        <f t="shared" si="18"/>
        <v>0</v>
      </c>
      <c r="H522" s="74">
        <f>'12-2017'!H531</f>
        <v>0</v>
      </c>
      <c r="I522" s="74">
        <f>'12-2017'!I531</f>
        <v>0</v>
      </c>
      <c r="J522" s="74">
        <f>'12-2017'!J531</f>
        <v>0</v>
      </c>
    </row>
    <row r="523" spans="1:10" s="58" customFormat="1" ht="17.25" hidden="1">
      <c r="A523" s="10">
        <f>'12-2017'!A532</f>
        <v>7</v>
      </c>
      <c r="B523" s="11" t="str">
        <f>'12-2017'!B532</f>
        <v>Ngói cuối mái</v>
      </c>
      <c r="C523" s="12" t="str">
        <f>'12-2017'!C532</f>
        <v>đ/viên</v>
      </c>
      <c r="D523" s="13">
        <f>'12-2017'!O532</f>
        <v>32272.727272727268</v>
      </c>
      <c r="E523" s="13">
        <f>'12-2017'!P532</f>
        <v>32272.727272727268</v>
      </c>
      <c r="F523" s="130">
        <f t="shared" si="18"/>
        <v>0</v>
      </c>
      <c r="H523" s="74">
        <f>'12-2017'!H532</f>
        <v>0</v>
      </c>
      <c r="I523" s="74">
        <f>'12-2017'!I532</f>
        <v>0</v>
      </c>
      <c r="J523" s="74">
        <f>'12-2017'!J532</f>
        <v>0</v>
      </c>
    </row>
    <row r="524" spans="1:10" s="73" customFormat="1" ht="17.25" hidden="1">
      <c r="A524" s="17"/>
      <c r="B524" s="237" t="str">
        <f>'12-2017'!B533</f>
        <v>Thiết bị thông gió năng lượng mặt trời ZEPHER (bao gồm phí vận chuyển và lắp đặt tại khu vực An Giang)</v>
      </c>
      <c r="C524" s="238"/>
      <c r="D524" s="238"/>
      <c r="E524" s="238"/>
      <c r="F524" s="239"/>
      <c r="H524" s="74">
        <f>'12-2017'!H533</f>
        <v>0</v>
      </c>
      <c r="I524" s="74">
        <f>'12-2017'!I533</f>
        <v>0</v>
      </c>
      <c r="J524" s="74">
        <f>'12-2017'!J533</f>
        <v>0</v>
      </c>
    </row>
    <row r="525" spans="1:10" s="58" customFormat="1" ht="17.25" hidden="1">
      <c r="A525" s="10">
        <f>'12-2017'!A534</f>
        <v>8</v>
      </c>
      <c r="B525" s="11" t="str">
        <f>'12-2017'!B534</f>
        <v>Zepher 30  (30 watt)</v>
      </c>
      <c r="C525" s="12" t="str">
        <f>'12-2017'!C534</f>
        <v>đ/cái</v>
      </c>
      <c r="D525" s="13">
        <f>'12-2017'!O534</f>
        <v>14081818.18181818</v>
      </c>
      <c r="E525" s="13">
        <f>'12-2017'!P534</f>
        <v>14081818.18181818</v>
      </c>
      <c r="F525" s="130">
        <f t="shared" si="18"/>
        <v>0</v>
      </c>
      <c r="H525" s="74">
        <f>'12-2017'!H534</f>
        <v>0</v>
      </c>
      <c r="I525" s="74">
        <f>'12-2017'!I534</f>
        <v>0</v>
      </c>
      <c r="J525" s="74">
        <f>'12-2017'!J534</f>
        <v>0</v>
      </c>
    </row>
    <row r="526" spans="1:10" s="58" customFormat="1" ht="17.25" hidden="1">
      <c r="A526" s="10">
        <f>'12-2017'!A535</f>
        <v>9</v>
      </c>
      <c r="B526" s="11" t="str">
        <f>'12-2017'!B535</f>
        <v>Zepher 50  (50 watt)</v>
      </c>
      <c r="C526" s="12" t="str">
        <f>'12-2017'!C535</f>
        <v>đ/cái</v>
      </c>
      <c r="D526" s="13">
        <f>'12-2017'!O535</f>
        <v>17718181.818181816</v>
      </c>
      <c r="E526" s="13">
        <f>'12-2017'!P535</f>
        <v>17718181.818181816</v>
      </c>
      <c r="F526" s="130">
        <f t="shared" si="18"/>
        <v>0</v>
      </c>
      <c r="H526" s="74">
        <f>'12-2017'!H535</f>
        <v>0</v>
      </c>
      <c r="I526" s="74">
        <f>'12-2017'!I535</f>
        <v>0</v>
      </c>
      <c r="J526" s="74">
        <f>'12-2017'!J535</f>
        <v>0</v>
      </c>
    </row>
    <row r="527" spans="1:10" s="58" customFormat="1" ht="17.25" hidden="1">
      <c r="A527" s="10">
        <f>'12-2017'!A536</f>
        <v>10</v>
      </c>
      <c r="B527" s="11" t="str">
        <f>'12-2017'!B536</f>
        <v>Zepher 30 + Phụ kiện lắp đặt Zepher dùng với mái ngói Lama Roma</v>
      </c>
      <c r="C527" s="12" t="str">
        <f>'12-2017'!C536</f>
        <v>đ/bộ</v>
      </c>
      <c r="D527" s="13">
        <f>'12-2017'!O536</f>
        <v>17170909.09090909</v>
      </c>
      <c r="E527" s="13">
        <f>'12-2017'!P536</f>
        <v>17170909.09090909</v>
      </c>
      <c r="F527" s="130">
        <f t="shared" si="18"/>
        <v>0</v>
      </c>
      <c r="H527" s="74">
        <f>'12-2017'!H536</f>
        <v>0</v>
      </c>
      <c r="I527" s="74">
        <f>'12-2017'!I536</f>
        <v>0</v>
      </c>
      <c r="J527" s="74">
        <f>'12-2017'!J536</f>
        <v>0</v>
      </c>
    </row>
    <row r="528" spans="1:10" s="58" customFormat="1" ht="17.25" hidden="1">
      <c r="A528" s="10">
        <f>'12-2017'!A537</f>
        <v>11</v>
      </c>
      <c r="B528" s="11" t="str">
        <f>'12-2017'!B537</f>
        <v>Zepher 50 + Phụ kiện lắp đặt Zepher dùng với mái vói Lama Roman</v>
      </c>
      <c r="C528" s="12" t="str">
        <f>'12-2017'!C537</f>
        <v>đ/bộ</v>
      </c>
      <c r="D528" s="13">
        <f>'12-2017'!O537</f>
        <v>20807272.727272727</v>
      </c>
      <c r="E528" s="13">
        <f>'12-2017'!P537</f>
        <v>20807272.727272727</v>
      </c>
      <c r="F528" s="130">
        <f t="shared" si="18"/>
        <v>0</v>
      </c>
      <c r="H528" s="74">
        <f>'12-2017'!H537</f>
        <v>0</v>
      </c>
      <c r="I528" s="74">
        <f>'12-2017'!I537</f>
        <v>0</v>
      </c>
      <c r="J528" s="74">
        <f>'12-2017'!J537</f>
        <v>0</v>
      </c>
    </row>
    <row r="529" spans="1:10" s="73" customFormat="1" ht="49.5" hidden="1" customHeight="1">
      <c r="A529" s="17"/>
      <c r="B529" s="237" t="str">
        <f>'12-2017'!B538</f>
        <v>* Cty Cổ phần Đầu tư và thương mại DIC. (số 952 Nguyễn Xiển, Phường Long Bình, Quận 9, Tp HCM), giá không bao gồm phí vận chuyển. Theo báo giá ngày 24/02/2017</v>
      </c>
      <c r="C529" s="238"/>
      <c r="D529" s="238"/>
      <c r="E529" s="238"/>
      <c r="F529" s="239"/>
      <c r="H529" s="74">
        <f>'12-2017'!H538</f>
        <v>0</v>
      </c>
      <c r="I529" s="74">
        <f>'12-2017'!I538</f>
        <v>0</v>
      </c>
      <c r="J529" s="74">
        <f>'12-2017'!J538</f>
        <v>0</v>
      </c>
    </row>
    <row r="530" spans="1:10" s="58" customFormat="1" ht="17.25" hidden="1">
      <c r="A530" s="10">
        <f>'12-2017'!A539</f>
        <v>1</v>
      </c>
      <c r="B530" s="11" t="str">
        <f>'12-2017'!B539</f>
        <v>Ngói chính</v>
      </c>
      <c r="C530" s="12" t="str">
        <f>'12-2017'!C539</f>
        <v>đ/viên</v>
      </c>
      <c r="D530" s="13">
        <f>'12-2017'!O539</f>
        <v>12745</v>
      </c>
      <c r="E530" s="13">
        <f>'12-2017'!P539</f>
        <v>12745</v>
      </c>
      <c r="F530" s="130">
        <f t="shared" si="18"/>
        <v>0</v>
      </c>
      <c r="H530" s="74">
        <f>'12-2017'!H539</f>
        <v>0</v>
      </c>
      <c r="I530" s="74">
        <f>'12-2017'!I539</f>
        <v>0</v>
      </c>
      <c r="J530" s="74">
        <f>'12-2017'!J539</f>
        <v>0</v>
      </c>
    </row>
    <row r="531" spans="1:10" s="58" customFormat="1" ht="17.25" hidden="1">
      <c r="A531" s="10">
        <f>'12-2017'!A540</f>
        <v>2</v>
      </c>
      <c r="B531" s="11" t="str">
        <f>'12-2017'!B540</f>
        <v>Ngói chính</v>
      </c>
      <c r="C531" s="12" t="str">
        <f>'12-2017'!C540</f>
        <v>đ/viên</v>
      </c>
      <c r="D531" s="13">
        <f>'12-2017'!O540</f>
        <v>19793</v>
      </c>
      <c r="E531" s="13">
        <f>'12-2017'!P540</f>
        <v>19793</v>
      </c>
      <c r="F531" s="130">
        <f t="shared" si="18"/>
        <v>0</v>
      </c>
      <c r="H531" s="74">
        <f>'12-2017'!H540</f>
        <v>0</v>
      </c>
      <c r="I531" s="74">
        <f>'12-2017'!I540</f>
        <v>0</v>
      </c>
      <c r="J531" s="74">
        <f>'12-2017'!J540</f>
        <v>0</v>
      </c>
    </row>
    <row r="532" spans="1:10" s="58" customFormat="1" ht="17.25" hidden="1">
      <c r="A532" s="10">
        <f>'12-2017'!A541</f>
        <v>3</v>
      </c>
      <c r="B532" s="11" t="str">
        <f>'12-2017'!B541</f>
        <v>Ngói cuối nóc</v>
      </c>
      <c r="C532" s="12" t="str">
        <f>'12-2017'!C541</f>
        <v>đ/viên</v>
      </c>
      <c r="D532" s="13">
        <f>'12-2017'!O541</f>
        <v>26909</v>
      </c>
      <c r="E532" s="13">
        <f>'12-2017'!P541</f>
        <v>26909</v>
      </c>
      <c r="F532" s="130">
        <f t="shared" si="18"/>
        <v>0</v>
      </c>
      <c r="H532" s="74">
        <f>'12-2017'!H541</f>
        <v>0</v>
      </c>
      <c r="I532" s="74">
        <f>'12-2017'!I541</f>
        <v>0</v>
      </c>
      <c r="J532" s="74">
        <f>'12-2017'!J541</f>
        <v>0</v>
      </c>
    </row>
    <row r="533" spans="1:10" s="58" customFormat="1" ht="17.25" hidden="1">
      <c r="A533" s="10">
        <f>'12-2017'!A542</f>
        <v>4</v>
      </c>
      <c r="B533" s="11" t="str">
        <f>'12-2017'!B542</f>
        <v>Ngói cuối mái</v>
      </c>
      <c r="C533" s="12" t="str">
        <f>'12-2017'!C542</f>
        <v>đ/viên</v>
      </c>
      <c r="D533" s="13">
        <f>'12-2017'!O542</f>
        <v>26909</v>
      </c>
      <c r="E533" s="13">
        <f>'12-2017'!P542</f>
        <v>26909</v>
      </c>
      <c r="F533" s="130">
        <f t="shared" si="18"/>
        <v>0</v>
      </c>
      <c r="H533" s="74">
        <f>'12-2017'!H542</f>
        <v>0</v>
      </c>
      <c r="I533" s="74">
        <f>'12-2017'!I542</f>
        <v>0</v>
      </c>
      <c r="J533" s="74">
        <f>'12-2017'!J542</f>
        <v>0</v>
      </c>
    </row>
    <row r="534" spans="1:10" s="58" customFormat="1" ht="17.25" hidden="1">
      <c r="A534" s="10">
        <f>'12-2017'!A543</f>
        <v>5</v>
      </c>
      <c r="B534" s="11" t="str">
        <f>'12-2017'!B543</f>
        <v>Ngói rìa</v>
      </c>
      <c r="C534" s="12" t="str">
        <f>'12-2017'!C543</f>
        <v>đ/viên</v>
      </c>
      <c r="D534" s="13">
        <f>'12-2017'!O543</f>
        <v>19793</v>
      </c>
      <c r="E534" s="13">
        <f>'12-2017'!P543</f>
        <v>19793</v>
      </c>
      <c r="F534" s="130">
        <f t="shared" si="18"/>
        <v>0</v>
      </c>
      <c r="H534" s="74">
        <f>'12-2017'!H543</f>
        <v>0</v>
      </c>
      <c r="I534" s="74">
        <f>'12-2017'!I543</f>
        <v>0</v>
      </c>
      <c r="J534" s="74">
        <f>'12-2017'!J543</f>
        <v>0</v>
      </c>
    </row>
    <row r="535" spans="1:10" s="58" customFormat="1" ht="17.25" hidden="1">
      <c r="A535" s="10">
        <f>'12-2017'!A544</f>
        <v>6</v>
      </c>
      <c r="B535" s="11" t="str">
        <f>'12-2017'!B544</f>
        <v>Ngói rìa đuôi</v>
      </c>
      <c r="C535" s="12" t="str">
        <f>'12-2017'!C544</f>
        <v>đ/viên</v>
      </c>
      <c r="D535" s="13">
        <f>'12-2017'!O544</f>
        <v>26909</v>
      </c>
      <c r="E535" s="13">
        <f>'12-2017'!P544</f>
        <v>26909</v>
      </c>
      <c r="F535" s="130">
        <f t="shared" si="18"/>
        <v>0</v>
      </c>
      <c r="H535" s="74">
        <f>'12-2017'!H544</f>
        <v>0</v>
      </c>
      <c r="I535" s="74">
        <f>'12-2017'!I544</f>
        <v>0</v>
      </c>
      <c r="J535" s="74">
        <f>'12-2017'!J544</f>
        <v>0</v>
      </c>
    </row>
    <row r="536" spans="1:10" s="58" customFormat="1" ht="17.25" hidden="1">
      <c r="A536" s="10">
        <f>'12-2017'!A545</f>
        <v>7</v>
      </c>
      <c r="B536" s="11" t="str">
        <f>'12-2017'!B545</f>
        <v>Ngói góc vuông</v>
      </c>
      <c r="C536" s="12" t="str">
        <f>'12-2017'!C545</f>
        <v>đ/viên</v>
      </c>
      <c r="D536" s="13">
        <f>'12-2017'!O545</f>
        <v>29949</v>
      </c>
      <c r="E536" s="13">
        <f>'12-2017'!P545</f>
        <v>29949</v>
      </c>
      <c r="F536" s="130">
        <f t="shared" si="18"/>
        <v>0</v>
      </c>
      <c r="H536" s="74">
        <f>'12-2017'!H545</f>
        <v>0</v>
      </c>
      <c r="I536" s="74">
        <f>'12-2017'!I545</f>
        <v>0</v>
      </c>
      <c r="J536" s="74">
        <f>'12-2017'!J545</f>
        <v>0</v>
      </c>
    </row>
    <row r="537" spans="1:10" s="58" customFormat="1" ht="17.25" hidden="1">
      <c r="A537" s="10">
        <f>'12-2017'!A546</f>
        <v>8</v>
      </c>
      <c r="B537" s="11" t="str">
        <f>'12-2017'!B546</f>
        <v>Ngói chạc 3</v>
      </c>
      <c r="C537" s="12" t="str">
        <f>'12-2017'!C546</f>
        <v>đ/viên</v>
      </c>
      <c r="D537" s="13">
        <f>'12-2017'!O546</f>
        <v>29949</v>
      </c>
      <c r="E537" s="13">
        <f>'12-2017'!P546</f>
        <v>29949</v>
      </c>
      <c r="F537" s="130">
        <f t="shared" si="18"/>
        <v>0</v>
      </c>
      <c r="H537" s="74">
        <f>'12-2017'!H546</f>
        <v>0</v>
      </c>
      <c r="I537" s="74">
        <f>'12-2017'!I546</f>
        <v>0</v>
      </c>
      <c r="J537" s="74">
        <f>'12-2017'!J546</f>
        <v>0</v>
      </c>
    </row>
    <row r="538" spans="1:10" s="58" customFormat="1" ht="17.25" hidden="1">
      <c r="A538" s="10">
        <f>'12-2017'!A547</f>
        <v>9</v>
      </c>
      <c r="B538" s="11" t="str">
        <f>'12-2017'!B547</f>
        <v>Ngói chạc 4</v>
      </c>
      <c r="C538" s="12" t="str">
        <f>'12-2017'!C547</f>
        <v>đ/viên</v>
      </c>
      <c r="D538" s="13">
        <f>'12-2017'!O547</f>
        <v>33956</v>
      </c>
      <c r="E538" s="13">
        <f>'12-2017'!P547</f>
        <v>33956</v>
      </c>
      <c r="F538" s="130">
        <f t="shared" si="18"/>
        <v>0</v>
      </c>
      <c r="H538" s="74">
        <f>'12-2017'!H547</f>
        <v>0</v>
      </c>
      <c r="I538" s="74">
        <f>'12-2017'!I547</f>
        <v>0</v>
      </c>
      <c r="J538" s="74">
        <f>'12-2017'!J547</f>
        <v>0</v>
      </c>
    </row>
    <row r="539" spans="1:10" s="73" customFormat="1" ht="17.25" hidden="1">
      <c r="A539" s="17"/>
      <c r="B539" s="9" t="str">
        <f>'12-2017'!B548</f>
        <v>Gạch Ceramic :</v>
      </c>
      <c r="C539" s="8"/>
      <c r="D539" s="22"/>
      <c r="E539" s="22"/>
      <c r="F539" s="131"/>
      <c r="H539" s="74">
        <f>'12-2017'!H548</f>
        <v>0</v>
      </c>
      <c r="I539" s="74">
        <f>'12-2017'!I548</f>
        <v>0</v>
      </c>
      <c r="J539" s="74">
        <f>'12-2017'!J548</f>
        <v>0</v>
      </c>
    </row>
    <row r="540" spans="1:10" s="73" customFormat="1" ht="17.25">
      <c r="A540" s="17"/>
      <c r="B540" s="237" t="str">
        <f>'12-2017'!B549</f>
        <v>* Giá gạch men cao cấp ACERA giao tại nhà máy gạch ACERA An Giang, TCVN 6415. Theo bảng giá ngày 07/9/2017</v>
      </c>
      <c r="C540" s="238"/>
      <c r="D540" s="238"/>
      <c r="E540" s="238"/>
      <c r="F540" s="239"/>
      <c r="H540" s="74">
        <f>'12-2017'!H549</f>
        <v>0</v>
      </c>
      <c r="I540" s="74">
        <f>'12-2017'!I549</f>
        <v>0</v>
      </c>
      <c r="J540" s="74">
        <f>'12-2017'!J549</f>
        <v>0</v>
      </c>
    </row>
    <row r="541" spans="1:10" s="73" customFormat="1" ht="42.75" hidden="1" customHeight="1">
      <c r="A541" s="17"/>
      <c r="B541" s="237" t="str">
        <f>'12-2017'!B550</f>
        <v>Gạch 40cmx40cm (1 thùng 6 viên tương đương 0,96m2) các mã số mới: 4000, 4063, 4069, 4080, 4086, 4087, 4089, 4094, 4095, 4096, 4097, 4098, 4099, 4101, 4107, 4108, 4110,…</v>
      </c>
      <c r="C541" s="238"/>
      <c r="D541" s="238"/>
      <c r="E541" s="238"/>
      <c r="F541" s="239"/>
      <c r="H541" s="74">
        <f>'12-2017'!H550</f>
        <v>0</v>
      </c>
      <c r="I541" s="74">
        <f>'12-2017'!I550</f>
        <v>0</v>
      </c>
      <c r="J541" s="74">
        <f>'12-2017'!J550</f>
        <v>0</v>
      </c>
    </row>
    <row r="542" spans="1:10" s="58" customFormat="1" ht="17.25" hidden="1">
      <c r="A542" s="10">
        <f>'12-2017'!A551</f>
        <v>1</v>
      </c>
      <c r="B542" s="11" t="str">
        <f>'12-2017'!B551</f>
        <v xml:space="preserve"> Loại A</v>
      </c>
      <c r="C542" s="12" t="str">
        <f>'12-2017'!C551</f>
        <v>đ/thùng</v>
      </c>
      <c r="D542" s="13">
        <f>'12-2017'!O551</f>
        <v>89091</v>
      </c>
      <c r="E542" s="13">
        <f>'12-2017'!P551</f>
        <v>89091</v>
      </c>
      <c r="F542" s="130">
        <f t="shared" ref="F542:F595" si="20">E542-D542</f>
        <v>0</v>
      </c>
      <c r="H542" s="74">
        <f>'12-2017'!H551</f>
        <v>0</v>
      </c>
      <c r="I542" s="74">
        <f>'12-2017'!I551</f>
        <v>0</v>
      </c>
      <c r="J542" s="74">
        <f>'12-2017'!J551</f>
        <v>0</v>
      </c>
    </row>
    <row r="543" spans="1:10" s="58" customFormat="1" ht="17.25" hidden="1">
      <c r="A543" s="10">
        <f>'12-2017'!A552</f>
        <v>2</v>
      </c>
      <c r="B543" s="11" t="str">
        <f>'12-2017'!B552</f>
        <v xml:space="preserve"> Loại A A</v>
      </c>
      <c r="C543" s="12" t="str">
        <f>'12-2017'!C552</f>
        <v>đ/thùng</v>
      </c>
      <c r="D543" s="13">
        <f>'12-2017'!O552</f>
        <v>86364</v>
      </c>
      <c r="E543" s="13">
        <f>'12-2017'!P552</f>
        <v>86364</v>
      </c>
      <c r="F543" s="130">
        <f t="shared" ref="F543:F551" si="21">E543-D543</f>
        <v>0</v>
      </c>
      <c r="H543" s="74">
        <f>'12-2017'!H552</f>
        <v>0</v>
      </c>
      <c r="I543" s="74">
        <f>'12-2017'!I552</f>
        <v>0</v>
      </c>
      <c r="J543" s="74">
        <f>'12-2017'!J552</f>
        <v>0</v>
      </c>
    </row>
    <row r="544" spans="1:10" s="58" customFormat="1" ht="17.25" hidden="1">
      <c r="A544" s="10"/>
      <c r="B544" s="11" t="str">
        <f>'12-2017'!B553</f>
        <v>Gạch 40cmx40cm men matt ) các mã số :4109, 4111, 4114,4115, 4124 …</v>
      </c>
      <c r="C544" s="12"/>
      <c r="D544" s="13"/>
      <c r="E544" s="13"/>
      <c r="F544" s="130"/>
      <c r="H544" s="74">
        <f>'12-2017'!H553</f>
        <v>0</v>
      </c>
      <c r="I544" s="74">
        <f>'12-2017'!I553</f>
        <v>0</v>
      </c>
      <c r="J544" s="74">
        <f>'12-2017'!J553</f>
        <v>0</v>
      </c>
    </row>
    <row r="545" spans="1:10" s="58" customFormat="1" ht="17.25" hidden="1">
      <c r="A545" s="10">
        <f>'12-2017'!A554</f>
        <v>1</v>
      </c>
      <c r="B545" s="11" t="str">
        <f>'12-2017'!B554</f>
        <v xml:space="preserve"> Loại A</v>
      </c>
      <c r="C545" s="12" t="str">
        <f>'12-2017'!C554</f>
        <v>đ/thùng</v>
      </c>
      <c r="D545" s="13">
        <f>'12-2017'!O554</f>
        <v>91818</v>
      </c>
      <c r="E545" s="13">
        <f>'12-2017'!P554</f>
        <v>91818</v>
      </c>
      <c r="F545" s="130">
        <f t="shared" si="21"/>
        <v>0</v>
      </c>
      <c r="H545" s="74">
        <f>'12-2017'!H554</f>
        <v>0</v>
      </c>
      <c r="I545" s="74">
        <f>'12-2017'!I554</f>
        <v>0</v>
      </c>
      <c r="J545" s="74">
        <f>'12-2017'!J554</f>
        <v>0</v>
      </c>
    </row>
    <row r="546" spans="1:10" s="58" customFormat="1" ht="17.25" hidden="1">
      <c r="A546" s="10">
        <f>'12-2017'!A555</f>
        <v>2</v>
      </c>
      <c r="B546" s="11" t="str">
        <f>'12-2017'!B555</f>
        <v xml:space="preserve"> Loại A A</v>
      </c>
      <c r="C546" s="12" t="str">
        <f>'12-2017'!C555</f>
        <v>đ/thùng</v>
      </c>
      <c r="D546" s="13">
        <f>'12-2017'!O555</f>
        <v>89091</v>
      </c>
      <c r="E546" s="13">
        <f>'12-2017'!P555</f>
        <v>89091</v>
      </c>
      <c r="F546" s="130">
        <f t="shared" si="21"/>
        <v>0</v>
      </c>
      <c r="H546" s="74">
        <f>'12-2017'!H555</f>
        <v>0</v>
      </c>
      <c r="I546" s="74">
        <f>'12-2017'!I555</f>
        <v>0</v>
      </c>
      <c r="J546" s="74">
        <f>'12-2017'!J555</f>
        <v>0</v>
      </c>
    </row>
    <row r="547" spans="1:10" s="58" customFormat="1" ht="17.25" hidden="1">
      <c r="A547" s="10"/>
      <c r="B547" s="11" t="str">
        <f>'12-2017'!B556</f>
        <v>Gạch 25cmx40cm (1 thùng 10 viên tương đương 1m2) men bóng</v>
      </c>
      <c r="C547" s="12"/>
      <c r="D547" s="13"/>
      <c r="E547" s="13"/>
      <c r="F547" s="130"/>
      <c r="H547" s="74">
        <f>'12-2017'!H556</f>
        <v>0</v>
      </c>
      <c r="I547" s="74">
        <f>'12-2017'!I556</f>
        <v>0</v>
      </c>
      <c r="J547" s="74">
        <f>'12-2017'!J556</f>
        <v>0</v>
      </c>
    </row>
    <row r="548" spans="1:10" s="58" customFormat="1" ht="17.25" hidden="1">
      <c r="A548" s="10">
        <f>'12-2017'!A557</f>
        <v>1</v>
      </c>
      <c r="B548" s="11" t="str">
        <f>'12-2017'!B557</f>
        <v xml:space="preserve"> Loại A</v>
      </c>
      <c r="C548" s="12" t="str">
        <f>'12-2017'!C557</f>
        <v>đ/thùng</v>
      </c>
      <c r="D548" s="13">
        <f>'12-2017'!O557</f>
        <v>87273</v>
      </c>
      <c r="E548" s="13">
        <f>'12-2017'!P557</f>
        <v>87273</v>
      </c>
      <c r="F548" s="130">
        <f t="shared" si="21"/>
        <v>0</v>
      </c>
      <c r="H548" s="74">
        <f>'12-2017'!H557</f>
        <v>0</v>
      </c>
      <c r="I548" s="74">
        <f>'12-2017'!I557</f>
        <v>0</v>
      </c>
      <c r="J548" s="74">
        <f>'12-2017'!J557</f>
        <v>0</v>
      </c>
    </row>
    <row r="549" spans="1:10" s="58" customFormat="1" ht="17.25" hidden="1">
      <c r="A549" s="10">
        <f>'12-2017'!A558</f>
        <v>2</v>
      </c>
      <c r="B549" s="11" t="str">
        <f>'12-2017'!B558</f>
        <v xml:space="preserve"> Loại A A</v>
      </c>
      <c r="C549" s="12" t="str">
        <f>'12-2017'!C558</f>
        <v>đ/thùng</v>
      </c>
      <c r="D549" s="13">
        <f>'12-2017'!O558</f>
        <v>84545</v>
      </c>
      <c r="E549" s="13">
        <f>'12-2017'!P558</f>
        <v>84545</v>
      </c>
      <c r="F549" s="130">
        <f t="shared" si="21"/>
        <v>0</v>
      </c>
      <c r="H549" s="74">
        <f>'12-2017'!H558</f>
        <v>0</v>
      </c>
      <c r="I549" s="74">
        <f>'12-2017'!I558</f>
        <v>0</v>
      </c>
      <c r="J549" s="74">
        <f>'12-2017'!J558</f>
        <v>0</v>
      </c>
    </row>
    <row r="550" spans="1:10" s="58" customFormat="1" ht="17.25" hidden="1">
      <c r="A550" s="10">
        <f>'12-2017'!A559</f>
        <v>0</v>
      </c>
      <c r="B550" s="11" t="str">
        <f>'12-2017'!B559</f>
        <v>Gạch 25cmx40cm màu đặc biệt</v>
      </c>
      <c r="C550" s="12"/>
      <c r="D550" s="13"/>
      <c r="E550" s="13"/>
      <c r="F550" s="130"/>
      <c r="H550" s="74">
        <f>'12-2017'!H559</f>
        <v>0</v>
      </c>
      <c r="I550" s="74">
        <f>'12-2017'!I559</f>
        <v>0</v>
      </c>
      <c r="J550" s="74">
        <f>'12-2017'!J559</f>
        <v>0</v>
      </c>
    </row>
    <row r="551" spans="1:10" s="58" customFormat="1" ht="17.25" hidden="1">
      <c r="A551" s="10">
        <f>'12-2017'!A560</f>
        <v>1</v>
      </c>
      <c r="B551" s="11" t="str">
        <f>'12-2017'!B560</f>
        <v xml:space="preserve"> Loại A</v>
      </c>
      <c r="C551" s="12" t="str">
        <f>'12-2017'!C560</f>
        <v>đ/thùng</v>
      </c>
      <c r="D551" s="13">
        <f>'12-2017'!O560</f>
        <v>89091</v>
      </c>
      <c r="E551" s="13">
        <f>'12-2017'!P560</f>
        <v>89091</v>
      </c>
      <c r="F551" s="130">
        <f t="shared" si="21"/>
        <v>0</v>
      </c>
      <c r="H551" s="74">
        <f>'12-2017'!H560</f>
        <v>0</v>
      </c>
      <c r="I551" s="74">
        <f>'12-2017'!I560</f>
        <v>0</v>
      </c>
      <c r="J551" s="74">
        <f>'12-2017'!J560</f>
        <v>0</v>
      </c>
    </row>
    <row r="552" spans="1:10" s="58" customFormat="1" ht="17.25" hidden="1">
      <c r="A552" s="10">
        <f>'12-2017'!A561</f>
        <v>2</v>
      </c>
      <c r="B552" s="11" t="str">
        <f>'12-2017'!B561</f>
        <v xml:space="preserve"> Loại A A</v>
      </c>
      <c r="C552" s="12" t="str">
        <f>'12-2017'!C561</f>
        <v>đ/thùng</v>
      </c>
      <c r="D552" s="13">
        <f>'12-2017'!O561</f>
        <v>86364</v>
      </c>
      <c r="E552" s="13">
        <f>'12-2017'!P561</f>
        <v>86364</v>
      </c>
      <c r="F552" s="130">
        <f>E552-D552</f>
        <v>0</v>
      </c>
      <c r="H552" s="74">
        <f>'12-2017'!H561</f>
        <v>0</v>
      </c>
      <c r="I552" s="74">
        <f>'12-2017'!I561</f>
        <v>0</v>
      </c>
      <c r="J552" s="74">
        <f>'12-2017'!J561</f>
        <v>0</v>
      </c>
    </row>
    <row r="553" spans="1:10" s="58" customFormat="1" ht="17.25" hidden="1">
      <c r="A553" s="10"/>
      <c r="B553" s="11" t="str">
        <f>'12-2017'!B562</f>
        <v xml:space="preserve">Gạch 25 x 40cm in kỹ thuật số - mài cạnh </v>
      </c>
      <c r="C553" s="12"/>
      <c r="D553" s="13"/>
      <c r="E553" s="13"/>
      <c r="F553" s="130"/>
      <c r="H553" s="74">
        <f>'12-2017'!H562</f>
        <v>0</v>
      </c>
      <c r="I553" s="74">
        <f>'12-2017'!I562</f>
        <v>0</v>
      </c>
      <c r="J553" s="74">
        <f>'12-2017'!J562</f>
        <v>0</v>
      </c>
    </row>
    <row r="554" spans="1:10" s="58" customFormat="1" ht="17.25" hidden="1">
      <c r="A554" s="10">
        <f>'12-2017'!A563</f>
        <v>1</v>
      </c>
      <c r="B554" s="11" t="str">
        <f>'12-2017'!B563</f>
        <v xml:space="preserve"> Loại A</v>
      </c>
      <c r="C554" s="12" t="str">
        <f>'12-2017'!C563</f>
        <v>đ/thùng</v>
      </c>
      <c r="D554" s="13">
        <f>'12-2017'!O563</f>
        <v>91818</v>
      </c>
      <c r="E554" s="13">
        <f>'12-2017'!P563</f>
        <v>91818</v>
      </c>
      <c r="F554" s="130">
        <f>E554-D554</f>
        <v>0</v>
      </c>
      <c r="H554" s="74">
        <f>'12-2017'!H563</f>
        <v>0</v>
      </c>
      <c r="I554" s="74">
        <f>'12-2017'!I563</f>
        <v>0</v>
      </c>
      <c r="J554" s="74">
        <f>'12-2017'!J563</f>
        <v>0</v>
      </c>
    </row>
    <row r="555" spans="1:10" s="58" customFormat="1" ht="17.25" hidden="1">
      <c r="A555" s="10">
        <f>'12-2017'!A564</f>
        <v>2</v>
      </c>
      <c r="B555" s="11" t="str">
        <f>'12-2017'!B564</f>
        <v xml:space="preserve"> Loại A A</v>
      </c>
      <c r="C555" s="12" t="str">
        <f>'12-2017'!C564</f>
        <v>đ/thùng</v>
      </c>
      <c r="D555" s="13">
        <f>'12-2017'!O564</f>
        <v>89091</v>
      </c>
      <c r="E555" s="13">
        <f>'12-2017'!P564</f>
        <v>89091</v>
      </c>
      <c r="F555" s="130">
        <f>E555-D555</f>
        <v>0</v>
      </c>
      <c r="H555" s="74">
        <f>'12-2017'!H564</f>
        <v>0</v>
      </c>
      <c r="I555" s="74">
        <f>'12-2017'!I564</f>
        <v>0</v>
      </c>
      <c r="J555" s="74">
        <f>'12-2017'!J564</f>
        <v>0</v>
      </c>
    </row>
    <row r="556" spans="1:10" s="73" customFormat="1" ht="17.25" hidden="1">
      <c r="A556" s="17"/>
      <c r="B556" s="9" t="str">
        <f>'12-2017'!B565</f>
        <v>Gạch 30 x 45cm in kỹ thuật số - mài cạnh (07 viên/thùng/0,95m2)</v>
      </c>
      <c r="C556" s="8"/>
      <c r="D556" s="22"/>
      <c r="E556" s="22"/>
      <c r="F556" s="131"/>
      <c r="H556" s="74">
        <f>'12-2017'!H565</f>
        <v>0</v>
      </c>
      <c r="I556" s="74">
        <f>'12-2017'!I565</f>
        <v>0</v>
      </c>
      <c r="J556" s="74">
        <f>'12-2017'!J565</f>
        <v>0</v>
      </c>
    </row>
    <row r="557" spans="1:10" s="58" customFormat="1" ht="17.25" hidden="1">
      <c r="A557" s="10">
        <f>'12-2017'!A566</f>
        <v>1</v>
      </c>
      <c r="B557" s="11" t="str">
        <f>'12-2017'!B566</f>
        <v xml:space="preserve"> Loại A</v>
      </c>
      <c r="C557" s="12" t="str">
        <f>'12-2017'!C566</f>
        <v>đ/thùng</v>
      </c>
      <c r="D557" s="13">
        <f>'12-2017'!O566</f>
        <v>95455</v>
      </c>
      <c r="E557" s="13">
        <f>'12-2017'!P566</f>
        <v>95455</v>
      </c>
      <c r="F557" s="130">
        <f t="shared" si="20"/>
        <v>0</v>
      </c>
      <c r="H557" s="74">
        <f>'12-2017'!H566</f>
        <v>0</v>
      </c>
      <c r="I557" s="74">
        <f>'12-2017'!I566</f>
        <v>0</v>
      </c>
      <c r="J557" s="74">
        <f>'12-2017'!J566</f>
        <v>0</v>
      </c>
    </row>
    <row r="558" spans="1:10" s="58" customFormat="1" ht="17.25" hidden="1">
      <c r="A558" s="10">
        <f>'12-2017'!A567</f>
        <v>2</v>
      </c>
      <c r="B558" s="11" t="str">
        <f>'12-2017'!B567</f>
        <v xml:space="preserve"> Loại A A</v>
      </c>
      <c r="C558" s="12" t="str">
        <f>'12-2017'!C567</f>
        <v>đ/thùng</v>
      </c>
      <c r="D558" s="13">
        <f>'12-2017'!O567</f>
        <v>90909</v>
      </c>
      <c r="E558" s="13">
        <f>'12-2017'!P567</f>
        <v>90909</v>
      </c>
      <c r="F558" s="130">
        <f t="shared" si="20"/>
        <v>0</v>
      </c>
      <c r="H558" s="74">
        <f>'12-2017'!H567</f>
        <v>0</v>
      </c>
      <c r="I558" s="74">
        <f>'12-2017'!I567</f>
        <v>0</v>
      </c>
      <c r="J558" s="74">
        <f>'12-2017'!J567</f>
        <v>0</v>
      </c>
    </row>
    <row r="559" spans="1:10" s="73" customFormat="1" ht="17.25" hidden="1">
      <c r="A559" s="17"/>
      <c r="B559" s="9" t="str">
        <f>'12-2017'!B568</f>
        <v>Gạch 30 x 45cm in kỹ thuật số - mài cạnh: đặc biệt (07 viên/thùng/0,95m2)</v>
      </c>
      <c r="C559" s="8"/>
      <c r="D559" s="22"/>
      <c r="E559" s="22"/>
      <c r="F559" s="131"/>
      <c r="H559" s="74">
        <f>'12-2017'!H568</f>
        <v>0</v>
      </c>
      <c r="I559" s="74">
        <f>'12-2017'!I568</f>
        <v>0</v>
      </c>
      <c r="J559" s="74">
        <f>'12-2017'!J568</f>
        <v>0</v>
      </c>
    </row>
    <row r="560" spans="1:10" s="58" customFormat="1" ht="17.25" hidden="1">
      <c r="A560" s="10">
        <f>'12-2017'!A569</f>
        <v>1</v>
      </c>
      <c r="B560" s="11" t="str">
        <f>'12-2017'!B569</f>
        <v xml:space="preserve"> Loại A</v>
      </c>
      <c r="C560" s="12" t="str">
        <f>'12-2017'!C569</f>
        <v>đ/thùng</v>
      </c>
      <c r="D560" s="13">
        <f>'12-2017'!O569</f>
        <v>97273</v>
      </c>
      <c r="E560" s="13">
        <f>'12-2017'!P569</f>
        <v>97273</v>
      </c>
      <c r="F560" s="130">
        <f t="shared" si="20"/>
        <v>0</v>
      </c>
      <c r="H560" s="74">
        <f>'12-2017'!H569</f>
        <v>0</v>
      </c>
      <c r="I560" s="74">
        <f>'12-2017'!I569</f>
        <v>0</v>
      </c>
      <c r="J560" s="74">
        <f>'12-2017'!J569</f>
        <v>0</v>
      </c>
    </row>
    <row r="561" spans="1:10" s="58" customFormat="1" ht="17.25" hidden="1">
      <c r="A561" s="10">
        <f>'12-2017'!A570</f>
        <v>2</v>
      </c>
      <c r="B561" s="11" t="str">
        <f>'12-2017'!B570</f>
        <v xml:space="preserve"> Loại A A</v>
      </c>
      <c r="C561" s="12" t="str">
        <f>'12-2017'!C570</f>
        <v>đ/thùng</v>
      </c>
      <c r="D561" s="13">
        <f>'12-2017'!O570</f>
        <v>92727</v>
      </c>
      <c r="E561" s="13">
        <f>'12-2017'!P570</f>
        <v>92727</v>
      </c>
      <c r="F561" s="130">
        <f t="shared" si="20"/>
        <v>0</v>
      </c>
      <c r="H561" s="74">
        <f>'12-2017'!H570</f>
        <v>0</v>
      </c>
      <c r="I561" s="74">
        <f>'12-2017'!I570</f>
        <v>0</v>
      </c>
      <c r="J561" s="74">
        <f>'12-2017'!J570</f>
        <v>0</v>
      </c>
    </row>
    <row r="562" spans="1:10" s="73" customFormat="1" ht="37.5" customHeight="1">
      <c r="A562" s="17"/>
      <c r="B562" s="237" t="str">
        <f>'12-2017'!B571</f>
        <v xml:space="preserve"> * Giá bán gạch TAICERA (loại I) : Công ty Cổ phần Công nghiệp Gốm Sứ TAICERA (bao gồm phí vận chuyển trong khu vực Tp.Long Xuyên). Theo bảng giá ngày 01/01/2017</v>
      </c>
      <c r="C562" s="238"/>
      <c r="D562" s="238"/>
      <c r="E562" s="238"/>
      <c r="F562" s="239"/>
      <c r="H562" s="74">
        <f>'12-2017'!H571</f>
        <v>0</v>
      </c>
      <c r="I562" s="74">
        <f>'12-2017'!I571</f>
        <v>0</v>
      </c>
      <c r="J562" s="74">
        <f>'12-2017'!J571</f>
        <v>0</v>
      </c>
    </row>
    <row r="563" spans="1:10" s="58" customFormat="1" ht="17.25" hidden="1">
      <c r="A563" s="10">
        <f>'12-2017'!A572</f>
        <v>1</v>
      </c>
      <c r="B563" s="11" t="str">
        <f>'12-2017'!B572</f>
        <v>Gạch men 25cm x 25cm, loại I</v>
      </c>
      <c r="C563" s="12" t="str">
        <f>'12-2017'!C572</f>
        <v>đ/m2</v>
      </c>
      <c r="D563" s="13">
        <f>'12-2017'!O572</f>
        <v>120227</v>
      </c>
      <c r="E563" s="13">
        <f>'12-2017'!P572</f>
        <v>120227</v>
      </c>
      <c r="F563" s="130">
        <f t="shared" si="20"/>
        <v>0</v>
      </c>
      <c r="H563" s="74">
        <f>'12-2017'!H572</f>
        <v>0</v>
      </c>
      <c r="I563" s="74">
        <f>'12-2017'!I572</f>
        <v>0</v>
      </c>
      <c r="J563" s="74">
        <f>'12-2017'!J572</f>
        <v>0</v>
      </c>
    </row>
    <row r="564" spans="1:10" s="58" customFormat="1" ht="17.25" hidden="1">
      <c r="A564" s="10">
        <f>'12-2017'!A573</f>
        <v>2</v>
      </c>
      <c r="B564" s="11" t="str">
        <f>'12-2017'!B573</f>
        <v>Gạch men 25cm x 40cm, loại I màu nhạt</v>
      </c>
      <c r="C564" s="12" t="str">
        <f>'12-2017'!C573</f>
        <v>đ/m2</v>
      </c>
      <c r="D564" s="13">
        <f>'12-2017'!O573</f>
        <v>120227</v>
      </c>
      <c r="E564" s="13">
        <f>'12-2017'!P573</f>
        <v>120227</v>
      </c>
      <c r="F564" s="130">
        <f t="shared" si="20"/>
        <v>0</v>
      </c>
      <c r="H564" s="74">
        <f>'12-2017'!H573</f>
        <v>0</v>
      </c>
      <c r="I564" s="74">
        <f>'12-2017'!I573</f>
        <v>0</v>
      </c>
      <c r="J564" s="74">
        <f>'12-2017'!J573</f>
        <v>0</v>
      </c>
    </row>
    <row r="565" spans="1:10" s="58" customFormat="1" ht="17.25" hidden="1">
      <c r="A565" s="10">
        <f>'12-2017'!A574</f>
        <v>3</v>
      </c>
      <c r="B565" s="11" t="str">
        <f>'12-2017'!B574</f>
        <v>Gạch men 30cm x 45cm, loại I màu nhạt</v>
      </c>
      <c r="C565" s="12" t="str">
        <f>'12-2017'!C574</f>
        <v>đ/m2</v>
      </c>
      <c r="D565" s="13">
        <f>'12-2017'!O574</f>
        <v>147594</v>
      </c>
      <c r="E565" s="13">
        <f>'12-2017'!P574</f>
        <v>147594</v>
      </c>
      <c r="F565" s="130">
        <f t="shared" si="20"/>
        <v>0</v>
      </c>
      <c r="H565" s="74">
        <f>'12-2017'!H574</f>
        <v>0</v>
      </c>
      <c r="I565" s="74">
        <f>'12-2017'!I574</f>
        <v>0</v>
      </c>
      <c r="J565" s="74">
        <f>'12-2017'!J574</f>
        <v>0</v>
      </c>
    </row>
    <row r="566" spans="1:10" s="73" customFormat="1" ht="17.25" hidden="1">
      <c r="A566" s="17"/>
      <c r="B566" s="9" t="str">
        <f>'12-2017'!B575</f>
        <v>Gạch Thạch anh (Granite nhân tạo) 30cm x 30cm, 11 viên/thùng</v>
      </c>
      <c r="C566" s="8"/>
      <c r="D566" s="22"/>
      <c r="E566" s="22"/>
      <c r="F566" s="131"/>
      <c r="H566" s="74">
        <f>'12-2017'!H575</f>
        <v>0</v>
      </c>
      <c r="I566" s="74">
        <f>'12-2017'!I575</f>
        <v>0</v>
      </c>
      <c r="J566" s="74">
        <f>'12-2017'!J575</f>
        <v>0</v>
      </c>
    </row>
    <row r="567" spans="1:10" s="58" customFormat="1" ht="17.25" hidden="1">
      <c r="A567" s="10">
        <f>'12-2017'!A576</f>
        <v>4</v>
      </c>
      <c r="B567" s="11" t="str">
        <f>'12-2017'!B576</f>
        <v xml:space="preserve"> - Màu nhạt</v>
      </c>
      <c r="C567" s="12" t="str">
        <f>'12-2017'!C576</f>
        <v>đ/thùng</v>
      </c>
      <c r="D567" s="13">
        <f>'12-2017'!O576</f>
        <v>141273</v>
      </c>
      <c r="E567" s="13">
        <f>'12-2017'!P576</f>
        <v>141273</v>
      </c>
      <c r="F567" s="130">
        <f t="shared" si="20"/>
        <v>0</v>
      </c>
      <c r="H567" s="74">
        <f>'12-2017'!H576</f>
        <v>0</v>
      </c>
      <c r="I567" s="74">
        <f>'12-2017'!I576</f>
        <v>0</v>
      </c>
      <c r="J567" s="74">
        <f>'12-2017'!J576</f>
        <v>0</v>
      </c>
    </row>
    <row r="568" spans="1:10" s="58" customFormat="1" ht="17.25" hidden="1">
      <c r="A568" s="10">
        <f>'12-2017'!A577</f>
        <v>5</v>
      </c>
      <c r="B568" s="11" t="str">
        <f>'12-2017'!B577</f>
        <v xml:space="preserve"> - Màu đậm</v>
      </c>
      <c r="C568" s="12" t="str">
        <f>'12-2017'!C577</f>
        <v>đ/thùng</v>
      </c>
      <c r="D568" s="13">
        <f>'12-2017'!O577</f>
        <v>155591</v>
      </c>
      <c r="E568" s="13">
        <f>'12-2017'!P577</f>
        <v>155591</v>
      </c>
      <c r="F568" s="130">
        <f t="shared" si="20"/>
        <v>0</v>
      </c>
      <c r="H568" s="74">
        <f>'12-2017'!H577</f>
        <v>0</v>
      </c>
      <c r="I568" s="74">
        <f>'12-2017'!I577</f>
        <v>0</v>
      </c>
      <c r="J568" s="74">
        <f>'12-2017'!J577</f>
        <v>0</v>
      </c>
    </row>
    <row r="569" spans="1:10" s="73" customFormat="1" ht="17.25" hidden="1">
      <c r="A569" s="17"/>
      <c r="B569" s="9" t="str">
        <f>'12-2017'!B578</f>
        <v>Gạch Thạch anh (Granite nhân tạo) 40cm x 40cm,</v>
      </c>
      <c r="C569" s="8"/>
      <c r="D569" s="22"/>
      <c r="E569" s="22"/>
      <c r="F569" s="131"/>
      <c r="H569" s="74">
        <f>'12-2017'!H578</f>
        <v>0</v>
      </c>
      <c r="I569" s="74">
        <f>'12-2017'!I578</f>
        <v>0</v>
      </c>
      <c r="J569" s="74">
        <f>'12-2017'!J578</f>
        <v>0</v>
      </c>
    </row>
    <row r="570" spans="1:10" s="58" customFormat="1" ht="17.25" hidden="1">
      <c r="A570" s="10">
        <f>'12-2017'!A579</f>
        <v>6</v>
      </c>
      <c r="B570" s="11" t="str">
        <f>'12-2017'!B579</f>
        <v xml:space="preserve"> - Màu nhạt</v>
      </c>
      <c r="C570" s="12" t="str">
        <f>'12-2017'!C579</f>
        <v>đ/m2</v>
      </c>
      <c r="D570" s="13">
        <f>'12-2017'!O579</f>
        <v>131727</v>
      </c>
      <c r="E570" s="13">
        <f>'12-2017'!P579</f>
        <v>131727</v>
      </c>
      <c r="F570" s="130">
        <f t="shared" si="20"/>
        <v>0</v>
      </c>
      <c r="H570" s="74">
        <f>'12-2017'!H579</f>
        <v>0</v>
      </c>
      <c r="I570" s="74">
        <f>'12-2017'!I579</f>
        <v>0</v>
      </c>
      <c r="J570" s="74">
        <f>'12-2017'!J579</f>
        <v>0</v>
      </c>
    </row>
    <row r="571" spans="1:10" s="58" customFormat="1" ht="17.25" hidden="1">
      <c r="A571" s="10">
        <f>'12-2017'!A580</f>
        <v>7</v>
      </c>
      <c r="B571" s="11" t="str">
        <f>'12-2017'!B580</f>
        <v xml:space="preserve"> - Màu đậm</v>
      </c>
      <c r="C571" s="12" t="str">
        <f>'12-2017'!C580</f>
        <v>đ/m2</v>
      </c>
      <c r="D571" s="13">
        <f>'12-2017'!O580</f>
        <v>141273</v>
      </c>
      <c r="E571" s="13">
        <f>'12-2017'!P580</f>
        <v>141273</v>
      </c>
      <c r="F571" s="130">
        <f t="shared" si="20"/>
        <v>0</v>
      </c>
      <c r="H571" s="74">
        <f>'12-2017'!H580</f>
        <v>0</v>
      </c>
      <c r="I571" s="74">
        <f>'12-2017'!I580</f>
        <v>0</v>
      </c>
      <c r="J571" s="74">
        <f>'12-2017'!J580</f>
        <v>0</v>
      </c>
    </row>
    <row r="572" spans="1:10" s="58" customFormat="1" ht="33" hidden="1">
      <c r="A572" s="10">
        <f>'12-2017'!A581</f>
        <v>8</v>
      </c>
      <c r="B572" s="11" t="str">
        <f>'12-2017'!B581</f>
        <v>Gạch Thạch anh (Granite nhân tạo) 60cm x 60cm
 - Màu nhạt</v>
      </c>
      <c r="C572" s="12" t="str">
        <f>'12-2017'!C581</f>
        <v>đ/m2</v>
      </c>
      <c r="D572" s="13">
        <f>'12-2017'!O581</f>
        <v>214773</v>
      </c>
      <c r="E572" s="13">
        <f>'12-2017'!P581</f>
        <v>214773</v>
      </c>
      <c r="F572" s="130">
        <f t="shared" si="20"/>
        <v>0</v>
      </c>
      <c r="H572" s="74">
        <f>'12-2017'!H581</f>
        <v>0</v>
      </c>
      <c r="I572" s="74">
        <f>'12-2017'!I581</f>
        <v>0</v>
      </c>
      <c r="J572" s="74">
        <f>'12-2017'!J581</f>
        <v>0</v>
      </c>
    </row>
    <row r="573" spans="1:10" s="73" customFormat="1" ht="17.25" hidden="1">
      <c r="A573" s="17"/>
      <c r="B573" s="9" t="str">
        <f>'12-2017'!B582</f>
        <v>Gạch Thạch anh bóng kiếng 60cm x 60cm</v>
      </c>
      <c r="C573" s="8"/>
      <c r="D573" s="22"/>
      <c r="E573" s="22"/>
      <c r="F573" s="131"/>
      <c r="H573" s="74">
        <f>'12-2017'!H582</f>
        <v>0</v>
      </c>
      <c r="I573" s="74">
        <f>'12-2017'!I582</f>
        <v>0</v>
      </c>
      <c r="J573" s="74">
        <f>'12-2017'!J582</f>
        <v>0</v>
      </c>
    </row>
    <row r="574" spans="1:10" s="58" customFormat="1" ht="17.25" hidden="1">
      <c r="A574" s="10">
        <f>'12-2017'!A583</f>
        <v>9</v>
      </c>
      <c r="B574" s="11" t="str">
        <f>'12-2017'!B583</f>
        <v xml:space="preserve"> - Màu nhạt</v>
      </c>
      <c r="C574" s="12" t="str">
        <f>'12-2017'!C583</f>
        <v>đ/m2</v>
      </c>
      <c r="D574" s="13">
        <f>'12-2017'!O583</f>
        <v>181364</v>
      </c>
      <c r="E574" s="13">
        <f>'12-2017'!P583</f>
        <v>181364</v>
      </c>
      <c r="F574" s="130">
        <f t="shared" si="20"/>
        <v>0</v>
      </c>
      <c r="H574" s="74">
        <f>'12-2017'!H583</f>
        <v>0</v>
      </c>
      <c r="I574" s="74">
        <f>'12-2017'!I583</f>
        <v>0</v>
      </c>
      <c r="J574" s="74">
        <f>'12-2017'!J583</f>
        <v>0</v>
      </c>
    </row>
    <row r="575" spans="1:10" s="58" customFormat="1" ht="17.25" hidden="1">
      <c r="A575" s="10">
        <f>'12-2017'!A584</f>
        <v>10</v>
      </c>
      <c r="B575" s="11" t="str">
        <f>'12-2017'!B584</f>
        <v xml:space="preserve"> - Màu đậm</v>
      </c>
      <c r="C575" s="12" t="str">
        <f>'12-2017'!C584</f>
        <v>đ/m2</v>
      </c>
      <c r="D575" s="13">
        <f>'12-2017'!O584</f>
        <v>252955</v>
      </c>
      <c r="E575" s="13">
        <f>'12-2017'!P584</f>
        <v>252955</v>
      </c>
      <c r="F575" s="130">
        <f t="shared" si="20"/>
        <v>0</v>
      </c>
      <c r="H575" s="74">
        <f>'12-2017'!H584</f>
        <v>0</v>
      </c>
      <c r="I575" s="74">
        <f>'12-2017'!I584</f>
        <v>0</v>
      </c>
      <c r="J575" s="74">
        <f>'12-2017'!J584</f>
        <v>0</v>
      </c>
    </row>
    <row r="576" spans="1:10" s="73" customFormat="1" ht="17.25" hidden="1">
      <c r="A576" s="17"/>
      <c r="B576" s="9" t="str">
        <f>'12-2017'!B585</f>
        <v>Gạch thạch anh bóng kiếng 80cm x 80cm</v>
      </c>
      <c r="C576" s="8"/>
      <c r="D576" s="22"/>
      <c r="E576" s="22"/>
      <c r="F576" s="131"/>
      <c r="H576" s="74">
        <f>'12-2017'!H585</f>
        <v>0</v>
      </c>
      <c r="I576" s="74">
        <f>'12-2017'!I585</f>
        <v>0</v>
      </c>
      <c r="J576" s="74">
        <f>'12-2017'!J585</f>
        <v>0</v>
      </c>
    </row>
    <row r="577" spans="1:10" s="58" customFormat="1" ht="17.25" hidden="1">
      <c r="A577" s="10">
        <f>'12-2017'!A586</f>
        <v>11</v>
      </c>
      <c r="B577" s="11" t="str">
        <f>'12-2017'!B586</f>
        <v xml:space="preserve"> - Màu nhạt</v>
      </c>
      <c r="C577" s="12" t="str">
        <f>'12-2017'!C586</f>
        <v>đ/m2</v>
      </c>
      <c r="D577" s="13">
        <f>'12-2017'!O586</f>
        <v>252955</v>
      </c>
      <c r="E577" s="13">
        <f>'12-2017'!P586</f>
        <v>252955</v>
      </c>
      <c r="F577" s="130">
        <f t="shared" si="20"/>
        <v>0</v>
      </c>
      <c r="H577" s="74">
        <f>'12-2017'!H586</f>
        <v>0</v>
      </c>
      <c r="I577" s="74">
        <f>'12-2017'!I586</f>
        <v>0</v>
      </c>
      <c r="J577" s="74">
        <f>'12-2017'!J586</f>
        <v>0</v>
      </c>
    </row>
    <row r="578" spans="1:10" s="58" customFormat="1" ht="17.25" hidden="1">
      <c r="A578" s="10">
        <f>'12-2017'!A587</f>
        <v>12</v>
      </c>
      <c r="B578" s="11" t="str">
        <f>'12-2017'!B587</f>
        <v xml:space="preserve"> - Màu đậm</v>
      </c>
      <c r="C578" s="12" t="str">
        <f>'12-2017'!C587</f>
        <v>đ/m2</v>
      </c>
      <c r="D578" s="13">
        <f>'12-2017'!O587</f>
        <v>310227</v>
      </c>
      <c r="E578" s="13">
        <f>'12-2017'!P587</f>
        <v>310227</v>
      </c>
      <c r="F578" s="130">
        <f t="shared" si="20"/>
        <v>0</v>
      </c>
      <c r="H578" s="74">
        <f>'12-2017'!H587</f>
        <v>0</v>
      </c>
      <c r="I578" s="74">
        <f>'12-2017'!I587</f>
        <v>0</v>
      </c>
      <c r="J578" s="74">
        <f>'12-2017'!J587</f>
        <v>0</v>
      </c>
    </row>
    <row r="579" spans="1:10" s="58" customFormat="1" ht="17.25" hidden="1">
      <c r="A579" s="10">
        <f>'12-2017'!A588</f>
        <v>13</v>
      </c>
      <c r="B579" s="11" t="str">
        <f>'12-2017'!B588</f>
        <v>Gạch Thạch anh bóng kiếng 100cm x 100cm</v>
      </c>
      <c r="C579" s="12" t="str">
        <f>'12-2017'!C588</f>
        <v>đ/m2</v>
      </c>
      <c r="D579" s="13">
        <f>'12-2017'!O588</f>
        <v>386591</v>
      </c>
      <c r="E579" s="13">
        <f>'12-2017'!P588</f>
        <v>386591</v>
      </c>
      <c r="F579" s="130">
        <f t="shared" si="20"/>
        <v>0</v>
      </c>
      <c r="H579" s="74">
        <f>'12-2017'!H588</f>
        <v>0</v>
      </c>
      <c r="I579" s="74">
        <f>'12-2017'!I588</f>
        <v>0</v>
      </c>
      <c r="J579" s="74">
        <f>'12-2017'!J588</f>
        <v>0</v>
      </c>
    </row>
    <row r="580" spans="1:10" s="73" customFormat="1" ht="17.25" hidden="1">
      <c r="A580" s="17"/>
      <c r="B580" s="237" t="str">
        <f>'12-2017'!B589</f>
        <v xml:space="preserve"> * Giá bán gạch TASA : Cty TNHH Thanh Long Long Xuyên (QL91, ấp Bình Phú 2, xã Hòa Bình, huyện Châu Thành) Theo bảng giá ngày 01/3/2017</v>
      </c>
      <c r="C580" s="238"/>
      <c r="D580" s="238"/>
      <c r="E580" s="238"/>
      <c r="F580" s="239"/>
      <c r="H580" s="74">
        <f>'12-2017'!H589</f>
        <v>0</v>
      </c>
      <c r="I580" s="74">
        <f>'12-2017'!I589</f>
        <v>0</v>
      </c>
      <c r="J580" s="74">
        <f>'12-2017'!J589</f>
        <v>0</v>
      </c>
    </row>
    <row r="581" spans="1:10" s="58" customFormat="1" ht="33" hidden="1">
      <c r="A581" s="10">
        <f>'12-2017'!A590</f>
        <v>1</v>
      </c>
      <c r="B581" s="11" t="str">
        <f>'12-2017'!B590</f>
        <v>Gạch viền 7cm x 30cm. Loại 1. Mã số V50: 443, 244, 095, 344, 746, 316, 318, 320, 265,…</v>
      </c>
      <c r="C581" s="12" t="str">
        <f>'12-2017'!C590</f>
        <v>đ/viên</v>
      </c>
      <c r="D581" s="13">
        <f>'12-2017'!O590</f>
        <v>15454.545454545454</v>
      </c>
      <c r="E581" s="13">
        <f>'12-2017'!P590</f>
        <v>15454.545454545454</v>
      </c>
      <c r="F581" s="130">
        <f t="shared" si="20"/>
        <v>0</v>
      </c>
      <c r="H581" s="74">
        <f>'12-2017'!H590</f>
        <v>0</v>
      </c>
      <c r="I581" s="74">
        <f>'12-2017'!I590</f>
        <v>0</v>
      </c>
      <c r="J581" s="74">
        <f>'12-2017'!J590</f>
        <v>0</v>
      </c>
    </row>
    <row r="582" spans="1:10" s="58" customFormat="1" ht="17.25" hidden="1">
      <c r="A582" s="10">
        <f>'12-2017'!A591</f>
        <v>2</v>
      </c>
      <c r="B582" s="11" t="str">
        <f>'12-2017'!B591</f>
        <v>Gạch viền 1cm x 30cm. Loại 1. Mã số TN: 6832,…</v>
      </c>
      <c r="C582" s="12" t="str">
        <f>'12-2017'!C591</f>
        <v>đ/viên</v>
      </c>
      <c r="D582" s="13">
        <f>'12-2017'!O591</f>
        <v>22727.272727272724</v>
      </c>
      <c r="E582" s="13">
        <f>'12-2017'!P591</f>
        <v>22727.272727272724</v>
      </c>
      <c r="F582" s="130">
        <f t="shared" si="20"/>
        <v>0</v>
      </c>
      <c r="H582" s="74">
        <f>'12-2017'!H591</f>
        <v>0</v>
      </c>
      <c r="I582" s="74">
        <f>'12-2017'!I591</f>
        <v>0</v>
      </c>
      <c r="J582" s="74">
        <f>'12-2017'!J591</f>
        <v>0</v>
      </c>
    </row>
    <row r="583" spans="1:10" s="58" customFormat="1" ht="17.25" hidden="1">
      <c r="A583" s="10">
        <f>'12-2017'!A592</f>
        <v>3</v>
      </c>
      <c r="B583" s="11" t="str">
        <f>'12-2017'!B592</f>
        <v>Gạch men 25cm x 40cm (10 viên/hộp/1m2). Loại 1. Mã số : 2403, 2404, 2405,…</v>
      </c>
      <c r="C583" s="12" t="str">
        <f>'12-2017'!C592</f>
        <v>đ/hộp</v>
      </c>
      <c r="D583" s="13">
        <f>'12-2017'!O592</f>
        <v>78181.818181818177</v>
      </c>
      <c r="E583" s="13">
        <f>'12-2017'!P592</f>
        <v>78181.818181818177</v>
      </c>
      <c r="F583" s="130">
        <f t="shared" si="20"/>
        <v>0</v>
      </c>
      <c r="H583" s="74">
        <f>'12-2017'!H592</f>
        <v>0</v>
      </c>
      <c r="I583" s="74">
        <f>'12-2017'!I592</f>
        <v>0</v>
      </c>
      <c r="J583" s="74">
        <f>'12-2017'!J592</f>
        <v>0</v>
      </c>
    </row>
    <row r="584" spans="1:10" s="58" customFormat="1" ht="33" hidden="1">
      <c r="A584" s="10">
        <f>'12-2017'!A593</f>
        <v>4</v>
      </c>
      <c r="B584" s="11" t="str">
        <f>'12-2017'!B593</f>
        <v>Gạch men 30cm x 30cm (11 viên/hộp/1m2). Loại 1. Mã số TASA: 3001, 3002, 3004, 3005,...</v>
      </c>
      <c r="C584" s="12" t="str">
        <f>'12-2017'!C593</f>
        <v>đ/m2</v>
      </c>
      <c r="D584" s="13">
        <f>'12-2017'!O593</f>
        <v>154545.45454545453</v>
      </c>
      <c r="E584" s="13">
        <f>'12-2017'!P593</f>
        <v>154545.45454545453</v>
      </c>
      <c r="F584" s="130">
        <f t="shared" si="20"/>
        <v>0</v>
      </c>
      <c r="H584" s="74">
        <f>'12-2017'!H593</f>
        <v>0</v>
      </c>
      <c r="I584" s="74">
        <f>'12-2017'!I593</f>
        <v>0</v>
      </c>
      <c r="J584" s="74">
        <f>'12-2017'!J593</f>
        <v>0</v>
      </c>
    </row>
    <row r="585" spans="1:10" s="58" customFormat="1" ht="17.25" hidden="1">
      <c r="A585" s="10">
        <f>'12-2017'!A594</f>
        <v>5</v>
      </c>
      <c r="B585" s="11" t="str">
        <f>'12-2017'!B594</f>
        <v>Gạch men 40cm x 40cm (6 viên/hộp/0.96m2). Loại 1. Mã số TASA: 4402, 4403, 4406,…</v>
      </c>
      <c r="C585" s="12" t="str">
        <f>'12-2017'!C594</f>
        <v>đ/hộp</v>
      </c>
      <c r="D585" s="13">
        <f>'12-2017'!O594</f>
        <v>78181.818181818177</v>
      </c>
      <c r="E585" s="13">
        <f>'12-2017'!P594</f>
        <v>78181.818181818177</v>
      </c>
      <c r="F585" s="130">
        <f t="shared" si="20"/>
        <v>0</v>
      </c>
      <c r="H585" s="74">
        <f>'12-2017'!H594</f>
        <v>0</v>
      </c>
      <c r="I585" s="74">
        <f>'12-2017'!I594</f>
        <v>0</v>
      </c>
      <c r="J585" s="74">
        <f>'12-2017'!J594</f>
        <v>0</v>
      </c>
    </row>
    <row r="586" spans="1:10" s="58" customFormat="1" ht="33" hidden="1">
      <c r="A586" s="10">
        <f>'12-2017'!A595</f>
        <v>6</v>
      </c>
      <c r="B586" s="11" t="str">
        <f>'12-2017'!B595</f>
        <v>Gạch men  50cm x 50cm (4 viên/hộp). Loại 1, Mã số TASA:  5001, 5002, 5004, 5008, 5010, 5011, 2015</v>
      </c>
      <c r="C586" s="12" t="str">
        <f>'12-2017'!C595</f>
        <v>đ/hộp</v>
      </c>
      <c r="D586" s="13">
        <f>'12-2017'!O595</f>
        <v>94545.454545454544</v>
      </c>
      <c r="E586" s="13">
        <f>'12-2017'!P595</f>
        <v>94545.454545454544</v>
      </c>
      <c r="F586" s="130">
        <f t="shared" si="20"/>
        <v>0</v>
      </c>
      <c r="H586" s="74">
        <f>'12-2017'!H595</f>
        <v>0</v>
      </c>
      <c r="I586" s="74">
        <f>'12-2017'!I595</f>
        <v>0</v>
      </c>
      <c r="J586" s="74">
        <f>'12-2017'!J595</f>
        <v>0</v>
      </c>
    </row>
    <row r="587" spans="1:10" s="58" customFormat="1" ht="33" hidden="1">
      <c r="A587" s="10">
        <f>'12-2017'!A596</f>
        <v>7</v>
      </c>
      <c r="B587" s="11" t="str">
        <f>'12-2017'!B596</f>
        <v>Gạch men 60x60cm (4 viên/hộp/1,44m2). Loại 1. Mã số TASA: 6004, 6005, 6006, 6007, 6008, 6011, 6012, 6014, 6015, 6018, 6019, 6020...</v>
      </c>
      <c r="C587" s="12" t="str">
        <f>'12-2017'!C596</f>
        <v>đ/m2</v>
      </c>
      <c r="D587" s="13">
        <f>'12-2017'!O596</f>
        <v>132727.27272727271</v>
      </c>
      <c r="E587" s="13">
        <f>'12-2017'!P596</f>
        <v>132727.27272727271</v>
      </c>
      <c r="F587" s="130">
        <f t="shared" si="20"/>
        <v>0</v>
      </c>
      <c r="H587" s="74">
        <f>'12-2017'!H596</f>
        <v>0</v>
      </c>
      <c r="I587" s="74">
        <f>'12-2017'!I596</f>
        <v>0</v>
      </c>
      <c r="J587" s="74">
        <f>'12-2017'!J596</f>
        <v>0</v>
      </c>
    </row>
    <row r="588" spans="1:10" s="73" customFormat="1" ht="17.25">
      <c r="A588" s="17"/>
      <c r="B588" s="9" t="str">
        <f>'12-2017'!B597</f>
        <v>Gạch xây không nung:</v>
      </c>
      <c r="C588" s="8"/>
      <c r="D588" s="22"/>
      <c r="E588" s="22"/>
      <c r="F588" s="131"/>
      <c r="H588" s="74">
        <f>'12-2017'!H597</f>
        <v>0</v>
      </c>
      <c r="I588" s="74">
        <f>'12-2017'!I597</f>
        <v>0</v>
      </c>
      <c r="J588" s="74">
        <f>'12-2017'!J597</f>
        <v>0</v>
      </c>
    </row>
    <row r="589" spans="1:10" s="73" customFormat="1" ht="49.5" hidden="1" customHeight="1">
      <c r="A589" s="17"/>
      <c r="B589" s="237" t="str">
        <f>'12-2017'!B598</f>
        <v>* Cty CP Địa ốc An Giang SX (giao trên phương tiên của bên mua tại Nhà máy cấu kiện bê tông An Giang, xã Vĩnh Thạnh Trung, Châu Phú). Theo bảng giá ngày 07/6/2017</v>
      </c>
      <c r="C589" s="238"/>
      <c r="D589" s="238"/>
      <c r="E589" s="238"/>
      <c r="F589" s="239"/>
      <c r="H589" s="74">
        <f>'12-2017'!H598</f>
        <v>0</v>
      </c>
      <c r="I589" s="74">
        <f>'12-2017'!I598</f>
        <v>0</v>
      </c>
      <c r="J589" s="74">
        <f>'12-2017'!J598</f>
        <v>0</v>
      </c>
    </row>
    <row r="590" spans="1:10" s="58" customFormat="1" ht="17.25" hidden="1">
      <c r="A590" s="10">
        <f>'12-2017'!A599</f>
        <v>1</v>
      </c>
      <c r="B590" s="11" t="str">
        <f>'12-2017'!B599</f>
        <v>Gạch  90 x 190 x 390mm</v>
      </c>
      <c r="C590" s="12" t="str">
        <f>'12-2017'!C599</f>
        <v>đ/viên</v>
      </c>
      <c r="D590" s="13">
        <f>'12-2017'!O599</f>
        <v>4390</v>
      </c>
      <c r="E590" s="13">
        <f>'12-2017'!P599</f>
        <v>4390</v>
      </c>
      <c r="F590" s="130">
        <f t="shared" si="20"/>
        <v>0</v>
      </c>
      <c r="H590" s="74">
        <f>'12-2017'!H599</f>
        <v>0</v>
      </c>
      <c r="I590" s="74">
        <f>'12-2017'!I599</f>
        <v>0</v>
      </c>
      <c r="J590" s="74">
        <f>'12-2017'!J599</f>
        <v>0</v>
      </c>
    </row>
    <row r="591" spans="1:10" s="58" customFormat="1" ht="17.25" hidden="1">
      <c r="A591" s="10">
        <f>'12-2017'!A600</f>
        <v>2</v>
      </c>
      <c r="B591" s="11" t="str">
        <f>'12-2017'!B600</f>
        <v>Gạch  90 x 190 x 190mm</v>
      </c>
      <c r="C591" s="12" t="str">
        <f>'12-2017'!C600</f>
        <v>đ/viên</v>
      </c>
      <c r="D591" s="13">
        <f>'12-2017'!O600</f>
        <v>2195</v>
      </c>
      <c r="E591" s="13">
        <f>'12-2017'!P600</f>
        <v>2195</v>
      </c>
      <c r="F591" s="130">
        <f t="shared" si="20"/>
        <v>0</v>
      </c>
      <c r="H591" s="74">
        <f>'12-2017'!H600</f>
        <v>0</v>
      </c>
      <c r="I591" s="74">
        <f>'12-2017'!I600</f>
        <v>0</v>
      </c>
      <c r="J591" s="74">
        <f>'12-2017'!J600</f>
        <v>0</v>
      </c>
    </row>
    <row r="592" spans="1:10" s="58" customFormat="1" ht="17.25" hidden="1">
      <c r="A592" s="10">
        <f>'12-2017'!A601</f>
        <v>3</v>
      </c>
      <c r="B592" s="11" t="str">
        <f>'12-2017'!B601</f>
        <v>Gạch  45 x 190 x 90mm</v>
      </c>
      <c r="C592" s="12" t="str">
        <f>'12-2017'!C601</f>
        <v>đ/viên</v>
      </c>
      <c r="D592" s="13">
        <f>'12-2017'!O601</f>
        <v>934</v>
      </c>
      <c r="E592" s="13">
        <f>'12-2017'!P601</f>
        <v>934</v>
      </c>
      <c r="F592" s="130">
        <f t="shared" si="20"/>
        <v>0</v>
      </c>
      <c r="H592" s="74">
        <f>'12-2017'!H601</f>
        <v>0</v>
      </c>
      <c r="I592" s="74">
        <f>'12-2017'!I601</f>
        <v>0</v>
      </c>
      <c r="J592" s="74">
        <f>'12-2017'!J601</f>
        <v>0</v>
      </c>
    </row>
    <row r="593" spans="1:10" s="58" customFormat="1" ht="17.25" hidden="1">
      <c r="A593" s="10">
        <f>'12-2017'!A602</f>
        <v>4</v>
      </c>
      <c r="B593" s="11" t="str">
        <f>'12-2017'!B602</f>
        <v>Gạch 190 x 190 x 390mm</v>
      </c>
      <c r="C593" s="12" t="str">
        <f>'12-2017'!C602</f>
        <v>đ/viên</v>
      </c>
      <c r="D593" s="13">
        <f>'12-2017'!O602</f>
        <v>8450</v>
      </c>
      <c r="E593" s="13">
        <f>'12-2017'!P602</f>
        <v>8450</v>
      </c>
      <c r="F593" s="130">
        <f t="shared" si="20"/>
        <v>0</v>
      </c>
      <c r="H593" s="74">
        <f>'12-2017'!H602</f>
        <v>0</v>
      </c>
      <c r="I593" s="74">
        <f>'12-2017'!I602</f>
        <v>0</v>
      </c>
      <c r="J593" s="74">
        <f>'12-2017'!J602</f>
        <v>0</v>
      </c>
    </row>
    <row r="594" spans="1:10" s="58" customFormat="1" ht="17.25" hidden="1">
      <c r="A594" s="10">
        <f>'12-2017'!A603</f>
        <v>5</v>
      </c>
      <c r="B594" s="11" t="str">
        <f>'12-2017'!B603</f>
        <v xml:space="preserve">Gạch 100 x 190 x 390mm </v>
      </c>
      <c r="C594" s="12" t="str">
        <f>'12-2017'!C603</f>
        <v>đ/viên</v>
      </c>
      <c r="D594" s="13">
        <f>'12-2017'!O603</f>
        <v>4480</v>
      </c>
      <c r="E594" s="13">
        <f>'12-2017'!P603</f>
        <v>4480</v>
      </c>
      <c r="F594" s="130">
        <f t="shared" si="20"/>
        <v>0</v>
      </c>
      <c r="H594" s="74">
        <f>'12-2017'!H603</f>
        <v>0</v>
      </c>
      <c r="I594" s="74">
        <f>'12-2017'!I603</f>
        <v>0</v>
      </c>
      <c r="J594" s="74">
        <f>'12-2017'!J603</f>
        <v>0</v>
      </c>
    </row>
    <row r="595" spans="1:10" s="58" customFormat="1" ht="17.25" hidden="1">
      <c r="A595" s="10">
        <f>'12-2017'!A604</f>
        <v>6</v>
      </c>
      <c r="B595" s="11" t="str">
        <f>'12-2017'!B604</f>
        <v xml:space="preserve">Gạch 100 x 190 x 200mm </v>
      </c>
      <c r="C595" s="12" t="str">
        <f>'12-2017'!C604</f>
        <v>đ/viên</v>
      </c>
      <c r="D595" s="13">
        <f>'12-2017'!O604</f>
        <v>2240</v>
      </c>
      <c r="E595" s="13">
        <f>'12-2017'!P604</f>
        <v>2240</v>
      </c>
      <c r="F595" s="130">
        <f t="shared" si="20"/>
        <v>0</v>
      </c>
      <c r="H595" s="74">
        <f>'12-2017'!H604</f>
        <v>0</v>
      </c>
      <c r="I595" s="74">
        <f>'12-2017'!I604</f>
        <v>0</v>
      </c>
      <c r="J595" s="74">
        <f>'12-2017'!J604</f>
        <v>0</v>
      </c>
    </row>
    <row r="596" spans="1:10" s="58" customFormat="1" ht="17.25" hidden="1">
      <c r="A596" s="10">
        <f>'12-2017'!A605</f>
        <v>7</v>
      </c>
      <c r="B596" s="11" t="str">
        <f>'12-2017'!B605</f>
        <v xml:space="preserve">Gạch 50 x 100 x 200mm </v>
      </c>
      <c r="C596" s="12" t="str">
        <f>'12-2017'!C605</f>
        <v>đ/viên</v>
      </c>
      <c r="D596" s="13">
        <f>'12-2017'!O605</f>
        <v>1048</v>
      </c>
      <c r="E596" s="13">
        <f>'12-2017'!P605</f>
        <v>1048</v>
      </c>
      <c r="F596" s="130">
        <f t="shared" ref="F596:F608" si="22">E596-D596</f>
        <v>0</v>
      </c>
      <c r="H596" s="74">
        <f>'12-2017'!H605</f>
        <v>0</v>
      </c>
      <c r="I596" s="74">
        <f>'12-2017'!I605</f>
        <v>0</v>
      </c>
      <c r="J596" s="74">
        <f>'12-2017'!J605</f>
        <v>0</v>
      </c>
    </row>
    <row r="597" spans="1:10" s="73" customFormat="1" ht="38.25" customHeight="1">
      <c r="A597" s="17"/>
      <c r="B597" s="237" t="str">
        <f>'12-2017'!B606</f>
        <v xml:space="preserve"> * Cty TNHH MTV Xây lắp An Giang, bao gồm chi phí bốc xếp lên phương tiện đường bộ hoặc đường thủy của bên mua tại nhà máy sản xuất. Theo bảng giá ngày 07/9/2017</v>
      </c>
      <c r="C597" s="238"/>
      <c r="D597" s="238"/>
      <c r="E597" s="238"/>
      <c r="F597" s="239"/>
      <c r="H597" s="74">
        <f>'12-2017'!H606</f>
        <v>0</v>
      </c>
      <c r="I597" s="74">
        <f>'12-2017'!I606</f>
        <v>0</v>
      </c>
      <c r="J597" s="74">
        <f>'12-2017'!J606</f>
        <v>0</v>
      </c>
    </row>
    <row r="598" spans="1:10" s="58" customFormat="1" ht="17.25" hidden="1">
      <c r="A598" s="10">
        <f>'12-2017'!A607</f>
        <v>1</v>
      </c>
      <c r="B598" s="11" t="str">
        <f>'12-2017'!B607</f>
        <v>Gạch không nung đặc 80 x 40 x 180mm</v>
      </c>
      <c r="C598" s="12" t="str">
        <f>'12-2017'!C607</f>
        <v>đ/viên</v>
      </c>
      <c r="D598" s="13">
        <f>'12-2017'!O607</f>
        <v>950</v>
      </c>
      <c r="E598" s="13">
        <f>'12-2017'!P607</f>
        <v>950</v>
      </c>
      <c r="F598" s="130">
        <f t="shared" si="22"/>
        <v>0</v>
      </c>
      <c r="H598" s="74">
        <f>'12-2017'!H607</f>
        <v>0</v>
      </c>
      <c r="I598" s="74">
        <f>'12-2017'!I607</f>
        <v>0</v>
      </c>
      <c r="J598" s="74">
        <f>'12-2017'!J607</f>
        <v>0</v>
      </c>
    </row>
    <row r="599" spans="1:10" s="58" customFormat="1" ht="17.25" hidden="1">
      <c r="A599" s="10">
        <f>'12-2017'!A608</f>
        <v>2</v>
      </c>
      <c r="B599" s="11" t="str">
        <f>'12-2017'!B608</f>
        <v>Gạch không nung 2 lỗ  80 x 80 x 180mm</v>
      </c>
      <c r="C599" s="12" t="str">
        <f>'12-2017'!C608</f>
        <v>đ/viên</v>
      </c>
      <c r="D599" s="13">
        <f>'12-2017'!O608</f>
        <v>1000</v>
      </c>
      <c r="E599" s="13">
        <f>'12-2017'!P608</f>
        <v>1000</v>
      </c>
      <c r="F599" s="130">
        <f t="shared" si="22"/>
        <v>0</v>
      </c>
      <c r="H599" s="74">
        <f>'12-2017'!H608</f>
        <v>0</v>
      </c>
      <c r="I599" s="74">
        <f>'12-2017'!I608</f>
        <v>0</v>
      </c>
      <c r="J599" s="74">
        <f>'12-2017'!J608</f>
        <v>0</v>
      </c>
    </row>
    <row r="600" spans="1:10" s="58" customFormat="1" ht="17.25" hidden="1">
      <c r="A600" s="10">
        <f>'12-2017'!A609</f>
        <v>3</v>
      </c>
      <c r="B600" s="11" t="str">
        <f>'12-2017'!B609</f>
        <v>Gạch không nung 4 lỗ  80 x 80 x 180mm</v>
      </c>
      <c r="C600" s="12" t="str">
        <f>'12-2017'!C609</f>
        <v>đ/viên</v>
      </c>
      <c r="D600" s="13">
        <f>'12-2017'!O609</f>
        <v>1100</v>
      </c>
      <c r="E600" s="13">
        <f>'12-2017'!P609</f>
        <v>1100</v>
      </c>
      <c r="F600" s="130">
        <f>E600-D600</f>
        <v>0</v>
      </c>
      <c r="H600" s="74"/>
      <c r="I600" s="74"/>
      <c r="J600" s="74"/>
    </row>
    <row r="601" spans="1:10" s="58" customFormat="1" ht="17.25" hidden="1">
      <c r="A601" s="10">
        <f>'12-2017'!A610</f>
        <v>3</v>
      </c>
      <c r="B601" s="11" t="str">
        <f>'12-2017'!B610</f>
        <v>Gạch không nung đặc 90 x 45 x 190mm</v>
      </c>
      <c r="C601" s="12" t="str">
        <f>'12-2017'!C610</f>
        <v>đ/viên</v>
      </c>
      <c r="D601" s="13">
        <f>'12-2017'!O610</f>
        <v>1100</v>
      </c>
      <c r="E601" s="13">
        <f>'12-2017'!P610</f>
        <v>1100</v>
      </c>
      <c r="F601" s="130">
        <f t="shared" si="22"/>
        <v>0</v>
      </c>
      <c r="H601" s="74">
        <f>'12-2017'!H610</f>
        <v>0</v>
      </c>
      <c r="I601" s="74">
        <f>'12-2017'!I610</f>
        <v>0</v>
      </c>
      <c r="J601" s="74">
        <f>'12-2017'!J610</f>
        <v>0</v>
      </c>
    </row>
    <row r="602" spans="1:10" s="58" customFormat="1" ht="17.25" hidden="1">
      <c r="A602" s="10">
        <f>'12-2017'!A611</f>
        <v>4</v>
      </c>
      <c r="B602" s="11" t="str">
        <f>'12-2017'!B611</f>
        <v>Gạch không nung 3 lỗ  90 x 90 x 190mm</v>
      </c>
      <c r="C602" s="12" t="str">
        <f>'12-2017'!C611</f>
        <v>đ/viên</v>
      </c>
      <c r="D602" s="13">
        <f>'12-2017'!O611</f>
        <v>1150</v>
      </c>
      <c r="E602" s="13">
        <f>'12-2017'!P611</f>
        <v>1150</v>
      </c>
      <c r="F602" s="130">
        <f t="shared" si="22"/>
        <v>0</v>
      </c>
      <c r="H602" s="74">
        <f>'12-2017'!H611</f>
        <v>0</v>
      </c>
      <c r="I602" s="74">
        <f>'12-2017'!I611</f>
        <v>0</v>
      </c>
      <c r="J602" s="74">
        <f>'12-2017'!J611</f>
        <v>0</v>
      </c>
    </row>
    <row r="603" spans="1:10" s="58" customFormat="1" ht="17.25" hidden="1">
      <c r="A603" s="10">
        <f>'12-2017'!A612</f>
        <v>5</v>
      </c>
      <c r="B603" s="11" t="str">
        <f>'12-2017'!B612</f>
        <v>Gạch không nung đặc  100 x 50 x 190mm</v>
      </c>
      <c r="C603" s="12" t="str">
        <f>'12-2017'!C612</f>
        <v>đ/viên</v>
      </c>
      <c r="D603" s="13">
        <f>'12-2017'!O612</f>
        <v>1150</v>
      </c>
      <c r="E603" s="13">
        <f>'12-2017'!P612</f>
        <v>1150</v>
      </c>
      <c r="F603" s="130">
        <f t="shared" si="22"/>
        <v>0</v>
      </c>
      <c r="H603" s="74">
        <f>'12-2017'!H612</f>
        <v>0</v>
      </c>
      <c r="I603" s="74">
        <f>'12-2017'!I612</f>
        <v>0</v>
      </c>
      <c r="J603" s="74">
        <f>'12-2017'!J612</f>
        <v>0</v>
      </c>
    </row>
    <row r="604" spans="1:10" s="58" customFormat="1" ht="17.25" hidden="1">
      <c r="A604" s="10">
        <f>'12-2017'!A613</f>
        <v>6</v>
      </c>
      <c r="B604" s="11" t="str">
        <f>'12-2017'!B613</f>
        <v>Gạch không nung 3 lỗ  100 x 190 x 390mm</v>
      </c>
      <c r="C604" s="12" t="str">
        <f>'12-2017'!C613</f>
        <v>đ/viên</v>
      </c>
      <c r="D604" s="13">
        <f>'12-2017'!O613</f>
        <v>4605</v>
      </c>
      <c r="E604" s="13">
        <f>'12-2017'!P613</f>
        <v>4605</v>
      </c>
      <c r="F604" s="130">
        <f t="shared" si="22"/>
        <v>0</v>
      </c>
      <c r="H604" s="74">
        <f>'12-2017'!H613</f>
        <v>0</v>
      </c>
      <c r="I604" s="74">
        <f>'12-2017'!I613</f>
        <v>0</v>
      </c>
      <c r="J604" s="74">
        <f>'12-2017'!J613</f>
        <v>0</v>
      </c>
    </row>
    <row r="605" spans="1:10" s="58" customFormat="1" ht="17.25" hidden="1">
      <c r="A605" s="10">
        <f>'12-2017'!A614</f>
        <v>7</v>
      </c>
      <c r="B605" s="11" t="str">
        <f>'12-2017'!B614</f>
        <v>Gạch không nung 3 lỗ  190 x 190 x 390mm</v>
      </c>
      <c r="C605" s="12" t="str">
        <f>'12-2017'!C614</f>
        <v>đ/viên</v>
      </c>
      <c r="D605" s="13">
        <f>'12-2017'!O614</f>
        <v>8600</v>
      </c>
      <c r="E605" s="13">
        <f>'12-2017'!P614</f>
        <v>8600</v>
      </c>
      <c r="F605" s="130">
        <f t="shared" si="22"/>
        <v>0</v>
      </c>
      <c r="H605" s="74">
        <f>'12-2017'!H614</f>
        <v>0</v>
      </c>
      <c r="I605" s="74">
        <f>'12-2017'!I614</f>
        <v>0</v>
      </c>
      <c r="J605" s="74">
        <f>'12-2017'!J614</f>
        <v>0</v>
      </c>
    </row>
    <row r="606" spans="1:10" s="73" customFormat="1" ht="41.25" hidden="1" customHeight="1">
      <c r="A606" s="17"/>
      <c r="B606" s="237" t="str">
        <f>'12-2017'!B615</f>
        <v xml:space="preserve"> * Cty TNHH bêtông nhẹ  HIDICO (lô CI-2, Khu C Khu công nghiệp Se đéc, Tp.Cao Lãnh, Đồng Tháp), đơn giá giao tại Kho Tp Long Xuyên, An Giang. Theo bảng giá ngày 24/4/2017</v>
      </c>
      <c r="C606" s="238"/>
      <c r="D606" s="238"/>
      <c r="E606" s="238"/>
      <c r="F606" s="239"/>
      <c r="H606" s="74">
        <f>'12-2017'!H615</f>
        <v>0</v>
      </c>
      <c r="I606" s="74">
        <f>'12-2017'!I615</f>
        <v>0</v>
      </c>
      <c r="J606" s="74">
        <f>'12-2017'!J615</f>
        <v>0</v>
      </c>
    </row>
    <row r="607" spans="1:10" s="58" customFormat="1" ht="33" hidden="1">
      <c r="A607" s="10">
        <f>'12-2017'!A616</f>
        <v>1</v>
      </c>
      <c r="B607" s="11" t="str">
        <f>'12-2017'!B616</f>
        <v xml:space="preserve">Gạch blốc Bêtông bọt HIDICO-CLC QCVN 16:2014
 8x20x60cm đến 20x20x60cm </v>
      </c>
      <c r="C607" s="12" t="str">
        <f>'12-2017'!C616</f>
        <v>đ/m3</v>
      </c>
      <c r="D607" s="13">
        <f>'12-2017'!O616</f>
        <v>1590909.0909090908</v>
      </c>
      <c r="E607" s="13">
        <f>'12-2017'!P616</f>
        <v>1590909.0909090908</v>
      </c>
      <c r="F607" s="130">
        <f t="shared" si="22"/>
        <v>0</v>
      </c>
      <c r="H607" s="74">
        <f>'12-2017'!H616</f>
        <v>0</v>
      </c>
      <c r="I607" s="74">
        <f>'12-2017'!I616</f>
        <v>0</v>
      </c>
      <c r="J607" s="74">
        <f>'12-2017'!J616</f>
        <v>0</v>
      </c>
    </row>
    <row r="608" spans="1:10" s="58" customFormat="1" ht="17.25" hidden="1">
      <c r="A608" s="10">
        <f>'12-2017'!A617</f>
        <v>2</v>
      </c>
      <c r="B608" s="11" t="str">
        <f>'12-2017'!B617</f>
        <v>Vữa xây HIDICO-BTN TCVN 9028:2011 (bao 50 kg)</v>
      </c>
      <c r="C608" s="12" t="str">
        <f>'12-2017'!C617</f>
        <v>đ/bao</v>
      </c>
      <c r="D608" s="13">
        <f>'12-2017'!O617</f>
        <v>168181.81818181818</v>
      </c>
      <c r="E608" s="13">
        <f>'12-2017'!P617</f>
        <v>168181.81818181818</v>
      </c>
      <c r="F608" s="130">
        <f t="shared" si="22"/>
        <v>0</v>
      </c>
      <c r="H608" s="74">
        <f>'12-2017'!H617</f>
        <v>0</v>
      </c>
      <c r="I608" s="74">
        <f>'12-2017'!I617</f>
        <v>0</v>
      </c>
      <c r="J608" s="74">
        <f>'12-2017'!J617</f>
        <v>0</v>
      </c>
    </row>
    <row r="609" spans="1:10" s="73" customFormat="1" ht="17.25">
      <c r="A609" s="17" t="str">
        <f>'12-2017'!A618</f>
        <v>XII</v>
      </c>
      <c r="B609" s="9" t="str">
        <f>'12-2017'!B618</f>
        <v>THIẾT BỊ VỆ SINH:</v>
      </c>
      <c r="C609" s="8"/>
      <c r="D609" s="22"/>
      <c r="E609" s="22"/>
      <c r="F609" s="131"/>
      <c r="H609" s="74">
        <f>'12-2017'!H618</f>
        <v>0</v>
      </c>
      <c r="I609" s="74">
        <f>'12-2017'!I618</f>
        <v>0</v>
      </c>
      <c r="J609" s="74">
        <f>'12-2017'!J618</f>
        <v>0</v>
      </c>
    </row>
    <row r="610" spans="1:10" s="73" customFormat="1" ht="17.25">
      <c r="A610" s="17" t="str">
        <f>'12-2017'!A619</f>
        <v xml:space="preserve"> </v>
      </c>
      <c r="B610" s="237" t="str">
        <f>'12-2017'!B619</f>
        <v>* Sứ TOTO - JAPAN (CTy TNHH Thuận Phát, số 327/5-327/1 Hùng Vương, Tp.LX). Theo bảng giá ngày 01/3/2015</v>
      </c>
      <c r="C610" s="238"/>
      <c r="D610" s="238"/>
      <c r="E610" s="239"/>
      <c r="F610" s="131"/>
      <c r="H610" s="74">
        <f>'12-2017'!H619</f>
        <v>0</v>
      </c>
      <c r="I610" s="74">
        <f>'12-2017'!I619</f>
        <v>0</v>
      </c>
      <c r="J610" s="74">
        <f>'12-2017'!J619</f>
        <v>0</v>
      </c>
    </row>
    <row r="611" spans="1:10" s="58" customFormat="1" ht="17.25" hidden="1">
      <c r="A611" s="10">
        <f>'12-2017'!A620</f>
        <v>1</v>
      </c>
      <c r="B611" s="11" t="str">
        <f>'12-2017'!B620</f>
        <v>Bàn cầu 2 khối TOTO CS300DT3Y1</v>
      </c>
      <c r="C611" s="12" t="str">
        <f>'12-2017'!C620</f>
        <v>đ/bộ</v>
      </c>
      <c r="D611" s="13">
        <f>'12-2017'!O620</f>
        <v>2272727.2727272725</v>
      </c>
      <c r="E611" s="13">
        <f>'12-2017'!P620</f>
        <v>2272727.2727272725</v>
      </c>
      <c r="F611" s="130">
        <f t="shared" ref="F611:F649" si="23">E611-D611</f>
        <v>0</v>
      </c>
      <c r="H611" s="74">
        <f>'12-2017'!H620</f>
        <v>0</v>
      </c>
      <c r="I611" s="74">
        <f>'12-2017'!I620</f>
        <v>0</v>
      </c>
      <c r="J611" s="74">
        <f>'12-2017'!J620</f>
        <v>0</v>
      </c>
    </row>
    <row r="612" spans="1:10" s="58" customFormat="1" ht="17.25" hidden="1">
      <c r="A612" s="10">
        <f>'12-2017'!A621</f>
        <v>2</v>
      </c>
      <c r="B612" s="11" t="str">
        <f>'12-2017'!B621</f>
        <v>Bàn cầu 2 khối TOTO CS300DRT2</v>
      </c>
      <c r="C612" s="12" t="str">
        <f>'12-2017'!C621</f>
        <v>đ/bộ</v>
      </c>
      <c r="D612" s="13">
        <f>'12-2017'!O621</f>
        <v>2745454.5454545454</v>
      </c>
      <c r="E612" s="13">
        <f>'12-2017'!P621</f>
        <v>2745454.5454545454</v>
      </c>
      <c r="F612" s="130">
        <f t="shared" si="23"/>
        <v>0</v>
      </c>
      <c r="H612" s="74">
        <f>'12-2017'!H621</f>
        <v>0</v>
      </c>
      <c r="I612" s="74">
        <f>'12-2017'!I621</f>
        <v>0</v>
      </c>
      <c r="J612" s="74">
        <f>'12-2017'!J621</f>
        <v>0</v>
      </c>
    </row>
    <row r="613" spans="1:10" s="58" customFormat="1" ht="17.25" hidden="1">
      <c r="A613" s="10">
        <f>'12-2017'!A622</f>
        <v>3</v>
      </c>
      <c r="B613" s="11" t="str">
        <f>'12-2017'!B622</f>
        <v>Bàn cầu 2 khối TOTO CS320DRT3</v>
      </c>
      <c r="C613" s="12" t="str">
        <f>'12-2017'!C622</f>
        <v>đ/bộ</v>
      </c>
      <c r="D613" s="13">
        <f>'12-2017'!O622</f>
        <v>3090909.0909090908</v>
      </c>
      <c r="E613" s="13">
        <f>'12-2017'!P622</f>
        <v>3090909.0909090908</v>
      </c>
      <c r="F613" s="130">
        <f t="shared" si="23"/>
        <v>0</v>
      </c>
      <c r="H613" s="74">
        <f>'12-2017'!H622</f>
        <v>0</v>
      </c>
      <c r="I613" s="74">
        <f>'12-2017'!I622</f>
        <v>0</v>
      </c>
      <c r="J613" s="74">
        <f>'12-2017'!J622</f>
        <v>0</v>
      </c>
    </row>
    <row r="614" spans="1:10" s="58" customFormat="1" ht="17.25" hidden="1">
      <c r="A614" s="10">
        <f>'12-2017'!A623</f>
        <v>4</v>
      </c>
      <c r="B614" s="11" t="str">
        <f>'12-2017'!B623</f>
        <v>Bàn cầu 2 khối TOTO CS945DNT3</v>
      </c>
      <c r="C614" s="12" t="str">
        <f>'12-2017'!C623</f>
        <v>đ/bộ</v>
      </c>
      <c r="D614" s="13">
        <f>'12-2017'!O623</f>
        <v>5109090.9090909082</v>
      </c>
      <c r="E614" s="13">
        <f>'12-2017'!P623</f>
        <v>5109090.9090909082</v>
      </c>
      <c r="F614" s="130">
        <f t="shared" si="23"/>
        <v>0</v>
      </c>
      <c r="H614" s="74">
        <f>'12-2017'!H623</f>
        <v>0</v>
      </c>
      <c r="I614" s="74">
        <f>'12-2017'!I623</f>
        <v>0</v>
      </c>
      <c r="J614" s="74">
        <f>'12-2017'!J623</f>
        <v>0</v>
      </c>
    </row>
    <row r="615" spans="1:10" s="58" customFormat="1" ht="17.25" hidden="1">
      <c r="A615" s="10">
        <f>'12-2017'!A624</f>
        <v>5</v>
      </c>
      <c r="B615" s="11" t="str">
        <f>'12-2017'!B624</f>
        <v>Chậu treo tường TOTO LT300C</v>
      </c>
      <c r="C615" s="12" t="str">
        <f>'12-2017'!C624</f>
        <v>đ/cái</v>
      </c>
      <c r="D615" s="13">
        <f>'12-2017'!O624</f>
        <v>563636.36363636365</v>
      </c>
      <c r="E615" s="13">
        <f>'12-2017'!P624</f>
        <v>563636.36363636365</v>
      </c>
      <c r="F615" s="130">
        <f t="shared" si="23"/>
        <v>0</v>
      </c>
      <c r="H615" s="74">
        <f>'12-2017'!H624</f>
        <v>0</v>
      </c>
      <c r="I615" s="74">
        <f>'12-2017'!I624</f>
        <v>0</v>
      </c>
      <c r="J615" s="74">
        <f>'12-2017'!J624</f>
        <v>0</v>
      </c>
    </row>
    <row r="616" spans="1:10" s="58" customFormat="1" ht="17.25" hidden="1">
      <c r="A616" s="10">
        <f>'12-2017'!A625</f>
        <v>6</v>
      </c>
      <c r="B616" s="11" t="str">
        <f>'12-2017'!B625</f>
        <v>Chậu treo tường TOTO LT210CT</v>
      </c>
      <c r="C616" s="12" t="str">
        <f>'12-2017'!C625</f>
        <v>đ/cái</v>
      </c>
      <c r="D616" s="13">
        <f>'12-2017'!O625</f>
        <v>681818.18181818177</v>
      </c>
      <c r="E616" s="13">
        <f>'12-2017'!P625</f>
        <v>681818.18181818177</v>
      </c>
      <c r="F616" s="130">
        <f t="shared" si="23"/>
        <v>0</v>
      </c>
      <c r="H616" s="74">
        <f>'12-2017'!H625</f>
        <v>0</v>
      </c>
      <c r="I616" s="74">
        <f>'12-2017'!I625</f>
        <v>0</v>
      </c>
      <c r="J616" s="74">
        <f>'12-2017'!J625</f>
        <v>0</v>
      </c>
    </row>
    <row r="617" spans="1:10" s="58" customFormat="1" ht="17.25" hidden="1">
      <c r="A617" s="10">
        <f>'12-2017'!A626</f>
        <v>7</v>
      </c>
      <c r="B617" s="11" t="str">
        <f>'12-2017'!B626</f>
        <v>Vòi lavabo TOTO nóng lạnh TX108LHBR (bao gồm bộ xả, không gồm ống thải chữ P)</v>
      </c>
      <c r="C617" s="12" t="str">
        <f>'12-2017'!C626</f>
        <v>đ/bộ</v>
      </c>
      <c r="D617" s="13">
        <f>'12-2017'!O626</f>
        <v>2190909.0909090908</v>
      </c>
      <c r="E617" s="13">
        <f>'12-2017'!P626</f>
        <v>2190909.0909090908</v>
      </c>
      <c r="F617" s="130">
        <f t="shared" si="23"/>
        <v>0</v>
      </c>
      <c r="H617" s="74">
        <f>'12-2017'!H626</f>
        <v>0</v>
      </c>
      <c r="I617" s="74">
        <f>'12-2017'!I626</f>
        <v>0</v>
      </c>
      <c r="J617" s="74">
        <f>'12-2017'!J626</f>
        <v>0</v>
      </c>
    </row>
    <row r="618" spans="1:10" s="58" customFormat="1" ht="17.25" hidden="1">
      <c r="A618" s="10">
        <f>'12-2017'!A627</f>
        <v>8</v>
      </c>
      <c r="B618" s="11" t="str">
        <f>'12-2017'!B627</f>
        <v>Sen tắm nóng lạnh HELIO, bát sen mạ (TX432SHBR)</v>
      </c>
      <c r="C618" s="12" t="str">
        <f>'12-2017'!C627</f>
        <v>đ/bộ</v>
      </c>
      <c r="D618" s="13">
        <f>'12-2017'!O627</f>
        <v>3154545.4545454541</v>
      </c>
      <c r="E618" s="13">
        <f>'12-2017'!P627</f>
        <v>3154545.4545454541</v>
      </c>
      <c r="F618" s="130">
        <f t="shared" si="23"/>
        <v>0</v>
      </c>
      <c r="H618" s="74">
        <f>'12-2017'!H627</f>
        <v>0</v>
      </c>
      <c r="I618" s="74">
        <f>'12-2017'!I627</f>
        <v>0</v>
      </c>
      <c r="J618" s="74">
        <f>'12-2017'!J627</f>
        <v>0</v>
      </c>
    </row>
    <row r="619" spans="1:10" s="58" customFormat="1" ht="17.25" hidden="1">
      <c r="A619" s="10">
        <f>'12-2017'!A628</f>
        <v>9</v>
      </c>
      <c r="B619" s="11" t="str">
        <f>'12-2017'!B628</f>
        <v xml:space="preserve">Tiểu nam treo tường UT57 (bao gồm nối tường) </v>
      </c>
      <c r="C619" s="12" t="str">
        <f>'12-2017'!C628</f>
        <v>đ/bộ</v>
      </c>
      <c r="D619" s="13">
        <f>'12-2017'!O628</f>
        <v>1427272.7272727271</v>
      </c>
      <c r="E619" s="13">
        <f>'12-2017'!P628</f>
        <v>1427272.7272727271</v>
      </c>
      <c r="F619" s="130">
        <f t="shared" si="23"/>
        <v>0</v>
      </c>
      <c r="H619" s="74">
        <f>'12-2017'!H628</f>
        <v>0</v>
      </c>
      <c r="I619" s="74">
        <f>'12-2017'!I628</f>
        <v>0</v>
      </c>
      <c r="J619" s="74">
        <f>'12-2017'!J628</f>
        <v>0</v>
      </c>
    </row>
    <row r="620" spans="1:10" s="58" customFormat="1" ht="17.25" hidden="1">
      <c r="A620" s="10">
        <f>'12-2017'!A629</f>
        <v>10</v>
      </c>
      <c r="B620" s="11" t="str">
        <f>'12-2017'!B629</f>
        <v>Tiểu nam treo tường UT904 (bao gồm nối tường)</v>
      </c>
      <c r="C620" s="12" t="str">
        <f>'12-2017'!C629</f>
        <v>đ/bộ</v>
      </c>
      <c r="D620" s="13">
        <f>'12-2017'!O629</f>
        <v>3290909.0909090908</v>
      </c>
      <c r="E620" s="13">
        <f>'12-2017'!P629</f>
        <v>3290909.0909090908</v>
      </c>
      <c r="F620" s="130">
        <f t="shared" si="23"/>
        <v>0</v>
      </c>
      <c r="H620" s="74">
        <f>'12-2017'!H629</f>
        <v>0</v>
      </c>
      <c r="I620" s="74">
        <f>'12-2017'!I629</f>
        <v>0</v>
      </c>
      <c r="J620" s="74">
        <f>'12-2017'!J629</f>
        <v>0</v>
      </c>
    </row>
    <row r="621" spans="1:10" s="73" customFormat="1" ht="33" customHeight="1">
      <c r="A621" s="17"/>
      <c r="B621" s="237" t="str">
        <f>'12-2017'!B630</f>
        <v>* Sứ vệ sinh AMERICAN STANDARD (màu trắng): Cty TNHH TM Hiển Nga - Tổng đại lý phân phối tại An Giang. Theo bảng giá ngày 01/11/2016</v>
      </c>
      <c r="C621" s="238"/>
      <c r="D621" s="238"/>
      <c r="E621" s="238"/>
      <c r="F621" s="239"/>
      <c r="H621" s="74">
        <f>'12-2017'!H630</f>
        <v>0</v>
      </c>
      <c r="I621" s="74">
        <f>'12-2017'!I630</f>
        <v>0</v>
      </c>
      <c r="J621" s="74">
        <f>'12-2017'!J630</f>
        <v>0</v>
      </c>
    </row>
    <row r="622" spans="1:10" s="58" customFormat="1" ht="17.25" hidden="1">
      <c r="A622" s="10">
        <f>'12-2017'!A631</f>
        <v>1</v>
      </c>
      <c r="B622" s="11" t="str">
        <f>'12-2017'!B631</f>
        <v>Bàn cầu hai khối CARAVELLE Plus, mã số VF-2321</v>
      </c>
      <c r="C622" s="12" t="str">
        <f>'12-2017'!C631</f>
        <v>đ/bộ</v>
      </c>
      <c r="D622" s="13">
        <f>'12-2017'!O631</f>
        <v>2181818.1818181816</v>
      </c>
      <c r="E622" s="13">
        <f>'12-2017'!P631</f>
        <v>2181818.1818181816</v>
      </c>
      <c r="F622" s="130">
        <f t="shared" si="23"/>
        <v>0</v>
      </c>
      <c r="H622" s="74">
        <f>'12-2017'!H631</f>
        <v>0</v>
      </c>
      <c r="I622" s="74">
        <f>'12-2017'!I631</f>
        <v>0</v>
      </c>
      <c r="J622" s="74">
        <f>'12-2017'!J631</f>
        <v>0</v>
      </c>
    </row>
    <row r="623" spans="1:10" s="58" customFormat="1" ht="17.25" hidden="1">
      <c r="A623" s="10">
        <f>'12-2017'!A632</f>
        <v>2</v>
      </c>
      <c r="B623" s="11" t="str">
        <f>'12-2017'!B632</f>
        <v>Bàn cầu hai khối SUPER CARAVELLE, mã số VF-2322</v>
      </c>
      <c r="C623" s="12" t="str">
        <f>'12-2017'!C632</f>
        <v>đ/bộ</v>
      </c>
      <c r="D623" s="13">
        <f>'12-2017'!O632</f>
        <v>2045454.5454545452</v>
      </c>
      <c r="E623" s="13">
        <f>'12-2017'!P632</f>
        <v>2045454.5454545452</v>
      </c>
      <c r="F623" s="130">
        <f t="shared" si="23"/>
        <v>0</v>
      </c>
      <c r="H623" s="74">
        <f>'12-2017'!H632</f>
        <v>0</v>
      </c>
      <c r="I623" s="74">
        <f>'12-2017'!I632</f>
        <v>0</v>
      </c>
      <c r="J623" s="74">
        <f>'12-2017'!J632</f>
        <v>0</v>
      </c>
    </row>
    <row r="624" spans="1:10" s="58" customFormat="1" ht="17.25" hidden="1">
      <c r="A624" s="10">
        <f>'12-2017'!A633</f>
        <v>3</v>
      </c>
      <c r="B624" s="11" t="str">
        <f>'12-2017'!B633</f>
        <v>Bàn cầu hai khối WINSTON Plus, mã số VF-2396</v>
      </c>
      <c r="C624" s="12" t="str">
        <f>'12-2017'!C633</f>
        <v>đ/bộ</v>
      </c>
      <c r="D624" s="13">
        <f>'12-2017'!O633</f>
        <v>1863636.3636363635</v>
      </c>
      <c r="E624" s="13">
        <f>'12-2017'!P633</f>
        <v>1863636.3636363635</v>
      </c>
      <c r="F624" s="130">
        <f t="shared" si="23"/>
        <v>0</v>
      </c>
      <c r="H624" s="74">
        <f>'12-2017'!H633</f>
        <v>0</v>
      </c>
      <c r="I624" s="74">
        <f>'12-2017'!I633</f>
        <v>0</v>
      </c>
      <c r="J624" s="74">
        <f>'12-2017'!J633</f>
        <v>0</v>
      </c>
    </row>
    <row r="625" spans="1:10" s="58" customFormat="1" ht="17.25" hidden="1">
      <c r="A625" s="10">
        <f>'12-2017'!A634</f>
        <v>4</v>
      </c>
      <c r="B625" s="11" t="str">
        <f>'12-2017'!B634</f>
        <v>Bàn cầu hai khối WINSTON, mã số VF-2395</v>
      </c>
      <c r="C625" s="12" t="str">
        <f>'12-2017'!C634</f>
        <v>đ/bộ</v>
      </c>
      <c r="D625" s="13">
        <f>'12-2017'!O634</f>
        <v>1681818.1818181816</v>
      </c>
      <c r="E625" s="13">
        <f>'12-2017'!P634</f>
        <v>1681818.1818181816</v>
      </c>
      <c r="F625" s="130">
        <f t="shared" si="23"/>
        <v>0</v>
      </c>
      <c r="H625" s="74">
        <f>'12-2017'!H634</f>
        <v>0</v>
      </c>
      <c r="I625" s="74">
        <f>'12-2017'!I634</f>
        <v>0</v>
      </c>
      <c r="J625" s="74">
        <f>'12-2017'!J634</f>
        <v>0</v>
      </c>
    </row>
    <row r="626" spans="1:10" s="58" customFormat="1" ht="17.25" hidden="1">
      <c r="A626" s="10">
        <f>'12-2017'!A635</f>
        <v>5</v>
      </c>
      <c r="B626" s="11" t="str">
        <f>'12-2017'!B635</f>
        <v>Lavabo đặt bàn Aqualyn 520mm, mã số VF-0476</v>
      </c>
      <c r="C626" s="12" t="str">
        <f>'12-2017'!C635</f>
        <v>đ/cái</v>
      </c>
      <c r="D626" s="13">
        <f>'12-2017'!O635</f>
        <v>609090.90909090906</v>
      </c>
      <c r="E626" s="13">
        <f>'12-2017'!P635</f>
        <v>609090.90909090906</v>
      </c>
      <c r="F626" s="130">
        <f t="shared" si="23"/>
        <v>0</v>
      </c>
      <c r="H626" s="74">
        <f>'12-2017'!H635</f>
        <v>0</v>
      </c>
      <c r="I626" s="74">
        <f>'12-2017'!I635</f>
        <v>0</v>
      </c>
      <c r="J626" s="74">
        <f>'12-2017'!J635</f>
        <v>0</v>
      </c>
    </row>
    <row r="627" spans="1:10" s="58" customFormat="1" ht="17.25" hidden="1">
      <c r="A627" s="10">
        <f>'12-2017'!A636</f>
        <v>6</v>
      </c>
      <c r="B627" s="11" t="str">
        <f>'12-2017'!B636</f>
        <v>Lavabo đặt dưới bàn Ovalyn 535mm, mã số VF-0470</v>
      </c>
      <c r="C627" s="12" t="str">
        <f>'12-2017'!C636</f>
        <v>đ/cái</v>
      </c>
      <c r="D627" s="13">
        <f>'12-2017'!O636</f>
        <v>609090.90909090906</v>
      </c>
      <c r="E627" s="13">
        <f>'12-2017'!P636</f>
        <v>609090.90909090906</v>
      </c>
      <c r="F627" s="130">
        <f t="shared" si="23"/>
        <v>0</v>
      </c>
      <c r="H627" s="74">
        <f>'12-2017'!H636</f>
        <v>0</v>
      </c>
      <c r="I627" s="74">
        <f>'12-2017'!I636</f>
        <v>0</v>
      </c>
      <c r="J627" s="74">
        <f>'12-2017'!J636</f>
        <v>0</v>
      </c>
    </row>
    <row r="628" spans="1:10" s="58" customFormat="1" ht="17.25" hidden="1">
      <c r="A628" s="10">
        <f>'12-2017'!A637</f>
        <v>7</v>
      </c>
      <c r="B628" s="11" t="str">
        <f>'12-2017'!B637</f>
        <v>Lavabo treo tường Casablanca 500mm, mã số VF-0969</v>
      </c>
      <c r="C628" s="12" t="str">
        <f>'12-2017'!C637</f>
        <v>đ/cái</v>
      </c>
      <c r="D628" s="13">
        <f>'12-2017'!O637</f>
        <v>463636.36363636359</v>
      </c>
      <c r="E628" s="13">
        <f>'12-2017'!P637</f>
        <v>463636.36363636359</v>
      </c>
      <c r="F628" s="130">
        <f t="shared" si="23"/>
        <v>0</v>
      </c>
      <c r="H628" s="74">
        <f>'12-2017'!H637</f>
        <v>0</v>
      </c>
      <c r="I628" s="74">
        <f>'12-2017'!I637</f>
        <v>0</v>
      </c>
      <c r="J628" s="74">
        <f>'12-2017'!J637</f>
        <v>0</v>
      </c>
    </row>
    <row r="629" spans="1:10" s="58" customFormat="1" ht="17.25" hidden="1">
      <c r="A629" s="10">
        <f>'12-2017'!A638</f>
        <v>8</v>
      </c>
      <c r="B629" s="11" t="str">
        <f>'12-2017'!B638</f>
        <v>Lavabo treo tường Gala 465mm, mã số VF-0940</v>
      </c>
      <c r="C629" s="12" t="str">
        <f>'12-2017'!C638</f>
        <v>đ/cái</v>
      </c>
      <c r="D629" s="13">
        <f>'12-2017'!O638</f>
        <v>418181.81818181818</v>
      </c>
      <c r="E629" s="13">
        <f>'12-2017'!P638</f>
        <v>418181.81818181818</v>
      </c>
      <c r="F629" s="130">
        <f t="shared" si="23"/>
        <v>0</v>
      </c>
      <c r="H629" s="74">
        <f>'12-2017'!H638</f>
        <v>0</v>
      </c>
      <c r="I629" s="74">
        <f>'12-2017'!I638</f>
        <v>0</v>
      </c>
      <c r="J629" s="74">
        <f>'12-2017'!J638</f>
        <v>0</v>
      </c>
    </row>
    <row r="630" spans="1:10" s="58" customFormat="1" ht="17.25" hidden="1">
      <c r="A630" s="10">
        <f>'12-2017'!A639</f>
        <v>9</v>
      </c>
      <c r="B630" s="11" t="str">
        <f>'12-2017'!B639</f>
        <v>Chân treo Lavabo Casablanca, mã số VF-0912</v>
      </c>
      <c r="C630" s="12" t="str">
        <f>'12-2017'!C639</f>
        <v>đ/cái</v>
      </c>
      <c r="D630" s="13">
        <f>'12-2017'!O639</f>
        <v>427272.72727272724</v>
      </c>
      <c r="E630" s="13">
        <f>'12-2017'!P639</f>
        <v>427272.72727272724</v>
      </c>
      <c r="F630" s="130">
        <f t="shared" si="23"/>
        <v>0</v>
      </c>
      <c r="H630" s="74">
        <f>'12-2017'!H639</f>
        <v>0</v>
      </c>
      <c r="I630" s="74">
        <f>'12-2017'!I639</f>
        <v>0</v>
      </c>
      <c r="J630" s="74">
        <f>'12-2017'!J639</f>
        <v>0</v>
      </c>
    </row>
    <row r="631" spans="1:10" s="58" customFormat="1" ht="17.25" hidden="1">
      <c r="A631" s="10">
        <f>'12-2017'!A640</f>
        <v>10</v>
      </c>
      <c r="B631" s="11" t="str">
        <f>'12-2017'!B640</f>
        <v>Bồn tiểu nam Mini-Washbrook, mã số VF-6401</v>
      </c>
      <c r="C631" s="12" t="str">
        <f>'12-2017'!C640</f>
        <v>đ/cái</v>
      </c>
      <c r="D631" s="13">
        <f>'12-2017'!O640</f>
        <v>1345454.5454545454</v>
      </c>
      <c r="E631" s="13">
        <f>'12-2017'!P640</f>
        <v>1345454.5454545454</v>
      </c>
      <c r="F631" s="130">
        <f t="shared" si="23"/>
        <v>0</v>
      </c>
      <c r="H631" s="74">
        <f>'12-2017'!H640</f>
        <v>0</v>
      </c>
      <c r="I631" s="74">
        <f>'12-2017'!I640</f>
        <v>0</v>
      </c>
      <c r="J631" s="74">
        <f>'12-2017'!J640</f>
        <v>0</v>
      </c>
    </row>
    <row r="632" spans="1:10" s="58" customFormat="1" ht="17.25" hidden="1">
      <c r="A632" s="10">
        <f>'12-2017'!A641</f>
        <v>11</v>
      </c>
      <c r="B632" s="11" t="str">
        <f>'12-2017'!B641</f>
        <v>Bồn tiểu nam Wall, mã số VF-0412</v>
      </c>
      <c r="C632" s="12" t="str">
        <f>'12-2017'!C641</f>
        <v>đ/cái</v>
      </c>
      <c r="D632" s="13">
        <f>'12-2017'!O641</f>
        <v>636363.63636363635</v>
      </c>
      <c r="E632" s="13">
        <f>'12-2017'!P641</f>
        <v>636363.63636363635</v>
      </c>
      <c r="F632" s="130">
        <f t="shared" si="23"/>
        <v>0</v>
      </c>
      <c r="H632" s="74">
        <f>'12-2017'!H641</f>
        <v>0</v>
      </c>
      <c r="I632" s="74">
        <f>'12-2017'!I641</f>
        <v>0</v>
      </c>
      <c r="J632" s="74">
        <f>'12-2017'!J641</f>
        <v>0</v>
      </c>
    </row>
    <row r="633" spans="1:10" s="58" customFormat="1" ht="17.25" hidden="1">
      <c r="A633" s="10">
        <f>'12-2017'!A642</f>
        <v>12</v>
      </c>
      <c r="B633" s="11" t="str">
        <f>'12-2017'!B642</f>
        <v>Bồn tiểu nam Eco, mã số VF-0414</v>
      </c>
      <c r="C633" s="12" t="str">
        <f>'12-2017'!C642</f>
        <v>đ/cái</v>
      </c>
      <c r="D633" s="13">
        <f>'12-2017'!O642</f>
        <v>590909.09090909082</v>
      </c>
      <c r="E633" s="13">
        <f>'12-2017'!P642</f>
        <v>590909.09090909082</v>
      </c>
      <c r="F633" s="130">
        <f t="shared" si="23"/>
        <v>0</v>
      </c>
      <c r="H633" s="74">
        <f>'12-2017'!H642</f>
        <v>0</v>
      </c>
      <c r="I633" s="74">
        <f>'12-2017'!I642</f>
        <v>0</v>
      </c>
      <c r="J633" s="74">
        <f>'12-2017'!J642</f>
        <v>0</v>
      </c>
    </row>
    <row r="634" spans="1:10" s="73" customFormat="1" ht="17.25">
      <c r="A634" s="17"/>
      <c r="B634" s="237" t="str">
        <f>'12-2017'!B643</f>
        <v xml:space="preserve"> * Vòi, sen tắm VALTA các loại : Cty TNHH TM Hiển Nga - Tổng đại lý phân phối tại An Giang. Theo bảng giá ngày 01/11/2016</v>
      </c>
      <c r="C634" s="238"/>
      <c r="D634" s="238"/>
      <c r="E634" s="238"/>
      <c r="F634" s="239"/>
      <c r="H634" s="74">
        <f>'12-2017'!H643</f>
        <v>0</v>
      </c>
      <c r="I634" s="74">
        <f>'12-2017'!I643</f>
        <v>0</v>
      </c>
      <c r="J634" s="74">
        <f>'12-2017'!J643</f>
        <v>0</v>
      </c>
    </row>
    <row r="635" spans="1:10" s="58" customFormat="1" ht="17.25" hidden="1">
      <c r="A635" s="10">
        <f>'12-2017'!A644</f>
        <v>1</v>
      </c>
      <c r="B635" s="11" t="str">
        <f>'12-2017'!B644</f>
        <v>Vòi sen tắm nóng lạnh TD-2130S2 (bao gồm dây, gá, tay sen inox)</v>
      </c>
      <c r="C635" s="12" t="str">
        <f>'12-2017'!C644</f>
        <v>đ/bộ</v>
      </c>
      <c r="D635" s="13">
        <f>'12-2017'!O644</f>
        <v>1422727.2727272727</v>
      </c>
      <c r="E635" s="13">
        <f>'12-2017'!P644</f>
        <v>1422727.2727272727</v>
      </c>
      <c r="F635" s="130">
        <f t="shared" si="23"/>
        <v>0</v>
      </c>
      <c r="H635" s="74">
        <f>'12-2017'!H644</f>
        <v>0</v>
      </c>
      <c r="I635" s="74">
        <f>'12-2017'!I644</f>
        <v>0</v>
      </c>
      <c r="J635" s="74">
        <f>'12-2017'!J644</f>
        <v>0</v>
      </c>
    </row>
    <row r="636" spans="1:10" s="58" customFormat="1" ht="17.25" hidden="1">
      <c r="A636" s="10">
        <f>'12-2017'!A645</f>
        <v>2</v>
      </c>
      <c r="B636" s="11" t="str">
        <f>'12-2017'!B645</f>
        <v>Vòi sen tắm lạnh TD-263C T1.1 (bao gồm dây, gá, tay sen inox T1.1)</v>
      </c>
      <c r="C636" s="12" t="str">
        <f>'12-2017'!C645</f>
        <v>đ/bộ</v>
      </c>
      <c r="D636" s="13">
        <f>'12-2017'!O645</f>
        <v>499999.99999999994</v>
      </c>
      <c r="E636" s="13">
        <f>'12-2017'!P645</f>
        <v>499999.99999999994</v>
      </c>
      <c r="F636" s="130">
        <f t="shared" si="23"/>
        <v>0</v>
      </c>
      <c r="H636" s="74">
        <f>'12-2017'!H645</f>
        <v>0</v>
      </c>
      <c r="I636" s="74">
        <f>'12-2017'!I645</f>
        <v>0</v>
      </c>
      <c r="J636" s="74">
        <f>'12-2017'!J645</f>
        <v>0</v>
      </c>
    </row>
    <row r="637" spans="1:10" s="58" customFormat="1" ht="17.25" hidden="1">
      <c r="A637" s="10">
        <f>'12-2017'!A646</f>
        <v>3</v>
      </c>
      <c r="B637" s="11" t="str">
        <f>'12-2017'!B646</f>
        <v>Bộ xả tiểu nam TD-3142</v>
      </c>
      <c r="C637" s="12" t="str">
        <f>'12-2017'!C646</f>
        <v>đ/bộ</v>
      </c>
      <c r="D637" s="13">
        <f>'12-2017'!O646</f>
        <v>813636.36363636353</v>
      </c>
      <c r="E637" s="13">
        <f>'12-2017'!P646</f>
        <v>813636.36363636353</v>
      </c>
      <c r="F637" s="130">
        <f t="shared" si="23"/>
        <v>0</v>
      </c>
      <c r="H637" s="74">
        <f>'12-2017'!H646</f>
        <v>0</v>
      </c>
      <c r="I637" s="74">
        <f>'12-2017'!I646</f>
        <v>0</v>
      </c>
      <c r="J637" s="74">
        <f>'12-2017'!J646</f>
        <v>0</v>
      </c>
    </row>
    <row r="638" spans="1:10" s="58" customFormat="1" ht="17.25" hidden="1">
      <c r="A638" s="10">
        <f>'12-2017'!A647</f>
        <v>4</v>
      </c>
      <c r="B638" s="11" t="str">
        <f>'12-2017'!B647</f>
        <v>Vòi hồ TD-202C</v>
      </c>
      <c r="C638" s="12" t="str">
        <f>'12-2017'!C647</f>
        <v>đ/bộ</v>
      </c>
      <c r="D638" s="13">
        <f>'12-2017'!O647</f>
        <v>227272.72727272726</v>
      </c>
      <c r="E638" s="13">
        <f>'12-2017'!P647</f>
        <v>227272.72727272726</v>
      </c>
      <c r="F638" s="130">
        <f t="shared" si="23"/>
        <v>0</v>
      </c>
      <c r="H638" s="74">
        <f>'12-2017'!H647</f>
        <v>0</v>
      </c>
      <c r="I638" s="74">
        <f>'12-2017'!I647</f>
        <v>0</v>
      </c>
      <c r="J638" s="74">
        <f>'12-2017'!J647</f>
        <v>0</v>
      </c>
    </row>
    <row r="639" spans="1:10" s="58" customFormat="1" ht="17.25" hidden="1">
      <c r="A639" s="10">
        <f>'12-2017'!A648</f>
        <v>5</v>
      </c>
      <c r="B639" s="11" t="str">
        <f>'12-2017'!B648</f>
        <v>Vòi xịt TD-401</v>
      </c>
      <c r="C639" s="12" t="str">
        <f>'12-2017'!C648</f>
        <v>đ/bộ</v>
      </c>
      <c r="D639" s="13">
        <f>'12-2017'!O648</f>
        <v>304545.45454545453</v>
      </c>
      <c r="E639" s="13">
        <f>'12-2017'!P648</f>
        <v>304545.45454545453</v>
      </c>
      <c r="F639" s="130">
        <f t="shared" si="23"/>
        <v>0</v>
      </c>
      <c r="H639" s="74">
        <f>'12-2017'!H648</f>
        <v>0</v>
      </c>
      <c r="I639" s="74">
        <f>'12-2017'!I648</f>
        <v>0</v>
      </c>
      <c r="J639" s="74">
        <f>'12-2017'!J648</f>
        <v>0</v>
      </c>
    </row>
    <row r="640" spans="1:10" s="58" customFormat="1" ht="17.25" hidden="1">
      <c r="A640" s="10">
        <f>'12-2017'!A649</f>
        <v>6</v>
      </c>
      <c r="B640" s="11" t="str">
        <f>'12-2017'!B649</f>
        <v>Xiphon (Bộ xả lavabo) TD-306</v>
      </c>
      <c r="C640" s="12" t="str">
        <f>'12-2017'!C649</f>
        <v>đ/bộ</v>
      </c>
      <c r="D640" s="13">
        <f>'12-2017'!O649</f>
        <v>300000</v>
      </c>
      <c r="E640" s="13">
        <f>'12-2017'!P649</f>
        <v>300000</v>
      </c>
      <c r="F640" s="130">
        <f t="shared" si="23"/>
        <v>0</v>
      </c>
      <c r="H640" s="74">
        <f>'12-2017'!H649</f>
        <v>0</v>
      </c>
      <c r="I640" s="74">
        <f>'12-2017'!I649</f>
        <v>0</v>
      </c>
      <c r="J640" s="74">
        <f>'12-2017'!J649</f>
        <v>0</v>
      </c>
    </row>
    <row r="641" spans="1:10" s="58" customFormat="1" ht="17.25" hidden="1">
      <c r="A641" s="10">
        <f>'12-2017'!A650</f>
        <v>7</v>
      </c>
      <c r="B641" s="11" t="str">
        <f>'12-2017'!B650</f>
        <v>Bộ tay sen Inox T3</v>
      </c>
      <c r="C641" s="12" t="str">
        <f>'12-2017'!C650</f>
        <v>đ/bộ</v>
      </c>
      <c r="D641" s="13">
        <f>'12-2017'!O650</f>
        <v>236363.63636363635</v>
      </c>
      <c r="E641" s="13">
        <f>'12-2017'!P650</f>
        <v>236363.63636363635</v>
      </c>
      <c r="F641" s="130">
        <f t="shared" si="23"/>
        <v>0</v>
      </c>
      <c r="H641" s="74">
        <f>'12-2017'!H650</f>
        <v>0</v>
      </c>
      <c r="I641" s="74">
        <f>'12-2017'!I650</f>
        <v>0</v>
      </c>
      <c r="J641" s="74">
        <f>'12-2017'!J650</f>
        <v>0</v>
      </c>
    </row>
    <row r="642" spans="1:10" s="58" customFormat="1" ht="17.25" hidden="1">
      <c r="A642" s="10">
        <f>'12-2017'!A651</f>
        <v>8</v>
      </c>
      <c r="B642" s="11" t="str">
        <f>'12-2017'!B651</f>
        <v>Bộ tay sen nhựa T2</v>
      </c>
      <c r="C642" s="12" t="str">
        <f>'12-2017'!C651</f>
        <v>đ/bộ</v>
      </c>
      <c r="D642" s="13">
        <f>'12-2017'!O651</f>
        <v>118181.81818181818</v>
      </c>
      <c r="E642" s="13">
        <f>'12-2017'!P651</f>
        <v>118181.81818181818</v>
      </c>
      <c r="F642" s="130">
        <f t="shared" si="23"/>
        <v>0</v>
      </c>
      <c r="H642" s="74">
        <f>'12-2017'!H651</f>
        <v>0</v>
      </c>
      <c r="I642" s="74">
        <f>'12-2017'!I651</f>
        <v>0</v>
      </c>
      <c r="J642" s="74">
        <f>'12-2017'!J651</f>
        <v>0</v>
      </c>
    </row>
    <row r="643" spans="1:10" s="58" customFormat="1" ht="17.25" hidden="1">
      <c r="A643" s="10">
        <f>'12-2017'!A652</f>
        <v>9</v>
      </c>
      <c r="B643" s="11" t="str">
        <f>'12-2017'!B652</f>
        <v>Vòi Lavabo nóng lạnh TD-2111 (bao gồm dây cấp)</v>
      </c>
      <c r="C643" s="12" t="str">
        <f>'12-2017'!C652</f>
        <v>đ/bộ</v>
      </c>
      <c r="D643" s="13">
        <f>'12-2017'!O652</f>
        <v>809090.90909090906</v>
      </c>
      <c r="E643" s="13">
        <f>'12-2017'!P652</f>
        <v>809090.90909090906</v>
      </c>
      <c r="F643" s="130">
        <f t="shared" si="23"/>
        <v>0</v>
      </c>
      <c r="H643" s="74">
        <f>'12-2017'!H652</f>
        <v>0</v>
      </c>
      <c r="I643" s="74">
        <f>'12-2017'!I652</f>
        <v>0</v>
      </c>
      <c r="J643" s="74">
        <f>'12-2017'!J652</f>
        <v>0</v>
      </c>
    </row>
    <row r="644" spans="1:10" s="58" customFormat="1" ht="17.25" hidden="1">
      <c r="A644" s="10">
        <f>'12-2017'!A653</f>
        <v>10</v>
      </c>
      <c r="B644" s="11" t="str">
        <f>'12-2017'!B653</f>
        <v>Vòi Lavabo lạnh TD-705 (bao gồm dây cấp)</v>
      </c>
      <c r="C644" s="12" t="str">
        <f>'12-2017'!C653</f>
        <v>đ/bộ</v>
      </c>
      <c r="D644" s="13">
        <f>'12-2017'!O653</f>
        <v>372727.27272727271</v>
      </c>
      <c r="E644" s="13">
        <f>'12-2017'!P653</f>
        <v>372727.27272727271</v>
      </c>
      <c r="F644" s="130">
        <f t="shared" si="23"/>
        <v>0</v>
      </c>
      <c r="H644" s="74">
        <f>'12-2017'!H653</f>
        <v>0</v>
      </c>
      <c r="I644" s="74">
        <f>'12-2017'!I653</f>
        <v>0</v>
      </c>
      <c r="J644" s="74">
        <f>'12-2017'!J653</f>
        <v>0</v>
      </c>
    </row>
    <row r="645" spans="1:10" s="73" customFormat="1" ht="33" customHeight="1">
      <c r="A645" s="17"/>
      <c r="B645" s="237" t="str">
        <f>'12-2017'!B654</f>
        <v xml:space="preserve"> * Sứ vệ sinh Thiên Thanh - loại AA : Cty TNHH TM Hiển Nga - Tổng đại lý phân phối tại An Giang. Theo bảng giá 01/10/2016</v>
      </c>
      <c r="C645" s="238"/>
      <c r="D645" s="238"/>
      <c r="E645" s="238"/>
      <c r="F645" s="239"/>
      <c r="H645" s="74">
        <f>'12-2017'!H654</f>
        <v>0</v>
      </c>
      <c r="I645" s="74">
        <f>'12-2017'!I654</f>
        <v>0</v>
      </c>
      <c r="J645" s="74">
        <f>'12-2017'!J654</f>
        <v>0</v>
      </c>
    </row>
    <row r="646" spans="1:10" s="73" customFormat="1" ht="17.25" hidden="1">
      <c r="A646" s="17"/>
      <c r="B646" s="9" t="str">
        <f>'12-2017'!B655</f>
        <v>Bộ cầu 2 khối (màu trắng)</v>
      </c>
      <c r="C646" s="8"/>
      <c r="D646" s="22"/>
      <c r="E646" s="22"/>
      <c r="F646" s="131"/>
      <c r="H646" s="74">
        <f>'12-2017'!H655</f>
        <v>0</v>
      </c>
      <c r="I646" s="74">
        <f>'12-2017'!I655</f>
        <v>0</v>
      </c>
      <c r="J646" s="74">
        <f>'12-2017'!J655</f>
        <v>0</v>
      </c>
    </row>
    <row r="647" spans="1:10" s="58" customFormat="1" ht="17.25" hidden="1">
      <c r="A647" s="10">
        <f>'12-2017'!A656</f>
        <v>1</v>
      </c>
      <c r="B647" s="11" t="str">
        <f>'12-2017'!B656</f>
        <v>Cầu trẻ em Era (nắp nhựa, phụ kiện gạt)</v>
      </c>
      <c r="C647" s="12" t="str">
        <f>'12-2017'!C656</f>
        <v>đ/bộ</v>
      </c>
      <c r="D647" s="13">
        <f>'12-2017'!O656</f>
        <v>978999.99999999988</v>
      </c>
      <c r="E647" s="13">
        <f>'12-2017'!P656</f>
        <v>978999.99999999988</v>
      </c>
      <c r="F647" s="130">
        <f t="shared" si="23"/>
        <v>0</v>
      </c>
      <c r="H647" s="74">
        <f>'12-2017'!H656</f>
        <v>0</v>
      </c>
      <c r="I647" s="74">
        <f>'12-2017'!I656</f>
        <v>0</v>
      </c>
      <c r="J647" s="74">
        <f>'12-2017'!J656</f>
        <v>0</v>
      </c>
    </row>
    <row r="648" spans="1:10" s="58" customFormat="1" ht="17.25" hidden="1">
      <c r="A648" s="10">
        <f>'12-2017'!A657</f>
        <v>2</v>
      </c>
      <c r="B648" s="11" t="str">
        <f>'12-2017'!B657</f>
        <v>Cầu Ruby (nắp nhựa, phụ kiện gạt)</v>
      </c>
      <c r="C648" s="12" t="str">
        <f>'12-2017'!C657</f>
        <v>đ/bộ</v>
      </c>
      <c r="D648" s="13">
        <f>'12-2017'!O657</f>
        <v>1082000</v>
      </c>
      <c r="E648" s="13">
        <f>'12-2017'!P657</f>
        <v>1082000</v>
      </c>
      <c r="F648" s="130">
        <f t="shared" si="23"/>
        <v>0</v>
      </c>
      <c r="H648" s="74">
        <f>'12-2017'!H657</f>
        <v>0</v>
      </c>
      <c r="I648" s="74">
        <f>'12-2017'!I657</f>
        <v>0</v>
      </c>
      <c r="J648" s="74">
        <f>'12-2017'!J657</f>
        <v>0</v>
      </c>
    </row>
    <row r="649" spans="1:10" s="58" customFormat="1" ht="17.25" hidden="1">
      <c r="A649" s="10">
        <f>'12-2017'!A658</f>
        <v>3</v>
      </c>
      <c r="B649" s="11" t="str">
        <f>'12-2017'!B658</f>
        <v>Cầu King (nắp nhựa, phụ kiện 2 nhấn)</v>
      </c>
      <c r="C649" s="12" t="str">
        <f>'12-2017'!C658</f>
        <v>đ/bộ</v>
      </c>
      <c r="D649" s="13">
        <f>'12-2017'!O658</f>
        <v>1358000</v>
      </c>
      <c r="E649" s="13">
        <f>'12-2017'!P658</f>
        <v>1358000</v>
      </c>
      <c r="F649" s="130">
        <f t="shared" si="23"/>
        <v>0</v>
      </c>
      <c r="H649" s="74">
        <f>'12-2017'!H658</f>
        <v>0</v>
      </c>
      <c r="I649" s="74">
        <f>'12-2017'!I658</f>
        <v>0</v>
      </c>
      <c r="J649" s="74">
        <f>'12-2017'!J658</f>
        <v>0</v>
      </c>
    </row>
    <row r="650" spans="1:10" s="73" customFormat="1" ht="17.25" hidden="1">
      <c r="A650" s="17"/>
      <c r="B650" s="9" t="str">
        <f>'12-2017'!B659</f>
        <v>Bộ cầu 1 khối (màu trắng)</v>
      </c>
      <c r="C650" s="8"/>
      <c r="D650" s="22"/>
      <c r="E650" s="22"/>
      <c r="F650" s="131"/>
      <c r="H650" s="74">
        <f>'12-2017'!H659</f>
        <v>0</v>
      </c>
      <c r="I650" s="74">
        <f>'12-2017'!I659</f>
        <v>0</v>
      </c>
      <c r="J650" s="74">
        <f>'12-2017'!J659</f>
        <v>0</v>
      </c>
    </row>
    <row r="651" spans="1:10" s="58" customFormat="1" ht="17.25" hidden="1">
      <c r="A651" s="10">
        <f>'12-2017'!A660</f>
        <v>4</v>
      </c>
      <c r="B651" s="11" t="str">
        <f>'12-2017'!B660</f>
        <v>Bộ cầu Gold-N, gồm nắp nhựa rơi êm, phụ kiện 2 nhấn, Cleanmax</v>
      </c>
      <c r="C651" s="12" t="str">
        <f>'12-2017'!C660</f>
        <v>đ/bộ</v>
      </c>
      <c r="D651" s="13">
        <f>'12-2017'!O660</f>
        <v>2360000</v>
      </c>
      <c r="E651" s="13">
        <f>'12-2017'!P660</f>
        <v>2360000</v>
      </c>
      <c r="F651" s="130">
        <f>E651-D651</f>
        <v>0</v>
      </c>
      <c r="H651" s="74">
        <f>'12-2017'!H660</f>
        <v>0</v>
      </c>
      <c r="I651" s="74">
        <f>'12-2017'!I660</f>
        <v>0</v>
      </c>
      <c r="J651" s="74">
        <f>'12-2017'!J660</f>
        <v>0</v>
      </c>
    </row>
    <row r="652" spans="1:10" s="73" customFormat="1" ht="17.25" hidden="1">
      <c r="A652" s="17"/>
      <c r="B652" s="9" t="str">
        <f>'12-2017'!B661</f>
        <v>Thân cầu và thùng nước rời (màu trắng)</v>
      </c>
      <c r="C652" s="8"/>
      <c r="D652" s="22"/>
      <c r="E652" s="22"/>
      <c r="F652" s="131"/>
      <c r="H652" s="74">
        <f>'12-2017'!H661</f>
        <v>0</v>
      </c>
      <c r="I652" s="74">
        <f>'12-2017'!I661</f>
        <v>0</v>
      </c>
      <c r="J652" s="74">
        <f>'12-2017'!J661</f>
        <v>0</v>
      </c>
    </row>
    <row r="653" spans="1:10" s="58" customFormat="1" ht="17.25" hidden="1">
      <c r="A653" s="10">
        <f>'12-2017'!A662</f>
        <v>5</v>
      </c>
      <c r="B653" s="11" t="str">
        <f>'12-2017'!B662</f>
        <v>Cầu thấp 04 (CT0400)</v>
      </c>
      <c r="C653" s="12" t="str">
        <f>'12-2017'!C662</f>
        <v>đ/cái</v>
      </c>
      <c r="D653" s="13">
        <f>'12-2017'!O662</f>
        <v>302500</v>
      </c>
      <c r="E653" s="13">
        <f>'12-2017'!P662</f>
        <v>302500</v>
      </c>
      <c r="F653" s="130">
        <f>E653-D653</f>
        <v>0</v>
      </c>
      <c r="H653" s="74">
        <f>'12-2017'!H662</f>
        <v>0</v>
      </c>
      <c r="I653" s="74">
        <f>'12-2017'!I662</f>
        <v>0</v>
      </c>
      <c r="J653" s="74">
        <f>'12-2017'!J662</f>
        <v>0</v>
      </c>
    </row>
    <row r="654" spans="1:10" s="58" customFormat="1" ht="17.25" hidden="1">
      <c r="A654" s="10">
        <f>'12-2017'!A663</f>
        <v>6</v>
      </c>
      <c r="B654" s="11" t="str">
        <f>'12-2017'!B663</f>
        <v>Thùng treo 06 (thùng nước + phụ kiện, TT06PKHA)</v>
      </c>
      <c r="C654" s="12" t="str">
        <f>'12-2017'!C663</f>
        <v>đ/bộ</v>
      </c>
      <c r="D654" s="13">
        <f>'12-2017'!O663</f>
        <v>479999.99999999994</v>
      </c>
      <c r="E654" s="13">
        <f>'12-2017'!P663</f>
        <v>479999.99999999994</v>
      </c>
      <c r="F654" s="130">
        <f>E654-D654</f>
        <v>0</v>
      </c>
      <c r="H654" s="74">
        <f>'12-2017'!H663</f>
        <v>0</v>
      </c>
      <c r="I654" s="74">
        <f>'12-2017'!I663</f>
        <v>0</v>
      </c>
      <c r="J654" s="74">
        <f>'12-2017'!J663</f>
        <v>0</v>
      </c>
    </row>
    <row r="655" spans="1:10" s="58" customFormat="1" ht="17.25" hidden="1">
      <c r="A655" s="10">
        <f>'12-2017'!A664</f>
        <v>0</v>
      </c>
      <c r="B655" s="11" t="str">
        <f>'12-2017'!B664</f>
        <v>Chậu và chân chậu (màu trắng)</v>
      </c>
      <c r="C655" s="12">
        <f>'12-2017'!C664</f>
        <v>0</v>
      </c>
      <c r="D655" s="13">
        <f>'12-2017'!O664</f>
        <v>0</v>
      </c>
      <c r="E655" s="13">
        <f>'12-2017'!P664</f>
        <v>0</v>
      </c>
      <c r="F655" s="130">
        <f>E655-D655</f>
        <v>0</v>
      </c>
      <c r="H655" s="74">
        <f>'12-2017'!H664</f>
        <v>0</v>
      </c>
      <c r="I655" s="74">
        <f>'12-2017'!I664</f>
        <v>0</v>
      </c>
      <c r="J655" s="74">
        <f>'12-2017'!J664</f>
        <v>0</v>
      </c>
    </row>
    <row r="656" spans="1:10" s="58" customFormat="1" ht="17.25" hidden="1">
      <c r="A656" s="10">
        <f>'12-2017'!A665</f>
        <v>7</v>
      </c>
      <c r="B656" s="11" t="str">
        <f>'12-2017'!B665</f>
        <v>Chậu tròn 04 - lỗ lớn</v>
      </c>
      <c r="C656" s="12" t="str">
        <f>'12-2017'!C665</f>
        <v>đ/cái</v>
      </c>
      <c r="D656" s="13">
        <f>'12-2017'!O665</f>
        <v>243999.99999999997</v>
      </c>
      <c r="E656" s="13">
        <f>'12-2017'!P665</f>
        <v>243999.99999999997</v>
      </c>
      <c r="F656" s="130">
        <f>E656-D656</f>
        <v>0</v>
      </c>
      <c r="H656" s="74">
        <f>'12-2017'!H665</f>
        <v>0</v>
      </c>
      <c r="I656" s="74">
        <f>'12-2017'!I665</f>
        <v>0</v>
      </c>
      <c r="J656" s="74">
        <f>'12-2017'!J665</f>
        <v>0</v>
      </c>
    </row>
    <row r="657" spans="1:10" s="58" customFormat="1" ht="17.25" hidden="1">
      <c r="A657" s="10">
        <f>'12-2017'!A666</f>
        <v>8</v>
      </c>
      <c r="B657" s="11" t="str">
        <f>'12-2017'!B666</f>
        <v>Chậu tròn 35 - lỗ lớn</v>
      </c>
      <c r="C657" s="12" t="str">
        <f>'12-2017'!C666</f>
        <v>đ/cái</v>
      </c>
      <c r="D657" s="13">
        <f>'12-2017'!O666</f>
        <v>278000</v>
      </c>
      <c r="E657" s="13">
        <f>'12-2017'!P666</f>
        <v>278000</v>
      </c>
      <c r="F657" s="130">
        <f>E657-D657</f>
        <v>0</v>
      </c>
      <c r="H657" s="74">
        <f>'12-2017'!H666</f>
        <v>0</v>
      </c>
      <c r="I657" s="74">
        <f>'12-2017'!I666</f>
        <v>0</v>
      </c>
      <c r="J657" s="74">
        <f>'12-2017'!J666</f>
        <v>0</v>
      </c>
    </row>
    <row r="658" spans="1:10" s="73" customFormat="1" ht="17.25" hidden="1">
      <c r="A658" s="17"/>
      <c r="B658" s="9" t="str">
        <f>'12-2017'!B667</f>
        <v>Bồn tiểu (màu trắng)</v>
      </c>
      <c r="C658" s="8"/>
      <c r="D658" s="22"/>
      <c r="E658" s="22"/>
      <c r="F658" s="131"/>
      <c r="H658" s="74">
        <f>'12-2017'!H667</f>
        <v>0</v>
      </c>
      <c r="I658" s="74">
        <f>'12-2017'!I667</f>
        <v>0</v>
      </c>
      <c r="J658" s="74">
        <f>'12-2017'!J667</f>
        <v>0</v>
      </c>
    </row>
    <row r="659" spans="1:10" s="58" customFormat="1" ht="17.25" hidden="1">
      <c r="A659" s="10">
        <f>'12-2017'!A668</f>
        <v>9</v>
      </c>
      <c r="B659" s="11" t="str">
        <f>'12-2017'!B668</f>
        <v>Bồn tiểu 01</v>
      </c>
      <c r="C659" s="12" t="str">
        <f>'12-2017'!C668</f>
        <v>đ/cái</v>
      </c>
      <c r="D659" s="13">
        <f>'12-2017'!O668</f>
        <v>189999.99999999997</v>
      </c>
      <c r="E659" s="13">
        <f>'12-2017'!P668</f>
        <v>189999.99999999997</v>
      </c>
      <c r="F659" s="130">
        <f>E659-D659</f>
        <v>0</v>
      </c>
      <c r="H659" s="74">
        <f>'12-2017'!H668</f>
        <v>0</v>
      </c>
      <c r="I659" s="74">
        <f>'12-2017'!I668</f>
        <v>0</v>
      </c>
      <c r="J659" s="74">
        <f>'12-2017'!J668</f>
        <v>0</v>
      </c>
    </row>
    <row r="660" spans="1:10" s="58" customFormat="1" ht="17.25" hidden="1">
      <c r="A660" s="10">
        <f>'12-2017'!A669</f>
        <v>10</v>
      </c>
      <c r="B660" s="11" t="str">
        <f>'12-2017'!B669</f>
        <v>Bồn tiểu 15</v>
      </c>
      <c r="C660" s="12" t="str">
        <f>'12-2017'!C669</f>
        <v>đ/cái</v>
      </c>
      <c r="D660" s="13">
        <f>'12-2017'!O669</f>
        <v>399999.99999999994</v>
      </c>
      <c r="E660" s="13">
        <f>'12-2017'!P669</f>
        <v>399999.99999999994</v>
      </c>
      <c r="F660" s="130">
        <f>E660-D660</f>
        <v>0</v>
      </c>
      <c r="H660" s="74">
        <f>'12-2017'!H669</f>
        <v>0</v>
      </c>
      <c r="I660" s="74">
        <f>'12-2017'!I669</f>
        <v>0</v>
      </c>
      <c r="J660" s="74">
        <f>'12-2017'!J669</f>
        <v>0</v>
      </c>
    </row>
    <row r="661" spans="1:10" s="73" customFormat="1" ht="33" customHeight="1">
      <c r="A661" s="17"/>
      <c r="B661" s="237" t="str">
        <f>'12-2017'!B670</f>
        <v>* Sứ vệ sinh Inax: Công ty TNHH LIXIL Việt Nam (Gia Lâm, Hà Nội). Theo bảng báo giá ngày 01/4/2016. Giá sản phẩm giao tại địa bàn tỉnh An Giang</v>
      </c>
      <c r="C661" s="238"/>
      <c r="D661" s="238"/>
      <c r="E661" s="238"/>
      <c r="F661" s="239"/>
      <c r="H661" s="74">
        <f>'12-2017'!H670</f>
        <v>0</v>
      </c>
      <c r="I661" s="74">
        <f>'12-2017'!I670</f>
        <v>0</v>
      </c>
      <c r="J661" s="74">
        <f>'12-2017'!J670</f>
        <v>0</v>
      </c>
    </row>
    <row r="662" spans="1:10" s="58" customFormat="1" ht="17.25" hidden="1">
      <c r="A662" s="10">
        <f>'12-2017'!A671</f>
        <v>1</v>
      </c>
      <c r="B662" s="11" t="str">
        <f>'12-2017'!B671</f>
        <v>Bàn cầu hai khối C-117VA</v>
      </c>
      <c r="C662" s="12" t="str">
        <f>'12-2017'!C671</f>
        <v>đ/bộ</v>
      </c>
      <c r="D662" s="13">
        <f>'12-2017'!O671</f>
        <v>18450000</v>
      </c>
      <c r="E662" s="13">
        <f>'12-2017'!P671</f>
        <v>18450000</v>
      </c>
      <c r="F662" s="130">
        <f t="shared" ref="F662:F672" si="24">E662-D662</f>
        <v>0</v>
      </c>
      <c r="H662" s="74">
        <f>'12-2017'!H671</f>
        <v>0</v>
      </c>
      <c r="I662" s="74">
        <f>'12-2017'!I671</f>
        <v>0</v>
      </c>
      <c r="J662" s="74">
        <f>'12-2017'!J671</f>
        <v>0</v>
      </c>
    </row>
    <row r="663" spans="1:10" s="58" customFormat="1" ht="17.25" hidden="1">
      <c r="A663" s="10">
        <f>'12-2017'!A672</f>
        <v>2</v>
      </c>
      <c r="B663" s="11" t="str">
        <f>'12-2017'!B672</f>
        <v>Bàn cầu hai khối C-306VT</v>
      </c>
      <c r="C663" s="12" t="str">
        <f>'12-2017'!C672</f>
        <v>đ/bộ</v>
      </c>
      <c r="D663" s="13">
        <f>'12-2017'!O672</f>
        <v>2320000</v>
      </c>
      <c r="E663" s="13">
        <f>'12-2017'!P672</f>
        <v>2320000</v>
      </c>
      <c r="F663" s="130">
        <f t="shared" si="24"/>
        <v>0</v>
      </c>
      <c r="H663" s="74">
        <f>'12-2017'!H672</f>
        <v>0</v>
      </c>
      <c r="I663" s="74">
        <f>'12-2017'!I672</f>
        <v>0</v>
      </c>
      <c r="J663" s="74">
        <f>'12-2017'!J672</f>
        <v>0</v>
      </c>
    </row>
    <row r="664" spans="1:10" s="58" customFormat="1" ht="17.25" hidden="1">
      <c r="A664" s="10">
        <f>'12-2017'!A673</f>
        <v>3</v>
      </c>
      <c r="B664" s="11" t="str">
        <f>'12-2017'!B673</f>
        <v>Bàn cầu hai khối C-504VTN</v>
      </c>
      <c r="C664" s="12" t="str">
        <f>'12-2017'!C673</f>
        <v>đ/bộ</v>
      </c>
      <c r="D664" s="13">
        <f>'12-2017'!O673</f>
        <v>2860000</v>
      </c>
      <c r="E664" s="13">
        <f>'12-2017'!P673</f>
        <v>2860000</v>
      </c>
      <c r="F664" s="130">
        <f t="shared" si="24"/>
        <v>0</v>
      </c>
      <c r="H664" s="74">
        <f>'12-2017'!H673</f>
        <v>0</v>
      </c>
      <c r="I664" s="74">
        <f>'12-2017'!I673</f>
        <v>0</v>
      </c>
      <c r="J664" s="74">
        <f>'12-2017'!J673</f>
        <v>0</v>
      </c>
    </row>
    <row r="665" spans="1:10" s="58" customFormat="1" ht="17.25" hidden="1">
      <c r="A665" s="10">
        <f>'12-2017'!A674</f>
        <v>4</v>
      </c>
      <c r="B665" s="11" t="str">
        <f>'12-2017'!B674</f>
        <v>Lavabo treo tường + âm bàn L-282V</v>
      </c>
      <c r="C665" s="12" t="str">
        <f>'12-2017'!C674</f>
        <v>đ/cái</v>
      </c>
      <c r="D665" s="13">
        <f>'12-2017'!O674</f>
        <v>410000</v>
      </c>
      <c r="E665" s="13">
        <f>'12-2017'!P674</f>
        <v>410000</v>
      </c>
      <c r="F665" s="130">
        <f t="shared" si="24"/>
        <v>0</v>
      </c>
      <c r="H665" s="74">
        <f>'12-2017'!H674</f>
        <v>0</v>
      </c>
      <c r="I665" s="74">
        <f>'12-2017'!I674</f>
        <v>0</v>
      </c>
      <c r="J665" s="74">
        <f>'12-2017'!J674</f>
        <v>0</v>
      </c>
    </row>
    <row r="666" spans="1:10" s="58" customFormat="1" ht="17.25" hidden="1">
      <c r="A666" s="10">
        <f>'12-2017'!A675</f>
        <v>5</v>
      </c>
      <c r="B666" s="11" t="str">
        <f>'12-2017'!B675</f>
        <v>Lavabo treo tường + âm bàn L-284V</v>
      </c>
      <c r="C666" s="12" t="str">
        <f>'12-2017'!C675</f>
        <v>đ/cái</v>
      </c>
      <c r="D666" s="13">
        <f>'12-2017'!O675</f>
        <v>515000</v>
      </c>
      <c r="E666" s="13">
        <f>'12-2017'!P675</f>
        <v>515000</v>
      </c>
      <c r="F666" s="130">
        <f t="shared" si="24"/>
        <v>0</v>
      </c>
      <c r="H666" s="74">
        <f>'12-2017'!H675</f>
        <v>0</v>
      </c>
      <c r="I666" s="74">
        <f>'12-2017'!I675</f>
        <v>0</v>
      </c>
      <c r="J666" s="74">
        <f>'12-2017'!J675</f>
        <v>0</v>
      </c>
    </row>
    <row r="667" spans="1:10" s="58" customFormat="1" ht="17.25" hidden="1">
      <c r="A667" s="10">
        <f>'12-2017'!A676</f>
        <v>6</v>
      </c>
      <c r="B667" s="11" t="str">
        <f>'12-2017'!B676</f>
        <v>Lavabo treo tường + âm bàn L-2395V</v>
      </c>
      <c r="C667" s="12" t="str">
        <f>'12-2017'!C676</f>
        <v>đ/cái</v>
      </c>
      <c r="D667" s="13">
        <f>'12-2017'!O676</f>
        <v>730000</v>
      </c>
      <c r="E667" s="13">
        <f>'12-2017'!P676</f>
        <v>730000</v>
      </c>
      <c r="F667" s="130">
        <f t="shared" si="24"/>
        <v>0</v>
      </c>
      <c r="H667" s="74">
        <f>'12-2017'!H676</f>
        <v>0</v>
      </c>
      <c r="I667" s="74">
        <f>'12-2017'!I676</f>
        <v>0</v>
      </c>
      <c r="J667" s="74">
        <f>'12-2017'!J676</f>
        <v>0</v>
      </c>
    </row>
    <row r="668" spans="1:10" s="58" customFormat="1" ht="17.25" hidden="1">
      <c r="A668" s="10">
        <f>'12-2017'!A677</f>
        <v>7</v>
      </c>
      <c r="B668" s="11" t="str">
        <f>'12-2017'!B677</f>
        <v>Bồn tiểu U-116V</v>
      </c>
      <c r="C668" s="12" t="str">
        <f>'12-2017'!C677</f>
        <v>đ/cái</v>
      </c>
      <c r="D668" s="13">
        <f>'12-2017'!O677</f>
        <v>470000</v>
      </c>
      <c r="E668" s="13">
        <f>'12-2017'!P677</f>
        <v>470000</v>
      </c>
      <c r="F668" s="130">
        <f t="shared" si="24"/>
        <v>0</v>
      </c>
      <c r="H668" s="74">
        <f>'12-2017'!H677</f>
        <v>0</v>
      </c>
      <c r="I668" s="74">
        <f>'12-2017'!I677</f>
        <v>0</v>
      </c>
      <c r="J668" s="74">
        <f>'12-2017'!J677</f>
        <v>0</v>
      </c>
    </row>
    <row r="669" spans="1:10" s="58" customFormat="1" ht="17.25" hidden="1">
      <c r="A669" s="10">
        <f>'12-2017'!A678</f>
        <v>8</v>
      </c>
      <c r="B669" s="11" t="str">
        <f>'12-2017'!B678</f>
        <v>Bồn tiểu U-117V</v>
      </c>
      <c r="C669" s="12" t="str">
        <f>'12-2017'!C678</f>
        <v>đ/cái</v>
      </c>
      <c r="D669" s="13">
        <f>'12-2017'!O678</f>
        <v>975000</v>
      </c>
      <c r="E669" s="13">
        <f>'12-2017'!P678</f>
        <v>975000</v>
      </c>
      <c r="F669" s="130">
        <f t="shared" si="24"/>
        <v>0</v>
      </c>
      <c r="H669" s="74">
        <f>'12-2017'!H678</f>
        <v>0</v>
      </c>
      <c r="I669" s="74">
        <f>'12-2017'!I678</f>
        <v>0</v>
      </c>
      <c r="J669" s="74">
        <f>'12-2017'!J678</f>
        <v>0</v>
      </c>
    </row>
    <row r="670" spans="1:10" s="58" customFormat="1" ht="17.25" hidden="1">
      <c r="A670" s="10">
        <f>'12-2017'!A679</f>
        <v>9</v>
      </c>
      <c r="B670" s="11" t="str">
        <f>'12-2017'!B679</f>
        <v>Van xả tiểu UF-6V</v>
      </c>
      <c r="C670" s="12" t="str">
        <f>'12-2017'!C679</f>
        <v>đ/cái</v>
      </c>
      <c r="D670" s="13">
        <f>'12-2017'!O679</f>
        <v>1070000</v>
      </c>
      <c r="E670" s="13">
        <f>'12-2017'!P679</f>
        <v>1070000</v>
      </c>
      <c r="F670" s="130">
        <f t="shared" si="24"/>
        <v>0</v>
      </c>
      <c r="H670" s="74">
        <f>'12-2017'!H679</f>
        <v>0</v>
      </c>
      <c r="I670" s="74">
        <f>'12-2017'!I679</f>
        <v>0</v>
      </c>
      <c r="J670" s="74">
        <f>'12-2017'!J679</f>
        <v>0</v>
      </c>
    </row>
    <row r="671" spans="1:10" s="58" customFormat="1" ht="17.25" hidden="1">
      <c r="A671" s="10">
        <f>'12-2017'!A680</f>
        <v>10</v>
      </c>
      <c r="B671" s="11" t="str">
        <f>'12-2017'!B680</f>
        <v>Vòi lạnh Lavabo 13B</v>
      </c>
      <c r="C671" s="12" t="str">
        <f>'12-2017'!C680</f>
        <v>đ/cái</v>
      </c>
      <c r="D671" s="13">
        <f>'12-2017'!O680</f>
        <v>790000</v>
      </c>
      <c r="E671" s="13">
        <f>'12-2017'!P680</f>
        <v>790000</v>
      </c>
      <c r="F671" s="130">
        <f t="shared" si="24"/>
        <v>0</v>
      </c>
      <c r="H671" s="74">
        <f>'12-2017'!H680</f>
        <v>0</v>
      </c>
      <c r="I671" s="74">
        <f>'12-2017'!I680</f>
        <v>0</v>
      </c>
      <c r="J671" s="74">
        <f>'12-2017'!J680</f>
        <v>0</v>
      </c>
    </row>
    <row r="672" spans="1:10" s="58" customFormat="1" ht="17.25" hidden="1">
      <c r="A672" s="10">
        <f>'12-2017'!A681</f>
        <v>11</v>
      </c>
      <c r="B672" s="11" t="str">
        <f>'12-2017'!B681</f>
        <v>Vòi lạnh Lavabo 11B</v>
      </c>
      <c r="C672" s="12" t="str">
        <f>'12-2017'!C681</f>
        <v>đ/cái</v>
      </c>
      <c r="D672" s="13">
        <f>'12-2017'!O681</f>
        <v>550000</v>
      </c>
      <c r="E672" s="13">
        <f>'12-2017'!P681</f>
        <v>550000</v>
      </c>
      <c r="F672" s="130">
        <f t="shared" si="24"/>
        <v>0</v>
      </c>
      <c r="H672" s="74">
        <f>'12-2017'!H681</f>
        <v>0</v>
      </c>
      <c r="I672" s="74">
        <f>'12-2017'!I681</f>
        <v>0</v>
      </c>
      <c r="J672" s="74">
        <f>'12-2017'!J681</f>
        <v>0</v>
      </c>
    </row>
    <row r="673" spans="1:10" s="73" customFormat="1" ht="17.25">
      <c r="A673" s="17" t="str">
        <f>'12-2017'!A682</f>
        <v>XIII</v>
      </c>
      <c r="B673" s="9" t="str">
        <f>'12-2017'!B682</f>
        <v xml:space="preserve">VẢI ĐỊA KỸ THUẬT VÀ RỌ ĐÁ : </v>
      </c>
      <c r="C673" s="8"/>
      <c r="D673" s="22"/>
      <c r="E673" s="22"/>
      <c r="F673" s="131"/>
      <c r="H673" s="74">
        <f>'12-2017'!H682</f>
        <v>0</v>
      </c>
      <c r="I673" s="74">
        <f>'12-2017'!I682</f>
        <v>0</v>
      </c>
      <c r="J673" s="74">
        <f>'12-2017'!J682</f>
        <v>0</v>
      </c>
    </row>
    <row r="674" spans="1:10" s="73" customFormat="1" ht="33" customHeight="1">
      <c r="A674" s="17"/>
      <c r="B674" s="237" t="str">
        <f>'12-2017'!B683</f>
        <v>* Công ty CP SX-TM Liên Phát  (số 57 Đào Duy Anh, P.9, Q. Phú Nhuận, Tp.HCM), giao hàng tại kho Công ty. Theo bảng giá ngày 09/11/2017</v>
      </c>
      <c r="C674" s="238"/>
      <c r="D674" s="238"/>
      <c r="E674" s="238"/>
      <c r="F674" s="239"/>
      <c r="H674" s="74">
        <f>'12-2017'!H683</f>
        <v>0</v>
      </c>
      <c r="I674" s="74">
        <f>'12-2017'!I683</f>
        <v>0</v>
      </c>
      <c r="J674" s="74">
        <f>'12-2017'!J683</f>
        <v>0</v>
      </c>
    </row>
    <row r="675" spans="1:10" s="73" customFormat="1" ht="17.25" hidden="1">
      <c r="A675" s="17"/>
      <c r="B675" s="237" t="str">
        <f>'12-2017'!B684</f>
        <v xml:space="preserve"> Vải địa kỹ thuật không dệt, sợi dài liên tục, 100% PP chính phẩm, ổn định hóa UV; nơi sản xuất : Malaysia</v>
      </c>
      <c r="C675" s="238"/>
      <c r="D675" s="238"/>
      <c r="E675" s="238"/>
      <c r="F675" s="239"/>
      <c r="H675" s="74">
        <f>'12-2017'!H684</f>
        <v>0</v>
      </c>
      <c r="I675" s="74">
        <f>'12-2017'!I684</f>
        <v>0</v>
      </c>
      <c r="J675" s="74">
        <f>'12-2017'!J684</f>
        <v>0</v>
      </c>
    </row>
    <row r="676" spans="1:10" s="58" customFormat="1" ht="17.25" hidden="1">
      <c r="A676" s="10">
        <f>'12-2017'!A685</f>
        <v>1</v>
      </c>
      <c r="B676" s="11" t="str">
        <f>'12-2017'!B685</f>
        <v>Polyfelt TS 20 (4m x 250m)</v>
      </c>
      <c r="C676" s="12" t="str">
        <f>'12-2017'!C685</f>
        <v>đ/m2</v>
      </c>
      <c r="D676" s="13">
        <f>'12-2017'!O685</f>
        <v>13000</v>
      </c>
      <c r="E676" s="13">
        <f>'12-2017'!P685</f>
        <v>13000</v>
      </c>
      <c r="F676" s="130">
        <f t="shared" ref="F676:F683" si="25">E676-D676</f>
        <v>0</v>
      </c>
      <c r="H676" s="74">
        <f>'12-2017'!H685</f>
        <v>13000</v>
      </c>
      <c r="I676" s="74">
        <f>'12-2017'!I685</f>
        <v>0</v>
      </c>
      <c r="J676" s="74">
        <f>'12-2017'!J685</f>
        <v>0</v>
      </c>
    </row>
    <row r="677" spans="1:10" s="58" customFormat="1" ht="17.25" hidden="1">
      <c r="A677" s="10">
        <f>'12-2017'!A686</f>
        <v>2</v>
      </c>
      <c r="B677" s="11" t="str">
        <f>'12-2017'!B686</f>
        <v>Polyfelt TS 30 (4m x 225m)</v>
      </c>
      <c r="C677" s="12" t="str">
        <f>'12-2017'!C686</f>
        <v>đ/m2</v>
      </c>
      <c r="D677" s="13">
        <f>'12-2017'!O686</f>
        <v>14000</v>
      </c>
      <c r="E677" s="13">
        <f>'12-2017'!P686</f>
        <v>14000</v>
      </c>
      <c r="F677" s="130">
        <f t="shared" si="25"/>
        <v>0</v>
      </c>
      <c r="H677" s="74">
        <f>'12-2017'!H686</f>
        <v>14000</v>
      </c>
      <c r="I677" s="74">
        <f>'12-2017'!I686</f>
        <v>0</v>
      </c>
      <c r="J677" s="74">
        <f>'12-2017'!J686</f>
        <v>0</v>
      </c>
    </row>
    <row r="678" spans="1:10" s="58" customFormat="1" ht="17.25" hidden="1">
      <c r="A678" s="10">
        <f>'12-2017'!A687</f>
        <v>3</v>
      </c>
      <c r="B678" s="11" t="str">
        <f>'12-2017'!B687</f>
        <v>Polyfelt TS 40 (4m x 200m)</v>
      </c>
      <c r="C678" s="12" t="str">
        <f>'12-2017'!C687</f>
        <v>đ/m2</v>
      </c>
      <c r="D678" s="13">
        <f>'12-2017'!O687</f>
        <v>16300</v>
      </c>
      <c r="E678" s="13">
        <f>'12-2017'!P687</f>
        <v>16300</v>
      </c>
      <c r="F678" s="130">
        <f t="shared" si="25"/>
        <v>0</v>
      </c>
      <c r="H678" s="74">
        <f>'12-2017'!H687</f>
        <v>16300</v>
      </c>
      <c r="I678" s="74">
        <f>'12-2017'!I687</f>
        <v>0</v>
      </c>
      <c r="J678" s="74">
        <f>'12-2017'!J687</f>
        <v>0</v>
      </c>
    </row>
    <row r="679" spans="1:10" s="58" customFormat="1" ht="17.25" hidden="1">
      <c r="A679" s="10">
        <f>'12-2017'!A688</f>
        <v>4</v>
      </c>
      <c r="B679" s="11" t="str">
        <f>'12-2017'!B688</f>
        <v>Polyfelt TS 50 (4m x 175m)</v>
      </c>
      <c r="C679" s="12" t="str">
        <f>'12-2017'!C688</f>
        <v>đ/m2</v>
      </c>
      <c r="D679" s="13">
        <f>'12-2017'!O688</f>
        <v>17800</v>
      </c>
      <c r="E679" s="13">
        <f>'12-2017'!P688</f>
        <v>17800</v>
      </c>
      <c r="F679" s="130">
        <f t="shared" si="25"/>
        <v>0</v>
      </c>
      <c r="H679" s="74">
        <f>'12-2017'!H688</f>
        <v>17800</v>
      </c>
      <c r="I679" s="74">
        <f>'12-2017'!I688</f>
        <v>0</v>
      </c>
      <c r="J679" s="74">
        <f>'12-2017'!J688</f>
        <v>0</v>
      </c>
    </row>
    <row r="680" spans="1:10" s="58" customFormat="1" ht="17.25" hidden="1">
      <c r="A680" s="10">
        <f>'12-2017'!A689</f>
        <v>5</v>
      </c>
      <c r="B680" s="11" t="str">
        <f>'12-2017'!B689</f>
        <v>Polyfelt TS 60 (4m x 135m)</v>
      </c>
      <c r="C680" s="12" t="str">
        <f>'12-2017'!C689</f>
        <v>đ/m2</v>
      </c>
      <c r="D680" s="13">
        <f>'12-2017'!O689</f>
        <v>23500</v>
      </c>
      <c r="E680" s="13">
        <f>'12-2017'!P689</f>
        <v>23500</v>
      </c>
      <c r="F680" s="130">
        <f t="shared" si="25"/>
        <v>0</v>
      </c>
      <c r="H680" s="74">
        <f>'12-2017'!H689</f>
        <v>23500</v>
      </c>
      <c r="I680" s="74">
        <f>'12-2017'!I689</f>
        <v>0</v>
      </c>
      <c r="J680" s="74">
        <f>'12-2017'!J689</f>
        <v>0</v>
      </c>
    </row>
    <row r="681" spans="1:10" s="58" customFormat="1" ht="17.25" hidden="1">
      <c r="A681" s="10">
        <f>'12-2017'!A690</f>
        <v>6</v>
      </c>
      <c r="B681" s="11" t="str">
        <f>'12-2017'!B690</f>
        <v>Polyfelt TS 65 (4m x 125m)</v>
      </c>
      <c r="C681" s="12" t="str">
        <f>'12-2017'!C690</f>
        <v>đ/m2</v>
      </c>
      <c r="D681" s="13">
        <f>'12-2017'!O690</f>
        <v>25900</v>
      </c>
      <c r="E681" s="13">
        <f>'12-2017'!P690</f>
        <v>25900</v>
      </c>
      <c r="F681" s="130">
        <f t="shared" si="25"/>
        <v>0</v>
      </c>
      <c r="H681" s="74">
        <f>'12-2017'!H690</f>
        <v>25900</v>
      </c>
      <c r="I681" s="74">
        <f>'12-2017'!I690</f>
        <v>0</v>
      </c>
      <c r="J681" s="74">
        <f>'12-2017'!J690</f>
        <v>0</v>
      </c>
    </row>
    <row r="682" spans="1:10" s="58" customFormat="1" ht="17.25" hidden="1">
      <c r="A682" s="10">
        <f>'12-2017'!A691</f>
        <v>7</v>
      </c>
      <c r="B682" s="11" t="str">
        <f>'12-2017'!B691</f>
        <v>Polyfelt TS 70 (4m x 100m)</v>
      </c>
      <c r="C682" s="12" t="str">
        <f>'12-2017'!C691</f>
        <v>đ/m2</v>
      </c>
      <c r="D682" s="13">
        <f>'12-2017'!O691</f>
        <v>29200</v>
      </c>
      <c r="E682" s="13">
        <f>'12-2017'!P691</f>
        <v>29200</v>
      </c>
      <c r="F682" s="130">
        <f t="shared" si="25"/>
        <v>0</v>
      </c>
      <c r="H682" s="74">
        <f>'12-2017'!H691</f>
        <v>29200</v>
      </c>
      <c r="I682" s="74">
        <f>'12-2017'!I691</f>
        <v>0</v>
      </c>
      <c r="J682" s="74">
        <f>'12-2017'!J691</f>
        <v>0</v>
      </c>
    </row>
    <row r="683" spans="1:10" s="58" customFormat="1" ht="17.25" hidden="1">
      <c r="A683" s="10">
        <f>'12-2017'!A692</f>
        <v>8</v>
      </c>
      <c r="B683" s="11" t="str">
        <f>'12-2017'!B692</f>
        <v>Polyfelt TS 80 (4m x 90m)</v>
      </c>
      <c r="C683" s="12" t="str">
        <f>'12-2017'!C692</f>
        <v>đ/m2</v>
      </c>
      <c r="D683" s="13">
        <f>'12-2017'!O692</f>
        <v>36300</v>
      </c>
      <c r="E683" s="13">
        <f>'12-2017'!P692</f>
        <v>36300</v>
      </c>
      <c r="F683" s="130">
        <f t="shared" si="25"/>
        <v>0</v>
      </c>
      <c r="H683" s="74">
        <f>'12-2017'!H692</f>
        <v>36300</v>
      </c>
      <c r="I683" s="74">
        <f>'12-2017'!I692</f>
        <v>0</v>
      </c>
      <c r="J683" s="74">
        <f>'12-2017'!J692</f>
        <v>0</v>
      </c>
    </row>
    <row r="684" spans="1:10" s="73" customFormat="1" ht="17.25" hidden="1">
      <c r="A684" s="17"/>
      <c r="B684" s="9" t="str">
        <f>'12-2017'!B693</f>
        <v>Rọ đá bọc nhựa PVC: Thép mạ kẽm trung bình &gt;50g/m2 (TCVN 2053:1993)</v>
      </c>
      <c r="C684" s="8"/>
      <c r="D684" s="22"/>
      <c r="E684" s="22"/>
      <c r="F684" s="131"/>
      <c r="H684" s="74">
        <f>'12-2017'!H693</f>
        <v>0</v>
      </c>
      <c r="I684" s="74">
        <f>'12-2017'!I693</f>
        <v>0</v>
      </c>
      <c r="J684" s="74">
        <f>'12-2017'!J693</f>
        <v>0</v>
      </c>
    </row>
    <row r="685" spans="1:10" s="73" customFormat="1" ht="17.25" hidden="1">
      <c r="A685" s="17"/>
      <c r="B685" s="9" t="str">
        <f>'12-2017'!B694</f>
        <v xml:space="preserve">  - Rọ và thảm đá bọc nhựa PVC, loại P8 (8 x 10)cm: </v>
      </c>
      <c r="C685" s="8"/>
      <c r="D685" s="22"/>
      <c r="E685" s="22"/>
      <c r="F685" s="131"/>
      <c r="H685" s="74">
        <f>'12-2017'!H694</f>
        <v>0</v>
      </c>
      <c r="I685" s="74">
        <f>'12-2017'!I694</f>
        <v>0</v>
      </c>
      <c r="J685" s="74">
        <f>'12-2017'!J694</f>
        <v>0</v>
      </c>
    </row>
    <row r="686" spans="1:10" s="58" customFormat="1" ht="17.25" hidden="1">
      <c r="A686" s="10">
        <f>'12-2017'!A695</f>
        <v>9</v>
      </c>
      <c r="B686" s="11" t="str">
        <f>'12-2017'!B695</f>
        <v>Dây đan 2,2 - 3,2mm; dây viền 2,7 - 3,7mm</v>
      </c>
      <c r="C686" s="12" t="str">
        <f>'12-2017'!C695</f>
        <v>đ/m2lưới</v>
      </c>
      <c r="D686" s="13">
        <f>'12-2017'!O695</f>
        <v>38000</v>
      </c>
      <c r="E686" s="13">
        <f>'12-2017'!P695</f>
        <v>42500</v>
      </c>
      <c r="F686" s="130">
        <f>E686-D686</f>
        <v>4500</v>
      </c>
      <c r="H686" s="74">
        <f>'12-2017'!H695</f>
        <v>42500</v>
      </c>
      <c r="I686" s="74">
        <f>'12-2017'!I695</f>
        <v>0</v>
      </c>
      <c r="J686" s="74">
        <f>'12-2017'!J695</f>
        <v>0</v>
      </c>
    </row>
    <row r="687" spans="1:10" s="58" customFormat="1" ht="17.25" hidden="1">
      <c r="A687" s="10">
        <f>'12-2017'!A696</f>
        <v>10</v>
      </c>
      <c r="B687" s="11" t="str">
        <f>'12-2017'!B696</f>
        <v>Dây đan 2,4 - 3mm; dây viền 2,7 - 3,7mm</v>
      </c>
      <c r="C687" s="12" t="str">
        <f>'12-2017'!C696</f>
        <v>đ/m2lưới</v>
      </c>
      <c r="D687" s="13">
        <f>'12-2017'!O696</f>
        <v>44000</v>
      </c>
      <c r="E687" s="13">
        <f>'12-2017'!P696</f>
        <v>48000</v>
      </c>
      <c r="F687" s="130">
        <f>E687-D687</f>
        <v>4000</v>
      </c>
      <c r="H687" s="74">
        <f>'12-2017'!H696</f>
        <v>48000</v>
      </c>
      <c r="I687" s="74">
        <f>'12-2017'!I696</f>
        <v>0</v>
      </c>
      <c r="J687" s="74">
        <f>'12-2017'!J696</f>
        <v>0</v>
      </c>
    </row>
    <row r="688" spans="1:10" s="58" customFormat="1" ht="17.25" hidden="1">
      <c r="A688" s="10">
        <f>'12-2017'!A697</f>
        <v>11</v>
      </c>
      <c r="B688" s="11" t="str">
        <f>'12-2017'!B697</f>
        <v>Dây đan 2,7 - 3,7mm; dây viền 3,4 - 4,4mm</v>
      </c>
      <c r="C688" s="12" t="str">
        <f>'12-2017'!C697</f>
        <v>đ/m2lưới</v>
      </c>
      <c r="D688" s="13">
        <f>'12-2017'!O697</f>
        <v>52500</v>
      </c>
      <c r="E688" s="13">
        <f>'12-2017'!P697</f>
        <v>56500</v>
      </c>
      <c r="F688" s="130">
        <f>E688-D688</f>
        <v>4000</v>
      </c>
      <c r="H688" s="74">
        <f>'12-2017'!H697</f>
        <v>56500</v>
      </c>
      <c r="I688" s="74">
        <f>'12-2017'!I697</f>
        <v>0</v>
      </c>
      <c r="J688" s="74">
        <f>'12-2017'!J697</f>
        <v>0</v>
      </c>
    </row>
    <row r="689" spans="1:10" s="73" customFormat="1" ht="17.25" hidden="1">
      <c r="A689" s="17"/>
      <c r="B689" s="9" t="str">
        <f>'12-2017'!B698</f>
        <v xml:space="preserve">  - Rọ và thảm đá bọc nhựa PVC, loại P10 (10 x 12)cm: </v>
      </c>
      <c r="C689" s="8"/>
      <c r="D689" s="22"/>
      <c r="E689" s="22"/>
      <c r="F689" s="131"/>
      <c r="H689" s="74">
        <f>'12-2017'!H698</f>
        <v>0</v>
      </c>
      <c r="I689" s="74">
        <f>'12-2017'!I698</f>
        <v>0</v>
      </c>
      <c r="J689" s="74">
        <f>'12-2017'!J698</f>
        <v>0</v>
      </c>
    </row>
    <row r="690" spans="1:10" s="58" customFormat="1" ht="17.25" hidden="1">
      <c r="A690" s="10">
        <f>'12-2017'!A699</f>
        <v>12</v>
      </c>
      <c r="B690" s="11" t="str">
        <f>'12-2017'!B699</f>
        <v>Dây đan 2,2 - 3,2mm; dây viền 2,7 - 3,7mm</v>
      </c>
      <c r="C690" s="12" t="str">
        <f>'12-2017'!C699</f>
        <v>đ/m2lưới</v>
      </c>
      <c r="D690" s="13">
        <f>'12-2017'!O699</f>
        <v>37000</v>
      </c>
      <c r="E690" s="13">
        <f>'12-2017'!P699</f>
        <v>39500</v>
      </c>
      <c r="F690" s="130">
        <f>E690-D690</f>
        <v>2500</v>
      </c>
      <c r="H690" s="74">
        <f>'12-2017'!H699</f>
        <v>39500</v>
      </c>
      <c r="I690" s="74">
        <f>'12-2017'!I699</f>
        <v>0</v>
      </c>
      <c r="J690" s="74">
        <f>'12-2017'!J699</f>
        <v>0</v>
      </c>
    </row>
    <row r="691" spans="1:10" s="58" customFormat="1" ht="17.25" hidden="1">
      <c r="A691" s="10">
        <f>'12-2017'!A700</f>
        <v>13</v>
      </c>
      <c r="B691" s="11" t="str">
        <f>'12-2017'!B700</f>
        <v>Dây đan 2,4 - 3,4mm; dây viền 2,7 - 3,7mm</v>
      </c>
      <c r="C691" s="12" t="str">
        <f>'12-2017'!C700</f>
        <v>đ/m2lưới</v>
      </c>
      <c r="D691" s="13">
        <f>'12-2017'!O700</f>
        <v>40500</v>
      </c>
      <c r="E691" s="13">
        <f>'12-2017'!P700</f>
        <v>41500</v>
      </c>
      <c r="F691" s="130">
        <f>E691-D691</f>
        <v>1000</v>
      </c>
      <c r="H691" s="74">
        <f>'12-2017'!H700</f>
        <v>41500</v>
      </c>
      <c r="I691" s="74">
        <f>'12-2017'!I700</f>
        <v>0</v>
      </c>
      <c r="J691" s="74">
        <f>'12-2017'!J700</f>
        <v>0</v>
      </c>
    </row>
    <row r="692" spans="1:10" s="58" customFormat="1" ht="17.25" hidden="1">
      <c r="A692" s="10">
        <f>'12-2017'!A701</f>
        <v>14</v>
      </c>
      <c r="B692" s="11" t="str">
        <f>'12-2017'!B701</f>
        <v>Dây đan 2,7 - 3,7mm; dây viền 3,4 - 4,4mm</v>
      </c>
      <c r="C692" s="12" t="str">
        <f>'12-2017'!C701</f>
        <v>đ/m2lưới</v>
      </c>
      <c r="D692" s="13">
        <f>'12-2017'!O701</f>
        <v>47000</v>
      </c>
      <c r="E692" s="13">
        <f>'12-2017'!P701</f>
        <v>51500</v>
      </c>
      <c r="F692" s="130">
        <f>E692-D692</f>
        <v>4500</v>
      </c>
      <c r="H692" s="74">
        <f>'12-2017'!H701</f>
        <v>51500</v>
      </c>
      <c r="I692" s="74">
        <f>'12-2017'!I701</f>
        <v>0</v>
      </c>
      <c r="J692" s="74">
        <f>'12-2017'!J701</f>
        <v>0</v>
      </c>
    </row>
    <row r="693" spans="1:10" s="58" customFormat="1" ht="17.25">
      <c r="A693" s="10"/>
      <c r="B693" s="237" t="str">
        <f>'12-2017'!B702</f>
        <v>* Công ty TNHH Phát triển kỹ thuật và VLXD Đại Viễn (số 18/06 Nguyễn Hiền Lê, P.13, Q. Tân Bình, TP.HCM) Theo bảng báo giá 17/07/2017.</v>
      </c>
      <c r="C693" s="238"/>
      <c r="D693" s="238"/>
      <c r="E693" s="238"/>
      <c r="F693" s="239"/>
      <c r="H693" s="74">
        <f>'12-2017'!H702</f>
        <v>0</v>
      </c>
      <c r="I693" s="74">
        <f>'12-2017'!I702</f>
        <v>0</v>
      </c>
      <c r="J693" s="74">
        <f>'12-2017'!J702</f>
        <v>0</v>
      </c>
    </row>
    <row r="694" spans="1:10" s="58" customFormat="1" ht="17.25">
      <c r="A694" s="10"/>
      <c r="B694" s="9" t="str">
        <f>'12-2017'!B703</f>
        <v>Vải địa kỹ thuật không dệt.</v>
      </c>
      <c r="C694" s="12"/>
      <c r="D694" s="13"/>
      <c r="E694" s="13"/>
      <c r="F694" s="130"/>
      <c r="H694" s="74">
        <f>'12-2017'!H703</f>
        <v>0</v>
      </c>
      <c r="I694" s="74">
        <f>'12-2017'!I703</f>
        <v>0</v>
      </c>
      <c r="J694" s="74">
        <f>'12-2017'!J703</f>
        <v>0</v>
      </c>
    </row>
    <row r="695" spans="1:10" s="58" customFormat="1" ht="17.25" hidden="1">
      <c r="A695" s="10">
        <f>'12-2017'!A704</f>
        <v>1</v>
      </c>
      <c r="B695" s="11" t="str">
        <f>'12-2017'!B704</f>
        <v>HD15C (4x250m)</v>
      </c>
      <c r="C695" s="12" t="str">
        <f>'12-2017'!C704</f>
        <v>đ/m2</v>
      </c>
      <c r="D695" s="13">
        <f>'12-2017'!O704</f>
        <v>10454.545454545454</v>
      </c>
      <c r="E695" s="13">
        <f>'12-2017'!P704</f>
        <v>10454.545454545454</v>
      </c>
      <c r="F695" s="130">
        <f>E695-D695</f>
        <v>0</v>
      </c>
      <c r="H695" s="74">
        <f>'12-2017'!H704</f>
        <v>0</v>
      </c>
      <c r="I695" s="74">
        <f>'12-2017'!I704</f>
        <v>0</v>
      </c>
      <c r="J695" s="74">
        <f>'12-2017'!J704</f>
        <v>0</v>
      </c>
    </row>
    <row r="696" spans="1:10" s="58" customFormat="1" ht="17.25" hidden="1">
      <c r="A696" s="10">
        <f>'12-2017'!A705</f>
        <v>2</v>
      </c>
      <c r="B696" s="11" t="str">
        <f>'12-2017'!B705</f>
        <v>HD19C (4x250m)</v>
      </c>
      <c r="C696" s="12" t="str">
        <f>'12-2017'!C705</f>
        <v>đ/m2</v>
      </c>
      <c r="D696" s="13">
        <f>'12-2017'!O705</f>
        <v>11363.636363636362</v>
      </c>
      <c r="E696" s="13">
        <f>'12-2017'!P705</f>
        <v>11363.636363636362</v>
      </c>
      <c r="F696" s="130">
        <f>E696-D696</f>
        <v>0</v>
      </c>
      <c r="H696" s="74">
        <f>'12-2017'!H705</f>
        <v>0</v>
      </c>
      <c r="I696" s="74">
        <f>'12-2017'!I705</f>
        <v>0</v>
      </c>
      <c r="J696" s="74">
        <f>'12-2017'!J705</f>
        <v>0</v>
      </c>
    </row>
    <row r="697" spans="1:10" s="58" customFormat="1" ht="17.25" hidden="1">
      <c r="A697" s="10">
        <f>'12-2017'!A706</f>
        <v>3</v>
      </c>
      <c r="B697" s="11" t="str">
        <f>'12-2017'!B706</f>
        <v>HD24C (4x225m)</v>
      </c>
      <c r="C697" s="12" t="str">
        <f>'12-2017'!C706</f>
        <v>đ/m2</v>
      </c>
      <c r="D697" s="13">
        <f>'12-2017'!O706</f>
        <v>12272.727272727272</v>
      </c>
      <c r="E697" s="13">
        <f>'12-2017'!P706</f>
        <v>12272.727272727272</v>
      </c>
      <c r="F697" s="130">
        <f>E697-D697</f>
        <v>0</v>
      </c>
      <c r="H697" s="74">
        <f>'12-2017'!H706</f>
        <v>0</v>
      </c>
      <c r="I697" s="74">
        <f>'12-2017'!I706</f>
        <v>0</v>
      </c>
      <c r="J697" s="74">
        <f>'12-2017'!J706</f>
        <v>0</v>
      </c>
    </row>
    <row r="698" spans="1:10" s="58" customFormat="1" ht="17.25" hidden="1">
      <c r="A698" s="10">
        <f>'12-2017'!A707</f>
        <v>4</v>
      </c>
      <c r="B698" s="11" t="str">
        <f>'12-2017'!B707</f>
        <v>HD28C (4x175m)</v>
      </c>
      <c r="C698" s="12" t="str">
        <f>'12-2017'!C707</f>
        <v>đ/m2</v>
      </c>
      <c r="D698" s="13">
        <f>'12-2017'!O707</f>
        <v>14363.636363636362</v>
      </c>
      <c r="E698" s="13">
        <f>'12-2017'!P707</f>
        <v>14363.636363636362</v>
      </c>
      <c r="F698" s="130">
        <f>E698-D698</f>
        <v>0</v>
      </c>
      <c r="H698" s="74">
        <f>'12-2017'!H707</f>
        <v>0</v>
      </c>
      <c r="I698" s="74">
        <f>'12-2017'!I707</f>
        <v>0</v>
      </c>
      <c r="J698" s="74">
        <f>'12-2017'!J707</f>
        <v>0</v>
      </c>
    </row>
    <row r="699" spans="1:10" s="58" customFormat="1" ht="17.25" hidden="1">
      <c r="A699" s="10">
        <f>'12-2017'!A708</f>
        <v>5</v>
      </c>
      <c r="B699" s="11" t="str">
        <f>'12-2017'!B708</f>
        <v>HD30C (4x175m)</v>
      </c>
      <c r="C699" s="12" t="str">
        <f>'12-2017'!C708</f>
        <v>đ/m2</v>
      </c>
      <c r="D699" s="13">
        <f>'12-2017'!O708</f>
        <v>15727.272727272726</v>
      </c>
      <c r="E699" s="13">
        <f>'12-2017'!P708</f>
        <v>15727.272727272726</v>
      </c>
      <c r="F699" s="130">
        <f t="shared" ref="F699:F704" si="26">E699-D699</f>
        <v>0</v>
      </c>
      <c r="H699" s="74">
        <f>'12-2017'!H708</f>
        <v>0</v>
      </c>
      <c r="I699" s="74">
        <f>'12-2017'!I708</f>
        <v>0</v>
      </c>
      <c r="J699" s="74">
        <f>'12-2017'!J708</f>
        <v>0</v>
      </c>
    </row>
    <row r="700" spans="1:10" s="58" customFormat="1" ht="17.25" hidden="1">
      <c r="A700" s="10">
        <f>'12-2017'!A709</f>
        <v>6</v>
      </c>
      <c r="B700" s="11" t="str">
        <f>'12-2017'!B709</f>
        <v>HD38C (4x150m)</v>
      </c>
      <c r="C700" s="12" t="str">
        <f>'12-2017'!C709</f>
        <v>đ/m2</v>
      </c>
      <c r="D700" s="13">
        <f>'12-2017'!O709</f>
        <v>20454.545454545452</v>
      </c>
      <c r="E700" s="13">
        <f>'12-2017'!P709</f>
        <v>20454.545454545452</v>
      </c>
      <c r="F700" s="130">
        <f t="shared" si="26"/>
        <v>0</v>
      </c>
      <c r="H700" s="74">
        <f>'12-2017'!H709</f>
        <v>0</v>
      </c>
      <c r="I700" s="74">
        <f>'12-2017'!I709</f>
        <v>0</v>
      </c>
      <c r="J700" s="74">
        <f>'12-2017'!J709</f>
        <v>0</v>
      </c>
    </row>
    <row r="701" spans="1:10" s="58" customFormat="1" ht="17.25" hidden="1">
      <c r="A701" s="10">
        <f>'12-2017'!A710</f>
        <v>7</v>
      </c>
      <c r="B701" s="11" t="str">
        <f>'12-2017'!B710</f>
        <v>HD44C (4x150m)</v>
      </c>
      <c r="C701" s="12" t="str">
        <f>'12-2017'!C710</f>
        <v>đ/m2</v>
      </c>
      <c r="D701" s="13">
        <f>'12-2017'!O710</f>
        <v>22272.727272727272</v>
      </c>
      <c r="E701" s="13">
        <f>'12-2017'!P710</f>
        <v>22272.727272727272</v>
      </c>
      <c r="F701" s="130">
        <f t="shared" si="26"/>
        <v>0</v>
      </c>
      <c r="H701" s="74">
        <f>'12-2017'!H710</f>
        <v>0</v>
      </c>
      <c r="I701" s="74">
        <f>'12-2017'!I710</f>
        <v>0</v>
      </c>
      <c r="J701" s="74">
        <f>'12-2017'!J710</f>
        <v>0</v>
      </c>
    </row>
    <row r="702" spans="1:10" s="58" customFormat="1" ht="17.25" hidden="1">
      <c r="A702" s="10">
        <f>'12-2017'!A711</f>
        <v>8</v>
      </c>
      <c r="B702" s="11" t="str">
        <f>'12-2017'!B711</f>
        <v>HD50C (4x100m)</v>
      </c>
      <c r="C702" s="12" t="str">
        <f>'12-2017'!C711</f>
        <v>đ/m2</v>
      </c>
      <c r="D702" s="13">
        <f>'12-2017'!O711</f>
        <v>25454.545454545452</v>
      </c>
      <c r="E702" s="13">
        <f>'12-2017'!P711</f>
        <v>25454.545454545452</v>
      </c>
      <c r="F702" s="130">
        <f t="shared" si="26"/>
        <v>0</v>
      </c>
      <c r="H702" s="74">
        <f>'12-2017'!H711</f>
        <v>0</v>
      </c>
      <c r="I702" s="74">
        <f>'12-2017'!I711</f>
        <v>0</v>
      </c>
      <c r="J702" s="74">
        <f>'12-2017'!J711</f>
        <v>0</v>
      </c>
    </row>
    <row r="703" spans="1:10" s="58" customFormat="1" ht="17.25" hidden="1">
      <c r="A703" s="10">
        <f>'12-2017'!A712</f>
        <v>9</v>
      </c>
      <c r="B703" s="11" t="str">
        <f>'12-2017'!B712</f>
        <v>HD60C (4x90m)</v>
      </c>
      <c r="C703" s="12" t="str">
        <f>'12-2017'!C712</f>
        <v>đ/m2</v>
      </c>
      <c r="D703" s="13">
        <f>'12-2017'!O712</f>
        <v>31818.181818181816</v>
      </c>
      <c r="E703" s="13">
        <f>'12-2017'!P712</f>
        <v>31818.181818181816</v>
      </c>
      <c r="F703" s="130">
        <f t="shared" si="26"/>
        <v>0</v>
      </c>
      <c r="H703" s="74">
        <f>'12-2017'!H712</f>
        <v>0</v>
      </c>
      <c r="I703" s="74">
        <f>'12-2017'!I712</f>
        <v>0</v>
      </c>
      <c r="J703" s="74">
        <f>'12-2017'!J712</f>
        <v>0</v>
      </c>
    </row>
    <row r="704" spans="1:10" s="58" customFormat="1" ht="17.25" hidden="1">
      <c r="A704" s="10">
        <f>'12-2017'!A713</f>
        <v>10</v>
      </c>
      <c r="B704" s="11" t="str">
        <f>'12-2017'!B713</f>
        <v>HD78C (4x60m)</v>
      </c>
      <c r="C704" s="12" t="str">
        <f>'12-2017'!C713</f>
        <v>đ/m2</v>
      </c>
      <c r="D704" s="13">
        <f>'12-2017'!O713</f>
        <v>39272.727272727272</v>
      </c>
      <c r="E704" s="13">
        <f>'12-2017'!P713</f>
        <v>39272.727272727272</v>
      </c>
      <c r="F704" s="130">
        <f t="shared" si="26"/>
        <v>0</v>
      </c>
      <c r="H704" s="74">
        <f>'12-2017'!H713</f>
        <v>0</v>
      </c>
      <c r="I704" s="74">
        <f>'12-2017'!I713</f>
        <v>0</v>
      </c>
      <c r="J704" s="74">
        <f>'12-2017'!J713</f>
        <v>0</v>
      </c>
    </row>
    <row r="705" spans="1:10" s="58" customFormat="1" ht="17.25" hidden="1">
      <c r="A705" s="10">
        <f>'12-2017'!A714</f>
        <v>11</v>
      </c>
      <c r="B705" s="11" t="str">
        <f>'12-2017'!B714</f>
        <v>HD90C (4x60m)</v>
      </c>
      <c r="C705" s="12" t="str">
        <f>'12-2017'!C714</f>
        <v>đ/m2</v>
      </c>
      <c r="D705" s="13">
        <f>'12-2017'!O714</f>
        <v>46090.909090909088</v>
      </c>
      <c r="E705" s="13">
        <f>'12-2017'!P714</f>
        <v>46090.909090909088</v>
      </c>
      <c r="F705" s="130">
        <f t="shared" ref="F705:F716" si="27">E705-D705</f>
        <v>0</v>
      </c>
      <c r="H705" s="74">
        <f>'12-2017'!H714</f>
        <v>0</v>
      </c>
      <c r="I705" s="74">
        <f>'12-2017'!I714</f>
        <v>0</v>
      </c>
      <c r="J705" s="74">
        <f>'12-2017'!J714</f>
        <v>0</v>
      </c>
    </row>
    <row r="706" spans="1:10" s="58" customFormat="1" ht="17.25" hidden="1">
      <c r="A706" s="10">
        <f>'12-2017'!A715</f>
        <v>12</v>
      </c>
      <c r="B706" s="11" t="str">
        <f>'12-2017'!B715</f>
        <v>HD110C (4x45m)</v>
      </c>
      <c r="C706" s="12" t="str">
        <f>'12-2017'!C715</f>
        <v>đ/m2</v>
      </c>
      <c r="D706" s="13">
        <f>'12-2017'!O715</f>
        <v>52727.272727272721</v>
      </c>
      <c r="E706" s="13">
        <f>'12-2017'!P715</f>
        <v>52727.272727272721</v>
      </c>
      <c r="F706" s="130">
        <f t="shared" si="27"/>
        <v>0</v>
      </c>
      <c r="H706" s="74">
        <f>'12-2017'!H715</f>
        <v>0</v>
      </c>
      <c r="I706" s="74">
        <f>'12-2017'!I715</f>
        <v>0</v>
      </c>
      <c r="J706" s="74">
        <f>'12-2017'!J715</f>
        <v>0</v>
      </c>
    </row>
    <row r="707" spans="1:10" s="58" customFormat="1" ht="17.25" hidden="1">
      <c r="A707" s="10">
        <f>'12-2017'!A716</f>
        <v>13</v>
      </c>
      <c r="B707" s="11" t="str">
        <f>'12-2017'!B716</f>
        <v>HD120C (4x45m)</v>
      </c>
      <c r="C707" s="12" t="str">
        <f>'12-2017'!C716</f>
        <v>đ/m2</v>
      </c>
      <c r="D707" s="13">
        <f>'12-2017'!O716</f>
        <v>59090.909090909088</v>
      </c>
      <c r="E707" s="13">
        <f>'12-2017'!P716</f>
        <v>59090.909090909088</v>
      </c>
      <c r="F707" s="130">
        <f t="shared" si="27"/>
        <v>0</v>
      </c>
      <c r="H707" s="74">
        <f>'12-2017'!H716</f>
        <v>0</v>
      </c>
      <c r="I707" s="74">
        <f>'12-2017'!I716</f>
        <v>0</v>
      </c>
      <c r="J707" s="74">
        <f>'12-2017'!J716</f>
        <v>0</v>
      </c>
    </row>
    <row r="708" spans="1:10" s="73" customFormat="1" ht="17.25" hidden="1">
      <c r="A708" s="17"/>
      <c r="B708" s="9" t="str">
        <f>'12-2017'!B717</f>
        <v>Ống địa kỹ thuật</v>
      </c>
      <c r="C708" s="8"/>
      <c r="D708" s="22"/>
      <c r="E708" s="22"/>
      <c r="F708" s="131"/>
      <c r="H708" s="78">
        <f>'12-2017'!H717</f>
        <v>0</v>
      </c>
      <c r="I708" s="78">
        <f>'12-2017'!I717</f>
        <v>0</v>
      </c>
      <c r="J708" s="78">
        <f>'12-2017'!J717</f>
        <v>0</v>
      </c>
    </row>
    <row r="709" spans="1:10" s="58" customFormat="1" ht="33" hidden="1" customHeight="1">
      <c r="A709" s="10">
        <f>'12-2017'!A718</f>
        <v>1</v>
      </c>
      <c r="B709" s="11" t="str">
        <f>'12-2017'!B718</f>
        <v>Ống địa kỹ thuật Geotabe HDG1:1000-C7/20 (chu vi C=7m; chiều dài L=20m) - 02 mặt bích</v>
      </c>
      <c r="C709" s="12" t="str">
        <f>'12-2017'!C718</f>
        <v>đồng/ống</v>
      </c>
      <c r="D709" s="13">
        <f>'12-2017'!O718</f>
        <v>35000000</v>
      </c>
      <c r="E709" s="13">
        <f>'12-2017'!P718</f>
        <v>35000000</v>
      </c>
      <c r="F709" s="130">
        <f t="shared" si="27"/>
        <v>0</v>
      </c>
      <c r="H709" s="74">
        <f>'12-2017'!H718</f>
        <v>0</v>
      </c>
      <c r="I709" s="74">
        <f>'12-2017'!I718</f>
        <v>0</v>
      </c>
      <c r="J709" s="74">
        <f>'12-2017'!J718</f>
        <v>0</v>
      </c>
    </row>
    <row r="710" spans="1:10" s="58" customFormat="1" ht="33" hidden="1" customHeight="1">
      <c r="A710" s="10">
        <f>'12-2017'!A719</f>
        <v>2</v>
      </c>
      <c r="B710" s="11" t="str">
        <f>'12-2017'!B719</f>
        <v>Ống địa kỹ thuật Geotabe HDG1:1000-C8/20 (chu vi C=8m; chiều dài L=20m) - 02 mặt bích</v>
      </c>
      <c r="C710" s="12" t="str">
        <f>'12-2017'!C719</f>
        <v>đồng/ống</v>
      </c>
      <c r="D710" s="13">
        <f>'12-2017'!O719</f>
        <v>39000000</v>
      </c>
      <c r="E710" s="13">
        <f>'12-2017'!P719</f>
        <v>39000000</v>
      </c>
      <c r="F710" s="130">
        <f t="shared" si="27"/>
        <v>0</v>
      </c>
      <c r="H710" s="74">
        <f>'12-2017'!H719</f>
        <v>0</v>
      </c>
      <c r="I710" s="74">
        <f>'12-2017'!I719</f>
        <v>0</v>
      </c>
      <c r="J710" s="74">
        <f>'12-2017'!J719</f>
        <v>0</v>
      </c>
    </row>
    <row r="711" spans="1:10" s="58" customFormat="1" ht="33" hidden="1" customHeight="1">
      <c r="A711" s="10">
        <f>'12-2017'!A720</f>
        <v>3</v>
      </c>
      <c r="B711" s="11" t="str">
        <f>'12-2017'!B720</f>
        <v>Ống địa kỹ thuật Geotabe HDG1:1000-C10/20 (chu vi C=10m; chiều dài L=20m) - 02 mặt bích</v>
      </c>
      <c r="C711" s="12" t="str">
        <f>'12-2017'!C720</f>
        <v>đồng/ống</v>
      </c>
      <c r="D711" s="13">
        <f>'12-2017'!O720</f>
        <v>46499999.999999993</v>
      </c>
      <c r="E711" s="13">
        <f>'12-2017'!P720</f>
        <v>46499999.999999993</v>
      </c>
      <c r="F711" s="130">
        <f t="shared" si="27"/>
        <v>0</v>
      </c>
      <c r="H711" s="74">
        <f>'12-2017'!H720</f>
        <v>0</v>
      </c>
      <c r="I711" s="74">
        <f>'12-2017'!I720</f>
        <v>0</v>
      </c>
      <c r="J711" s="74">
        <f>'12-2017'!J720</f>
        <v>0</v>
      </c>
    </row>
    <row r="712" spans="1:10" s="58" customFormat="1" ht="33" hidden="1" customHeight="1">
      <c r="A712" s="10">
        <f>'12-2017'!A721</f>
        <v>4</v>
      </c>
      <c r="B712" s="11" t="str">
        <f>'12-2017'!B721</f>
        <v>Ống địa kỹ thuật Geotabe HDG1:1000-C12/20 (chu vi C=12m; chiều dài L=20m) - 02 mặt bích</v>
      </c>
      <c r="C712" s="12" t="str">
        <f>'12-2017'!C721</f>
        <v>đồng/ống</v>
      </c>
      <c r="D712" s="13">
        <f>'12-2017'!O721</f>
        <v>55299999.999999993</v>
      </c>
      <c r="E712" s="13">
        <f>'12-2017'!P721</f>
        <v>55299999.999999993</v>
      </c>
      <c r="F712" s="130">
        <f t="shared" si="27"/>
        <v>0</v>
      </c>
      <c r="H712" s="74">
        <f>'12-2017'!H721</f>
        <v>0</v>
      </c>
      <c r="I712" s="74">
        <f>'12-2017'!I721</f>
        <v>0</v>
      </c>
      <c r="J712" s="74">
        <f>'12-2017'!J721</f>
        <v>0</v>
      </c>
    </row>
    <row r="713" spans="1:10" s="58" customFormat="1" ht="33" hidden="1" customHeight="1">
      <c r="A713" s="10">
        <f>'12-2017'!A722</f>
        <v>5</v>
      </c>
      <c r="B713" s="11" t="str">
        <f>'12-2017'!B722</f>
        <v>Ống địa kỹ thuật Geotabe HDG1:1200-C7/20 (chu vi C=7m; chiều dài L=20m) - 02 mặt bích</v>
      </c>
      <c r="C713" s="12" t="str">
        <f>'12-2017'!C722</f>
        <v>đồng/ống</v>
      </c>
      <c r="D713" s="13">
        <f>'12-2017'!O722</f>
        <v>38500000</v>
      </c>
      <c r="E713" s="13">
        <f>'12-2017'!P722</f>
        <v>38500000</v>
      </c>
      <c r="F713" s="130">
        <f t="shared" si="27"/>
        <v>0</v>
      </c>
      <c r="H713" s="74">
        <f>'12-2017'!H722</f>
        <v>0</v>
      </c>
      <c r="I713" s="74">
        <f>'12-2017'!I722</f>
        <v>0</v>
      </c>
      <c r="J713" s="74">
        <f>'12-2017'!J722</f>
        <v>0</v>
      </c>
    </row>
    <row r="714" spans="1:10" s="58" customFormat="1" ht="33" hidden="1" customHeight="1">
      <c r="A714" s="10">
        <f>'12-2017'!A723</f>
        <v>6</v>
      </c>
      <c r="B714" s="11" t="str">
        <f>'12-2017'!B723</f>
        <v>Ống địa kỹ thuật Geotabe HDG1:1200-C8/20 (chu vi C=8m; chiều dài L=20m) - 02 mặt bích</v>
      </c>
      <c r="C714" s="12" t="str">
        <f>'12-2017'!C723</f>
        <v>đồng/ống</v>
      </c>
      <c r="D714" s="13">
        <f>'12-2017'!O723</f>
        <v>42000000</v>
      </c>
      <c r="E714" s="13">
        <f>'12-2017'!P723</f>
        <v>42000000</v>
      </c>
      <c r="F714" s="130">
        <f t="shared" si="27"/>
        <v>0</v>
      </c>
      <c r="H714" s="74">
        <f>'12-2017'!H723</f>
        <v>0</v>
      </c>
      <c r="I714" s="74">
        <f>'12-2017'!I723</f>
        <v>0</v>
      </c>
      <c r="J714" s="74">
        <f>'12-2017'!J723</f>
        <v>0</v>
      </c>
    </row>
    <row r="715" spans="1:10" s="58" customFormat="1" ht="33" hidden="1" customHeight="1">
      <c r="A715" s="10">
        <f>'12-2017'!A724</f>
        <v>7</v>
      </c>
      <c r="B715" s="11" t="str">
        <f>'12-2017'!B724</f>
        <v>Ống địa kỹ thuật Geotabe HDG1:1200-C10/20 (chu vi C=10m; chiều dài L=20m) - 02 mặt bích</v>
      </c>
      <c r="C715" s="12" t="str">
        <f>'12-2017'!C724</f>
        <v>đồng/ống</v>
      </c>
      <c r="D715" s="13">
        <f>'12-2017'!O724</f>
        <v>50399999.999999993</v>
      </c>
      <c r="E715" s="13">
        <f>'12-2017'!P724</f>
        <v>50399999.999999993</v>
      </c>
      <c r="F715" s="130">
        <f t="shared" si="27"/>
        <v>0</v>
      </c>
      <c r="H715" s="74">
        <f>'12-2017'!H724</f>
        <v>0</v>
      </c>
      <c r="I715" s="74">
        <f>'12-2017'!I724</f>
        <v>0</v>
      </c>
      <c r="J715" s="74">
        <f>'12-2017'!J724</f>
        <v>0</v>
      </c>
    </row>
    <row r="716" spans="1:10" s="58" customFormat="1" ht="33" hidden="1" customHeight="1">
      <c r="A716" s="10">
        <f>'12-2017'!A725</f>
        <v>8</v>
      </c>
      <c r="B716" s="11" t="str">
        <f>'12-2017'!B725</f>
        <v>Ống địa kỹ thuật Geotabe HDG1:1200-C12/20 (chu vi C=12m; chiều dài L=20m) - 02 mặt bích</v>
      </c>
      <c r="C716" s="12" t="str">
        <f>'12-2017'!C725</f>
        <v>đồng/ống</v>
      </c>
      <c r="D716" s="13">
        <f>'12-2017'!O725</f>
        <v>59999999.999999993</v>
      </c>
      <c r="E716" s="13">
        <f>'12-2017'!P725</f>
        <v>59999999.999999993</v>
      </c>
      <c r="F716" s="130">
        <f t="shared" si="27"/>
        <v>0</v>
      </c>
      <c r="H716" s="74">
        <f>'12-2017'!H725</f>
        <v>0</v>
      </c>
      <c r="I716" s="74">
        <f>'12-2017'!I725</f>
        <v>0</v>
      </c>
      <c r="J716" s="74">
        <f>'12-2017'!J725</f>
        <v>0</v>
      </c>
    </row>
    <row r="717" spans="1:10" s="73" customFormat="1" ht="17.25">
      <c r="A717" s="17" t="str">
        <f>'12-2017'!A726</f>
        <v>XIV</v>
      </c>
      <c r="B717" s="9" t="str">
        <f>'12-2017'!B726</f>
        <v>BAO BÌ SINH THÁI (Giải pháp thiết lập kè chống xói lở, bảo vệ bờ) :</v>
      </c>
      <c r="C717" s="8"/>
      <c r="D717" s="22"/>
      <c r="E717" s="22"/>
      <c r="F717" s="131"/>
      <c r="H717" s="74">
        <f>'12-2017'!H726</f>
        <v>0</v>
      </c>
      <c r="I717" s="74">
        <f>'12-2017'!I726</f>
        <v>0</v>
      </c>
      <c r="J717" s="74">
        <f>'12-2017'!J726</f>
        <v>0</v>
      </c>
    </row>
    <row r="718" spans="1:10" s="73" customFormat="1" ht="17.25">
      <c r="A718" s="17"/>
      <c r="B718" s="237" t="str">
        <f>'12-2017'!B727</f>
        <v xml:space="preserve"> Cty TNHH PTKT &amp; VLXD Đại Viễn (số 18/6 Nguyễn Hiến Lê, P.13, Q. Tân Bình,Tp. HCM). Theo bảng giá ngày 17/7/2017</v>
      </c>
      <c r="C718" s="238"/>
      <c r="D718" s="238"/>
      <c r="E718" s="238"/>
      <c r="F718" s="239"/>
      <c r="H718" s="74">
        <f>'12-2017'!H727</f>
        <v>0</v>
      </c>
      <c r="I718" s="74">
        <f>'12-2017'!I727</f>
        <v>0</v>
      </c>
      <c r="J718" s="74">
        <f>'12-2017'!J727</f>
        <v>0</v>
      </c>
    </row>
    <row r="719" spans="1:10" s="58" customFormat="1" ht="17.25" hidden="1">
      <c r="A719" s="10">
        <f>'12-2017'!A728</f>
        <v>1</v>
      </c>
      <c r="B719" s="11" t="str">
        <f>'12-2017'!B728</f>
        <v>Bao bì sinh thái, màu đen, bao gồm phụ kiện, kích thước: 120 x 40 x 20cm</v>
      </c>
      <c r="C719" s="12" t="str">
        <f>'12-2017'!C728</f>
        <v>đ/bao</v>
      </c>
      <c r="D719" s="13">
        <f>'12-2017'!O728</f>
        <v>63636.363636363632</v>
      </c>
      <c r="E719" s="13">
        <f>'12-2017'!P728</f>
        <v>63636.363636363632</v>
      </c>
      <c r="F719" s="130">
        <f>E719-D719</f>
        <v>0</v>
      </c>
      <c r="H719" s="74">
        <f>'12-2017'!H728</f>
        <v>0</v>
      </c>
      <c r="I719" s="74">
        <f>'12-2017'!I728</f>
        <v>0</v>
      </c>
      <c r="J719" s="74">
        <f>'12-2017'!J728</f>
        <v>0</v>
      </c>
    </row>
    <row r="720" spans="1:10" s="58" customFormat="1" ht="17.25" hidden="1">
      <c r="A720" s="10">
        <f>'12-2017'!A729</f>
        <v>2</v>
      </c>
      <c r="B720" s="11" t="str">
        <f>'12-2017'!B729</f>
        <v>Bao bì sinh thái, màu đen, bao gồm phụ kiện, kích thước: 100 x 40 x 20cm</v>
      </c>
      <c r="C720" s="12" t="str">
        <f>'12-2017'!C729</f>
        <v>đ/bao</v>
      </c>
      <c r="D720" s="13">
        <f>'12-2017'!O729</f>
        <v>59999.999999999993</v>
      </c>
      <c r="E720" s="13">
        <f>'12-2017'!P729</f>
        <v>59999.999999999993</v>
      </c>
      <c r="F720" s="130">
        <f>E720-D720</f>
        <v>0</v>
      </c>
      <c r="H720" s="74">
        <f>'12-2017'!H729</f>
        <v>0</v>
      </c>
      <c r="I720" s="74">
        <f>'12-2017'!I729</f>
        <v>0</v>
      </c>
      <c r="J720" s="74">
        <f>'12-2017'!J729</f>
        <v>0</v>
      </c>
    </row>
    <row r="721" spans="1:10" s="73" customFormat="1" ht="17.25">
      <c r="A721" s="17" t="str">
        <f>'12-2017'!A730</f>
        <v>XV</v>
      </c>
      <c r="B721" s="237" t="str">
        <f>'12-2017'!B730</f>
        <v>MÁY LẠNH CÁC LOẠI : không bao gồm vật tư và nhân công lắp đặt</v>
      </c>
      <c r="C721" s="238"/>
      <c r="D721" s="238"/>
      <c r="E721" s="238"/>
      <c r="F721" s="239"/>
      <c r="H721" s="74">
        <f>'12-2017'!H730</f>
        <v>0</v>
      </c>
      <c r="I721" s="74">
        <f>'12-2017'!I730</f>
        <v>0</v>
      </c>
      <c r="J721" s="74">
        <f>'12-2017'!J730</f>
        <v>0</v>
      </c>
    </row>
    <row r="722" spans="1:10" s="73" customFormat="1" ht="33.75" customHeight="1">
      <c r="A722" s="17"/>
      <c r="B722" s="237" t="str">
        <f>'12-2017'!B731</f>
        <v>* Cty TNHH Cơ điện lạnh và Xây dựng An Phát (327/2 Hùng Vương P.Mỹ Long, Tp.Long Xuyên), không bao gồm vật tư và nhân công lắp đặt, giao hàng tại kho Cty An Phát. Theo bảng giá ngày 01/8/2017</v>
      </c>
      <c r="C722" s="238"/>
      <c r="D722" s="238"/>
      <c r="E722" s="238"/>
      <c r="F722" s="239"/>
      <c r="H722" s="74">
        <f>'12-2017'!H731</f>
        <v>0</v>
      </c>
      <c r="I722" s="74">
        <f>'12-2017'!I731</f>
        <v>0</v>
      </c>
      <c r="J722" s="74">
        <f>'12-2017'!J731</f>
        <v>0</v>
      </c>
    </row>
    <row r="723" spans="1:10" s="73" customFormat="1" ht="17.25" hidden="1">
      <c r="A723" s="17"/>
      <c r="B723" s="237" t="str">
        <f>'12-2017'!B732</f>
        <v xml:space="preserve"> - Máy lạnh hiệu Aikibi (loại treo tường INVERTER - GÁ R410A chỉ làm lạnh)</v>
      </c>
      <c r="C723" s="238"/>
      <c r="D723" s="238"/>
      <c r="E723" s="238"/>
      <c r="F723" s="239"/>
      <c r="H723" s="74">
        <f>'12-2017'!H732</f>
        <v>0</v>
      </c>
      <c r="I723" s="74">
        <f>'12-2017'!I732</f>
        <v>0</v>
      </c>
      <c r="J723" s="74">
        <f>'12-2017'!J732</f>
        <v>0</v>
      </c>
    </row>
    <row r="724" spans="1:10" s="58" customFormat="1" ht="17.25" hidden="1">
      <c r="A724" s="10">
        <f>'12-2017'!A733</f>
        <v>1</v>
      </c>
      <c r="B724" s="11" t="str">
        <f>'12-2017'!B733</f>
        <v>Công suất: 1HP</v>
      </c>
      <c r="C724" s="12" t="str">
        <f>'12-2017'!C733</f>
        <v>đ/bộ</v>
      </c>
      <c r="D724" s="13">
        <f>'12-2017'!O733</f>
        <v>0</v>
      </c>
      <c r="E724" s="13">
        <f>'12-2017'!P733</f>
        <v>0</v>
      </c>
      <c r="F724" s="130">
        <f>E724-D724</f>
        <v>0</v>
      </c>
      <c r="H724" s="74">
        <f>'12-2017'!H733</f>
        <v>0</v>
      </c>
      <c r="I724" s="74">
        <f>'12-2017'!I733</f>
        <v>0</v>
      </c>
      <c r="J724" s="74">
        <f>'12-2017'!J733</f>
        <v>0</v>
      </c>
    </row>
    <row r="725" spans="1:10" s="58" customFormat="1" ht="17.25" hidden="1">
      <c r="A725" s="10">
        <f>'12-2017'!A734</f>
        <v>2</v>
      </c>
      <c r="B725" s="11" t="str">
        <f>'12-2017'!B734</f>
        <v>Công suất: 1,5HP</v>
      </c>
      <c r="C725" s="12" t="str">
        <f>'12-2017'!C734</f>
        <v>đ/bộ</v>
      </c>
      <c r="D725" s="13">
        <f>'12-2017'!O734</f>
        <v>10090909.09090909</v>
      </c>
      <c r="E725" s="13">
        <f>'12-2017'!P734</f>
        <v>10090909.09090909</v>
      </c>
      <c r="F725" s="130">
        <f>E725-D725</f>
        <v>0</v>
      </c>
      <c r="H725" s="74">
        <f>'12-2017'!H734</f>
        <v>0</v>
      </c>
      <c r="I725" s="74">
        <f>'12-2017'!I734</f>
        <v>0</v>
      </c>
      <c r="J725" s="74">
        <f>'12-2017'!J734</f>
        <v>0</v>
      </c>
    </row>
    <row r="726" spans="1:10" s="58" customFormat="1" ht="17.25" hidden="1">
      <c r="A726" s="10">
        <f>'12-2017'!A735</f>
        <v>3</v>
      </c>
      <c r="B726" s="11" t="str">
        <f>'12-2017'!B735</f>
        <v>Công suất: 2HP</v>
      </c>
      <c r="C726" s="12" t="str">
        <f>'12-2017'!C735</f>
        <v>đ/bộ</v>
      </c>
      <c r="D726" s="13">
        <f>'12-2017'!O735</f>
        <v>15454545.454545453</v>
      </c>
      <c r="E726" s="13">
        <f>'12-2017'!P735</f>
        <v>15454545.454545453</v>
      </c>
      <c r="F726" s="130">
        <f>E726-D726</f>
        <v>0</v>
      </c>
      <c r="H726" s="74">
        <f>'12-2017'!H735</f>
        <v>0</v>
      </c>
      <c r="I726" s="74">
        <f>'12-2017'!I735</f>
        <v>0</v>
      </c>
      <c r="J726" s="74">
        <f>'12-2017'!J735</f>
        <v>0</v>
      </c>
    </row>
    <row r="727" spans="1:10" s="58" customFormat="1" ht="17.25" hidden="1">
      <c r="A727" s="10">
        <f>'12-2017'!A736</f>
        <v>4</v>
      </c>
      <c r="B727" s="11" t="str">
        <f>'12-2017'!B736</f>
        <v>Công suất: 2,5HP</v>
      </c>
      <c r="C727" s="12" t="str">
        <f>'12-2017'!C736</f>
        <v>đ/bộ</v>
      </c>
      <c r="D727" s="13">
        <f>'12-2017'!O736</f>
        <v>20363636.363636363</v>
      </c>
      <c r="E727" s="13">
        <f>'12-2017'!P736</f>
        <v>20363636.363636363</v>
      </c>
      <c r="F727" s="130">
        <f>E727-D727</f>
        <v>0</v>
      </c>
      <c r="H727" s="74">
        <f>'12-2017'!H736</f>
        <v>0</v>
      </c>
      <c r="I727" s="74">
        <f>'12-2017'!I736</f>
        <v>0</v>
      </c>
      <c r="J727" s="74">
        <f>'12-2017'!J736</f>
        <v>0</v>
      </c>
    </row>
    <row r="728" spans="1:10" s="73" customFormat="1" ht="17.25" hidden="1">
      <c r="A728" s="17"/>
      <c r="B728" s="9" t="str">
        <f>'12-2017'!B737</f>
        <v xml:space="preserve"> - Máy lạnh hiệu Toshiba xuất xứ Nhật-Thái Lan)</v>
      </c>
      <c r="C728" s="8"/>
      <c r="D728" s="22"/>
      <c r="E728" s="22"/>
      <c r="F728" s="131"/>
      <c r="H728" s="74">
        <f>'12-2017'!H737</f>
        <v>0</v>
      </c>
      <c r="I728" s="74">
        <f>'12-2017'!I737</f>
        <v>0</v>
      </c>
      <c r="J728" s="74">
        <f>'12-2017'!J737</f>
        <v>0</v>
      </c>
    </row>
    <row r="729" spans="1:10" s="58" customFormat="1" ht="17.25" hidden="1">
      <c r="A729" s="10">
        <f>'12-2017'!A738</f>
        <v>5</v>
      </c>
      <c r="B729" s="11" t="str">
        <f>'12-2017'!B738</f>
        <v>Công suất: 1HP (tiêu chuẩn)</v>
      </c>
      <c r="C729" s="12" t="str">
        <f>'12-2017'!C738</f>
        <v>đ/bộ</v>
      </c>
      <c r="D729" s="13">
        <f>'12-2017'!O738</f>
        <v>6363636.3636363633</v>
      </c>
      <c r="E729" s="13">
        <f>'12-2017'!P738</f>
        <v>6363636.3636363633</v>
      </c>
      <c r="F729" s="130">
        <f t="shared" ref="F729:F734" si="28">E729-D729</f>
        <v>0</v>
      </c>
      <c r="H729" s="74">
        <f>'12-2017'!H738</f>
        <v>0</v>
      </c>
      <c r="I729" s="74">
        <f>'12-2017'!I738</f>
        <v>0</v>
      </c>
      <c r="J729" s="74">
        <f>'12-2017'!J738</f>
        <v>0</v>
      </c>
    </row>
    <row r="730" spans="1:10" s="58" customFormat="1" ht="17.25" hidden="1">
      <c r="A730" s="10">
        <f>'12-2017'!A739</f>
        <v>6</v>
      </c>
      <c r="B730" s="11" t="str">
        <f>'12-2017'!B739</f>
        <v>Công suất: 1,5HP (tiêu chuẩn)</v>
      </c>
      <c r="C730" s="12" t="str">
        <f>'12-2017'!C739</f>
        <v>đ/bộ</v>
      </c>
      <c r="D730" s="13">
        <f>'12-2017'!O739</f>
        <v>8363636.3636363633</v>
      </c>
      <c r="E730" s="13">
        <f>'12-2017'!P739</f>
        <v>8363636.3636363633</v>
      </c>
      <c r="F730" s="130">
        <f t="shared" si="28"/>
        <v>0</v>
      </c>
      <c r="H730" s="74">
        <f>'12-2017'!H739</f>
        <v>0</v>
      </c>
      <c r="I730" s="74">
        <f>'12-2017'!I739</f>
        <v>0</v>
      </c>
      <c r="J730" s="74">
        <f>'12-2017'!J739</f>
        <v>0</v>
      </c>
    </row>
    <row r="731" spans="1:10" s="58" customFormat="1" ht="17.25" hidden="1">
      <c r="A731" s="10">
        <f>'12-2017'!A740</f>
        <v>7</v>
      </c>
      <c r="B731" s="11" t="str">
        <f>'12-2017'!B740</f>
        <v>Công suất: 2HP (tiêu chuẩn)</v>
      </c>
      <c r="C731" s="12" t="str">
        <f>'12-2017'!C740</f>
        <v>đ/bộ</v>
      </c>
      <c r="D731" s="13">
        <f>'12-2017'!O740</f>
        <v>12727272.727272727</v>
      </c>
      <c r="E731" s="13">
        <f>'12-2017'!P740</f>
        <v>12727272.727272727</v>
      </c>
      <c r="F731" s="130">
        <f t="shared" si="28"/>
        <v>0</v>
      </c>
      <c r="H731" s="74">
        <f>'12-2017'!H740</f>
        <v>0</v>
      </c>
      <c r="I731" s="74">
        <f>'12-2017'!I740</f>
        <v>0</v>
      </c>
      <c r="J731" s="74">
        <f>'12-2017'!J740</f>
        <v>0</v>
      </c>
    </row>
    <row r="732" spans="1:10" s="58" customFormat="1" ht="17.25" hidden="1">
      <c r="A732" s="10">
        <f>'12-2017'!A741</f>
        <v>8</v>
      </c>
      <c r="B732" s="11" t="str">
        <f>'12-2017'!B741</f>
        <v>Công suất: 1HP (INVERTER)</v>
      </c>
      <c r="C732" s="12" t="str">
        <f>'12-2017'!C741</f>
        <v>đ/bộ</v>
      </c>
      <c r="D732" s="13">
        <f>'12-2017'!O741</f>
        <v>9181818.1818181816</v>
      </c>
      <c r="E732" s="13">
        <f>'12-2017'!P741</f>
        <v>9181818.1818181816</v>
      </c>
      <c r="F732" s="130">
        <f t="shared" si="28"/>
        <v>0</v>
      </c>
      <c r="H732" s="74">
        <f>'12-2017'!H741</f>
        <v>0</v>
      </c>
      <c r="I732" s="74">
        <f>'12-2017'!I741</f>
        <v>0</v>
      </c>
      <c r="J732" s="74">
        <f>'12-2017'!J741</f>
        <v>0</v>
      </c>
    </row>
    <row r="733" spans="1:10" s="58" customFormat="1" ht="17.25" hidden="1">
      <c r="A733" s="10">
        <f>'12-2017'!A742</f>
        <v>9</v>
      </c>
      <c r="B733" s="11" t="str">
        <f>'12-2017'!B742</f>
        <v>Công suất: 1,5HP (INVERTER)</v>
      </c>
      <c r="C733" s="12" t="str">
        <f>'12-2017'!C742</f>
        <v>đ/bộ</v>
      </c>
      <c r="D733" s="13">
        <f>'12-2017'!O742</f>
        <v>11000000</v>
      </c>
      <c r="E733" s="13">
        <f>'12-2017'!P742</f>
        <v>11000000</v>
      </c>
      <c r="F733" s="130">
        <f t="shared" si="28"/>
        <v>0</v>
      </c>
      <c r="H733" s="74">
        <f>'12-2017'!H742</f>
        <v>0</v>
      </c>
      <c r="I733" s="74">
        <f>'12-2017'!I742</f>
        <v>0</v>
      </c>
      <c r="J733" s="74">
        <f>'12-2017'!J742</f>
        <v>0</v>
      </c>
    </row>
    <row r="734" spans="1:10" s="58" customFormat="1" ht="17.25" hidden="1">
      <c r="A734" s="10">
        <f>'12-2017'!A743</f>
        <v>10</v>
      </c>
      <c r="B734" s="11" t="str">
        <f>'12-2017'!B743</f>
        <v>Công suất: 2HP (INVERTER)</v>
      </c>
      <c r="C734" s="12" t="str">
        <f>'12-2017'!C743</f>
        <v>đ/bộ</v>
      </c>
      <c r="D734" s="13">
        <f>'12-2017'!O743</f>
        <v>15272727.272727272</v>
      </c>
      <c r="E734" s="13">
        <f>'12-2017'!P743</f>
        <v>15272727.272727272</v>
      </c>
      <c r="F734" s="130">
        <f t="shared" si="28"/>
        <v>0</v>
      </c>
      <c r="H734" s="74">
        <f>'12-2017'!H743</f>
        <v>0</v>
      </c>
      <c r="I734" s="74">
        <f>'12-2017'!I743</f>
        <v>0</v>
      </c>
      <c r="J734" s="74">
        <f>'12-2017'!J743</f>
        <v>0</v>
      </c>
    </row>
    <row r="735" spans="1:10" s="73" customFormat="1" ht="17.25" hidden="1">
      <c r="A735" s="17"/>
      <c r="B735" s="9" t="str">
        <f>'12-2017'!B744</f>
        <v xml:space="preserve"> - Máy lạnh hiệu Panasonic xuất xứ Nhật - Malaysia</v>
      </c>
      <c r="C735" s="8"/>
      <c r="D735" s="22"/>
      <c r="E735" s="22"/>
      <c r="F735" s="131"/>
      <c r="H735" s="74">
        <f>'12-2017'!H744</f>
        <v>0</v>
      </c>
      <c r="I735" s="74">
        <f>'12-2017'!I744</f>
        <v>0</v>
      </c>
      <c r="J735" s="74">
        <f>'12-2017'!J744</f>
        <v>0</v>
      </c>
    </row>
    <row r="736" spans="1:10" s="58" customFormat="1" ht="17.25" hidden="1">
      <c r="A736" s="10">
        <f>'12-2017'!A745</f>
        <v>8</v>
      </c>
      <c r="B736" s="11" t="str">
        <f>'12-2017'!B745</f>
        <v>Công suất: 1HP (tiêu chuẩn)</v>
      </c>
      <c r="C736" s="12" t="str">
        <f>'12-2017'!C745</f>
        <v>đ/bộ</v>
      </c>
      <c r="D736" s="13">
        <f>'12-2017'!O745</f>
        <v>6818181.8181818174</v>
      </c>
      <c r="E736" s="13">
        <f>'12-2017'!P745</f>
        <v>6818181.8181818174</v>
      </c>
      <c r="F736" s="130">
        <f t="shared" ref="F736:F741" si="29">E736-D736</f>
        <v>0</v>
      </c>
      <c r="H736" s="74">
        <f>'12-2017'!H745</f>
        <v>0</v>
      </c>
      <c r="I736" s="74">
        <f>'12-2017'!I745</f>
        <v>0</v>
      </c>
      <c r="J736" s="74">
        <f>'12-2017'!J745</f>
        <v>0</v>
      </c>
    </row>
    <row r="737" spans="1:10" s="58" customFormat="1" ht="17.25" hidden="1">
      <c r="A737" s="10">
        <f>'12-2017'!A746</f>
        <v>9</v>
      </c>
      <c r="B737" s="11" t="str">
        <f>'12-2017'!B746</f>
        <v>Công suất: 1,5HP (tiêu chuẩn)</v>
      </c>
      <c r="C737" s="12" t="str">
        <f>'12-2017'!C746</f>
        <v>đ/bộ</v>
      </c>
      <c r="D737" s="13">
        <f>'12-2017'!O746</f>
        <v>8727272.7272727266</v>
      </c>
      <c r="E737" s="13">
        <f>'12-2017'!P746</f>
        <v>8727272.7272727266</v>
      </c>
      <c r="F737" s="130">
        <f t="shared" si="29"/>
        <v>0</v>
      </c>
      <c r="H737" s="74">
        <f>'12-2017'!H746</f>
        <v>0</v>
      </c>
      <c r="I737" s="74">
        <f>'12-2017'!I746</f>
        <v>0</v>
      </c>
      <c r="J737" s="74">
        <f>'12-2017'!J746</f>
        <v>0</v>
      </c>
    </row>
    <row r="738" spans="1:10" s="58" customFormat="1" ht="17.25" hidden="1">
      <c r="A738" s="10">
        <f>'12-2017'!A747</f>
        <v>10</v>
      </c>
      <c r="B738" s="11" t="str">
        <f>'12-2017'!B747</f>
        <v>Công suất: 2HP (tiêu chuẩn)</v>
      </c>
      <c r="C738" s="12" t="str">
        <f>'12-2017'!C747</f>
        <v>đ/bộ</v>
      </c>
      <c r="D738" s="13">
        <f>'12-2017'!O747</f>
        <v>13454545.454545453</v>
      </c>
      <c r="E738" s="13">
        <f>'12-2017'!P747</f>
        <v>13454545.454545453</v>
      </c>
      <c r="F738" s="130">
        <f t="shared" si="29"/>
        <v>0</v>
      </c>
      <c r="H738" s="74">
        <f>'12-2017'!H747</f>
        <v>0</v>
      </c>
      <c r="I738" s="74">
        <f>'12-2017'!I747</f>
        <v>0</v>
      </c>
      <c r="J738" s="74">
        <f>'12-2017'!J747</f>
        <v>0</v>
      </c>
    </row>
    <row r="739" spans="1:10" s="58" customFormat="1" ht="17.25" hidden="1">
      <c r="A739" s="10">
        <f>'12-2017'!A753</f>
        <v>0</v>
      </c>
      <c r="B739" s="11" t="str">
        <f>'12-2017'!B753</f>
        <v xml:space="preserve"> - Máy lạnh hiệu Mitsubishi Electric, xuất xứ Nhật- Thái Lan</v>
      </c>
      <c r="C739" s="12">
        <f>'12-2017'!C753</f>
        <v>0</v>
      </c>
      <c r="D739" s="13">
        <f>'12-2017'!O753</f>
        <v>0</v>
      </c>
      <c r="E739" s="13">
        <f>'12-2017'!P753</f>
        <v>0</v>
      </c>
      <c r="F739" s="130">
        <f t="shared" si="29"/>
        <v>0</v>
      </c>
      <c r="H739" s="74">
        <f>'12-2017'!H753</f>
        <v>0</v>
      </c>
      <c r="I739" s="74">
        <f>'12-2017'!I753</f>
        <v>0</v>
      </c>
      <c r="J739" s="74">
        <f>'12-2017'!J753</f>
        <v>0</v>
      </c>
    </row>
    <row r="740" spans="1:10" s="58" customFormat="1" ht="17.25" hidden="1">
      <c r="A740" s="10">
        <f>'12-2017'!A754</f>
        <v>11</v>
      </c>
      <c r="B740" s="11" t="str">
        <f>'12-2017'!B754</f>
        <v>Công suất: 1HP (tiêu chuẩn)</v>
      </c>
      <c r="C740" s="12" t="str">
        <f>'12-2017'!C754</f>
        <v>đ/bộ</v>
      </c>
      <c r="D740" s="13">
        <f>'12-2017'!O754</f>
        <v>6363636.3636363633</v>
      </c>
      <c r="E740" s="13">
        <f>'12-2017'!P754</f>
        <v>6363636.3636363633</v>
      </c>
      <c r="F740" s="130">
        <f t="shared" si="29"/>
        <v>0</v>
      </c>
      <c r="H740" s="74">
        <f>'12-2017'!H754</f>
        <v>0</v>
      </c>
      <c r="I740" s="74">
        <f>'12-2017'!I754</f>
        <v>0</v>
      </c>
      <c r="J740" s="74">
        <f>'12-2017'!J754</f>
        <v>0</v>
      </c>
    </row>
    <row r="741" spans="1:10" s="58" customFormat="1" ht="17.25" hidden="1">
      <c r="A741" s="10">
        <f>'12-2017'!A755</f>
        <v>12</v>
      </c>
      <c r="B741" s="11" t="str">
        <f>'12-2017'!B755</f>
        <v>Công suất: 1,5HP (tiêu chuẩn)</v>
      </c>
      <c r="C741" s="12" t="str">
        <f>'12-2017'!C755</f>
        <v>đ/bộ</v>
      </c>
      <c r="D741" s="13">
        <f>'12-2017'!O755</f>
        <v>8272727.2727272725</v>
      </c>
      <c r="E741" s="13">
        <f>'12-2017'!P755</f>
        <v>8272727.2727272725</v>
      </c>
      <c r="F741" s="130">
        <f t="shared" si="29"/>
        <v>0</v>
      </c>
      <c r="H741" s="74">
        <f>'12-2017'!H755</f>
        <v>0</v>
      </c>
      <c r="I741" s="74">
        <f>'12-2017'!I755</f>
        <v>0</v>
      </c>
      <c r="J741" s="74">
        <f>'12-2017'!J755</f>
        <v>0</v>
      </c>
    </row>
    <row r="742" spans="1:10" s="73" customFormat="1" ht="17.25" hidden="1">
      <c r="A742" s="17"/>
      <c r="B742" s="9" t="str">
        <f>'12-2017'!B768</f>
        <v xml:space="preserve"> - Máy lạnh hiệu LG, xuất xứ Hàn Quốc - Việt Nam</v>
      </c>
      <c r="C742" s="8"/>
      <c r="D742" s="22"/>
      <c r="E742" s="22"/>
      <c r="F742" s="131"/>
      <c r="H742" s="74">
        <f>'12-2017'!H768</f>
        <v>0</v>
      </c>
      <c r="I742" s="74">
        <f>'12-2017'!I768</f>
        <v>0</v>
      </c>
      <c r="J742" s="74">
        <f>'12-2017'!J768</f>
        <v>0</v>
      </c>
    </row>
    <row r="743" spans="1:10" s="58" customFormat="1" ht="17.25" hidden="1">
      <c r="A743" s="10">
        <f>'12-2017'!A769</f>
        <v>24</v>
      </c>
      <c r="B743" s="11" t="str">
        <f>'12-2017'!B769</f>
        <v>Công suất: 1HP (INVERTER)</v>
      </c>
      <c r="C743" s="12" t="str">
        <f>'12-2017'!C769</f>
        <v>đ/bộ</v>
      </c>
      <c r="D743" s="13">
        <f>'12-2017'!O769</f>
        <v>7227272.7272727266</v>
      </c>
      <c r="E743" s="13">
        <f>'12-2017'!P769</f>
        <v>7227272.7272727266</v>
      </c>
      <c r="F743" s="130">
        <f>E743-D743</f>
        <v>0</v>
      </c>
      <c r="H743" s="74">
        <f>'12-2017'!H769</f>
        <v>0</v>
      </c>
      <c r="I743" s="74">
        <f>'12-2017'!I769</f>
        <v>0</v>
      </c>
      <c r="J743" s="74">
        <f>'12-2017'!J769</f>
        <v>0</v>
      </c>
    </row>
    <row r="744" spans="1:10" s="58" customFormat="1" ht="17.25" hidden="1">
      <c r="A744" s="10">
        <f>'12-2017'!A770</f>
        <v>25</v>
      </c>
      <c r="B744" s="11" t="str">
        <f>'12-2017'!B770</f>
        <v>Công suất: 1,5HP (INVERTER)</v>
      </c>
      <c r="C744" s="12" t="str">
        <f>'12-2017'!C770</f>
        <v>đ/bộ</v>
      </c>
      <c r="D744" s="13">
        <f>'12-2017'!O770</f>
        <v>7999999.9999999991</v>
      </c>
      <c r="E744" s="13">
        <f>'12-2017'!P770</f>
        <v>7999999.9999999991</v>
      </c>
      <c r="F744" s="130">
        <f>E744-D744</f>
        <v>0</v>
      </c>
      <c r="H744" s="74">
        <f>'12-2017'!H770</f>
        <v>0</v>
      </c>
      <c r="I744" s="74">
        <f>'12-2017'!I770</f>
        <v>0</v>
      </c>
      <c r="J744" s="74">
        <f>'12-2017'!J770</f>
        <v>0</v>
      </c>
    </row>
    <row r="745" spans="1:10" s="58" customFormat="1" ht="17.25" hidden="1">
      <c r="A745" s="10">
        <f>'12-2017'!A771</f>
        <v>26</v>
      </c>
      <c r="B745" s="11" t="str">
        <f>'12-2017'!B771</f>
        <v>Công suất: 2HP (INVERTER)</v>
      </c>
      <c r="C745" s="12" t="str">
        <f>'12-2017'!C771</f>
        <v>đ/bộ</v>
      </c>
      <c r="D745" s="13">
        <f>'12-2017'!O771</f>
        <v>13454545.454545453</v>
      </c>
      <c r="E745" s="13">
        <f>'12-2017'!P771</f>
        <v>13454545.454545453</v>
      </c>
      <c r="F745" s="130">
        <f>E745-D745</f>
        <v>0</v>
      </c>
      <c r="H745" s="74">
        <f>'12-2017'!H771</f>
        <v>0</v>
      </c>
      <c r="I745" s="74">
        <f>'12-2017'!I771</f>
        <v>0</v>
      </c>
      <c r="J745" s="74">
        <f>'12-2017'!J771</f>
        <v>0</v>
      </c>
    </row>
    <row r="746" spans="1:10" s="58" customFormat="1" ht="17.25" hidden="1">
      <c r="A746" s="10"/>
      <c r="B746" s="11" t="str">
        <f>'12-2017'!B772</f>
        <v xml:space="preserve"> - Máy lạnh hiệu SAMSUNG, xuất xứ Hàn Quốc - Thái Lan</v>
      </c>
      <c r="C746" s="12">
        <f>'12-2017'!C772</f>
        <v>0</v>
      </c>
      <c r="D746" s="13">
        <f>'12-2017'!O772</f>
        <v>0</v>
      </c>
      <c r="E746" s="13">
        <f>'12-2017'!P772</f>
        <v>0</v>
      </c>
      <c r="F746" s="130">
        <f>E746-D746</f>
        <v>0</v>
      </c>
      <c r="H746" s="74">
        <f>'12-2017'!H772</f>
        <v>0</v>
      </c>
      <c r="I746" s="74">
        <f>'12-2017'!I772</f>
        <v>0</v>
      </c>
      <c r="J746" s="74">
        <f>'12-2017'!J772</f>
        <v>0</v>
      </c>
    </row>
    <row r="747" spans="1:10" s="58" customFormat="1" ht="17.25" hidden="1">
      <c r="A747" s="10"/>
      <c r="B747" s="11" t="str">
        <f>'12-2017'!B773</f>
        <v>Công suất: 1HP (tiêu chuẩn)</v>
      </c>
      <c r="C747" s="12" t="str">
        <f>'12-2017'!C773</f>
        <v>đ/bộ</v>
      </c>
      <c r="D747" s="13">
        <f>'12-2017'!O773</f>
        <v>5409090.9090909082</v>
      </c>
      <c r="E747" s="13">
        <f>'12-2017'!P773</f>
        <v>5409090.9090909082</v>
      </c>
      <c r="F747" s="130">
        <f t="shared" ref="F747:F759" si="30">E747-D747</f>
        <v>0</v>
      </c>
      <c r="H747" s="74">
        <f>'12-2017'!H773</f>
        <v>0</v>
      </c>
      <c r="I747" s="74">
        <f>'12-2017'!I773</f>
        <v>0</v>
      </c>
      <c r="J747" s="74">
        <f>'12-2017'!J773</f>
        <v>0</v>
      </c>
    </row>
    <row r="748" spans="1:10" s="58" customFormat="1" ht="17.25" hidden="1">
      <c r="A748" s="10"/>
      <c r="B748" s="11" t="str">
        <f>'12-2017'!B774</f>
        <v>Công suất: 1,5HP (tiêu chuẩn)</v>
      </c>
      <c r="C748" s="12" t="str">
        <f>'12-2017'!C774</f>
        <v>đ/bộ</v>
      </c>
      <c r="D748" s="13">
        <f>'12-2017'!O774</f>
        <v>6681818.1818181816</v>
      </c>
      <c r="E748" s="13">
        <f>'12-2017'!P774</f>
        <v>6681818.1818181816</v>
      </c>
      <c r="F748" s="130">
        <f t="shared" si="30"/>
        <v>0</v>
      </c>
      <c r="H748" s="74">
        <f>'12-2017'!H774</f>
        <v>0</v>
      </c>
      <c r="I748" s="74">
        <f>'12-2017'!I774</f>
        <v>0</v>
      </c>
      <c r="J748" s="74">
        <f>'12-2017'!J774</f>
        <v>0</v>
      </c>
    </row>
    <row r="749" spans="1:10" s="58" customFormat="1" ht="17.25" hidden="1">
      <c r="A749" s="10"/>
      <c r="B749" s="11" t="str">
        <f>'12-2017'!B775</f>
        <v>Công suất: 2HP (tiêu chuẩn)</v>
      </c>
      <c r="C749" s="12" t="str">
        <f>'12-2017'!C775</f>
        <v>đ/bộ</v>
      </c>
      <c r="D749" s="13">
        <f>'12-2017'!O775</f>
        <v>11454545.454545453</v>
      </c>
      <c r="E749" s="13">
        <f>'12-2017'!P775</f>
        <v>11454545.454545453</v>
      </c>
      <c r="F749" s="130">
        <f t="shared" si="30"/>
        <v>0</v>
      </c>
      <c r="H749" s="74">
        <f>'12-2017'!H775</f>
        <v>0</v>
      </c>
      <c r="I749" s="74">
        <f>'12-2017'!I775</f>
        <v>0</v>
      </c>
      <c r="J749" s="74">
        <f>'12-2017'!J775</f>
        <v>0</v>
      </c>
    </row>
    <row r="750" spans="1:10" s="58" customFormat="1" ht="17.25" hidden="1">
      <c r="A750" s="10"/>
      <c r="B750" s="11" t="str">
        <f>'12-2017'!B776</f>
        <v>Công suất: 1HP (INVERTER)</v>
      </c>
      <c r="C750" s="12" t="str">
        <f>'12-2017'!C776</f>
        <v>đ/bộ</v>
      </c>
      <c r="D750" s="13">
        <f>'12-2017'!O776</f>
        <v>7090909.0909090899</v>
      </c>
      <c r="E750" s="13">
        <f>'12-2017'!P776</f>
        <v>7090909.0909090899</v>
      </c>
      <c r="F750" s="130">
        <f t="shared" si="30"/>
        <v>0</v>
      </c>
      <c r="H750" s="74">
        <f>'12-2017'!H776</f>
        <v>0</v>
      </c>
      <c r="I750" s="74">
        <f>'12-2017'!I776</f>
        <v>0</v>
      </c>
      <c r="J750" s="74">
        <f>'12-2017'!J776</f>
        <v>0</v>
      </c>
    </row>
    <row r="751" spans="1:10" s="58" customFormat="1" ht="17.25" hidden="1">
      <c r="A751" s="10"/>
      <c r="B751" s="11" t="str">
        <f>'12-2017'!B777</f>
        <v>Công suất: 1,5HP (INVERTER)</v>
      </c>
      <c r="C751" s="12" t="str">
        <f>'12-2017'!C777</f>
        <v>đ/bộ</v>
      </c>
      <c r="D751" s="13">
        <f>'12-2017'!O777</f>
        <v>8272727.2727272725</v>
      </c>
      <c r="E751" s="13">
        <f>'12-2017'!P777</f>
        <v>8272727.2727272725</v>
      </c>
      <c r="F751" s="130">
        <f t="shared" si="30"/>
        <v>0</v>
      </c>
      <c r="H751" s="74">
        <f>'12-2017'!H777</f>
        <v>0</v>
      </c>
      <c r="I751" s="74">
        <f>'12-2017'!I777</f>
        <v>0</v>
      </c>
      <c r="J751" s="74">
        <f>'12-2017'!J777</f>
        <v>0</v>
      </c>
    </row>
    <row r="752" spans="1:10" s="58" customFormat="1" ht="17.25" hidden="1">
      <c r="A752" s="10"/>
      <c r="B752" s="11" t="str">
        <f>'12-2017'!B778</f>
        <v xml:space="preserve"> - Máy lạnh hiệu SHARP, xuất xứ Nhật - Thái Lan</v>
      </c>
      <c r="C752" s="12">
        <f>'12-2017'!C778</f>
        <v>0</v>
      </c>
      <c r="D752" s="13">
        <f>'12-2017'!O778</f>
        <v>0</v>
      </c>
      <c r="E752" s="13">
        <f>'12-2017'!P778</f>
        <v>0</v>
      </c>
      <c r="F752" s="130">
        <f t="shared" si="30"/>
        <v>0</v>
      </c>
      <c r="H752" s="74">
        <f>'12-2017'!H778</f>
        <v>0</v>
      </c>
      <c r="I752" s="74">
        <f>'12-2017'!I778</f>
        <v>0</v>
      </c>
      <c r="J752" s="74">
        <f>'12-2017'!J778</f>
        <v>0</v>
      </c>
    </row>
    <row r="753" spans="1:10" s="58" customFormat="1" ht="17.25" hidden="1">
      <c r="A753" s="10"/>
      <c r="B753" s="11" t="str">
        <f>'12-2017'!B779</f>
        <v>Công suất: 1HP (tiêu chuẩn)</v>
      </c>
      <c r="C753" s="12" t="str">
        <f>'12-2017'!C779</f>
        <v>đ/bộ</v>
      </c>
      <c r="D753" s="13">
        <f>'12-2017'!O779</f>
        <v>5181818.1818181816</v>
      </c>
      <c r="E753" s="13">
        <f>'12-2017'!P779</f>
        <v>5181818.1818181816</v>
      </c>
      <c r="F753" s="130">
        <f t="shared" si="30"/>
        <v>0</v>
      </c>
      <c r="H753" s="74">
        <f>'12-2017'!H779</f>
        <v>0</v>
      </c>
      <c r="I753" s="74">
        <f>'12-2017'!I779</f>
        <v>0</v>
      </c>
      <c r="J753" s="74">
        <f>'12-2017'!J779</f>
        <v>0</v>
      </c>
    </row>
    <row r="754" spans="1:10" s="58" customFormat="1" ht="17.25" hidden="1">
      <c r="A754" s="10"/>
      <c r="B754" s="11" t="str">
        <f>'12-2017'!B780</f>
        <v>Công suất: 1,5HP (tiêu chuẩn)</v>
      </c>
      <c r="C754" s="12" t="str">
        <f>'12-2017'!C780</f>
        <v>đ/bộ</v>
      </c>
      <c r="D754" s="13">
        <f>'12-2017'!O780</f>
        <v>6909090.9090909082</v>
      </c>
      <c r="E754" s="13">
        <f>'12-2017'!P780</f>
        <v>6909090.9090909082</v>
      </c>
      <c r="F754" s="130">
        <f t="shared" si="30"/>
        <v>0</v>
      </c>
      <c r="H754" s="74">
        <f>'12-2017'!H780</f>
        <v>0</v>
      </c>
      <c r="I754" s="74">
        <f>'12-2017'!I780</f>
        <v>0</v>
      </c>
      <c r="J754" s="74">
        <f>'12-2017'!J780</f>
        <v>0</v>
      </c>
    </row>
    <row r="755" spans="1:10" s="58" customFormat="1" ht="17.25" hidden="1">
      <c r="A755" s="10"/>
      <c r="B755" s="11" t="str">
        <f>'12-2017'!B781</f>
        <v>Công suất: 2HP (tiêu chuẩn)</v>
      </c>
      <c r="C755" s="12" t="str">
        <f>'12-2017'!C781</f>
        <v>đ/bộ</v>
      </c>
      <c r="D755" s="13">
        <f>'12-2017'!O781</f>
        <v>10090909.09090909</v>
      </c>
      <c r="E755" s="13">
        <f>'12-2017'!P781</f>
        <v>10090909.09090909</v>
      </c>
      <c r="F755" s="130">
        <f t="shared" si="30"/>
        <v>0</v>
      </c>
      <c r="H755" s="74">
        <f>'12-2017'!H781</f>
        <v>0</v>
      </c>
      <c r="I755" s="74">
        <f>'12-2017'!I781</f>
        <v>0</v>
      </c>
      <c r="J755" s="74">
        <f>'12-2017'!J781</f>
        <v>0</v>
      </c>
    </row>
    <row r="756" spans="1:10" s="58" customFormat="1" ht="17.25" hidden="1">
      <c r="A756" s="10"/>
      <c r="B756" s="11" t="str">
        <f>'12-2017'!B782</f>
        <v>Công suất: 1HP (INVERTER)</v>
      </c>
      <c r="C756" s="12" t="str">
        <f>'12-2017'!C782</f>
        <v>đ/bộ</v>
      </c>
      <c r="D756" s="13">
        <f>'12-2017'!O782</f>
        <v>6136363.6363636358</v>
      </c>
      <c r="E756" s="13">
        <f>'12-2017'!P782</f>
        <v>6136363.6363636358</v>
      </c>
      <c r="F756" s="130">
        <f t="shared" si="30"/>
        <v>0</v>
      </c>
      <c r="H756" s="74">
        <f>'12-2017'!H782</f>
        <v>0</v>
      </c>
      <c r="I756" s="74">
        <f>'12-2017'!I782</f>
        <v>0</v>
      </c>
      <c r="J756" s="74">
        <f>'12-2017'!J782</f>
        <v>0</v>
      </c>
    </row>
    <row r="757" spans="1:10" s="58" customFormat="1" ht="17.25" hidden="1">
      <c r="A757" s="10"/>
      <c r="B757" s="11" t="str">
        <f>'12-2017'!B783</f>
        <v>Công suất: 1,5HP (INVERTER)</v>
      </c>
      <c r="C757" s="12" t="str">
        <f>'12-2017'!C783</f>
        <v>đ/bộ</v>
      </c>
      <c r="D757" s="13">
        <f>'12-2017'!O783</f>
        <v>8318181.8181818174</v>
      </c>
      <c r="E757" s="13">
        <f>'12-2017'!P783</f>
        <v>8318181.8181818174</v>
      </c>
      <c r="F757" s="130">
        <f t="shared" si="30"/>
        <v>0</v>
      </c>
      <c r="H757" s="74">
        <f>'12-2017'!H783</f>
        <v>0</v>
      </c>
      <c r="I757" s="74">
        <f>'12-2017'!I783</f>
        <v>0</v>
      </c>
      <c r="J757" s="74">
        <f>'12-2017'!J783</f>
        <v>0</v>
      </c>
    </row>
    <row r="758" spans="1:10" s="58" customFormat="1" ht="17.25" hidden="1">
      <c r="A758" s="10"/>
      <c r="B758" s="11" t="str">
        <f>'12-2017'!B784</f>
        <v xml:space="preserve"> - Máy lạnh hiệu MIDEA, xuất xứ Nhật - Thái Lan</v>
      </c>
      <c r="C758" s="12">
        <f>'12-2017'!C784</f>
        <v>0</v>
      </c>
      <c r="D758" s="13">
        <f>'12-2017'!O784</f>
        <v>0</v>
      </c>
      <c r="E758" s="13">
        <f>'12-2017'!P784</f>
        <v>0</v>
      </c>
      <c r="F758" s="130">
        <f t="shared" si="30"/>
        <v>0</v>
      </c>
      <c r="H758" s="74">
        <f>'12-2017'!H784</f>
        <v>0</v>
      </c>
      <c r="I758" s="74">
        <f>'12-2017'!I784</f>
        <v>0</v>
      </c>
      <c r="J758" s="74">
        <f>'12-2017'!J784</f>
        <v>0</v>
      </c>
    </row>
    <row r="759" spans="1:10" s="58" customFormat="1" ht="17.25" hidden="1">
      <c r="A759" s="10"/>
      <c r="B759" s="11" t="str">
        <f>'12-2017'!B785</f>
        <v>Công suất: 1HP (tiêu chuẩn)</v>
      </c>
      <c r="C759" s="12" t="str">
        <f>'12-2017'!C785</f>
        <v>đ/bộ</v>
      </c>
      <c r="D759" s="13">
        <f>'12-2017'!O785</f>
        <v>4363636.3636363633</v>
      </c>
      <c r="E759" s="13">
        <f>'12-2017'!P785</f>
        <v>4363636.3636363633</v>
      </c>
      <c r="F759" s="130">
        <f t="shared" si="30"/>
        <v>0</v>
      </c>
      <c r="H759" s="74">
        <f>'12-2017'!H785</f>
        <v>0</v>
      </c>
      <c r="I759" s="74">
        <f>'12-2017'!I785</f>
        <v>0</v>
      </c>
      <c r="J759" s="74">
        <f>'12-2017'!J785</f>
        <v>0</v>
      </c>
    </row>
    <row r="760" spans="1:10" s="58" customFormat="1" ht="17.25" hidden="1">
      <c r="A760" s="10"/>
      <c r="B760" s="11" t="str">
        <f>'12-2017'!B786</f>
        <v>Công suất: 1,5HP (tiêu chuẩn)</v>
      </c>
      <c r="C760" s="12" t="str">
        <f>'12-2017'!C786</f>
        <v>đ/bộ</v>
      </c>
      <c r="D760" s="13">
        <f>'12-2017'!O786</f>
        <v>5500000</v>
      </c>
      <c r="E760" s="13">
        <f>'12-2017'!P786</f>
        <v>5500000</v>
      </c>
      <c r="F760" s="130">
        <f t="shared" ref="F760:F772" si="31">E760-D760</f>
        <v>0</v>
      </c>
      <c r="H760" s="74">
        <f>'12-2017'!H786</f>
        <v>0</v>
      </c>
      <c r="I760" s="74">
        <f>'12-2017'!I786</f>
        <v>0</v>
      </c>
      <c r="J760" s="74">
        <f>'12-2017'!J786</f>
        <v>0</v>
      </c>
    </row>
    <row r="761" spans="1:10" s="58" customFormat="1" ht="17.25" hidden="1">
      <c r="A761" s="10"/>
      <c r="B761" s="11" t="str">
        <f>'12-2017'!B787</f>
        <v>Công suất: 2HP (tiêu chuẩn)</v>
      </c>
      <c r="C761" s="12" t="str">
        <f>'12-2017'!C787</f>
        <v>đ/bộ</v>
      </c>
      <c r="D761" s="13">
        <f>'12-2017'!O787</f>
        <v>8363636.3636363633</v>
      </c>
      <c r="E761" s="13">
        <f>'12-2017'!P787</f>
        <v>8363636.3636363633</v>
      </c>
      <c r="F761" s="130">
        <f t="shared" si="31"/>
        <v>0</v>
      </c>
      <c r="H761" s="74">
        <f>'12-2017'!H787</f>
        <v>0</v>
      </c>
      <c r="I761" s="74">
        <f>'12-2017'!I787</f>
        <v>0</v>
      </c>
      <c r="J761" s="74">
        <f>'12-2017'!J787</f>
        <v>0</v>
      </c>
    </row>
    <row r="762" spans="1:10" s="58" customFormat="1" ht="17.25" hidden="1">
      <c r="A762" s="10"/>
      <c r="B762" s="11" t="str">
        <f>'12-2017'!B788</f>
        <v xml:space="preserve"> - Máy lạnh hiệu REETECH, xuất xứ Việt Nam </v>
      </c>
      <c r="C762" s="12">
        <f>'12-2017'!C788</f>
        <v>0</v>
      </c>
      <c r="D762" s="13">
        <f>'12-2017'!O788</f>
        <v>0</v>
      </c>
      <c r="E762" s="13">
        <f>'12-2017'!P788</f>
        <v>0</v>
      </c>
      <c r="F762" s="130">
        <f t="shared" si="31"/>
        <v>0</v>
      </c>
      <c r="H762" s="74">
        <f>'12-2017'!H788</f>
        <v>0</v>
      </c>
      <c r="I762" s="74">
        <f>'12-2017'!I788</f>
        <v>0</v>
      </c>
      <c r="J762" s="74">
        <f>'12-2017'!J788</f>
        <v>0</v>
      </c>
    </row>
    <row r="763" spans="1:10" s="58" customFormat="1" ht="17.25" hidden="1">
      <c r="A763" s="10"/>
      <c r="B763" s="11" t="str">
        <f>'12-2017'!B789</f>
        <v>Công suất: 1HP (tiêu chuẩn)</v>
      </c>
      <c r="C763" s="12" t="str">
        <f>'12-2017'!C789</f>
        <v>đ/bộ</v>
      </c>
      <c r="D763" s="13">
        <f>'12-2017'!O789</f>
        <v>5000000</v>
      </c>
      <c r="E763" s="13">
        <f>'12-2017'!P789</f>
        <v>5000000</v>
      </c>
      <c r="F763" s="130">
        <f t="shared" si="31"/>
        <v>0</v>
      </c>
      <c r="H763" s="74">
        <f>'12-2017'!H789</f>
        <v>0</v>
      </c>
      <c r="I763" s="74">
        <f>'12-2017'!I789</f>
        <v>0</v>
      </c>
      <c r="J763" s="74">
        <f>'12-2017'!J789</f>
        <v>0</v>
      </c>
    </row>
    <row r="764" spans="1:10" s="58" customFormat="1" ht="17.25" hidden="1">
      <c r="A764" s="10"/>
      <c r="B764" s="11" t="str">
        <f>'12-2017'!B790</f>
        <v>Công suất: 1,5HP (tiêu chuẩn)</v>
      </c>
      <c r="C764" s="12" t="str">
        <f>'12-2017'!C790</f>
        <v>đ/bộ</v>
      </c>
      <c r="D764" s="13">
        <f>'12-2017'!O790</f>
        <v>6045454.5454545449</v>
      </c>
      <c r="E764" s="13">
        <f>'12-2017'!P790</f>
        <v>6045454.5454545449</v>
      </c>
      <c r="F764" s="130">
        <f t="shared" si="31"/>
        <v>0</v>
      </c>
      <c r="H764" s="74">
        <f>'12-2017'!H790</f>
        <v>0</v>
      </c>
      <c r="I764" s="74">
        <f>'12-2017'!I790</f>
        <v>0</v>
      </c>
      <c r="J764" s="74">
        <f>'12-2017'!J790</f>
        <v>0</v>
      </c>
    </row>
    <row r="765" spans="1:10" s="58" customFormat="1" ht="17.25" hidden="1">
      <c r="A765" s="10"/>
      <c r="B765" s="11" t="str">
        <f>'12-2017'!B791</f>
        <v>Công suất: 2HP (tiêu chuẩn)</v>
      </c>
      <c r="C765" s="12" t="str">
        <f>'12-2017'!C791</f>
        <v>đ/bộ</v>
      </c>
      <c r="D765" s="13">
        <f>'12-2017'!O791</f>
        <v>8454545.4545454532</v>
      </c>
      <c r="E765" s="13">
        <f>'12-2017'!P791</f>
        <v>8454545.4545454532</v>
      </c>
      <c r="F765" s="130">
        <f t="shared" si="31"/>
        <v>0</v>
      </c>
      <c r="H765" s="74">
        <f>'12-2017'!H791</f>
        <v>0</v>
      </c>
      <c r="I765" s="74">
        <f>'12-2017'!I791</f>
        <v>0</v>
      </c>
      <c r="J765" s="74">
        <f>'12-2017'!J791</f>
        <v>0</v>
      </c>
    </row>
    <row r="766" spans="1:10" s="58" customFormat="1" ht="17.25" hidden="1">
      <c r="A766" s="10"/>
      <c r="B766" s="11" t="str">
        <f>'12-2017'!B792</f>
        <v>Công suất: 1HP (INVERTER)</v>
      </c>
      <c r="C766" s="12" t="str">
        <f>'12-2017'!C792</f>
        <v>đ/bộ</v>
      </c>
      <c r="D766" s="13">
        <f>'12-2017'!O792</f>
        <v>6545454.5454545449</v>
      </c>
      <c r="E766" s="13">
        <f>'12-2017'!P792</f>
        <v>6545454.5454545449</v>
      </c>
      <c r="F766" s="130">
        <f t="shared" si="31"/>
        <v>0</v>
      </c>
      <c r="H766" s="74">
        <f>'12-2017'!H792</f>
        <v>0</v>
      </c>
      <c r="I766" s="74">
        <f>'12-2017'!I792</f>
        <v>0</v>
      </c>
      <c r="J766" s="74">
        <f>'12-2017'!J792</f>
        <v>0</v>
      </c>
    </row>
    <row r="767" spans="1:10" s="58" customFormat="1" ht="17.25" hidden="1">
      <c r="A767" s="10"/>
      <c r="B767" s="11" t="str">
        <f>'12-2017'!B793</f>
        <v>Công suất: 1,5HP (INVERTER)</v>
      </c>
      <c r="C767" s="12" t="str">
        <f>'12-2017'!C793</f>
        <v>đ/bộ</v>
      </c>
      <c r="D767" s="13">
        <f>'12-2017'!O793</f>
        <v>7545454.5454545449</v>
      </c>
      <c r="E767" s="13">
        <f>'12-2017'!P793</f>
        <v>7545454.5454545449</v>
      </c>
      <c r="F767" s="130">
        <f t="shared" si="31"/>
        <v>0</v>
      </c>
      <c r="H767" s="74">
        <f>'12-2017'!H793</f>
        <v>0</v>
      </c>
      <c r="I767" s="74">
        <f>'12-2017'!I793</f>
        <v>0</v>
      </c>
      <c r="J767" s="74">
        <f>'12-2017'!J793</f>
        <v>0</v>
      </c>
    </row>
    <row r="768" spans="1:10" s="58" customFormat="1" ht="17.25" hidden="1">
      <c r="A768" s="10"/>
      <c r="B768" s="11" t="str">
        <f>'12-2017'!B794</f>
        <v>Công suất: 2HP (INVERTER)</v>
      </c>
      <c r="C768" s="12" t="str">
        <f>'12-2017'!C794</f>
        <v>đ/bộ</v>
      </c>
      <c r="D768" s="13">
        <f>'12-2017'!O794</f>
        <v>11545454.545454545</v>
      </c>
      <c r="E768" s="13">
        <f>'12-2017'!P794</f>
        <v>11545454.545454545</v>
      </c>
      <c r="F768" s="130">
        <f t="shared" si="31"/>
        <v>0</v>
      </c>
      <c r="H768" s="74">
        <f>'12-2017'!H794</f>
        <v>0</v>
      </c>
      <c r="I768" s="74">
        <f>'12-2017'!I794</f>
        <v>0</v>
      </c>
      <c r="J768" s="74">
        <f>'12-2017'!J794</f>
        <v>0</v>
      </c>
    </row>
    <row r="769" spans="1:10" s="58" customFormat="1" ht="17.25" hidden="1">
      <c r="A769" s="10"/>
      <c r="B769" s="11" t="str">
        <f>'12-2017'!B795</f>
        <v xml:space="preserve"> - Máy điều hòa không khí hiệu DAIKIN</v>
      </c>
      <c r="C769" s="12">
        <f>'12-2017'!C795</f>
        <v>0</v>
      </c>
      <c r="D769" s="13">
        <f>'12-2017'!O795</f>
        <v>0</v>
      </c>
      <c r="E769" s="13">
        <f>'12-2017'!P795</f>
        <v>0</v>
      </c>
      <c r="F769" s="130">
        <f t="shared" si="31"/>
        <v>0</v>
      </c>
      <c r="H769" s="74">
        <f>'12-2017'!H795</f>
        <v>0</v>
      </c>
      <c r="I769" s="74">
        <f>'12-2017'!I795</f>
        <v>0</v>
      </c>
      <c r="J769" s="74">
        <f>'12-2017'!J795</f>
        <v>0</v>
      </c>
    </row>
    <row r="770" spans="1:10" s="58" customFormat="1" ht="17.25" hidden="1">
      <c r="A770" s="10"/>
      <c r="B770" s="11" t="str">
        <f>'12-2017'!B796</f>
        <v>Máy ĐHKK dàn lạnh treo tường, R410a- không INVERTER, xuất xứ Thái Lan</v>
      </c>
      <c r="C770" s="12">
        <f>'12-2017'!C796</f>
        <v>0</v>
      </c>
      <c r="D770" s="13">
        <f>'12-2017'!O796</f>
        <v>0</v>
      </c>
      <c r="E770" s="13">
        <f>'12-2017'!P796</f>
        <v>0</v>
      </c>
      <c r="F770" s="130">
        <f t="shared" si="31"/>
        <v>0</v>
      </c>
      <c r="H770" s="74">
        <f>'12-2017'!H796</f>
        <v>0</v>
      </c>
      <c r="I770" s="74">
        <f>'12-2017'!I796</f>
        <v>0</v>
      </c>
      <c r="J770" s="74">
        <f>'12-2017'!J796</f>
        <v>0</v>
      </c>
    </row>
    <row r="771" spans="1:10" s="58" customFormat="1" ht="17.25" hidden="1">
      <c r="A771" s="10"/>
      <c r="B771" s="11" t="str">
        <f>'12-2017'!B797</f>
        <v>Công suất: 1HP</v>
      </c>
      <c r="C771" s="12" t="str">
        <f>'12-2017'!C797</f>
        <v>đ/bộ</v>
      </c>
      <c r="D771" s="13">
        <f>'12-2017'!O797</f>
        <v>6818181.8181818174</v>
      </c>
      <c r="E771" s="13">
        <f>'12-2017'!P797</f>
        <v>6818181.8181818174</v>
      </c>
      <c r="F771" s="130">
        <f t="shared" si="31"/>
        <v>0</v>
      </c>
      <c r="H771" s="74">
        <f>'12-2017'!H797</f>
        <v>0</v>
      </c>
      <c r="I771" s="74">
        <f>'12-2017'!I797</f>
        <v>0</v>
      </c>
      <c r="J771" s="74">
        <f>'12-2017'!J797</f>
        <v>0</v>
      </c>
    </row>
    <row r="772" spans="1:10" s="58" customFormat="1" ht="17.25" hidden="1">
      <c r="A772" s="10"/>
      <c r="B772" s="11" t="str">
        <f>'12-2017'!B798</f>
        <v>Công suất: 1,5HP</v>
      </c>
      <c r="C772" s="12" t="str">
        <f>'12-2017'!C798</f>
        <v>đ/bộ</v>
      </c>
      <c r="D772" s="13">
        <f>'12-2017'!O798</f>
        <v>8818181.8181818184</v>
      </c>
      <c r="E772" s="13">
        <f>'12-2017'!P798</f>
        <v>8818181.8181818184</v>
      </c>
      <c r="F772" s="130">
        <f t="shared" si="31"/>
        <v>0</v>
      </c>
      <c r="H772" s="74">
        <f>'12-2017'!H798</f>
        <v>0</v>
      </c>
      <c r="I772" s="74">
        <f>'12-2017'!I798</f>
        <v>0</v>
      </c>
      <c r="J772" s="74">
        <f>'12-2017'!J798</f>
        <v>0</v>
      </c>
    </row>
    <row r="773" spans="1:10" s="58" customFormat="1" ht="17.25" hidden="1">
      <c r="A773" s="10"/>
      <c r="B773" s="11" t="str">
        <f>'12-2017'!B799</f>
        <v>Công suất: 2HP</v>
      </c>
      <c r="C773" s="12" t="str">
        <f>'12-2017'!C799</f>
        <v>đ/bộ</v>
      </c>
      <c r="D773" s="13">
        <f>'12-2017'!O799</f>
        <v>13545454.545454545</v>
      </c>
      <c r="E773" s="13">
        <f>'12-2017'!P799</f>
        <v>13545454.545454545</v>
      </c>
      <c r="F773" s="130">
        <f>E773-D773</f>
        <v>0</v>
      </c>
      <c r="H773" s="74">
        <f>'12-2017'!H799</f>
        <v>0</v>
      </c>
      <c r="I773" s="74">
        <f>'12-2017'!I799</f>
        <v>0</v>
      </c>
      <c r="J773" s="74">
        <f>'12-2017'!J799</f>
        <v>0</v>
      </c>
    </row>
    <row r="774" spans="1:10" s="58" customFormat="1" ht="17.25" hidden="1">
      <c r="A774" s="10"/>
      <c r="B774" s="11" t="str">
        <f>'12-2017'!B800</f>
        <v>Công suất: 2,5HP</v>
      </c>
      <c r="C774" s="12" t="str">
        <f>'12-2017'!C800</f>
        <v>đ/bộ</v>
      </c>
      <c r="D774" s="13">
        <f>'12-2017'!O800</f>
        <v>18636363.636363637</v>
      </c>
      <c r="E774" s="13">
        <f>'12-2017'!P800</f>
        <v>18636363.636363637</v>
      </c>
      <c r="F774" s="130">
        <f>E774-D774</f>
        <v>0</v>
      </c>
      <c r="H774" s="74">
        <f>'12-2017'!H800</f>
        <v>0</v>
      </c>
      <c r="I774" s="74">
        <f>'12-2017'!I800</f>
        <v>0</v>
      </c>
      <c r="J774" s="74">
        <f>'12-2017'!J800</f>
        <v>0</v>
      </c>
    </row>
    <row r="775" spans="1:10" s="58" customFormat="1" ht="17.25" hidden="1">
      <c r="A775" s="10"/>
      <c r="B775" s="11" t="str">
        <f>'12-2017'!B801</f>
        <v>Máy ĐHKK dàn lạnh treo tường, R410a - INVERTER, xuất xứ Thái Lan</v>
      </c>
      <c r="C775" s="12">
        <f>'12-2017'!C801</f>
        <v>0</v>
      </c>
      <c r="D775" s="13">
        <f>'12-2017'!O801</f>
        <v>0</v>
      </c>
      <c r="E775" s="13">
        <f>'12-2017'!P801</f>
        <v>0</v>
      </c>
      <c r="F775" s="130">
        <f>E775-D775</f>
        <v>0</v>
      </c>
      <c r="H775" s="74">
        <f>'12-2017'!H801</f>
        <v>0</v>
      </c>
      <c r="I775" s="74">
        <f>'12-2017'!I801</f>
        <v>0</v>
      </c>
      <c r="J775" s="74">
        <f>'12-2017'!J801</f>
        <v>0</v>
      </c>
    </row>
    <row r="776" spans="1:10" s="58" customFormat="1" ht="17.25" hidden="1">
      <c r="A776" s="10"/>
      <c r="B776" s="11" t="str">
        <f>'12-2017'!B802</f>
        <v xml:space="preserve">Công suất: 1HP (loại cao cấp) </v>
      </c>
      <c r="C776" s="12" t="str">
        <f>'12-2017'!C802</f>
        <v>đ/bộ</v>
      </c>
      <c r="D776" s="13">
        <f>'12-2017'!O802</f>
        <v>10272727.272727272</v>
      </c>
      <c r="E776" s="13">
        <f>'12-2017'!P802</f>
        <v>10272727.272727272</v>
      </c>
      <c r="F776" s="130">
        <f>E776-D776</f>
        <v>0</v>
      </c>
      <c r="H776" s="74">
        <f>'12-2017'!H802</f>
        <v>0</v>
      </c>
      <c r="I776" s="74">
        <f>'12-2017'!I802</f>
        <v>0</v>
      </c>
      <c r="J776" s="74">
        <f>'12-2017'!J802</f>
        <v>0</v>
      </c>
    </row>
    <row r="777" spans="1:10" s="58" customFormat="1" ht="17.25" hidden="1">
      <c r="A777" s="10"/>
      <c r="B777" s="11" t="str">
        <f>'12-2017'!B803</f>
        <v>Công suất: 1,5HP (loại cao cấp)</v>
      </c>
      <c r="C777" s="12" t="str">
        <f>'12-2017'!C803</f>
        <v>đ/bộ</v>
      </c>
      <c r="D777" s="13">
        <f>'12-2017'!O803</f>
        <v>12045454.545454545</v>
      </c>
      <c r="E777" s="13">
        <f>'12-2017'!P803</f>
        <v>12045454.545454545</v>
      </c>
      <c r="F777" s="130">
        <f t="shared" ref="F777:F793" si="32">E777-D777</f>
        <v>0</v>
      </c>
      <c r="H777" s="74">
        <f>'12-2017'!H803</f>
        <v>0</v>
      </c>
      <c r="I777" s="74">
        <f>'12-2017'!I803</f>
        <v>0</v>
      </c>
      <c r="J777" s="74">
        <f>'12-2017'!J803</f>
        <v>0</v>
      </c>
    </row>
    <row r="778" spans="1:10" s="58" customFormat="1" ht="17.25" hidden="1">
      <c r="A778" s="10"/>
      <c r="B778" s="11" t="str">
        <f>'12-2017'!B804</f>
        <v>Công suất: 2HP (loại cao cấp)</v>
      </c>
      <c r="C778" s="12" t="str">
        <f>'12-2017'!C804</f>
        <v>đ/bộ</v>
      </c>
      <c r="D778" s="13">
        <f>'12-2017'!O804</f>
        <v>18727272.727272727</v>
      </c>
      <c r="E778" s="13">
        <f>'12-2017'!P804</f>
        <v>18727272.727272727</v>
      </c>
      <c r="F778" s="130">
        <f t="shared" si="32"/>
        <v>0</v>
      </c>
      <c r="H778" s="74">
        <f>'12-2017'!H804</f>
        <v>0</v>
      </c>
      <c r="I778" s="74">
        <f>'12-2017'!I804</f>
        <v>0</v>
      </c>
      <c r="J778" s="74">
        <f>'12-2017'!J804</f>
        <v>0</v>
      </c>
    </row>
    <row r="779" spans="1:10" s="58" customFormat="1" ht="17.25" hidden="1">
      <c r="A779" s="10"/>
      <c r="B779" s="11" t="str">
        <f>'12-2017'!B805</f>
        <v>Công suất: 2,5HP (loại cao cấp)</v>
      </c>
      <c r="C779" s="12" t="str">
        <f>'12-2017'!C805</f>
        <v>đ/bộ</v>
      </c>
      <c r="D779" s="13">
        <f>'12-2017'!O805</f>
        <v>26136363.636363633</v>
      </c>
      <c r="E779" s="13">
        <f>'12-2017'!P805</f>
        <v>26136363.636363633</v>
      </c>
      <c r="F779" s="130">
        <f t="shared" si="32"/>
        <v>0</v>
      </c>
      <c r="H779" s="74">
        <f>'12-2017'!H805</f>
        <v>0</v>
      </c>
      <c r="I779" s="74">
        <f>'12-2017'!I805</f>
        <v>0</v>
      </c>
      <c r="J779" s="74">
        <f>'12-2017'!J805</f>
        <v>0</v>
      </c>
    </row>
    <row r="780" spans="1:10" s="58" customFormat="1" ht="17.25" hidden="1">
      <c r="A780" s="10"/>
      <c r="B780" s="11" t="str">
        <f>'12-2017'!B806</f>
        <v>Công suất: 3HP (loại cao cấp)</v>
      </c>
      <c r="C780" s="12" t="str">
        <f>'12-2017'!C806</f>
        <v>đ/bộ</v>
      </c>
      <c r="D780" s="13">
        <f>'12-2017'!O806</f>
        <v>29454545.454545453</v>
      </c>
      <c r="E780" s="13">
        <f>'12-2017'!P806</f>
        <v>29454545.454545453</v>
      </c>
      <c r="F780" s="130">
        <f t="shared" si="32"/>
        <v>0</v>
      </c>
      <c r="H780" s="74">
        <f>'12-2017'!H806</f>
        <v>0</v>
      </c>
      <c r="I780" s="74">
        <f>'12-2017'!I806</f>
        <v>0</v>
      </c>
      <c r="J780" s="74">
        <f>'12-2017'!J806</f>
        <v>0</v>
      </c>
    </row>
    <row r="781" spans="1:10" s="58" customFormat="1" ht="36.75" hidden="1" customHeight="1">
      <c r="A781" s="10"/>
      <c r="B781" s="11" t="str">
        <f>'12-2017'!B807</f>
        <v>Máy ĐHKK dàn lạnh tủ đứng thổit trực tiếp, R410a - không INVERTER, xuất xứ Malaysia</v>
      </c>
      <c r="C781" s="12">
        <f>'12-2017'!C807</f>
        <v>0</v>
      </c>
      <c r="D781" s="13">
        <f>'12-2017'!O807</f>
        <v>0</v>
      </c>
      <c r="E781" s="13">
        <f>'12-2017'!P807</f>
        <v>0</v>
      </c>
      <c r="F781" s="130">
        <f t="shared" si="32"/>
        <v>0</v>
      </c>
      <c r="H781" s="74">
        <f>'12-2017'!H807</f>
        <v>0</v>
      </c>
      <c r="I781" s="74">
        <f>'12-2017'!I807</f>
        <v>0</v>
      </c>
      <c r="J781" s="74">
        <f>'12-2017'!J807</f>
        <v>0</v>
      </c>
    </row>
    <row r="782" spans="1:10" s="58" customFormat="1" ht="17.25" hidden="1">
      <c r="A782" s="10"/>
      <c r="B782" s="11" t="str">
        <f>'12-2017'!B808</f>
        <v>Công suất: 3HP , điều khiển không dây</v>
      </c>
      <c r="C782" s="12" t="str">
        <f>'12-2017'!C808</f>
        <v>đ/bộ</v>
      </c>
      <c r="D782" s="13">
        <f>'12-2017'!O808</f>
        <v>26727272.727272727</v>
      </c>
      <c r="E782" s="13">
        <f>'12-2017'!P808</f>
        <v>26727272.727272727</v>
      </c>
      <c r="F782" s="130">
        <f t="shared" si="32"/>
        <v>0</v>
      </c>
      <c r="H782" s="74">
        <f>'12-2017'!H808</f>
        <v>0</v>
      </c>
      <c r="I782" s="74">
        <f>'12-2017'!I808</f>
        <v>0</v>
      </c>
      <c r="J782" s="74">
        <f>'12-2017'!J808</f>
        <v>0</v>
      </c>
    </row>
    <row r="783" spans="1:10" s="58" customFormat="1" ht="17.25" hidden="1">
      <c r="A783" s="10"/>
      <c r="B783" s="11" t="str">
        <f>'12-2017'!B809</f>
        <v>Công suất: 4,5HP, điều khiển không dây</v>
      </c>
      <c r="C783" s="12" t="str">
        <f>'12-2017'!C809</f>
        <v>đ/bộ</v>
      </c>
      <c r="D783" s="13">
        <f>'12-2017'!O809</f>
        <v>32090909.09090909</v>
      </c>
      <c r="E783" s="13">
        <f>'12-2017'!P809</f>
        <v>32090909.09090909</v>
      </c>
      <c r="F783" s="130">
        <f t="shared" si="32"/>
        <v>0</v>
      </c>
      <c r="H783" s="74">
        <f>'12-2017'!H809</f>
        <v>0</v>
      </c>
      <c r="I783" s="74">
        <f>'12-2017'!I809</f>
        <v>0</v>
      </c>
      <c r="J783" s="74">
        <f>'12-2017'!J809</f>
        <v>0</v>
      </c>
    </row>
    <row r="784" spans="1:10" s="58" customFormat="1" ht="17.25" hidden="1">
      <c r="A784" s="10"/>
      <c r="B784" s="11" t="str">
        <f>'12-2017'!B810</f>
        <v>Công suất: 5HP, điều khiển không dây</v>
      </c>
      <c r="C784" s="12" t="str">
        <f>'12-2017'!C810</f>
        <v>đ/bộ</v>
      </c>
      <c r="D784" s="13">
        <f>'12-2017'!O810</f>
        <v>35500000</v>
      </c>
      <c r="E784" s="13">
        <f>'12-2017'!P810</f>
        <v>35500000</v>
      </c>
      <c r="F784" s="130">
        <f t="shared" si="32"/>
        <v>0</v>
      </c>
      <c r="H784" s="74">
        <f>'12-2017'!H810</f>
        <v>0</v>
      </c>
      <c r="I784" s="74">
        <f>'12-2017'!I810</f>
        <v>0</v>
      </c>
      <c r="J784" s="74">
        <f>'12-2017'!J810</f>
        <v>0</v>
      </c>
    </row>
    <row r="785" spans="1:10" s="58" customFormat="1" ht="17.25" hidden="1">
      <c r="A785" s="10"/>
      <c r="B785" s="11" t="str">
        <f>'12-2017'!B811</f>
        <v>Công suất: 6HP, điều khiển không dây</v>
      </c>
      <c r="C785" s="12" t="str">
        <f>'12-2017'!C811</f>
        <v>đ/bộ</v>
      </c>
      <c r="D785" s="13">
        <f>'12-2017'!O811</f>
        <v>44181818.18181818</v>
      </c>
      <c r="E785" s="13">
        <f>'12-2017'!P811</f>
        <v>44181818.18181818</v>
      </c>
      <c r="F785" s="130">
        <f t="shared" si="32"/>
        <v>0</v>
      </c>
      <c r="H785" s="74">
        <f>'12-2017'!H811</f>
        <v>0</v>
      </c>
      <c r="I785" s="74">
        <f>'12-2017'!I811</f>
        <v>0</v>
      </c>
      <c r="J785" s="74">
        <f>'12-2017'!J811</f>
        <v>0</v>
      </c>
    </row>
    <row r="786" spans="1:10" s="58" customFormat="1" ht="17.25" hidden="1">
      <c r="A786" s="10"/>
      <c r="B786" s="11" t="str">
        <f>'12-2017'!B812</f>
        <v>Máy ĐHKK dàn lạnh áp trần, R410a - không INVERTER, xuất xứ Thái Lan</v>
      </c>
      <c r="C786" s="12">
        <f>'12-2017'!C812</f>
        <v>0</v>
      </c>
      <c r="D786" s="13">
        <f>'12-2017'!O812</f>
        <v>0</v>
      </c>
      <c r="E786" s="13">
        <f>'12-2017'!P812</f>
        <v>0</v>
      </c>
      <c r="F786" s="130">
        <f t="shared" si="32"/>
        <v>0</v>
      </c>
      <c r="H786" s="74">
        <f>'12-2017'!H812</f>
        <v>0</v>
      </c>
      <c r="I786" s="74">
        <f>'12-2017'!I812</f>
        <v>0</v>
      </c>
      <c r="J786" s="74">
        <f>'12-2017'!J812</f>
        <v>0</v>
      </c>
    </row>
    <row r="787" spans="1:10" s="58" customFormat="1" ht="17.25" hidden="1">
      <c r="A787" s="10"/>
      <c r="B787" s="11" t="str">
        <f>'12-2017'!B813</f>
        <v>Công suất: 1,5HP, điều khiển có dây</v>
      </c>
      <c r="C787" s="12" t="str">
        <f>'12-2017'!C813</f>
        <v>đ/bộ</v>
      </c>
      <c r="D787" s="13">
        <f>'12-2017'!O813</f>
        <v>14181818.18181818</v>
      </c>
      <c r="E787" s="13">
        <f>'12-2017'!P813</f>
        <v>14181818.18181818</v>
      </c>
      <c r="F787" s="130">
        <f t="shared" si="32"/>
        <v>0</v>
      </c>
      <c r="H787" s="74">
        <f>'12-2017'!H813</f>
        <v>0</v>
      </c>
      <c r="I787" s="74">
        <f>'12-2017'!I813</f>
        <v>0</v>
      </c>
      <c r="J787" s="74">
        <f>'12-2017'!J813</f>
        <v>0</v>
      </c>
    </row>
    <row r="788" spans="1:10" s="58" customFormat="1" ht="17.25" hidden="1">
      <c r="A788" s="10"/>
      <c r="B788" s="11" t="str">
        <f>'12-2017'!B814</f>
        <v>Công suất: 2HP, điều khiển có dây</v>
      </c>
      <c r="C788" s="12" t="str">
        <f>'12-2017'!C814</f>
        <v>đ/bộ</v>
      </c>
      <c r="D788" s="13">
        <f>'12-2017'!O814</f>
        <v>17909090.909090906</v>
      </c>
      <c r="E788" s="13">
        <f>'12-2017'!P814</f>
        <v>17909090.909090906</v>
      </c>
      <c r="F788" s="130">
        <f t="shared" si="32"/>
        <v>0</v>
      </c>
      <c r="H788" s="74">
        <f>'12-2017'!H814</f>
        <v>0</v>
      </c>
      <c r="I788" s="74">
        <f>'12-2017'!I814</f>
        <v>0</v>
      </c>
      <c r="J788" s="74">
        <f>'12-2017'!J814</f>
        <v>0</v>
      </c>
    </row>
    <row r="789" spans="1:10" s="58" customFormat="1" ht="17.25" hidden="1">
      <c r="A789" s="10"/>
      <c r="B789" s="11" t="str">
        <f>'12-2017'!B815</f>
        <v>Công suất: 2,5HP, điều khiển có dây</v>
      </c>
      <c r="C789" s="12" t="str">
        <f>'12-2017'!C815</f>
        <v>đ/bộ</v>
      </c>
      <c r="D789" s="13">
        <f>'12-2017'!O815</f>
        <v>21727272.727272727</v>
      </c>
      <c r="E789" s="13">
        <f>'12-2017'!P815</f>
        <v>21727272.727272727</v>
      </c>
      <c r="F789" s="130">
        <f t="shared" si="32"/>
        <v>0</v>
      </c>
      <c r="H789" s="74">
        <f>'12-2017'!H815</f>
        <v>0</v>
      </c>
      <c r="I789" s="74">
        <f>'12-2017'!I815</f>
        <v>0</v>
      </c>
      <c r="J789" s="74">
        <f>'12-2017'!J815</f>
        <v>0</v>
      </c>
    </row>
    <row r="790" spans="1:10" s="58" customFormat="1" ht="17.25" hidden="1">
      <c r="A790" s="10"/>
      <c r="B790" s="11" t="str">
        <f>'12-2017'!B816</f>
        <v>Công suất: 3HP, điều khiển có dây</v>
      </c>
      <c r="C790" s="12" t="str">
        <f>'12-2017'!C816</f>
        <v>đ/bộ</v>
      </c>
      <c r="D790" s="13">
        <f>'12-2017'!O816</f>
        <v>24590909.09090909</v>
      </c>
      <c r="E790" s="13">
        <f>'12-2017'!P816</f>
        <v>24590909.09090909</v>
      </c>
      <c r="F790" s="130">
        <f t="shared" si="32"/>
        <v>0</v>
      </c>
      <c r="H790" s="74">
        <f>'12-2017'!H816</f>
        <v>0</v>
      </c>
      <c r="I790" s="74">
        <f>'12-2017'!I816</f>
        <v>0</v>
      </c>
      <c r="J790" s="74">
        <f>'12-2017'!J816</f>
        <v>0</v>
      </c>
    </row>
    <row r="791" spans="1:10" s="58" customFormat="1" ht="17.25" hidden="1">
      <c r="A791" s="10"/>
      <c r="B791" s="11" t="str">
        <f>'12-2017'!B817</f>
        <v>Công suất: 3,5HP, điều khiển có dây</v>
      </c>
      <c r="C791" s="12" t="str">
        <f>'12-2017'!C817</f>
        <v>đ/bộ</v>
      </c>
      <c r="D791" s="13">
        <f>'12-2017'!O817</f>
        <v>24727272.727272727</v>
      </c>
      <c r="E791" s="13">
        <f>'12-2017'!P817</f>
        <v>24727272.727272727</v>
      </c>
      <c r="F791" s="130">
        <f t="shared" si="32"/>
        <v>0</v>
      </c>
      <c r="H791" s="74">
        <f>'12-2017'!H817</f>
        <v>0</v>
      </c>
      <c r="I791" s="74">
        <f>'12-2017'!I817</f>
        <v>0</v>
      </c>
      <c r="J791" s="74">
        <f>'12-2017'!J817</f>
        <v>0</v>
      </c>
    </row>
    <row r="792" spans="1:10" s="58" customFormat="1" ht="17.25" hidden="1">
      <c r="A792" s="10"/>
      <c r="B792" s="11" t="str">
        <f>'12-2017'!B818</f>
        <v>Công suất: 4HP, điều khiển có dây</v>
      </c>
      <c r="C792" s="12" t="str">
        <f>'12-2017'!C818</f>
        <v>đ/bộ</v>
      </c>
      <c r="D792" s="13">
        <f>'12-2017'!O818</f>
        <v>28227272.727272727</v>
      </c>
      <c r="E792" s="13">
        <f>'12-2017'!P818</f>
        <v>28227272.727272727</v>
      </c>
      <c r="F792" s="130">
        <f t="shared" si="32"/>
        <v>0</v>
      </c>
      <c r="H792" s="74">
        <f>'12-2017'!H818</f>
        <v>0</v>
      </c>
      <c r="I792" s="74">
        <f>'12-2017'!I818</f>
        <v>0</v>
      </c>
      <c r="J792" s="74">
        <f>'12-2017'!J818</f>
        <v>0</v>
      </c>
    </row>
    <row r="793" spans="1:10" s="58" customFormat="1" ht="17.25" hidden="1">
      <c r="A793" s="10"/>
      <c r="B793" s="11" t="str">
        <f>'12-2017'!B819</f>
        <v>Công suất: 4,5HP, điều khiển có dây</v>
      </c>
      <c r="C793" s="12" t="str">
        <f>'12-2017'!C819</f>
        <v>đ/bộ</v>
      </c>
      <c r="D793" s="13">
        <f>'12-2017'!O819</f>
        <v>30999999.999999996</v>
      </c>
      <c r="E793" s="13">
        <f>'12-2017'!P819</f>
        <v>30999999.999999996</v>
      </c>
      <c r="F793" s="130">
        <f t="shared" si="32"/>
        <v>0</v>
      </c>
      <c r="H793" s="74">
        <f>'12-2017'!H819</f>
        <v>0</v>
      </c>
      <c r="I793" s="74">
        <f>'12-2017'!I819</f>
        <v>0</v>
      </c>
      <c r="J793" s="74">
        <f>'12-2017'!J819</f>
        <v>0</v>
      </c>
    </row>
    <row r="794" spans="1:10" s="58" customFormat="1" ht="17.25" hidden="1">
      <c r="A794" s="10"/>
      <c r="B794" s="11" t="str">
        <f>'12-2017'!B820</f>
        <v>Công suất: 5,5HP, điều khiển có dây</v>
      </c>
      <c r="C794" s="12" t="str">
        <f>'12-2017'!C820</f>
        <v>đ/bộ</v>
      </c>
      <c r="D794" s="13">
        <f>'12-2017'!O820</f>
        <v>33727272.727272727</v>
      </c>
      <c r="E794" s="13">
        <f>'12-2017'!P820</f>
        <v>33727272.727272727</v>
      </c>
      <c r="F794" s="130">
        <f>E794-D794</f>
        <v>0</v>
      </c>
      <c r="H794" s="74">
        <f>'12-2017'!H820</f>
        <v>0</v>
      </c>
      <c r="I794" s="74">
        <f>'12-2017'!I820</f>
        <v>0</v>
      </c>
      <c r="J794" s="74">
        <f>'12-2017'!J820</f>
        <v>0</v>
      </c>
    </row>
    <row r="795" spans="1:10" s="73" customFormat="1" ht="17.25">
      <c r="A795" s="17" t="str">
        <f>'12-2017'!A821</f>
        <v>XVI</v>
      </c>
      <c r="B795" s="9" t="str">
        <f>'12-2017'!B821</f>
        <v>QUẠT ĐIỆN CÁC LOẠI :</v>
      </c>
      <c r="C795" s="8"/>
      <c r="D795" s="22"/>
      <c r="E795" s="22"/>
      <c r="F795" s="131"/>
      <c r="H795" s="74">
        <f>'12-2017'!H821</f>
        <v>0</v>
      </c>
      <c r="I795" s="74">
        <f>'12-2017'!I821</f>
        <v>0</v>
      </c>
      <c r="J795" s="74">
        <f>'12-2017'!J821</f>
        <v>0</v>
      </c>
    </row>
    <row r="796" spans="1:10" s="73" customFormat="1" ht="33" customHeight="1">
      <c r="A796" s="17"/>
      <c r="B796" s="237" t="str">
        <f>'12-2017'!B822</f>
        <v>* Cty Cơ điện lạnh và Xây dựng An Phát (số 327/2 Hùng Vương, phường Mỹ Long, Tp. Long Xuyên, An Giang), giao hàng tại Cty. Theo bảng giá ngày 12/6/2016</v>
      </c>
      <c r="C796" s="238"/>
      <c r="D796" s="238"/>
      <c r="E796" s="238"/>
      <c r="F796" s="239"/>
      <c r="H796" s="74">
        <f>'12-2017'!H822</f>
        <v>0</v>
      </c>
      <c r="I796" s="74">
        <f>'12-2017'!I822</f>
        <v>0</v>
      </c>
      <c r="J796" s="74">
        <f>'12-2017'!J822</f>
        <v>0</v>
      </c>
    </row>
    <row r="797" spans="1:10" s="58" customFormat="1" ht="17.25" hidden="1">
      <c r="A797" s="10">
        <f>'12-2017'!A823</f>
        <v>1</v>
      </c>
      <c r="B797" s="11" t="str">
        <f>'12-2017'!B823</f>
        <v>Quạt trần Panasonic, model: F-60MZ2 (quạt trần hợp số nổi)</v>
      </c>
      <c r="C797" s="12" t="str">
        <f>'12-2017'!C823</f>
        <v>đ/bộ</v>
      </c>
      <c r="D797" s="13">
        <f>'12-2017'!O823</f>
        <v>1430000</v>
      </c>
      <c r="E797" s="13">
        <f>'12-2017'!P823</f>
        <v>1430000</v>
      </c>
      <c r="F797" s="130">
        <f>E797-D797</f>
        <v>0</v>
      </c>
      <c r="G797" s="73"/>
      <c r="H797" s="74">
        <f>'12-2017'!H823</f>
        <v>0</v>
      </c>
      <c r="I797" s="74">
        <f>'12-2017'!I823</f>
        <v>0</v>
      </c>
      <c r="J797" s="74">
        <f>'12-2017'!J823</f>
        <v>0</v>
      </c>
    </row>
    <row r="798" spans="1:10" s="58" customFormat="1" ht="17.25" hidden="1">
      <c r="A798" s="10">
        <f>'12-2017'!A824</f>
        <v>2</v>
      </c>
      <c r="B798" s="11" t="str">
        <f>'12-2017'!B824</f>
        <v>Quạt trần Hậu Phong, mã QC308 (không hộp số)</v>
      </c>
      <c r="C798" s="12" t="str">
        <f>'12-2017'!C824</f>
        <v>đ/bộ</v>
      </c>
      <c r="D798" s="13">
        <f>'12-2017'!O824</f>
        <v>680000</v>
      </c>
      <c r="E798" s="13">
        <f>'12-2017'!P824</f>
        <v>680000</v>
      </c>
      <c r="F798" s="130">
        <f>E798-D798</f>
        <v>0</v>
      </c>
      <c r="G798" s="73"/>
      <c r="H798" s="74">
        <f>'12-2017'!H824</f>
        <v>0</v>
      </c>
      <c r="I798" s="74">
        <f>'12-2017'!I824</f>
        <v>0</v>
      </c>
      <c r="J798" s="74">
        <f>'12-2017'!J824</f>
        <v>0</v>
      </c>
    </row>
    <row r="799" spans="1:10" s="58" customFormat="1" ht="17.25" hidden="1">
      <c r="A799" s="10">
        <f>'12-2017'!A825</f>
        <v>3</v>
      </c>
      <c r="B799" s="11" t="str">
        <f>'12-2017'!B825</f>
        <v>Quạt hút gắn tường Nedfon, model: APB 15-3-B (Lưu lượng 260m3/h)</v>
      </c>
      <c r="C799" s="12" t="str">
        <f>'12-2017'!C825</f>
        <v>đ/cái</v>
      </c>
      <c r="D799" s="13">
        <f>'12-2017'!O825</f>
        <v>917000</v>
      </c>
      <c r="E799" s="13">
        <f>'12-2017'!P825</f>
        <v>917000</v>
      </c>
      <c r="F799" s="130">
        <f>E799-D799</f>
        <v>0</v>
      </c>
      <c r="G799" s="73"/>
      <c r="H799" s="74">
        <f>'12-2017'!H825</f>
        <v>0</v>
      </c>
      <c r="I799" s="74">
        <f>'12-2017'!I825</f>
        <v>0</v>
      </c>
      <c r="J799" s="74">
        <f>'12-2017'!J825</f>
        <v>0</v>
      </c>
    </row>
    <row r="800" spans="1:10" s="58" customFormat="1" ht="17.25" hidden="1">
      <c r="A800" s="10">
        <f>'12-2017'!A826</f>
        <v>4</v>
      </c>
      <c r="B800" s="11" t="str">
        <f>'12-2017'!B826</f>
        <v>Quạt hút gắn trần Nedfon, model: BPT 10-13-H20 (Lưu lượng 120m3/h)</v>
      </c>
      <c r="C800" s="12" t="str">
        <f>'12-2017'!C826</f>
        <v>đ/cái</v>
      </c>
      <c r="D800" s="13">
        <f>'12-2017'!O826</f>
        <v>834000</v>
      </c>
      <c r="E800" s="13">
        <f>'12-2017'!P826</f>
        <v>834000</v>
      </c>
      <c r="F800" s="130">
        <f>E800-D800</f>
        <v>0</v>
      </c>
      <c r="G800" s="73"/>
      <c r="H800" s="74">
        <f>'12-2017'!H826</f>
        <v>0</v>
      </c>
      <c r="I800" s="74">
        <f>'12-2017'!I826</f>
        <v>0</v>
      </c>
      <c r="J800" s="74">
        <f>'12-2017'!J826</f>
        <v>0</v>
      </c>
    </row>
    <row r="801" spans="1:10" s="58" customFormat="1" ht="33" hidden="1">
      <c r="A801" s="10">
        <f>'12-2017'!A827</f>
        <v>5</v>
      </c>
      <c r="B801" s="11" t="str">
        <f>'12-2017'!B827</f>
        <v>Quạt hút gắn tường Panasonic loại 01 chiều không không màn che, model: FV-20AU9 (Lưu lượng 580m3/h)</v>
      </c>
      <c r="C801" s="12" t="str">
        <f>'12-2017'!C827</f>
        <v>đ/bộ</v>
      </c>
      <c r="D801" s="13">
        <f>'12-2017'!O827</f>
        <v>770000</v>
      </c>
      <c r="E801" s="13">
        <f>'12-2017'!P827</f>
        <v>770000</v>
      </c>
      <c r="F801" s="130">
        <f>E801-D801</f>
        <v>0</v>
      </c>
      <c r="G801" s="73"/>
      <c r="H801" s="74">
        <f>'12-2017'!H827</f>
        <v>0</v>
      </c>
      <c r="I801" s="74">
        <f>'12-2017'!I827</f>
        <v>0</v>
      </c>
      <c r="J801" s="74">
        <f>'12-2017'!J827</f>
        <v>0</v>
      </c>
    </row>
    <row r="802" spans="1:10" s="73" customFormat="1" ht="17.25">
      <c r="A802" s="17" t="str">
        <f>'12-2017'!A828</f>
        <v>XVII</v>
      </c>
      <c r="B802" s="237" t="str">
        <f>'12-2017'!B828</f>
        <v>SƠN TƯỜNG, BỘT TRÉT TƯỜNG CÁC LOẠI :</v>
      </c>
      <c r="C802" s="238"/>
      <c r="D802" s="238"/>
      <c r="E802" s="238"/>
      <c r="F802" s="239"/>
      <c r="H802" s="74">
        <f>'12-2017'!H828</f>
        <v>0</v>
      </c>
      <c r="I802" s="74">
        <f>'12-2017'!I828</f>
        <v>0</v>
      </c>
      <c r="J802" s="74">
        <f>'12-2017'!J828</f>
        <v>0</v>
      </c>
    </row>
    <row r="803" spans="1:10" s="73" customFormat="1" ht="17.25" hidden="1">
      <c r="A803" s="17"/>
      <c r="B803" s="237" t="str">
        <f>'12-2017'!B829</f>
        <v>* Sơn BOSS&amp;SPRING các loại: Cty TNHH TM Hiển Nga - Tổng đại lý phân phối tại An Giang. Theo bảng giá ngày 20/10/2016</v>
      </c>
      <c r="C803" s="238"/>
      <c r="D803" s="238"/>
      <c r="E803" s="238"/>
      <c r="F803" s="239"/>
      <c r="H803" s="74">
        <f>'12-2017'!H829</f>
        <v>0</v>
      </c>
      <c r="I803" s="74">
        <f>'12-2017'!I829</f>
        <v>0</v>
      </c>
      <c r="J803" s="74">
        <f>'12-2017'!J829</f>
        <v>0</v>
      </c>
    </row>
    <row r="804" spans="1:10" s="58" customFormat="1" ht="17.25" hidden="1">
      <c r="A804" s="10">
        <f>'12-2017'!A830</f>
        <v>0</v>
      </c>
      <c r="B804" s="11">
        <f>'12-2017'!B830</f>
        <v>0</v>
      </c>
      <c r="C804" s="12">
        <f>'12-2017'!C830</f>
        <v>0</v>
      </c>
      <c r="D804" s="13">
        <f>'12-2017'!O830</f>
        <v>0</v>
      </c>
      <c r="E804" s="13">
        <f>'12-2017'!P830</f>
        <v>0</v>
      </c>
      <c r="F804" s="130">
        <f t="shared" ref="F804:F821" si="33">E804-D804</f>
        <v>0</v>
      </c>
      <c r="G804" s="73"/>
      <c r="H804" s="74">
        <f>'12-2017'!H830</f>
        <v>0</v>
      </c>
      <c r="I804" s="74">
        <f>'12-2017'!I830</f>
        <v>0</v>
      </c>
      <c r="J804" s="74">
        <f>'12-2017'!J830</f>
        <v>0</v>
      </c>
    </row>
    <row r="805" spans="1:10" s="58" customFormat="1" ht="17.25" hidden="1">
      <c r="A805" s="10">
        <f>'12-2017'!A831</f>
        <v>0</v>
      </c>
      <c r="B805" s="11">
        <f>'12-2017'!B831</f>
        <v>0</v>
      </c>
      <c r="C805" s="12">
        <f>'12-2017'!C831</f>
        <v>0</v>
      </c>
      <c r="D805" s="13">
        <f>'12-2017'!O831</f>
        <v>0</v>
      </c>
      <c r="E805" s="13">
        <f>'12-2017'!P831</f>
        <v>0</v>
      </c>
      <c r="F805" s="130">
        <f t="shared" si="33"/>
        <v>0</v>
      </c>
      <c r="G805" s="73"/>
      <c r="H805" s="74">
        <f>'12-2017'!H831</f>
        <v>0</v>
      </c>
      <c r="I805" s="74">
        <f>'12-2017'!I831</f>
        <v>0</v>
      </c>
      <c r="J805" s="74">
        <f>'12-2017'!J831</f>
        <v>0</v>
      </c>
    </row>
    <row r="806" spans="1:10" s="58" customFormat="1" ht="17.25" hidden="1">
      <c r="A806" s="10">
        <f>'12-2017'!A832</f>
        <v>0</v>
      </c>
      <c r="B806" s="11">
        <f>'12-2017'!B832</f>
        <v>0</v>
      </c>
      <c r="C806" s="12">
        <f>'12-2017'!C832</f>
        <v>0</v>
      </c>
      <c r="D806" s="13">
        <f>'12-2017'!O832</f>
        <v>0</v>
      </c>
      <c r="E806" s="13">
        <f>'12-2017'!P832</f>
        <v>0</v>
      </c>
      <c r="F806" s="130">
        <f t="shared" si="33"/>
        <v>0</v>
      </c>
      <c r="G806" s="73"/>
      <c r="H806" s="74">
        <f>'12-2017'!H832</f>
        <v>0</v>
      </c>
      <c r="I806" s="74">
        <f>'12-2017'!I832</f>
        <v>0</v>
      </c>
      <c r="J806" s="74">
        <f>'12-2017'!J832</f>
        <v>0</v>
      </c>
    </row>
    <row r="807" spans="1:10" s="58" customFormat="1" ht="17.25" hidden="1">
      <c r="A807" s="10">
        <f>'12-2017'!A833</f>
        <v>0</v>
      </c>
      <c r="B807" s="11">
        <f>'12-2017'!B833</f>
        <v>0</v>
      </c>
      <c r="C807" s="12">
        <f>'12-2017'!C833</f>
        <v>0</v>
      </c>
      <c r="D807" s="13">
        <f>'12-2017'!O833</f>
        <v>0</v>
      </c>
      <c r="E807" s="13">
        <f>'12-2017'!P833</f>
        <v>0</v>
      </c>
      <c r="F807" s="130">
        <f t="shared" si="33"/>
        <v>0</v>
      </c>
      <c r="G807" s="73"/>
      <c r="H807" s="74">
        <f>'12-2017'!H833</f>
        <v>0</v>
      </c>
      <c r="I807" s="74">
        <f>'12-2017'!I833</f>
        <v>0</v>
      </c>
      <c r="J807" s="74">
        <f>'12-2017'!J833</f>
        <v>0</v>
      </c>
    </row>
    <row r="808" spans="1:10" s="58" customFormat="1" ht="17.25" hidden="1">
      <c r="A808" s="10">
        <f>'12-2017'!A834</f>
        <v>0</v>
      </c>
      <c r="B808" s="11">
        <f>'12-2017'!B834</f>
        <v>0</v>
      </c>
      <c r="C808" s="12">
        <f>'12-2017'!C834</f>
        <v>0</v>
      </c>
      <c r="D808" s="13">
        <f>'12-2017'!O834</f>
        <v>0</v>
      </c>
      <c r="E808" s="13">
        <f>'12-2017'!P834</f>
        <v>0</v>
      </c>
      <c r="F808" s="130">
        <f t="shared" si="33"/>
        <v>0</v>
      </c>
      <c r="G808" s="73"/>
      <c r="H808" s="74">
        <f>'12-2017'!H834</f>
        <v>0</v>
      </c>
      <c r="I808" s="74">
        <f>'12-2017'!I834</f>
        <v>0</v>
      </c>
      <c r="J808" s="74">
        <f>'12-2017'!J834</f>
        <v>0</v>
      </c>
    </row>
    <row r="809" spans="1:10" s="58" customFormat="1" ht="17.25" hidden="1">
      <c r="A809" s="10">
        <f>'12-2017'!A835</f>
        <v>0</v>
      </c>
      <c r="B809" s="11">
        <f>'12-2017'!B835</f>
        <v>0</v>
      </c>
      <c r="C809" s="12">
        <f>'12-2017'!C835</f>
        <v>0</v>
      </c>
      <c r="D809" s="13">
        <f>'12-2017'!O835</f>
        <v>0</v>
      </c>
      <c r="E809" s="13">
        <f>'12-2017'!P835</f>
        <v>0</v>
      </c>
      <c r="F809" s="130">
        <f t="shared" si="33"/>
        <v>0</v>
      </c>
      <c r="G809" s="73"/>
      <c r="H809" s="74">
        <f>'12-2017'!H835</f>
        <v>0</v>
      </c>
      <c r="I809" s="74">
        <f>'12-2017'!I835</f>
        <v>0</v>
      </c>
      <c r="J809" s="74">
        <f>'12-2017'!J835</f>
        <v>0</v>
      </c>
    </row>
    <row r="810" spans="1:10" s="58" customFormat="1" ht="17.25" hidden="1">
      <c r="A810" s="10">
        <f>'12-2017'!A836</f>
        <v>0</v>
      </c>
      <c r="B810" s="11">
        <f>'12-2017'!B836</f>
        <v>0</v>
      </c>
      <c r="C810" s="12">
        <f>'12-2017'!C836</f>
        <v>0</v>
      </c>
      <c r="D810" s="13">
        <f>'12-2017'!O836</f>
        <v>0</v>
      </c>
      <c r="E810" s="13">
        <f>'12-2017'!P836</f>
        <v>0</v>
      </c>
      <c r="F810" s="130">
        <f t="shared" si="33"/>
        <v>0</v>
      </c>
      <c r="G810" s="73"/>
      <c r="H810" s="74">
        <f>'12-2017'!H836</f>
        <v>0</v>
      </c>
      <c r="I810" s="74">
        <f>'12-2017'!I836</f>
        <v>0</v>
      </c>
      <c r="J810" s="74">
        <f>'12-2017'!J836</f>
        <v>0</v>
      </c>
    </row>
    <row r="811" spans="1:10" s="58" customFormat="1" ht="17.25" hidden="1">
      <c r="A811" s="10">
        <f>'12-2017'!A837</f>
        <v>0</v>
      </c>
      <c r="B811" s="11">
        <f>'12-2017'!B837</f>
        <v>0</v>
      </c>
      <c r="C811" s="12">
        <f>'12-2017'!C837</f>
        <v>0</v>
      </c>
      <c r="D811" s="13">
        <f>'12-2017'!O837</f>
        <v>0</v>
      </c>
      <c r="E811" s="13">
        <f>'12-2017'!P837</f>
        <v>0</v>
      </c>
      <c r="F811" s="130">
        <f t="shared" si="33"/>
        <v>0</v>
      </c>
      <c r="G811" s="73"/>
      <c r="H811" s="74">
        <f>'12-2017'!H837</f>
        <v>0</v>
      </c>
      <c r="I811" s="74">
        <f>'12-2017'!I837</f>
        <v>0</v>
      </c>
      <c r="J811" s="74">
        <f>'12-2017'!J837</f>
        <v>0</v>
      </c>
    </row>
    <row r="812" spans="1:10" s="58" customFormat="1" ht="17.25" hidden="1">
      <c r="A812" s="10">
        <f>'12-2017'!A838</f>
        <v>0</v>
      </c>
      <c r="B812" s="11">
        <f>'12-2017'!B838</f>
        <v>0</v>
      </c>
      <c r="C812" s="12">
        <f>'12-2017'!C838</f>
        <v>0</v>
      </c>
      <c r="D812" s="13">
        <f>'12-2017'!O838</f>
        <v>0</v>
      </c>
      <c r="E812" s="13">
        <f>'12-2017'!P838</f>
        <v>0</v>
      </c>
      <c r="F812" s="130">
        <f t="shared" si="33"/>
        <v>0</v>
      </c>
      <c r="G812" s="73"/>
      <c r="H812" s="74">
        <f>'12-2017'!H838</f>
        <v>0</v>
      </c>
      <c r="I812" s="74">
        <f>'12-2017'!I838</f>
        <v>0</v>
      </c>
      <c r="J812" s="74">
        <f>'12-2017'!J838</f>
        <v>0</v>
      </c>
    </row>
    <row r="813" spans="1:10" s="58" customFormat="1" ht="17.25" hidden="1">
      <c r="A813" s="10">
        <f>'12-2017'!A839</f>
        <v>0</v>
      </c>
      <c r="B813" s="11">
        <f>'12-2017'!B839</f>
        <v>0</v>
      </c>
      <c r="C813" s="12">
        <f>'12-2017'!C839</f>
        <v>0</v>
      </c>
      <c r="D813" s="13">
        <f>'12-2017'!O839</f>
        <v>0</v>
      </c>
      <c r="E813" s="13">
        <f>'12-2017'!P839</f>
        <v>0</v>
      </c>
      <c r="F813" s="130">
        <f t="shared" si="33"/>
        <v>0</v>
      </c>
      <c r="G813" s="73"/>
      <c r="H813" s="74">
        <f>'12-2017'!H839</f>
        <v>0</v>
      </c>
      <c r="I813" s="74">
        <f>'12-2017'!I839</f>
        <v>0</v>
      </c>
      <c r="J813" s="74">
        <f>'12-2017'!J839</f>
        <v>0</v>
      </c>
    </row>
    <row r="814" spans="1:10" s="58" customFormat="1" ht="17.25" hidden="1">
      <c r="A814" s="10">
        <f>'12-2017'!A840</f>
        <v>0</v>
      </c>
      <c r="B814" s="11">
        <f>'12-2017'!B840</f>
        <v>0</v>
      </c>
      <c r="C814" s="12">
        <f>'12-2017'!C840</f>
        <v>0</v>
      </c>
      <c r="D814" s="13">
        <f>'12-2017'!O840</f>
        <v>0</v>
      </c>
      <c r="E814" s="13">
        <f>'12-2017'!P840</f>
        <v>0</v>
      </c>
      <c r="F814" s="130">
        <f t="shared" si="33"/>
        <v>0</v>
      </c>
      <c r="G814" s="73"/>
      <c r="H814" s="74">
        <f>'12-2017'!H840</f>
        <v>0</v>
      </c>
      <c r="I814" s="74">
        <f>'12-2017'!I840</f>
        <v>0</v>
      </c>
      <c r="J814" s="74">
        <f>'12-2017'!J840</f>
        <v>0</v>
      </c>
    </row>
    <row r="815" spans="1:10" s="58" customFormat="1" ht="17.25" hidden="1">
      <c r="A815" s="10">
        <f>'12-2017'!A841</f>
        <v>0</v>
      </c>
      <c r="B815" s="11">
        <f>'12-2017'!B841</f>
        <v>0</v>
      </c>
      <c r="C815" s="12">
        <f>'12-2017'!C841</f>
        <v>0</v>
      </c>
      <c r="D815" s="13">
        <f>'12-2017'!O841</f>
        <v>0</v>
      </c>
      <c r="E815" s="13">
        <f>'12-2017'!P841</f>
        <v>0</v>
      </c>
      <c r="F815" s="130">
        <f t="shared" si="33"/>
        <v>0</v>
      </c>
      <c r="G815" s="73"/>
      <c r="H815" s="74">
        <f>'12-2017'!H841</f>
        <v>0</v>
      </c>
      <c r="I815" s="74">
        <f>'12-2017'!I841</f>
        <v>0</v>
      </c>
      <c r="J815" s="74">
        <f>'12-2017'!J841</f>
        <v>0</v>
      </c>
    </row>
    <row r="816" spans="1:10" s="58" customFormat="1" ht="17.25" hidden="1">
      <c r="A816" s="10">
        <f>'12-2017'!A842</f>
        <v>0</v>
      </c>
      <c r="B816" s="11">
        <f>'12-2017'!B842</f>
        <v>0</v>
      </c>
      <c r="C816" s="12">
        <f>'12-2017'!C842</f>
        <v>0</v>
      </c>
      <c r="D816" s="13">
        <f>'12-2017'!O842</f>
        <v>0</v>
      </c>
      <c r="E816" s="13">
        <f>'12-2017'!P842</f>
        <v>0</v>
      </c>
      <c r="F816" s="130">
        <f t="shared" si="33"/>
        <v>0</v>
      </c>
      <c r="G816" s="73"/>
      <c r="H816" s="74">
        <f>'12-2017'!H842</f>
        <v>0</v>
      </c>
      <c r="I816" s="74">
        <f>'12-2017'!I842</f>
        <v>0</v>
      </c>
      <c r="J816" s="74">
        <f>'12-2017'!J842</f>
        <v>0</v>
      </c>
    </row>
    <row r="817" spans="1:10" s="58" customFormat="1" ht="17.25" hidden="1">
      <c r="A817" s="10">
        <f>'12-2017'!A843</f>
        <v>0</v>
      </c>
      <c r="B817" s="11">
        <f>'12-2017'!B843</f>
        <v>0</v>
      </c>
      <c r="C817" s="12">
        <f>'12-2017'!C843</f>
        <v>0</v>
      </c>
      <c r="D817" s="13">
        <f>'12-2017'!O843</f>
        <v>0</v>
      </c>
      <c r="E817" s="13">
        <f>'12-2017'!P843</f>
        <v>0</v>
      </c>
      <c r="F817" s="130">
        <f t="shared" si="33"/>
        <v>0</v>
      </c>
      <c r="G817" s="73"/>
      <c r="H817" s="74">
        <f>'12-2017'!H843</f>
        <v>0</v>
      </c>
      <c r="I817" s="74">
        <f>'12-2017'!I843</f>
        <v>0</v>
      </c>
      <c r="J817" s="74">
        <f>'12-2017'!J843</f>
        <v>0</v>
      </c>
    </row>
    <row r="818" spans="1:10" s="58" customFormat="1" ht="17.25" hidden="1">
      <c r="A818" s="10">
        <f>'12-2017'!A844</f>
        <v>0</v>
      </c>
      <c r="B818" s="11">
        <f>'12-2017'!B844</f>
        <v>0</v>
      </c>
      <c r="C818" s="12">
        <f>'12-2017'!C844</f>
        <v>0</v>
      </c>
      <c r="D818" s="13">
        <f>'12-2017'!O844</f>
        <v>0</v>
      </c>
      <c r="E818" s="13">
        <f>'12-2017'!P844</f>
        <v>0</v>
      </c>
      <c r="F818" s="130">
        <f t="shared" si="33"/>
        <v>0</v>
      </c>
      <c r="G818" s="73"/>
      <c r="H818" s="74">
        <f>'12-2017'!H844</f>
        <v>0</v>
      </c>
      <c r="I818" s="74">
        <f>'12-2017'!I844</f>
        <v>0</v>
      </c>
      <c r="J818" s="74">
        <f>'12-2017'!J844</f>
        <v>0</v>
      </c>
    </row>
    <row r="819" spans="1:10" s="58" customFormat="1" ht="17.25" hidden="1">
      <c r="A819" s="10">
        <f>'12-2017'!A845</f>
        <v>0</v>
      </c>
      <c r="B819" s="11">
        <f>'12-2017'!B845</f>
        <v>0</v>
      </c>
      <c r="C819" s="12">
        <f>'12-2017'!C845</f>
        <v>0</v>
      </c>
      <c r="D819" s="13">
        <f>'12-2017'!O845</f>
        <v>0</v>
      </c>
      <c r="E819" s="13">
        <f>'12-2017'!P845</f>
        <v>0</v>
      </c>
      <c r="F819" s="130">
        <f t="shared" si="33"/>
        <v>0</v>
      </c>
      <c r="G819" s="73"/>
      <c r="H819" s="74">
        <f>'12-2017'!H845</f>
        <v>0</v>
      </c>
      <c r="I819" s="74">
        <f>'12-2017'!I845</f>
        <v>0</v>
      </c>
      <c r="J819" s="74">
        <f>'12-2017'!J845</f>
        <v>0</v>
      </c>
    </row>
    <row r="820" spans="1:10" s="58" customFormat="1" ht="17.25" hidden="1">
      <c r="A820" s="10">
        <f>'12-2017'!A846</f>
        <v>0</v>
      </c>
      <c r="B820" s="11">
        <f>'12-2017'!B846</f>
        <v>0</v>
      </c>
      <c r="C820" s="12">
        <f>'12-2017'!C846</f>
        <v>0</v>
      </c>
      <c r="D820" s="13">
        <f>'12-2017'!O846</f>
        <v>0</v>
      </c>
      <c r="E820" s="13">
        <f>'12-2017'!P846</f>
        <v>0</v>
      </c>
      <c r="F820" s="130">
        <f t="shared" si="33"/>
        <v>0</v>
      </c>
      <c r="G820" s="73"/>
      <c r="H820" s="74">
        <f>'12-2017'!H846</f>
        <v>0</v>
      </c>
      <c r="I820" s="74">
        <f>'12-2017'!I846</f>
        <v>0</v>
      </c>
      <c r="J820" s="74">
        <f>'12-2017'!J846</f>
        <v>0</v>
      </c>
    </row>
    <row r="821" spans="1:10" s="58" customFormat="1" ht="17.25" hidden="1">
      <c r="A821" s="10">
        <f>'12-2017'!A847</f>
        <v>0</v>
      </c>
      <c r="B821" s="11">
        <f>'12-2017'!B847</f>
        <v>0</v>
      </c>
      <c r="C821" s="12">
        <f>'12-2017'!C847</f>
        <v>0</v>
      </c>
      <c r="D821" s="13">
        <f>'12-2017'!O847</f>
        <v>0</v>
      </c>
      <c r="E821" s="13">
        <f>'12-2017'!P847</f>
        <v>0</v>
      </c>
      <c r="F821" s="130">
        <f t="shared" si="33"/>
        <v>0</v>
      </c>
      <c r="G821" s="73"/>
      <c r="H821" s="74">
        <f>'12-2017'!H847</f>
        <v>0</v>
      </c>
      <c r="I821" s="74">
        <f>'12-2017'!I847</f>
        <v>0</v>
      </c>
      <c r="J821" s="74">
        <f>'12-2017'!J847</f>
        <v>0</v>
      </c>
    </row>
    <row r="822" spans="1:10" s="73" customFormat="1" ht="49.5" hidden="1" customHeight="1">
      <c r="A822" s="17"/>
      <c r="B822" s="237" t="str">
        <f>'12-2017'!B848</f>
        <v xml:space="preserve"> * Sơn USA PAINT : Cty TNHH XD Kiên Phú Thịnh (đường Hoàng Diệu, P.Châu Phú B, Tp. Châu Đốc, AG). Giao hàng tại công ty, chưa bao gồm phí vận chuyển, bốc xếp. Theo bảng giá ngày 01/01/2016</v>
      </c>
      <c r="C822" s="238"/>
      <c r="D822" s="238"/>
      <c r="E822" s="238"/>
      <c r="F822" s="239"/>
      <c r="H822" s="74">
        <f>'12-2017'!H848</f>
        <v>0</v>
      </c>
      <c r="I822" s="74">
        <f>'12-2017'!I848</f>
        <v>0</v>
      </c>
      <c r="J822" s="74">
        <f>'12-2017'!J848</f>
        <v>0</v>
      </c>
    </row>
    <row r="823" spans="1:10" s="58" customFormat="1" ht="17.25" hidden="1">
      <c r="A823" s="10">
        <f>'12-2017'!A849</f>
        <v>0</v>
      </c>
      <c r="B823" s="11">
        <f>'12-2017'!B849</f>
        <v>0</v>
      </c>
      <c r="C823" s="12">
        <f>'12-2017'!C849</f>
        <v>0</v>
      </c>
      <c r="D823" s="13">
        <f>'12-2017'!O849</f>
        <v>0</v>
      </c>
      <c r="E823" s="13">
        <f>'12-2017'!P849</f>
        <v>0</v>
      </c>
      <c r="F823" s="130">
        <f t="shared" ref="F823:F829" si="34">E823-D823</f>
        <v>0</v>
      </c>
      <c r="G823" s="73"/>
      <c r="H823" s="74">
        <f>'12-2017'!H849</f>
        <v>0</v>
      </c>
      <c r="I823" s="74">
        <f>'12-2017'!I849</f>
        <v>0</v>
      </c>
      <c r="J823" s="74">
        <f>'12-2017'!J849</f>
        <v>0</v>
      </c>
    </row>
    <row r="824" spans="1:10" s="58" customFormat="1" ht="17.25" hidden="1">
      <c r="A824" s="10">
        <f>'12-2017'!A850</f>
        <v>0</v>
      </c>
      <c r="B824" s="11">
        <f>'12-2017'!B850</f>
        <v>0</v>
      </c>
      <c r="C824" s="12">
        <f>'12-2017'!C850</f>
        <v>0</v>
      </c>
      <c r="D824" s="13">
        <f>'12-2017'!O850</f>
        <v>0</v>
      </c>
      <c r="E824" s="13">
        <f>'12-2017'!P850</f>
        <v>0</v>
      </c>
      <c r="F824" s="130">
        <f t="shared" si="34"/>
        <v>0</v>
      </c>
      <c r="G824" s="73"/>
      <c r="H824" s="74">
        <f>'12-2017'!H850</f>
        <v>0</v>
      </c>
      <c r="I824" s="74">
        <f>'12-2017'!I850</f>
        <v>0</v>
      </c>
      <c r="J824" s="74">
        <f>'12-2017'!J850</f>
        <v>0</v>
      </c>
    </row>
    <row r="825" spans="1:10" s="58" customFormat="1" ht="17.25" hidden="1">
      <c r="A825" s="10">
        <f>'12-2017'!A851</f>
        <v>0</v>
      </c>
      <c r="B825" s="11">
        <f>'12-2017'!B851</f>
        <v>0</v>
      </c>
      <c r="C825" s="12">
        <f>'12-2017'!C851</f>
        <v>0</v>
      </c>
      <c r="D825" s="13">
        <f>'12-2017'!O851</f>
        <v>0</v>
      </c>
      <c r="E825" s="13">
        <f>'12-2017'!P851</f>
        <v>0</v>
      </c>
      <c r="F825" s="130">
        <f t="shared" si="34"/>
        <v>0</v>
      </c>
      <c r="G825" s="73"/>
      <c r="H825" s="74">
        <f>'12-2017'!H851</f>
        <v>0</v>
      </c>
      <c r="I825" s="74">
        <f>'12-2017'!I851</f>
        <v>0</v>
      </c>
      <c r="J825" s="74">
        <f>'12-2017'!J851</f>
        <v>0</v>
      </c>
    </row>
    <row r="826" spans="1:10" s="58" customFormat="1" ht="17.25" hidden="1">
      <c r="A826" s="10">
        <f>'12-2017'!A852</f>
        <v>0</v>
      </c>
      <c r="B826" s="11">
        <f>'12-2017'!B852</f>
        <v>0</v>
      </c>
      <c r="C826" s="12">
        <f>'12-2017'!C852</f>
        <v>0</v>
      </c>
      <c r="D826" s="13">
        <f>'12-2017'!O852</f>
        <v>0</v>
      </c>
      <c r="E826" s="13">
        <f>'12-2017'!P852</f>
        <v>0</v>
      </c>
      <c r="F826" s="130">
        <f t="shared" si="34"/>
        <v>0</v>
      </c>
      <c r="G826" s="73"/>
      <c r="H826" s="74">
        <f>'12-2017'!H852</f>
        <v>0</v>
      </c>
      <c r="I826" s="74">
        <f>'12-2017'!I852</f>
        <v>0</v>
      </c>
      <c r="J826" s="74">
        <f>'12-2017'!J852</f>
        <v>0</v>
      </c>
    </row>
    <row r="827" spans="1:10" s="58" customFormat="1" ht="17.25" hidden="1">
      <c r="A827" s="10">
        <f>'12-2017'!A853</f>
        <v>0</v>
      </c>
      <c r="B827" s="11">
        <f>'12-2017'!B853</f>
        <v>0</v>
      </c>
      <c r="C827" s="12">
        <f>'12-2017'!C853</f>
        <v>0</v>
      </c>
      <c r="D827" s="13">
        <f>'12-2017'!O853</f>
        <v>0</v>
      </c>
      <c r="E827" s="13">
        <f>'12-2017'!P853</f>
        <v>0</v>
      </c>
      <c r="F827" s="130">
        <f t="shared" si="34"/>
        <v>0</v>
      </c>
      <c r="G827" s="73"/>
      <c r="H827" s="74">
        <f>'12-2017'!H853</f>
        <v>0</v>
      </c>
      <c r="I827" s="74">
        <f>'12-2017'!I853</f>
        <v>0</v>
      </c>
      <c r="J827" s="74">
        <f>'12-2017'!J853</f>
        <v>0</v>
      </c>
    </row>
    <row r="828" spans="1:10" s="58" customFormat="1" ht="17.25" hidden="1">
      <c r="A828" s="10">
        <f>'12-2017'!A854</f>
        <v>0</v>
      </c>
      <c r="B828" s="11">
        <f>'12-2017'!B854</f>
        <v>0</v>
      </c>
      <c r="C828" s="12">
        <f>'12-2017'!C854</f>
        <v>0</v>
      </c>
      <c r="D828" s="13">
        <f>'12-2017'!O854</f>
        <v>0</v>
      </c>
      <c r="E828" s="13">
        <f>'12-2017'!P854</f>
        <v>0</v>
      </c>
      <c r="F828" s="130">
        <f t="shared" si="34"/>
        <v>0</v>
      </c>
      <c r="G828" s="73"/>
      <c r="H828" s="74">
        <f>'12-2017'!H854</f>
        <v>0</v>
      </c>
      <c r="I828" s="74">
        <f>'12-2017'!I854</f>
        <v>0</v>
      </c>
      <c r="J828" s="74">
        <f>'12-2017'!J854</f>
        <v>0</v>
      </c>
    </row>
    <row r="829" spans="1:10" s="58" customFormat="1" ht="17.25" hidden="1">
      <c r="A829" s="10">
        <f>'12-2017'!A855</f>
        <v>0</v>
      </c>
      <c r="B829" s="11">
        <f>'12-2017'!B855</f>
        <v>0</v>
      </c>
      <c r="C829" s="12">
        <f>'12-2017'!C855</f>
        <v>0</v>
      </c>
      <c r="D829" s="13">
        <f>'12-2017'!O855</f>
        <v>0</v>
      </c>
      <c r="E829" s="13">
        <f>'12-2017'!P855</f>
        <v>0</v>
      </c>
      <c r="F829" s="130">
        <f t="shared" si="34"/>
        <v>0</v>
      </c>
      <c r="G829" s="73"/>
      <c r="H829" s="74">
        <f>'12-2017'!H855</f>
        <v>0</v>
      </c>
      <c r="I829" s="74">
        <f>'12-2017'!I855</f>
        <v>0</v>
      </c>
      <c r="J829" s="74">
        <f>'12-2017'!J855</f>
        <v>0</v>
      </c>
    </row>
    <row r="830" spans="1:10" s="73" customFormat="1" ht="36.75" hidden="1" customHeight="1">
      <c r="A830" s="17"/>
      <c r="B830" s="9" t="str">
        <f>'12-2017'!B856</f>
        <v xml:space="preserve"> * Sơn USA PAINT : Cty TNHH MTV Trương Nguyễn Phát (số 21, đường số 4, TTTM Nam Châu Đốc, ấp Mỹ Chánh, xã Mỹ Đức, huyện Châu Phú, AG). Giá bán tại công ty, giao hàng trong phạm vi 10km. Theo bảng giá ngày 01/01/2016</v>
      </c>
      <c r="C830" s="8"/>
      <c r="D830" s="22"/>
      <c r="E830" s="22"/>
      <c r="F830" s="131"/>
      <c r="H830" s="74">
        <f>'12-2017'!H856</f>
        <v>0</v>
      </c>
      <c r="I830" s="74">
        <f>'12-2017'!I856</f>
        <v>0</v>
      </c>
      <c r="J830" s="74">
        <f>'12-2017'!J856</f>
        <v>0</v>
      </c>
    </row>
    <row r="831" spans="1:10" s="73" customFormat="1" ht="17.25">
      <c r="A831" s="17"/>
      <c r="B831" s="237" t="str">
        <f>'12-2017'!B857</f>
        <v>* Sơn NINZA : Công ty TNHH SXTMXNK SAKURA (số 43/14B, Tiên Lan, Hóc Môn TP.HCM). Theo bảng báo giá 01/5/2017</v>
      </c>
      <c r="C831" s="238"/>
      <c r="D831" s="238"/>
      <c r="E831" s="238"/>
      <c r="F831" s="239"/>
      <c r="H831" s="74">
        <f>'12-2017'!H857</f>
        <v>0</v>
      </c>
      <c r="I831" s="74">
        <f>'12-2017'!I857</f>
        <v>0</v>
      </c>
      <c r="J831" s="74">
        <f>'12-2017'!J857</f>
        <v>0</v>
      </c>
    </row>
    <row r="832" spans="1:10" s="58" customFormat="1" ht="17.25" hidden="1">
      <c r="A832" s="10">
        <f>'12-2017'!A858</f>
        <v>1</v>
      </c>
      <c r="B832" s="11" t="str">
        <f>'12-2017'!B858</f>
        <v>Sơn nội thất ECO-INTERIOR (láng mịn) NIZ.01</v>
      </c>
      <c r="C832" s="12" t="str">
        <f>'12-2017'!C858</f>
        <v>đ/kg</v>
      </c>
      <c r="D832" s="13">
        <f>'12-2017'!O858</f>
        <v>21600</v>
      </c>
      <c r="E832" s="13">
        <f>'12-2017'!P858</f>
        <v>21600</v>
      </c>
      <c r="F832" s="130">
        <f>E832-D832</f>
        <v>0</v>
      </c>
      <c r="G832" s="73"/>
      <c r="H832" s="74">
        <f>'12-2017'!H858</f>
        <v>0</v>
      </c>
      <c r="I832" s="74">
        <f>'12-2017'!I858</f>
        <v>0</v>
      </c>
      <c r="J832" s="74">
        <f>'12-2017'!J858</f>
        <v>0</v>
      </c>
    </row>
    <row r="833" spans="1:10" s="58" customFormat="1" ht="17.25" hidden="1">
      <c r="A833" s="10">
        <f>'12-2017'!A859</f>
        <v>2</v>
      </c>
      <c r="B833" s="11" t="str">
        <f>'12-2017'!B859</f>
        <v>Sơn nội thất cao cấp EASY CLEAR (lBóng mờ, lau chùi hiệu quả)  NIZ.03</v>
      </c>
      <c r="C833" s="12" t="str">
        <f>'12-2017'!C859</f>
        <v>đ/kg</v>
      </c>
      <c r="D833" s="13">
        <f>'12-2017'!O859</f>
        <v>64800</v>
      </c>
      <c r="E833" s="13">
        <f>'12-2017'!P859</f>
        <v>64800</v>
      </c>
      <c r="F833" s="130">
        <f t="shared" ref="F833:F841" si="35">E833-D833</f>
        <v>0</v>
      </c>
      <c r="G833" s="73"/>
      <c r="H833" s="74">
        <f>'12-2017'!H859</f>
        <v>0</v>
      </c>
      <c r="I833" s="74">
        <f>'12-2017'!I859</f>
        <v>0</v>
      </c>
      <c r="J833" s="74">
        <f>'12-2017'!J859</f>
        <v>0</v>
      </c>
    </row>
    <row r="834" spans="1:10" s="58" customFormat="1" ht="17.25" hidden="1">
      <c r="A834" s="10">
        <f>'12-2017'!A860</f>
        <v>3</v>
      </c>
      <c r="B834" s="11" t="str">
        <f>'12-2017'!B860</f>
        <v>Sơn nội thất cao cấp SATIN-INT (lBóng ngọc trai, , chùi rữa dễ đang)  NIZ.05</v>
      </c>
      <c r="C834" s="12" t="str">
        <f>'12-2017'!C860</f>
        <v>đ/kg</v>
      </c>
      <c r="D834" s="13">
        <f>'12-2017'!O860</f>
        <v>73800</v>
      </c>
      <c r="E834" s="13">
        <f>'12-2017'!P860</f>
        <v>73800</v>
      </c>
      <c r="F834" s="130">
        <f t="shared" si="35"/>
        <v>0</v>
      </c>
      <c r="G834" s="73"/>
      <c r="H834" s="74">
        <f>'12-2017'!H860</f>
        <v>0</v>
      </c>
      <c r="I834" s="74">
        <f>'12-2017'!I860</f>
        <v>0</v>
      </c>
      <c r="J834" s="74">
        <f>'12-2017'!J860</f>
        <v>0</v>
      </c>
    </row>
    <row r="835" spans="1:10" s="58" customFormat="1" ht="17.25" hidden="1">
      <c r="A835" s="10">
        <f>'12-2017'!A861</f>
        <v>4</v>
      </c>
      <c r="B835" s="11" t="str">
        <f>'12-2017'!B861</f>
        <v>Sơn ngoại thất ECO-INTERIOR (láng mịn) NIZ.02</v>
      </c>
      <c r="C835" s="12" t="str">
        <f>'12-2017'!C861</f>
        <v>đ/kg</v>
      </c>
      <c r="D835" s="13">
        <f>'12-2017'!O861</f>
        <v>48600</v>
      </c>
      <c r="E835" s="13">
        <f>'12-2017'!P861</f>
        <v>48600</v>
      </c>
      <c r="F835" s="130">
        <f t="shared" si="35"/>
        <v>0</v>
      </c>
      <c r="G835" s="73"/>
      <c r="H835" s="74">
        <f>'12-2017'!H861</f>
        <v>0</v>
      </c>
      <c r="I835" s="74">
        <f>'12-2017'!I861</f>
        <v>0</v>
      </c>
      <c r="J835" s="74">
        <f>'12-2017'!J861</f>
        <v>0</v>
      </c>
    </row>
    <row r="836" spans="1:10" s="58" customFormat="1" ht="17.25" hidden="1">
      <c r="A836" s="10">
        <f>'12-2017'!A862</f>
        <v>5</v>
      </c>
      <c r="B836" s="11" t="str">
        <f>'12-2017'!B862</f>
        <v>Sơn ngoại thất cao cấp EASY CLEAR (lBóng mờ, lau chùi hiệu quả)  NIZ.04</v>
      </c>
      <c r="C836" s="12" t="str">
        <f>'12-2017'!C862</f>
        <v>đ/kg</v>
      </c>
      <c r="D836" s="13">
        <f>'12-2017'!O862</f>
        <v>90000</v>
      </c>
      <c r="E836" s="13">
        <f>'12-2017'!P862</f>
        <v>90000</v>
      </c>
      <c r="F836" s="130">
        <f t="shared" si="35"/>
        <v>0</v>
      </c>
      <c r="G836" s="73"/>
      <c r="H836" s="74">
        <f>'12-2017'!H862</f>
        <v>0</v>
      </c>
      <c r="I836" s="74">
        <f>'12-2017'!I862</f>
        <v>0</v>
      </c>
      <c r="J836" s="74">
        <f>'12-2017'!J862</f>
        <v>0</v>
      </c>
    </row>
    <row r="837" spans="1:10" s="58" customFormat="1" ht="17.25" hidden="1">
      <c r="A837" s="10">
        <f>'12-2017'!A863</f>
        <v>6</v>
      </c>
      <c r="B837" s="11" t="str">
        <f>'12-2017'!B863</f>
        <v>Sơn ngoại thất cao cấp SATIN-INT (lBóng ngọc trai, , chùi rữa dễ đang)  NIZ.06</v>
      </c>
      <c r="C837" s="12" t="str">
        <f>'12-2017'!C863</f>
        <v>đ/kg</v>
      </c>
      <c r="D837" s="13">
        <f>'12-2017'!O863</f>
        <v>108000</v>
      </c>
      <c r="E837" s="13">
        <f>'12-2017'!P863</f>
        <v>108000</v>
      </c>
      <c r="F837" s="130">
        <f t="shared" si="35"/>
        <v>0</v>
      </c>
      <c r="G837" s="73"/>
      <c r="H837" s="74">
        <f>'12-2017'!H863</f>
        <v>0</v>
      </c>
      <c r="I837" s="74">
        <f>'12-2017'!I863</f>
        <v>0</v>
      </c>
      <c r="J837" s="74">
        <f>'12-2017'!J863</f>
        <v>0</v>
      </c>
    </row>
    <row r="838" spans="1:10" s="58" customFormat="1" ht="17.25" hidden="1">
      <c r="A838" s="10">
        <f>'12-2017'!A864</f>
        <v>7</v>
      </c>
      <c r="B838" s="11" t="str">
        <f>'12-2017'!B864</f>
        <v xml:space="preserve">Lót ngoại thất cao cấp TOTAL PRIMER SEALER NIZ.10 </v>
      </c>
      <c r="C838" s="12" t="str">
        <f>'12-2017'!C864</f>
        <v>đ/kg</v>
      </c>
      <c r="D838" s="13">
        <f>'12-2017'!O864</f>
        <v>54000</v>
      </c>
      <c r="E838" s="13">
        <f>'12-2017'!P864</f>
        <v>54000</v>
      </c>
      <c r="F838" s="130">
        <f t="shared" si="35"/>
        <v>0</v>
      </c>
      <c r="G838" s="73"/>
      <c r="H838" s="74">
        <f>'12-2017'!H864</f>
        <v>0</v>
      </c>
      <c r="I838" s="74">
        <f>'12-2017'!I864</f>
        <v>0</v>
      </c>
      <c r="J838" s="74">
        <f>'12-2017'!J864</f>
        <v>0</v>
      </c>
    </row>
    <row r="839" spans="1:10" s="58" customFormat="1" ht="40.5" hidden="1" customHeight="1">
      <c r="A839" s="10">
        <f>'12-2017'!A865</f>
        <v>8</v>
      </c>
      <c r="B839" s="11" t="str">
        <f>'12-2017'!B865</f>
        <v>Lót ngoại thất cao cấp NANO PRIMER SEALER NIZ.12 (gốc nước kháng kiềm siêu hạng)</v>
      </c>
      <c r="C839" s="12" t="str">
        <f>'12-2017'!C865</f>
        <v>đ/kg</v>
      </c>
      <c r="D839" s="13">
        <f>'12-2017'!O865</f>
        <v>67500</v>
      </c>
      <c r="E839" s="13">
        <f>'12-2017'!P865</f>
        <v>67500</v>
      </c>
      <c r="F839" s="130">
        <f t="shared" si="35"/>
        <v>0</v>
      </c>
      <c r="G839" s="73"/>
      <c r="H839" s="74">
        <f>'12-2017'!H865</f>
        <v>0</v>
      </c>
      <c r="I839" s="74">
        <f>'12-2017'!I865</f>
        <v>0</v>
      </c>
      <c r="J839" s="74">
        <f>'12-2017'!J865</f>
        <v>0</v>
      </c>
    </row>
    <row r="840" spans="1:10" s="58" customFormat="1" ht="17.25" hidden="1">
      <c r="A840" s="10">
        <f>'12-2017'!A866</f>
        <v>9</v>
      </c>
      <c r="B840" s="11" t="str">
        <f>'12-2017'!B866</f>
        <v>Bột trét tường ngoại thất NIZ.16</v>
      </c>
      <c r="C840" s="12" t="str">
        <f>'12-2017'!C866</f>
        <v>đ/kg</v>
      </c>
      <c r="D840" s="13">
        <f>'12-2017'!O866</f>
        <v>4500</v>
      </c>
      <c r="E840" s="13">
        <f>'12-2017'!P866</f>
        <v>4500</v>
      </c>
      <c r="F840" s="130">
        <f t="shared" si="35"/>
        <v>0</v>
      </c>
      <c r="G840" s="73"/>
      <c r="H840" s="74">
        <f>'12-2017'!H866</f>
        <v>0</v>
      </c>
      <c r="I840" s="74">
        <f>'12-2017'!I866</f>
        <v>0</v>
      </c>
      <c r="J840" s="74">
        <f>'12-2017'!J866</f>
        <v>0</v>
      </c>
    </row>
    <row r="841" spans="1:10" s="58" customFormat="1" ht="17.25" hidden="1">
      <c r="A841" s="10">
        <f>'12-2017'!A867</f>
        <v>10</v>
      </c>
      <c r="B841" s="11" t="str">
        <f>'12-2017'!B867</f>
        <v>Bột trét tường ngoại thất cao cấp  NIZ.18</v>
      </c>
      <c r="C841" s="12" t="str">
        <f>'12-2017'!C867</f>
        <v>đ/kg</v>
      </c>
      <c r="D841" s="13">
        <f>'12-2017'!O867</f>
        <v>5400</v>
      </c>
      <c r="E841" s="13">
        <f>'12-2017'!P867</f>
        <v>5400</v>
      </c>
      <c r="F841" s="130">
        <f t="shared" si="35"/>
        <v>0</v>
      </c>
      <c r="G841" s="73"/>
      <c r="H841" s="74">
        <f>'12-2017'!H867</f>
        <v>0</v>
      </c>
      <c r="I841" s="74">
        <f>'12-2017'!I867</f>
        <v>0</v>
      </c>
      <c r="J841" s="74">
        <f>'12-2017'!J867</f>
        <v>0</v>
      </c>
    </row>
    <row r="842" spans="1:10" s="73" customFormat="1" ht="33" customHeight="1">
      <c r="A842" s="17"/>
      <c r="B842" s="237" t="str">
        <f>'12-2017'!B868</f>
        <v xml:space="preserve"> * Sơn JOTON : Chi nhánh Công ty CP L.Q JOTON tại Cần Thơ (KV Thạnh Mỹ, P. Thường Thạnh, Q. Cái Răng, Tp. Cần Thơ). Theo bảng giá ngày 29/8/2017</v>
      </c>
      <c r="C842" s="238"/>
      <c r="D842" s="238"/>
      <c r="E842" s="238"/>
      <c r="F842" s="239"/>
      <c r="H842" s="74">
        <f>'12-2017'!H868</f>
        <v>0</v>
      </c>
      <c r="I842" s="74">
        <f>'12-2017'!I868</f>
        <v>0</v>
      </c>
      <c r="J842" s="74">
        <f>'12-2017'!J868</f>
        <v>0</v>
      </c>
    </row>
    <row r="843" spans="1:10" s="58" customFormat="1" ht="17.25" hidden="1">
      <c r="A843" s="10">
        <f>'12-2017'!A869</f>
        <v>1</v>
      </c>
      <c r="B843" s="11" t="str">
        <f>'12-2017'!B869</f>
        <v>Sơn nước ngoại thất JONY (thùng 18 lít)</v>
      </c>
      <c r="C843" s="12" t="str">
        <f>'12-2017'!C869</f>
        <v>đ/kg</v>
      </c>
      <c r="D843" s="13">
        <f>'12-2017'!O869</f>
        <v>129292.72727272726</v>
      </c>
      <c r="E843" s="13">
        <f>'12-2017'!P869</f>
        <v>129292.72727272726</v>
      </c>
      <c r="F843" s="130">
        <f t="shared" ref="F843:F849" si="36">E843-D843</f>
        <v>0</v>
      </c>
      <c r="G843" s="73"/>
      <c r="H843" s="74">
        <f>'12-2017'!H869</f>
        <v>0</v>
      </c>
      <c r="I843" s="74">
        <f>'12-2017'!I869</f>
        <v>0</v>
      </c>
      <c r="J843" s="74">
        <f>'12-2017'!J869</f>
        <v>0</v>
      </c>
    </row>
    <row r="844" spans="1:10" s="58" customFormat="1" ht="17.25" hidden="1">
      <c r="A844" s="10">
        <f>'12-2017'!A870</f>
        <v>2</v>
      </c>
      <c r="B844" s="11" t="str">
        <f>'12-2017'!B870</f>
        <v>Sơn nước nội thất AROMA (thùng 18 lít)</v>
      </c>
      <c r="C844" s="12" t="str">
        <f>'12-2017'!C870</f>
        <v>đ/kg</v>
      </c>
      <c r="D844" s="13">
        <f>'12-2017'!O870</f>
        <v>164982.72727272726</v>
      </c>
      <c r="E844" s="13">
        <f>'12-2017'!P870</f>
        <v>164982.72727272726</v>
      </c>
      <c r="F844" s="130">
        <f t="shared" si="36"/>
        <v>0</v>
      </c>
      <c r="G844" s="73"/>
      <c r="H844" s="74">
        <f>'12-2017'!H870</f>
        <v>0</v>
      </c>
      <c r="I844" s="74">
        <f>'12-2017'!I870</f>
        <v>0</v>
      </c>
      <c r="J844" s="74">
        <f>'12-2017'!J870</f>
        <v>0</v>
      </c>
    </row>
    <row r="845" spans="1:10" s="58" customFormat="1" ht="17.25" hidden="1">
      <c r="A845" s="10">
        <f>'12-2017'!A871</f>
        <v>3</v>
      </c>
      <c r="B845" s="11" t="str">
        <f>'12-2017'!B871</f>
        <v>Sơn lót ngoại thất - PROS  NEW(thùng 18 lít)</v>
      </c>
      <c r="C845" s="12" t="str">
        <f>'12-2017'!C871</f>
        <v>đ/kg</v>
      </c>
      <c r="D845" s="13">
        <f>'12-2017'!O871</f>
        <v>110567.27272727272</v>
      </c>
      <c r="E845" s="13">
        <f>'12-2017'!P871</f>
        <v>110567.27272727272</v>
      </c>
      <c r="F845" s="130">
        <f t="shared" si="36"/>
        <v>0</v>
      </c>
      <c r="G845" s="73"/>
      <c r="H845" s="74">
        <f>'12-2017'!H871</f>
        <v>0</v>
      </c>
      <c r="I845" s="74">
        <f>'12-2017'!I871</f>
        <v>0</v>
      </c>
      <c r="J845" s="74">
        <f>'12-2017'!J871</f>
        <v>0</v>
      </c>
    </row>
    <row r="846" spans="1:10" s="58" customFormat="1" ht="17.25" hidden="1">
      <c r="A846" s="10">
        <f>'12-2017'!A872</f>
        <v>4</v>
      </c>
      <c r="B846" s="11" t="str">
        <f>'12-2017'!B872</f>
        <v>Sơn lót nội thất - PROSIN  NEW(thùng 18 lít)</v>
      </c>
      <c r="C846" s="12" t="str">
        <f>'12-2017'!C872</f>
        <v>đ/kg</v>
      </c>
      <c r="D846" s="13">
        <f>'12-2017'!O872</f>
        <v>66821.818181818177</v>
      </c>
      <c r="E846" s="13">
        <f>'12-2017'!P872</f>
        <v>66821.818181818177</v>
      </c>
      <c r="F846" s="130">
        <f t="shared" si="36"/>
        <v>0</v>
      </c>
      <c r="G846" s="73"/>
      <c r="H846" s="74">
        <f>'12-2017'!H872</f>
        <v>0</v>
      </c>
      <c r="I846" s="74">
        <f>'12-2017'!I872</f>
        <v>0</v>
      </c>
      <c r="J846" s="74">
        <f>'12-2017'!J872</f>
        <v>0</v>
      </c>
    </row>
    <row r="847" spans="1:10" s="58" customFormat="1" ht="17.25" hidden="1">
      <c r="A847" s="10">
        <f>'12-2017'!A873</f>
        <v>5</v>
      </c>
      <c r="B847" s="11" t="str">
        <f>'12-2017'!B873</f>
        <v>Chống thấm gốc nước CT - J-555 (thùng 20kg)</v>
      </c>
      <c r="C847" s="12" t="str">
        <f>'12-2017'!C873</f>
        <v>đ/kg</v>
      </c>
      <c r="D847" s="13">
        <f>'12-2017'!O873</f>
        <v>155818.18181818179</v>
      </c>
      <c r="E847" s="13">
        <f>'12-2017'!P873</f>
        <v>155818.18181818179</v>
      </c>
      <c r="F847" s="130">
        <f t="shared" si="36"/>
        <v>0</v>
      </c>
      <c r="G847" s="73"/>
      <c r="H847" s="74">
        <f>'12-2017'!H873</f>
        <v>0</v>
      </c>
      <c r="I847" s="74">
        <f>'12-2017'!I873</f>
        <v>0</v>
      </c>
      <c r="J847" s="74">
        <f>'12-2017'!J873</f>
        <v>0</v>
      </c>
    </row>
    <row r="848" spans="1:10" s="58" customFormat="1" ht="17.25" hidden="1">
      <c r="A848" s="10">
        <f>'12-2017'!A874</f>
        <v>6</v>
      </c>
      <c r="B848" s="11" t="str">
        <f>'12-2017'!B874</f>
        <v>Bột trét tường ngoại thất JOTON (bao 40kg)</v>
      </c>
      <c r="C848" s="12" t="str">
        <f>'12-2017'!C874</f>
        <v>đ/kg</v>
      </c>
      <c r="D848" s="13">
        <f>'12-2017'!O874</f>
        <v>8420.9090909090901</v>
      </c>
      <c r="E848" s="13">
        <f>'12-2017'!P874</f>
        <v>8420.9090909090901</v>
      </c>
      <c r="F848" s="130">
        <f t="shared" si="36"/>
        <v>0</v>
      </c>
      <c r="G848" s="73"/>
      <c r="H848" s="74">
        <f>'12-2017'!H874</f>
        <v>0</v>
      </c>
      <c r="I848" s="74">
        <f>'12-2017'!I874</f>
        <v>0</v>
      </c>
      <c r="J848" s="74">
        <f>'12-2017'!J874</f>
        <v>0</v>
      </c>
    </row>
    <row r="849" spans="1:10" s="58" customFormat="1" ht="17.25" hidden="1">
      <c r="A849" s="10">
        <f>'12-2017'!A875</f>
        <v>7</v>
      </c>
      <c r="B849" s="11" t="str">
        <f>'12-2017'!B875</f>
        <v>Bột trét tường nội thất JOTON (bao 40 kg)</v>
      </c>
      <c r="C849" s="12" t="str">
        <f>'12-2017'!C875</f>
        <v>đ/kg</v>
      </c>
      <c r="D849" s="13">
        <f>'12-2017'!O875</f>
        <v>6409.090909090909</v>
      </c>
      <c r="E849" s="13">
        <f>'12-2017'!P875</f>
        <v>6409.090909090909</v>
      </c>
      <c r="F849" s="130">
        <f t="shared" si="36"/>
        <v>0</v>
      </c>
      <c r="G849" s="73"/>
      <c r="H849" s="74">
        <f>'12-2017'!H875</f>
        <v>0</v>
      </c>
      <c r="I849" s="74">
        <f>'12-2017'!I875</f>
        <v>0</v>
      </c>
      <c r="J849" s="74">
        <f>'12-2017'!J875</f>
        <v>0</v>
      </c>
    </row>
    <row r="850" spans="1:10" s="73" customFormat="1" ht="33" customHeight="1">
      <c r="A850" s="17"/>
      <c r="B850" s="237" t="str">
        <f>'12-2017'!B911</f>
        <v>* Sơn Kim Cương: Công ty Cổ phần SX - TM Tâm Thành Long (Đ/c 624 QL 91, Bình Hòa, huyện Châu Thành, tỉnh An Giang) Theo bảng báo giá ngày 01/03/2017)</v>
      </c>
      <c r="C850" s="238"/>
      <c r="D850" s="238"/>
      <c r="E850" s="238"/>
      <c r="F850" s="239"/>
      <c r="H850" s="74">
        <f>'12-2017'!H911</f>
        <v>0</v>
      </c>
      <c r="I850" s="74">
        <f>'12-2017'!I911</f>
        <v>0</v>
      </c>
      <c r="J850" s="74">
        <f>'12-2017'!J911</f>
        <v>0</v>
      </c>
    </row>
    <row r="851" spans="1:10" s="58" customFormat="1" ht="17.25" hidden="1">
      <c r="A851" s="10">
        <f>'12-2017'!A912</f>
        <v>1</v>
      </c>
      <c r="B851" s="11" t="str">
        <f>'12-2017'!B912</f>
        <v>Sơn nội thất Sanda Interior (24 kg)</v>
      </c>
      <c r="C851" s="12" t="str">
        <f>'12-2017'!C912</f>
        <v>đ/kg</v>
      </c>
      <c r="D851" s="13">
        <f>'12-2017'!O912</f>
        <v>30166</v>
      </c>
      <c r="E851" s="13">
        <f>'12-2017'!P912</f>
        <v>30166</v>
      </c>
      <c r="F851" s="130">
        <f t="shared" ref="F851:F861" si="37">E851-D851</f>
        <v>0</v>
      </c>
      <c r="G851" s="73"/>
      <c r="H851" s="74">
        <f>'12-2017'!H912</f>
        <v>0</v>
      </c>
      <c r="I851" s="74">
        <f>'12-2017'!I912</f>
        <v>0</v>
      </c>
      <c r="J851" s="74">
        <f>'12-2017'!J912</f>
        <v>0</v>
      </c>
    </row>
    <row r="852" spans="1:10" s="58" customFormat="1" ht="17.25" hidden="1">
      <c r="A852" s="10">
        <f>'12-2017'!A913</f>
        <v>2</v>
      </c>
      <c r="B852" s="11" t="str">
        <f>'12-2017'!B913</f>
        <v>Sơn ngoại thất Sanda Exterior (23kg)</v>
      </c>
      <c r="C852" s="12" t="str">
        <f>'12-2017'!C913</f>
        <v>đ/kg</v>
      </c>
      <c r="D852" s="13">
        <f>'12-2017'!O913</f>
        <v>53650</v>
      </c>
      <c r="E852" s="13">
        <f>'12-2017'!P913</f>
        <v>53650</v>
      </c>
      <c r="F852" s="130">
        <f t="shared" si="37"/>
        <v>0</v>
      </c>
      <c r="G852" s="73"/>
      <c r="H852" s="74">
        <f>'12-2017'!H913</f>
        <v>0</v>
      </c>
      <c r="I852" s="74">
        <f>'12-2017'!I913</f>
        <v>0</v>
      </c>
      <c r="J852" s="74">
        <f>'12-2017'!J913</f>
        <v>0</v>
      </c>
    </row>
    <row r="853" spans="1:10" s="58" customFormat="1" ht="17.25" hidden="1">
      <c r="A853" s="10">
        <f>'12-2017'!A914</f>
        <v>3</v>
      </c>
      <c r="B853" s="11" t="str">
        <f>'12-2017'!B914</f>
        <v>Sơn nội thất Kobe Interior (22,5kg)</v>
      </c>
      <c r="C853" s="12" t="str">
        <f>'12-2017'!C914</f>
        <v>đ/kg</v>
      </c>
      <c r="D853" s="13">
        <f>'12-2017'!O914</f>
        <v>49355</v>
      </c>
      <c r="E853" s="13">
        <f>'12-2017'!P914</f>
        <v>49355</v>
      </c>
      <c r="F853" s="130">
        <f t="shared" si="37"/>
        <v>0</v>
      </c>
      <c r="G853" s="73"/>
      <c r="H853" s="74">
        <f>'12-2017'!H914</f>
        <v>0</v>
      </c>
      <c r="I853" s="74">
        <f>'12-2017'!I914</f>
        <v>0</v>
      </c>
      <c r="J853" s="74">
        <f>'12-2017'!J914</f>
        <v>0</v>
      </c>
    </row>
    <row r="854" spans="1:10" s="58" customFormat="1" ht="17.25" hidden="1">
      <c r="A854" s="10">
        <f>'12-2017'!A915</f>
        <v>4</v>
      </c>
      <c r="B854" s="11" t="str">
        <f>'12-2017'!B915</f>
        <v>Sơn nội thất Kobe Easy Clean (22,5kg)</v>
      </c>
      <c r="C854" s="12" t="str">
        <f>'12-2017'!C915</f>
        <v>đ/kg</v>
      </c>
      <c r="D854" s="13">
        <f>'12-2017'!O915</f>
        <v>79400</v>
      </c>
      <c r="E854" s="13">
        <f>'12-2017'!P915</f>
        <v>79400</v>
      </c>
      <c r="F854" s="130">
        <f t="shared" si="37"/>
        <v>0</v>
      </c>
      <c r="G854" s="73"/>
      <c r="H854" s="74">
        <f>'12-2017'!H915</f>
        <v>0</v>
      </c>
      <c r="I854" s="74">
        <f>'12-2017'!I915</f>
        <v>0</v>
      </c>
      <c r="J854" s="74">
        <f>'12-2017'!J915</f>
        <v>0</v>
      </c>
    </row>
    <row r="855" spans="1:10" s="58" customFormat="1" ht="17.25" hidden="1">
      <c r="A855" s="10">
        <f>'12-2017'!A916</f>
        <v>5</v>
      </c>
      <c r="B855" s="11" t="str">
        <f>'12-2017'!B916</f>
        <v>Sơn ngoại thất Koke Shield Plus (21kg)</v>
      </c>
      <c r="C855" s="12" t="str">
        <f>'12-2017'!C916</f>
        <v>đ/kg</v>
      </c>
      <c r="D855" s="13">
        <f>'12-2017'!O916</f>
        <v>125000</v>
      </c>
      <c r="E855" s="13">
        <f>'12-2017'!P916</f>
        <v>125000</v>
      </c>
      <c r="F855" s="130">
        <f t="shared" si="37"/>
        <v>0</v>
      </c>
      <c r="G855" s="73"/>
      <c r="H855" s="74">
        <f>'12-2017'!H916</f>
        <v>0</v>
      </c>
      <c r="I855" s="74">
        <f>'12-2017'!I916</f>
        <v>0</v>
      </c>
      <c r="J855" s="74">
        <f>'12-2017'!J916</f>
        <v>0</v>
      </c>
    </row>
    <row r="856" spans="1:10" s="58" customFormat="1" ht="17.25" hidden="1">
      <c r="A856" s="10">
        <f>'12-2017'!A917</f>
        <v>6</v>
      </c>
      <c r="B856" s="11" t="str">
        <f>'12-2017'!B917</f>
        <v>Sơn bóng nội thất Kobe Max Wash (21,5kg)</v>
      </c>
      <c r="C856" s="12" t="str">
        <f>'12-2017'!C917</f>
        <v>đ/kg</v>
      </c>
      <c r="D856" s="13">
        <f>'12-2017'!O917</f>
        <v>131883</v>
      </c>
      <c r="E856" s="13">
        <f>'12-2017'!P917</f>
        <v>131883</v>
      </c>
      <c r="F856" s="130">
        <f t="shared" si="37"/>
        <v>0</v>
      </c>
      <c r="G856" s="73"/>
      <c r="H856" s="74">
        <f>'12-2017'!H917</f>
        <v>0</v>
      </c>
      <c r="I856" s="74">
        <f>'12-2017'!I917</f>
        <v>0</v>
      </c>
      <c r="J856" s="74">
        <f>'12-2017'!J917</f>
        <v>0</v>
      </c>
    </row>
    <row r="857" spans="1:10" s="58" customFormat="1" ht="17.25" hidden="1">
      <c r="A857" s="10">
        <f>'12-2017'!A918</f>
        <v>7</v>
      </c>
      <c r="B857" s="11" t="str">
        <f>'12-2017'!B918</f>
        <v>Sơn ngoại thất Kobe High Sheen (20kg)</v>
      </c>
      <c r="C857" s="12" t="str">
        <f>'12-2017'!C918</f>
        <v>đ/kg</v>
      </c>
      <c r="D857" s="13">
        <f>'12-2017'!O918</f>
        <v>178700</v>
      </c>
      <c r="E857" s="13">
        <f>'12-2017'!P918</f>
        <v>178700</v>
      </c>
      <c r="F857" s="130">
        <f t="shared" si="37"/>
        <v>0</v>
      </c>
      <c r="G857" s="73"/>
      <c r="H857" s="74">
        <f>'12-2017'!H918</f>
        <v>0</v>
      </c>
      <c r="I857" s="74">
        <f>'12-2017'!I918</f>
        <v>0</v>
      </c>
      <c r="J857" s="74">
        <f>'12-2017'!J918</f>
        <v>0</v>
      </c>
    </row>
    <row r="858" spans="1:10" s="58" customFormat="1" ht="17.25" hidden="1">
      <c r="A858" s="10">
        <f>'12-2017'!A919</f>
        <v>8</v>
      </c>
      <c r="B858" s="11" t="str">
        <f>'12-2017'!B919</f>
        <v>Sơn lót chống kiềm Sanda (22kg)</v>
      </c>
      <c r="C858" s="12" t="str">
        <f>'12-2017'!C919</f>
        <v>đ/kg</v>
      </c>
      <c r="D858" s="13">
        <f>'12-2017'!O919</f>
        <v>91772</v>
      </c>
      <c r="E858" s="13">
        <f>'12-2017'!P919</f>
        <v>91772</v>
      </c>
      <c r="F858" s="130">
        <f t="shared" si="37"/>
        <v>0</v>
      </c>
      <c r="G858" s="73"/>
      <c r="H858" s="74">
        <f>'12-2017'!H919</f>
        <v>0</v>
      </c>
      <c r="I858" s="74">
        <f>'12-2017'!I919</f>
        <v>0</v>
      </c>
      <c r="J858" s="74">
        <f>'12-2017'!J919</f>
        <v>0</v>
      </c>
    </row>
    <row r="859" spans="1:10" s="58" customFormat="1" ht="17.25" hidden="1">
      <c r="A859" s="10">
        <f>'12-2017'!A920</f>
        <v>9</v>
      </c>
      <c r="B859" s="11" t="str">
        <f>'12-2017'!B920</f>
        <v>Sơn chống kiềm Kobe (21,6kg)</v>
      </c>
      <c r="C859" s="12" t="str">
        <f>'12-2017'!C920</f>
        <v>đ/kg</v>
      </c>
      <c r="D859" s="13">
        <f>'12-2017'!O920</f>
        <v>105814</v>
      </c>
      <c r="E859" s="13">
        <f>'12-2017'!P920</f>
        <v>105814</v>
      </c>
      <c r="F859" s="130">
        <f t="shared" si="37"/>
        <v>0</v>
      </c>
      <c r="G859" s="73"/>
      <c r="H859" s="74">
        <f>'12-2017'!H920</f>
        <v>0</v>
      </c>
      <c r="I859" s="74">
        <f>'12-2017'!I920</f>
        <v>0</v>
      </c>
      <c r="J859" s="74">
        <f>'12-2017'!J920</f>
        <v>0</v>
      </c>
    </row>
    <row r="860" spans="1:10" s="58" customFormat="1" ht="17.25" hidden="1">
      <c r="A860" s="10">
        <f>'12-2017'!A921</f>
        <v>10</v>
      </c>
      <c r="B860" s="11" t="str">
        <f>'12-2017'!B921</f>
        <v>Bột Sanda nội thất (40kg)</v>
      </c>
      <c r="C860" s="12" t="str">
        <f>'12-2017'!C921</f>
        <v>đ/kg</v>
      </c>
      <c r="D860" s="13">
        <f>'12-2017'!O921</f>
        <v>5625</v>
      </c>
      <c r="E860" s="13">
        <f>'12-2017'!P921</f>
        <v>5625</v>
      </c>
      <c r="F860" s="130">
        <f t="shared" si="37"/>
        <v>0</v>
      </c>
      <c r="G860" s="73"/>
      <c r="H860" s="74">
        <f>'12-2017'!H921</f>
        <v>0</v>
      </c>
      <c r="I860" s="74">
        <f>'12-2017'!I921</f>
        <v>0</v>
      </c>
      <c r="J860" s="74">
        <f>'12-2017'!J921</f>
        <v>0</v>
      </c>
    </row>
    <row r="861" spans="1:10" s="58" customFormat="1" ht="17.25" hidden="1">
      <c r="A861" s="10">
        <f>'12-2017'!A922</f>
        <v>11</v>
      </c>
      <c r="B861" s="11" t="str">
        <f>'12-2017'!B922</f>
        <v>Bột Sanda ngoại thất (40kg)</v>
      </c>
      <c r="C861" s="12" t="str">
        <f>'12-2017'!C922</f>
        <v>đ/kg</v>
      </c>
      <c r="D861" s="13">
        <f>'12-2017'!O922</f>
        <v>6625</v>
      </c>
      <c r="E861" s="13">
        <f>'12-2017'!P922</f>
        <v>6625</v>
      </c>
      <c r="F861" s="130">
        <f t="shared" si="37"/>
        <v>0</v>
      </c>
      <c r="G861" s="73"/>
      <c r="H861" s="74">
        <f>'12-2017'!H922</f>
        <v>0</v>
      </c>
      <c r="I861" s="74">
        <f>'12-2017'!I922</f>
        <v>0</v>
      </c>
      <c r="J861" s="74">
        <f>'12-2017'!J922</f>
        <v>0</v>
      </c>
    </row>
    <row r="862" spans="1:10" s="73" customFormat="1" ht="47.25" customHeight="1">
      <c r="A862" s="17"/>
      <c r="B862" s="237" t="str">
        <f>'12-2017'!B923</f>
        <v>Sơn MAXICALI, EVEREST &amp; SHERWI-WILLIAMS các loại: Công ty cổ phần TDD Việt Nam (506 Lê Văn Nhung, P.Thới An, quận 12, TP.HCM) áp dụng giá từ ngày 01/6/2017</v>
      </c>
      <c r="C862" s="238"/>
      <c r="D862" s="238"/>
      <c r="E862" s="238"/>
      <c r="F862" s="239"/>
      <c r="H862" s="74">
        <f>'12-2017'!H923</f>
        <v>0</v>
      </c>
      <c r="I862" s="74">
        <f>'12-2017'!I923</f>
        <v>0</v>
      </c>
      <c r="J862" s="74">
        <f>'12-2017'!J923</f>
        <v>0</v>
      </c>
    </row>
    <row r="863" spans="1:10" s="73" customFormat="1" ht="17.25" hidden="1">
      <c r="A863" s="17"/>
      <c r="B863" s="9" t="str">
        <f>'12-2017'!B924</f>
        <v>Sơn nhãn hiệu MAIXCALI</v>
      </c>
      <c r="C863" s="8"/>
      <c r="D863" s="22"/>
      <c r="E863" s="22"/>
      <c r="F863" s="131"/>
      <c r="H863" s="74">
        <f>'12-2017'!H924</f>
        <v>0</v>
      </c>
      <c r="I863" s="74">
        <f>'12-2017'!I924</f>
        <v>0</v>
      </c>
      <c r="J863" s="74">
        <f>'12-2017'!J924</f>
        <v>0</v>
      </c>
    </row>
    <row r="864" spans="1:10" s="58" customFormat="1" ht="17.25" hidden="1">
      <c r="A864" s="10">
        <f>'12-2017'!A925</f>
        <v>1</v>
      </c>
      <c r="B864" s="11" t="str">
        <f>'12-2017'!B925</f>
        <v>Sơn nội thất Cali Extra (thùng 18 lít-25,56 kg)</v>
      </c>
      <c r="C864" s="12" t="str">
        <f>'12-2017'!C925</f>
        <v>đ/kg</v>
      </c>
      <c r="D864" s="13">
        <f>'12-2017'!O925</f>
        <v>59664</v>
      </c>
      <c r="E864" s="13">
        <f>'12-2017'!P925</f>
        <v>59664</v>
      </c>
      <c r="F864" s="130">
        <f t="shared" ref="F864:F870" si="38">E864-D864</f>
        <v>0</v>
      </c>
      <c r="G864" s="73"/>
      <c r="H864" s="74">
        <f>'12-2017'!H925</f>
        <v>0</v>
      </c>
      <c r="I864" s="74">
        <f>'12-2017'!I925</f>
        <v>0</v>
      </c>
      <c r="J864" s="74">
        <f>'12-2017'!J925</f>
        <v>0</v>
      </c>
    </row>
    <row r="865" spans="1:10" s="58" customFormat="1" ht="17.25" hidden="1">
      <c r="A865" s="10">
        <f>'12-2017'!A926</f>
        <v>2</v>
      </c>
      <c r="B865" s="11" t="str">
        <f>'12-2017'!B926</f>
        <v>Sơn nước nội thất Maixicali (thùng 25,38 kg)</v>
      </c>
      <c r="C865" s="12" t="str">
        <f>'12-2017'!C926</f>
        <v>đ/kg</v>
      </c>
      <c r="D865" s="13">
        <f>'12-2017'!O926</f>
        <v>37431</v>
      </c>
      <c r="E865" s="13">
        <f>'12-2017'!P926</f>
        <v>37431</v>
      </c>
      <c r="F865" s="130">
        <f t="shared" si="38"/>
        <v>0</v>
      </c>
      <c r="G865" s="73"/>
      <c r="H865" s="74">
        <f>'12-2017'!H926</f>
        <v>0</v>
      </c>
      <c r="I865" s="74">
        <f>'12-2017'!I926</f>
        <v>0</v>
      </c>
      <c r="J865" s="74">
        <f>'12-2017'!J926</f>
        <v>0</v>
      </c>
    </row>
    <row r="866" spans="1:10" s="58" customFormat="1" ht="17.25" hidden="1">
      <c r="A866" s="10">
        <f>'12-2017'!A927</f>
        <v>3</v>
      </c>
      <c r="B866" s="11" t="str">
        <f>'12-2017'!B927</f>
        <v>Sơn nước nội thất Maixicali siêu trắng (thùng 18 lít - 25,38kg)</v>
      </c>
      <c r="C866" s="12" t="str">
        <f>'12-2017'!C927</f>
        <v>đ/kg</v>
      </c>
      <c r="D866" s="13">
        <f>'12-2017'!O927</f>
        <v>37431</v>
      </c>
      <c r="E866" s="13">
        <f>'12-2017'!P927</f>
        <v>37431</v>
      </c>
      <c r="F866" s="130">
        <f t="shared" si="38"/>
        <v>0</v>
      </c>
      <c r="G866" s="73"/>
      <c r="H866" s="74">
        <f>'12-2017'!H927</f>
        <v>0</v>
      </c>
      <c r="I866" s="74">
        <f>'12-2017'!I927</f>
        <v>0</v>
      </c>
      <c r="J866" s="74">
        <f>'12-2017'!J927</f>
        <v>0</v>
      </c>
    </row>
    <row r="867" spans="1:10" s="58" customFormat="1" ht="17.25" hidden="1">
      <c r="A867" s="10">
        <f>'12-2017'!A928</f>
        <v>4</v>
      </c>
      <c r="B867" s="11" t="str">
        <f>'12-2017'!B928</f>
        <v>Sơn nội thất Pro Catex (thùng 17 lít - 23,67kg)</v>
      </c>
      <c r="C867" s="12" t="str">
        <f>'12-2017'!C928</f>
        <v>đ/kg</v>
      </c>
      <c r="D867" s="13">
        <f>'12-2017'!O928</f>
        <v>25699</v>
      </c>
      <c r="E867" s="13">
        <f>'12-2017'!P928</f>
        <v>25699</v>
      </c>
      <c r="F867" s="130">
        <f t="shared" si="38"/>
        <v>0</v>
      </c>
      <c r="G867" s="73"/>
      <c r="H867" s="74">
        <f>'12-2017'!H928</f>
        <v>0</v>
      </c>
      <c r="I867" s="74">
        <f>'12-2017'!I928</f>
        <v>0</v>
      </c>
      <c r="J867" s="74">
        <f>'12-2017'!J928</f>
        <v>0</v>
      </c>
    </row>
    <row r="868" spans="1:10" s="58" customFormat="1" ht="17.25" hidden="1">
      <c r="A868" s="10">
        <f>'12-2017'!A929</f>
        <v>5</v>
      </c>
      <c r="B868" s="11" t="str">
        <f>'12-2017'!B929</f>
        <v>Sơn nội thất Limo (thừng 17 lít-24,14kg)</v>
      </c>
      <c r="C868" s="12" t="str">
        <f>'12-2017'!C929</f>
        <v>đ/kg</v>
      </c>
      <c r="D868" s="13">
        <f>'12-2017'!O929</f>
        <v>23426</v>
      </c>
      <c r="E868" s="13">
        <f>'12-2017'!P929</f>
        <v>23426</v>
      </c>
      <c r="F868" s="130">
        <f t="shared" si="38"/>
        <v>0</v>
      </c>
      <c r="G868" s="73"/>
      <c r="H868" s="74">
        <f>'12-2017'!H929</f>
        <v>0</v>
      </c>
      <c r="I868" s="74">
        <f>'12-2017'!I929</f>
        <v>0</v>
      </c>
      <c r="J868" s="74">
        <f>'12-2017'!J929</f>
        <v>0</v>
      </c>
    </row>
    <row r="869" spans="1:10" s="58" customFormat="1" ht="17.25" hidden="1">
      <c r="A869" s="10">
        <f>'12-2017'!A930</f>
        <v>6</v>
      </c>
      <c r="B869" s="11" t="str">
        <f>'12-2017'!B930</f>
        <v>Sơn lót kháng kiềm nội thất, ngoại thất Maixicali Sealer (thùng 18 lít, 21,6kg)</v>
      </c>
      <c r="C869" s="12" t="str">
        <f>'12-2017'!C930</f>
        <v>đ/kg</v>
      </c>
      <c r="D869" s="13">
        <f>'12-2017'!O930</f>
        <v>64815</v>
      </c>
      <c r="E869" s="13">
        <f>'12-2017'!P930</f>
        <v>64815</v>
      </c>
      <c r="F869" s="130">
        <f t="shared" si="38"/>
        <v>0</v>
      </c>
      <c r="G869" s="73"/>
      <c r="H869" s="74">
        <f>'12-2017'!H930</f>
        <v>0</v>
      </c>
      <c r="I869" s="74">
        <f>'12-2017'!I930</f>
        <v>0</v>
      </c>
      <c r="J869" s="74">
        <f>'12-2017'!J930</f>
        <v>0</v>
      </c>
    </row>
    <row r="870" spans="1:10" s="58" customFormat="1" ht="17.25" hidden="1">
      <c r="A870" s="10">
        <f>'12-2017'!A931</f>
        <v>7</v>
      </c>
      <c r="B870" s="11" t="str">
        <f>'12-2017'!B931</f>
        <v>Bột trét tường nội thất (bao 40 kg)</v>
      </c>
      <c r="C870" s="12" t="str">
        <f>'12-2017'!C931</f>
        <v>đ/kg</v>
      </c>
      <c r="D870" s="13">
        <f>'12-2017'!O931</f>
        <v>5228</v>
      </c>
      <c r="E870" s="13">
        <f>'12-2017'!P931</f>
        <v>5228</v>
      </c>
      <c r="F870" s="130">
        <f t="shared" si="38"/>
        <v>0</v>
      </c>
      <c r="G870" s="73"/>
      <c r="H870" s="74">
        <f>'12-2017'!H931</f>
        <v>0</v>
      </c>
      <c r="I870" s="74">
        <f>'12-2017'!I931</f>
        <v>0</v>
      </c>
      <c r="J870" s="74">
        <f>'12-2017'!J931</f>
        <v>0</v>
      </c>
    </row>
    <row r="871" spans="1:10" s="58" customFormat="1" ht="17.25" hidden="1">
      <c r="A871" s="10">
        <f>'12-2017'!A932</f>
        <v>8</v>
      </c>
      <c r="B871" s="11" t="str">
        <f>'12-2017'!B932</f>
        <v>Sơn ngoại thất Cali Extra (thùng 18 lít - 24,48kg)</v>
      </c>
      <c r="C871" s="12" t="str">
        <f>'12-2017'!C932</f>
        <v>đ/kg</v>
      </c>
      <c r="D871" s="13">
        <f>'12-2017'!O932</f>
        <v>87827</v>
      </c>
      <c r="E871" s="13">
        <f>'12-2017'!P932</f>
        <v>87827</v>
      </c>
      <c r="F871" s="130">
        <f t="shared" ref="F871:F876" si="39">E871-D871</f>
        <v>0</v>
      </c>
      <c r="G871" s="73"/>
      <c r="H871" s="74">
        <f>'12-2017'!H932</f>
        <v>0</v>
      </c>
      <c r="I871" s="74">
        <f>'12-2017'!I932</f>
        <v>0</v>
      </c>
      <c r="J871" s="74">
        <f>'12-2017'!J932</f>
        <v>0</v>
      </c>
    </row>
    <row r="872" spans="1:10" s="58" customFormat="1" ht="17.25" hidden="1">
      <c r="A872" s="10">
        <f>'12-2017'!A933</f>
        <v>9</v>
      </c>
      <c r="B872" s="11" t="str">
        <f>'12-2017'!B933</f>
        <v>Sơn ngoại thất Maxicali (thùng 18 lít - 24,3kg)</v>
      </c>
      <c r="C872" s="12" t="str">
        <f>'12-2017'!C933</f>
        <v>đ/kg</v>
      </c>
      <c r="D872" s="13">
        <f>'12-2017'!O933</f>
        <v>58025</v>
      </c>
      <c r="E872" s="13">
        <f>'12-2017'!P933</f>
        <v>58025</v>
      </c>
      <c r="F872" s="130">
        <f t="shared" si="39"/>
        <v>0</v>
      </c>
      <c r="G872" s="73"/>
      <c r="H872" s="74">
        <f>'12-2017'!H933</f>
        <v>0</v>
      </c>
      <c r="I872" s="74">
        <f>'12-2017'!I933</f>
        <v>0</v>
      </c>
      <c r="J872" s="74">
        <f>'12-2017'!J933</f>
        <v>0</v>
      </c>
    </row>
    <row r="873" spans="1:10" s="58" customFormat="1" ht="17.25" hidden="1">
      <c r="A873" s="10">
        <f>'12-2017'!A934</f>
        <v>10</v>
      </c>
      <c r="B873" s="11" t="str">
        <f>'12-2017'!B934</f>
        <v>Sơn ngoại thất Pro Catex (thùng 17 lít - 22,95kg)</v>
      </c>
      <c r="C873" s="12" t="str">
        <f>'12-2017'!C934</f>
        <v>đ/kg</v>
      </c>
      <c r="D873" s="13">
        <f>'12-2017'!O934</f>
        <v>53595</v>
      </c>
      <c r="E873" s="13">
        <f>'12-2017'!P934</f>
        <v>53595</v>
      </c>
      <c r="F873" s="130">
        <f t="shared" si="39"/>
        <v>0</v>
      </c>
      <c r="G873" s="73"/>
      <c r="H873" s="74">
        <f>'12-2017'!H934</f>
        <v>0</v>
      </c>
      <c r="I873" s="74">
        <f>'12-2017'!I934</f>
        <v>0</v>
      </c>
      <c r="J873" s="74">
        <f>'12-2017'!J934</f>
        <v>0</v>
      </c>
    </row>
    <row r="874" spans="1:10" s="58" customFormat="1" ht="17.25" hidden="1">
      <c r="A874" s="10">
        <f>'12-2017'!A935</f>
        <v>11</v>
      </c>
      <c r="B874" s="11" t="str">
        <f>'12-2017'!B935</f>
        <v>Bột trét tường ngoại thất Maxicali (bao 40kg)</v>
      </c>
      <c r="C874" s="12" t="str">
        <f>'12-2017'!C935</f>
        <v>đ/kg</v>
      </c>
      <c r="D874" s="13">
        <f>'12-2017'!O935</f>
        <v>6000</v>
      </c>
      <c r="E874" s="13">
        <f>'12-2017'!P935</f>
        <v>6000</v>
      </c>
      <c r="F874" s="130">
        <f t="shared" si="39"/>
        <v>0</v>
      </c>
      <c r="G874" s="73"/>
      <c r="H874" s="74">
        <f>'12-2017'!H935</f>
        <v>0</v>
      </c>
      <c r="I874" s="74">
        <f>'12-2017'!I935</f>
        <v>0</v>
      </c>
      <c r="J874" s="74">
        <f>'12-2017'!J935</f>
        <v>0</v>
      </c>
    </row>
    <row r="875" spans="1:10" s="58" customFormat="1" ht="17.25" hidden="1">
      <c r="A875" s="10">
        <f>'12-2017'!A936</f>
        <v>0</v>
      </c>
      <c r="B875" s="11" t="str">
        <f>'12-2017'!B936</f>
        <v>Sơn nhãn hiệu EVEREST</v>
      </c>
      <c r="C875" s="12">
        <f>'12-2017'!C936</f>
        <v>0</v>
      </c>
      <c r="D875" s="13">
        <f>'12-2017'!O936</f>
        <v>0</v>
      </c>
      <c r="E875" s="13">
        <f>'12-2017'!P936</f>
        <v>0</v>
      </c>
      <c r="F875" s="130">
        <f t="shared" si="39"/>
        <v>0</v>
      </c>
      <c r="G875" s="73"/>
      <c r="H875" s="74">
        <f>'12-2017'!H936</f>
        <v>0</v>
      </c>
      <c r="I875" s="74">
        <f>'12-2017'!I936</f>
        <v>0</v>
      </c>
      <c r="J875" s="74">
        <f>'12-2017'!J936</f>
        <v>0</v>
      </c>
    </row>
    <row r="876" spans="1:10" s="58" customFormat="1" ht="17.25" hidden="1">
      <c r="A876" s="10">
        <f>'12-2017'!A937</f>
        <v>1</v>
      </c>
      <c r="B876" s="11" t="str">
        <f>'12-2017'!B937</f>
        <v>Sơn nước ngoại thất Tropc Đen (thùng 18 lít-11,8kg)</v>
      </c>
      <c r="C876" s="12" t="str">
        <f>'12-2017'!C937</f>
        <v>đ/kg</v>
      </c>
      <c r="D876" s="13">
        <f>'12-2017'!O937</f>
        <v>216695</v>
      </c>
      <c r="E876" s="13">
        <f>'12-2017'!P937</f>
        <v>216695</v>
      </c>
      <c r="F876" s="130">
        <f t="shared" si="39"/>
        <v>0</v>
      </c>
      <c r="G876" s="73"/>
      <c r="H876" s="74">
        <f>'12-2017'!H937</f>
        <v>0</v>
      </c>
      <c r="I876" s="74">
        <f>'12-2017'!I937</f>
        <v>0</v>
      </c>
      <c r="J876" s="74">
        <f>'12-2017'!J937</f>
        <v>0</v>
      </c>
    </row>
    <row r="877" spans="1:10" s="58" customFormat="1" ht="17.25" hidden="1">
      <c r="A877" s="10">
        <f>'12-2017'!A938</f>
        <v>2</v>
      </c>
      <c r="B877" s="11" t="str">
        <f>'12-2017'!B938</f>
        <v>Sơn nước ngoại thất Tropc Vàng (thùng 5 lít-5,9kg)</v>
      </c>
      <c r="C877" s="12" t="str">
        <f>'12-2017'!C938</f>
        <v>đ/kg</v>
      </c>
      <c r="D877" s="13">
        <f>'12-2017'!O938</f>
        <v>212203</v>
      </c>
      <c r="E877" s="13">
        <f>'12-2017'!P938</f>
        <v>212203</v>
      </c>
      <c r="F877" s="130">
        <f t="shared" ref="F877:F888" si="40">E877-D877</f>
        <v>0</v>
      </c>
      <c r="G877" s="73"/>
      <c r="H877" s="74">
        <f>'12-2017'!H938</f>
        <v>0</v>
      </c>
      <c r="I877" s="74">
        <f>'12-2017'!I938</f>
        <v>0</v>
      </c>
      <c r="J877" s="74">
        <f>'12-2017'!J938</f>
        <v>0</v>
      </c>
    </row>
    <row r="878" spans="1:10" s="58" customFormat="1" ht="17.25" hidden="1">
      <c r="A878" s="10">
        <f>'12-2017'!A939</f>
        <v>3</v>
      </c>
      <c r="B878" s="11" t="str">
        <f>'12-2017'!B939</f>
        <v>Sơn lót kháng kiềm Tropic Sealer (thùng 18 lít - 26,68 kg)</v>
      </c>
      <c r="C878" s="12" t="str">
        <f>'12-2017'!C939</f>
        <v>đ/kg</v>
      </c>
      <c r="D878" s="13">
        <f>'12-2017'!O939</f>
        <v>135891</v>
      </c>
      <c r="E878" s="13">
        <f>'12-2017'!P939</f>
        <v>135891</v>
      </c>
      <c r="F878" s="130">
        <f t="shared" si="40"/>
        <v>0</v>
      </c>
      <c r="G878" s="73"/>
      <c r="H878" s="74">
        <f>'12-2017'!H939</f>
        <v>0</v>
      </c>
      <c r="I878" s="74">
        <f>'12-2017'!I939</f>
        <v>0</v>
      </c>
      <c r="J878" s="74">
        <f>'12-2017'!J939</f>
        <v>0</v>
      </c>
    </row>
    <row r="879" spans="1:10" s="58" customFormat="1" ht="17.25" hidden="1">
      <c r="A879" s="10">
        <f>'12-2017'!A940</f>
        <v>4</v>
      </c>
      <c r="B879" s="11" t="str">
        <f>'12-2017'!B940</f>
        <v>Sơn nước nội thất Everest Satin (thùng 15 lít - 18kg)</v>
      </c>
      <c r="C879" s="12" t="str">
        <f>'12-2017'!C940</f>
        <v>đ/kg</v>
      </c>
      <c r="D879" s="13">
        <f>'12-2017'!O940</f>
        <v>164444</v>
      </c>
      <c r="E879" s="13">
        <f>'12-2017'!P940</f>
        <v>164444</v>
      </c>
      <c r="F879" s="130">
        <f t="shared" si="40"/>
        <v>0</v>
      </c>
      <c r="G879" s="73"/>
      <c r="H879" s="74">
        <f>'12-2017'!H940</f>
        <v>0</v>
      </c>
      <c r="I879" s="74">
        <f>'12-2017'!I940</f>
        <v>0</v>
      </c>
      <c r="J879" s="74">
        <f>'12-2017'!J940</f>
        <v>0</v>
      </c>
    </row>
    <row r="880" spans="1:10" s="58" customFormat="1" ht="17.25" hidden="1">
      <c r="A880" s="10">
        <f>'12-2017'!A941</f>
        <v>5</v>
      </c>
      <c r="B880" s="11" t="str">
        <f>'12-2017'!B941</f>
        <v>Sơn nước nội thất Everest Silk (thùng 15 lít - 20,4kg)</v>
      </c>
      <c r="C880" s="12" t="str">
        <f>'12-2017'!C941</f>
        <v>đ/kg</v>
      </c>
      <c r="D880" s="13">
        <f>'12-2017'!O941</f>
        <v>93137</v>
      </c>
      <c r="E880" s="13">
        <f>'12-2017'!P941</f>
        <v>93137</v>
      </c>
      <c r="F880" s="130">
        <f t="shared" si="40"/>
        <v>0</v>
      </c>
      <c r="G880" s="73"/>
      <c r="H880" s="74">
        <f>'12-2017'!H941</f>
        <v>0</v>
      </c>
      <c r="I880" s="74">
        <f>'12-2017'!I941</f>
        <v>0</v>
      </c>
      <c r="J880" s="74">
        <f>'12-2017'!J941</f>
        <v>0</v>
      </c>
    </row>
    <row r="881" spans="1:10" s="58" customFormat="1" ht="17.25" hidden="1">
      <c r="A881" s="10">
        <f>'12-2017'!A942</f>
        <v>6</v>
      </c>
      <c r="B881" s="11" t="str">
        <f>'12-2017'!B942</f>
        <v>Sơn nước nội thất Everest Kid (thùng 10 lít - 12kg)</v>
      </c>
      <c r="C881" s="12" t="str">
        <f>'12-2017'!C942</f>
        <v>đ/kg</v>
      </c>
      <c r="D881" s="13">
        <f>'12-2017'!O942</f>
        <v>187750</v>
      </c>
      <c r="E881" s="13">
        <f>'12-2017'!P942</f>
        <v>187750</v>
      </c>
      <c r="F881" s="130">
        <f t="shared" si="40"/>
        <v>0</v>
      </c>
      <c r="G881" s="73"/>
      <c r="H881" s="74">
        <f>'12-2017'!H942</f>
        <v>0</v>
      </c>
      <c r="I881" s="74">
        <f>'12-2017'!I942</f>
        <v>0</v>
      </c>
      <c r="J881" s="74">
        <f>'12-2017'!J942</f>
        <v>0</v>
      </c>
    </row>
    <row r="882" spans="1:10" s="58" customFormat="1" ht="17.25" hidden="1">
      <c r="A882" s="10">
        <f>'12-2017'!A943</f>
        <v>7</v>
      </c>
      <c r="B882" s="11" t="str">
        <f>'12-2017'!B943</f>
        <v>Sơn nước ngoại thất Everest Bio (thùng 15 lít - 17,7kg)</v>
      </c>
      <c r="C882" s="12" t="str">
        <f>'12-2017'!C943</f>
        <v>đ/kg</v>
      </c>
      <c r="D882" s="13">
        <f>'12-2017'!O943</f>
        <v>208475</v>
      </c>
      <c r="E882" s="13">
        <f>'12-2017'!P943</f>
        <v>208475</v>
      </c>
      <c r="F882" s="130">
        <f t="shared" si="40"/>
        <v>0</v>
      </c>
      <c r="G882" s="73"/>
      <c r="H882" s="74">
        <f>'12-2017'!H943</f>
        <v>0</v>
      </c>
      <c r="I882" s="74">
        <f>'12-2017'!I943</f>
        <v>0</v>
      </c>
      <c r="J882" s="74">
        <f>'12-2017'!J943</f>
        <v>0</v>
      </c>
    </row>
    <row r="883" spans="1:10" s="58" customFormat="1" ht="17.25" hidden="1">
      <c r="A883" s="10">
        <f>'12-2017'!A944</f>
        <v>8</v>
      </c>
      <c r="B883" s="11" t="str">
        <f>'12-2017'!B944</f>
        <v>Sơn nước ngoại thất Everest Nano (thùng 15 lít - 18kg)</v>
      </c>
      <c r="C883" s="12" t="str">
        <f>'12-2017'!C944</f>
        <v>đ/kg</v>
      </c>
      <c r="D883" s="13">
        <f>'12-2017'!O944</f>
        <v>178333</v>
      </c>
      <c r="E883" s="13">
        <f>'12-2017'!P944</f>
        <v>178333</v>
      </c>
      <c r="F883" s="130">
        <f t="shared" si="40"/>
        <v>0</v>
      </c>
      <c r="G883" s="73"/>
      <c r="H883" s="74">
        <f>'12-2017'!H944</f>
        <v>0</v>
      </c>
      <c r="I883" s="74">
        <f>'12-2017'!I944</f>
        <v>0</v>
      </c>
      <c r="J883" s="74">
        <f>'12-2017'!J944</f>
        <v>0</v>
      </c>
    </row>
    <row r="884" spans="1:10" s="58" customFormat="1" ht="17.25" hidden="1">
      <c r="A884" s="10">
        <f>'12-2017'!A945</f>
        <v>9</v>
      </c>
      <c r="B884" s="11" t="str">
        <f>'12-2017'!B945</f>
        <v>Sơn lót kháng kiềm nội thất, ngoại thất Everest Plus Sealer (thùng 18 lít, 22,68kg)</v>
      </c>
      <c r="C884" s="12" t="str">
        <f>'12-2017'!C945</f>
        <v>đ/kg</v>
      </c>
      <c r="D884" s="13">
        <f>'12-2017'!O945</f>
        <v>135891</v>
      </c>
      <c r="E884" s="13">
        <f>'12-2017'!P945</f>
        <v>135891</v>
      </c>
      <c r="F884" s="130">
        <f t="shared" si="40"/>
        <v>0</v>
      </c>
      <c r="G884" s="73"/>
      <c r="H884" s="74">
        <f>'12-2017'!H945</f>
        <v>0</v>
      </c>
      <c r="I884" s="74">
        <f>'12-2017'!I945</f>
        <v>0</v>
      </c>
      <c r="J884" s="74">
        <f>'12-2017'!J945</f>
        <v>0</v>
      </c>
    </row>
    <row r="885" spans="1:10" s="58" customFormat="1" ht="17.25" hidden="1">
      <c r="A885" s="10">
        <f>'12-2017'!A946</f>
        <v>10</v>
      </c>
      <c r="B885" s="11" t="str">
        <f>'12-2017'!B946</f>
        <v>Sơn lót kháng kiềm nội thất Everest Sealer 3 in 1 (thùng 18 lít - 20,7kg)</v>
      </c>
      <c r="C885" s="12" t="str">
        <f>'12-2017'!C946</f>
        <v>đ/kg</v>
      </c>
      <c r="D885" s="13">
        <f>'12-2017'!O946</f>
        <v>79710</v>
      </c>
      <c r="E885" s="13">
        <f>'12-2017'!P946</f>
        <v>79710</v>
      </c>
      <c r="F885" s="130">
        <f t="shared" si="40"/>
        <v>0</v>
      </c>
      <c r="G885" s="73"/>
      <c r="H885" s="74">
        <f>'12-2017'!H946</f>
        <v>0</v>
      </c>
      <c r="I885" s="74">
        <f>'12-2017'!I946</f>
        <v>0</v>
      </c>
      <c r="J885" s="74">
        <f>'12-2017'!J946</f>
        <v>0</v>
      </c>
    </row>
    <row r="886" spans="1:10" s="58" customFormat="1" ht="17.25" hidden="1">
      <c r="A886" s="10">
        <f>'12-2017'!A947</f>
        <v>11</v>
      </c>
      <c r="B886" s="11" t="str">
        <f>'12-2017'!B947</f>
        <v>Sơn lót kháng kiềm ngoại thất Everest Sealer 3 in 1 (thùng 18 lít - 19,26kg)</v>
      </c>
      <c r="C886" s="12" t="str">
        <f>'12-2017'!C947</f>
        <v>đ/kg</v>
      </c>
      <c r="D886" s="13">
        <f>'12-2017'!O947</f>
        <v>121495</v>
      </c>
      <c r="E886" s="13">
        <f>'12-2017'!P947</f>
        <v>121495</v>
      </c>
      <c r="F886" s="130">
        <f t="shared" si="40"/>
        <v>0</v>
      </c>
      <c r="G886" s="73"/>
      <c r="H886" s="74">
        <f>'12-2017'!H947</f>
        <v>0</v>
      </c>
      <c r="I886" s="74">
        <f>'12-2017'!I947</f>
        <v>0</v>
      </c>
      <c r="J886" s="74">
        <f>'12-2017'!J947</f>
        <v>0</v>
      </c>
    </row>
    <row r="887" spans="1:10" s="58" customFormat="1" ht="17.25" hidden="1">
      <c r="A887" s="10">
        <f>'12-2017'!A948</f>
        <v>12</v>
      </c>
      <c r="B887" s="11" t="str">
        <f>'12-2017'!B948</f>
        <v>Sơn chống thấm đa năng Everest Sand (thùng 20kg)</v>
      </c>
      <c r="C887" s="12" t="str">
        <f>'12-2017'!C948</f>
        <v>đ/kg</v>
      </c>
      <c r="D887" s="13">
        <f>'12-2017'!O948</f>
        <v>105000</v>
      </c>
      <c r="E887" s="13">
        <f>'12-2017'!P948</f>
        <v>105000</v>
      </c>
      <c r="F887" s="130">
        <f t="shared" si="40"/>
        <v>0</v>
      </c>
      <c r="G887" s="73"/>
      <c r="H887" s="74">
        <f>'12-2017'!H948</f>
        <v>0</v>
      </c>
      <c r="I887" s="74">
        <f>'12-2017'!I948</f>
        <v>0</v>
      </c>
      <c r="J887" s="74">
        <f>'12-2017'!J948</f>
        <v>0</v>
      </c>
    </row>
    <row r="888" spans="1:10" s="58" customFormat="1" ht="17.25" hidden="1">
      <c r="A888" s="10">
        <f>'12-2017'!A949</f>
        <v>13</v>
      </c>
      <c r="B888" s="11" t="str">
        <f>'12-2017'!B949</f>
        <v>Bột trét tường nội thất Everest (bao 40kg)</v>
      </c>
      <c r="C888" s="12" t="str">
        <f>'12-2017'!C949</f>
        <v>đ/kg</v>
      </c>
      <c r="D888" s="13">
        <f>'12-2017'!O949</f>
        <v>9000</v>
      </c>
      <c r="E888" s="13">
        <f>'12-2017'!P949</f>
        <v>9000</v>
      </c>
      <c r="F888" s="130">
        <f t="shared" si="40"/>
        <v>0</v>
      </c>
      <c r="G888" s="73"/>
      <c r="H888" s="74">
        <f>'12-2017'!H949</f>
        <v>0</v>
      </c>
      <c r="I888" s="74">
        <f>'12-2017'!I949</f>
        <v>0</v>
      </c>
      <c r="J888" s="74">
        <f>'12-2017'!J949</f>
        <v>0</v>
      </c>
    </row>
    <row r="889" spans="1:10" s="58" customFormat="1" ht="17.25" hidden="1">
      <c r="A889" s="10">
        <f>'12-2017'!A950</f>
        <v>14</v>
      </c>
      <c r="B889" s="11" t="str">
        <f>'12-2017'!B950</f>
        <v>Bột trét tường ngoại thất Everest (bao 40kg)</v>
      </c>
      <c r="C889" s="12" t="str">
        <f>'12-2017'!C950</f>
        <v>đ/kg</v>
      </c>
      <c r="D889" s="13">
        <f>'12-2017'!O950</f>
        <v>10250</v>
      </c>
      <c r="E889" s="13">
        <f>'12-2017'!P950</f>
        <v>10250</v>
      </c>
      <c r="F889" s="130">
        <f>E889-D889</f>
        <v>0</v>
      </c>
      <c r="G889" s="73"/>
      <c r="H889" s="74">
        <f>'12-2017'!H950</f>
        <v>0</v>
      </c>
      <c r="I889" s="74">
        <f>'12-2017'!I950</f>
        <v>0</v>
      </c>
      <c r="J889" s="74">
        <f>'12-2017'!J950</f>
        <v>0</v>
      </c>
    </row>
    <row r="890" spans="1:10" s="58" customFormat="1" ht="17.25" hidden="1">
      <c r="A890" s="10">
        <f>'12-2017'!A951</f>
        <v>15</v>
      </c>
      <c r="B890" s="11" t="str">
        <f>'12-2017'!B951</f>
        <v>Bột trét tường nội, ngoại thất Everest Plus (bao 40kg)</v>
      </c>
      <c r="C890" s="12" t="str">
        <f>'12-2017'!C951</f>
        <v>đ/kg</v>
      </c>
      <c r="D890" s="13">
        <f>'12-2017'!O951</f>
        <v>12728</v>
      </c>
      <c r="E890" s="13">
        <f>'12-2017'!P951</f>
        <v>12728</v>
      </c>
      <c r="F890" s="130">
        <f>E890-D890</f>
        <v>0</v>
      </c>
      <c r="G890" s="73"/>
      <c r="H890" s="74">
        <f>'12-2017'!H951</f>
        <v>0</v>
      </c>
      <c r="I890" s="74">
        <f>'12-2017'!I951</f>
        <v>0</v>
      </c>
      <c r="J890" s="74">
        <f>'12-2017'!J951</f>
        <v>0</v>
      </c>
    </row>
    <row r="891" spans="1:10" s="73" customFormat="1" ht="17.25" hidden="1">
      <c r="A891" s="17"/>
      <c r="B891" s="9" t="str">
        <f>'12-2017'!B952</f>
        <v>Sơn nhãn hiệu SHERWIN-WILLIAMS</v>
      </c>
      <c r="C891" s="8"/>
      <c r="D891" s="22"/>
      <c r="E891" s="22"/>
      <c r="F891" s="131"/>
      <c r="H891" s="74">
        <f>'12-2017'!H952</f>
        <v>0</v>
      </c>
      <c r="I891" s="74">
        <f>'12-2017'!I952</f>
        <v>0</v>
      </c>
      <c r="J891" s="74">
        <f>'12-2017'!J952</f>
        <v>0</v>
      </c>
    </row>
    <row r="892" spans="1:10" s="58" customFormat="1" ht="17.25" hidden="1">
      <c r="A892" s="10">
        <f>'12-2017'!A953</f>
        <v>1</v>
      </c>
      <c r="B892" s="11" t="str">
        <f>'12-2017'!B953</f>
        <v>Sơn nước nội thất Promar 400 Eg-Shel (thùng 3,8 lít - 4,79kg)</v>
      </c>
      <c r="C892" s="12" t="str">
        <f>'12-2017'!C953</f>
        <v>đ/kg</v>
      </c>
      <c r="D892" s="13">
        <f>'12-2017'!O953</f>
        <v>203216</v>
      </c>
      <c r="E892" s="13">
        <f>'12-2017'!P953</f>
        <v>203216</v>
      </c>
      <c r="F892" s="130">
        <f>E892-D892</f>
        <v>0</v>
      </c>
      <c r="G892" s="73"/>
      <c r="H892" s="74">
        <f>'12-2017'!H953</f>
        <v>0</v>
      </c>
      <c r="I892" s="74">
        <f>'12-2017'!I953</f>
        <v>0</v>
      </c>
      <c r="J892" s="74">
        <f>'12-2017'!J953</f>
        <v>0</v>
      </c>
    </row>
    <row r="893" spans="1:10" s="58" customFormat="1" ht="17.25" hidden="1">
      <c r="A893" s="10">
        <f>'12-2017'!A954</f>
        <v>2</v>
      </c>
      <c r="B893" s="11" t="str">
        <f>'12-2017'!B954</f>
        <v>Sơn nước nội thất Superpaint (thùng 3,8 lít - 4,83kg)</v>
      </c>
      <c r="C893" s="12" t="str">
        <f>'12-2017'!C954</f>
        <v>đ/kg</v>
      </c>
      <c r="D893" s="13">
        <f>'12-2017'!O954</f>
        <v>290095</v>
      </c>
      <c r="E893" s="13">
        <f>'12-2017'!P954</f>
        <v>290095</v>
      </c>
      <c r="F893" s="130">
        <f t="shared" ref="F893:F900" si="41">E893-D893</f>
        <v>0</v>
      </c>
      <c r="G893" s="73"/>
      <c r="H893" s="74">
        <f>'12-2017'!H954</f>
        <v>0</v>
      </c>
      <c r="I893" s="74">
        <f>'12-2017'!I954</f>
        <v>0</v>
      </c>
      <c r="J893" s="74">
        <f>'12-2017'!J954</f>
        <v>0</v>
      </c>
    </row>
    <row r="894" spans="1:10" s="58" customFormat="1" ht="17.25" hidden="1">
      <c r="A894" s="10">
        <f>'12-2017'!A955</f>
        <v>3</v>
      </c>
      <c r="B894" s="11" t="str">
        <f>'12-2017'!B955</f>
        <v>Sơn nước nội thất Paint Shield (thùng 3,8 lít - 5,25kg)</v>
      </c>
      <c r="C894" s="12" t="str">
        <f>'12-2017'!C955</f>
        <v>đ/kg</v>
      </c>
      <c r="D894" s="13">
        <f>'12-2017'!O955</f>
        <v>905034</v>
      </c>
      <c r="E894" s="13">
        <f>'12-2017'!P955</f>
        <v>905034</v>
      </c>
      <c r="F894" s="130">
        <f t="shared" si="41"/>
        <v>0</v>
      </c>
      <c r="G894" s="73"/>
      <c r="H894" s="74">
        <f>'12-2017'!H955</f>
        <v>0</v>
      </c>
      <c r="I894" s="74">
        <f>'12-2017'!I955</f>
        <v>0</v>
      </c>
      <c r="J894" s="74">
        <f>'12-2017'!J955</f>
        <v>0</v>
      </c>
    </row>
    <row r="895" spans="1:10" s="58" customFormat="1" ht="17.25" hidden="1">
      <c r="A895" s="10">
        <f>'12-2017'!A956</f>
        <v>4</v>
      </c>
      <c r="B895" s="11" t="str">
        <f>'12-2017'!B956</f>
        <v>Sơn nước nội thất Sherlastic Elastomeric (thùng 3,8 lít- 4,9kg)</v>
      </c>
      <c r="C895" s="12" t="str">
        <f>'12-2017'!C956</f>
        <v>đ/kg</v>
      </c>
      <c r="D895" s="13">
        <f>'12-2017'!O956</f>
        <v>348837</v>
      </c>
      <c r="E895" s="13">
        <f>'12-2017'!P956</f>
        <v>348837</v>
      </c>
      <c r="F895" s="130">
        <f t="shared" si="41"/>
        <v>0</v>
      </c>
      <c r="G895" s="73"/>
      <c r="H895" s="74">
        <f>'12-2017'!H956</f>
        <v>0</v>
      </c>
      <c r="I895" s="74">
        <f>'12-2017'!I956</f>
        <v>0</v>
      </c>
      <c r="J895" s="74">
        <f>'12-2017'!J956</f>
        <v>0</v>
      </c>
    </row>
    <row r="896" spans="1:10" s="58" customFormat="1" ht="17.25" hidden="1">
      <c r="A896" s="10">
        <f>'12-2017'!A957</f>
        <v>5</v>
      </c>
      <c r="B896" s="11" t="str">
        <f>'12-2017'!B957</f>
        <v>Sơn nước ngoại thất bề mặt mờ Solo (thùng 3,8 lít - 5,02kg)</v>
      </c>
      <c r="C896" s="12" t="str">
        <f>'12-2017'!C957</f>
        <v>đ/kg</v>
      </c>
      <c r="D896" s="13">
        <f>'12-2017'!O957</f>
        <v>289075</v>
      </c>
      <c r="E896" s="13">
        <f>'12-2017'!P957</f>
        <v>289075</v>
      </c>
      <c r="F896" s="130">
        <f t="shared" si="41"/>
        <v>0</v>
      </c>
      <c r="G896" s="73"/>
      <c r="H896" s="74">
        <f>'12-2017'!H957</f>
        <v>0</v>
      </c>
      <c r="I896" s="74">
        <f>'12-2017'!I957</f>
        <v>0</v>
      </c>
      <c r="J896" s="74">
        <f>'12-2017'!J957</f>
        <v>0</v>
      </c>
    </row>
    <row r="897" spans="1:10" s="58" customFormat="1" ht="17.25" hidden="1">
      <c r="A897" s="10">
        <f>'12-2017'!A958</f>
        <v>6</v>
      </c>
      <c r="B897" s="11" t="str">
        <f>'12-2017'!B958</f>
        <v>Sơn nước ngoại thất bề mặt bóng Solo (thùng 3,8 lít - 4,48kg)</v>
      </c>
      <c r="C897" s="12" t="str">
        <f>'12-2017'!C958</f>
        <v>đ/kg</v>
      </c>
      <c r="D897" s="13">
        <f>'12-2017'!O958</f>
        <v>419715</v>
      </c>
      <c r="E897" s="13">
        <f>'12-2017'!P958</f>
        <v>419715</v>
      </c>
      <c r="F897" s="130">
        <f t="shared" si="41"/>
        <v>0</v>
      </c>
      <c r="G897" s="73"/>
      <c r="H897" s="74">
        <f>'12-2017'!H958</f>
        <v>0</v>
      </c>
      <c r="I897" s="74">
        <f>'12-2017'!I958</f>
        <v>0</v>
      </c>
      <c r="J897" s="74">
        <f>'12-2017'!J958</f>
        <v>0</v>
      </c>
    </row>
    <row r="898" spans="1:10" s="58" customFormat="1" ht="17.25" hidden="1">
      <c r="A898" s="10">
        <f>'12-2017'!A959</f>
        <v>7</v>
      </c>
      <c r="B898" s="11" t="str">
        <f>'12-2017'!B959</f>
        <v>Sơn nước ngoại thất Superpaint (thùng 3,8 lít - 4,48kg)</v>
      </c>
      <c r="C898" s="12" t="str">
        <f>'12-2017'!C959</f>
        <v>đ/kg</v>
      </c>
      <c r="D898" s="13">
        <f>'12-2017'!O959</f>
        <v>381155</v>
      </c>
      <c r="E898" s="13">
        <f>'12-2017'!P959</f>
        <v>381155</v>
      </c>
      <c r="F898" s="130">
        <f t="shared" si="41"/>
        <v>0</v>
      </c>
      <c r="G898" s="73"/>
      <c r="H898" s="74">
        <f>'12-2017'!H959</f>
        <v>0</v>
      </c>
      <c r="I898" s="74">
        <f>'12-2017'!I959</f>
        <v>0</v>
      </c>
      <c r="J898" s="74">
        <f>'12-2017'!J959</f>
        <v>0</v>
      </c>
    </row>
    <row r="899" spans="1:10" s="58" customFormat="1" ht="17.25" hidden="1">
      <c r="A899" s="10">
        <f>'12-2017'!A960</f>
        <v>8</v>
      </c>
      <c r="B899" s="11" t="str">
        <f>'12-2017'!B960</f>
        <v>Sơn lót kháng kiềm Quick Dry (thùng 3,8 lít - 4,75kg)</v>
      </c>
      <c r="C899" s="12" t="str">
        <f>'12-2017'!C960</f>
        <v>đ/kg</v>
      </c>
      <c r="D899" s="13">
        <f>'12-2017'!O960</f>
        <v>197263</v>
      </c>
      <c r="E899" s="13">
        <f>'12-2017'!P960</f>
        <v>197263</v>
      </c>
      <c r="F899" s="130">
        <f t="shared" si="41"/>
        <v>0</v>
      </c>
      <c r="G899" s="73"/>
      <c r="H899" s="74">
        <f>'12-2017'!H960</f>
        <v>0</v>
      </c>
      <c r="I899" s="74">
        <f>'12-2017'!I960</f>
        <v>0</v>
      </c>
      <c r="J899" s="74">
        <f>'12-2017'!J960</f>
        <v>0</v>
      </c>
    </row>
    <row r="900" spans="1:10" s="58" customFormat="1" ht="17.25" hidden="1">
      <c r="A900" s="10">
        <f>'12-2017'!A961</f>
        <v>9</v>
      </c>
      <c r="B900" s="11" t="str">
        <f>'12-2017'!B961</f>
        <v>Sơn lót kháng kiềm Loxon (thùng 3,8 lít - 4,83kg)</v>
      </c>
      <c r="C900" s="12" t="str">
        <f>'12-2017'!C961</f>
        <v>đ/kg</v>
      </c>
      <c r="D900" s="13">
        <f>'12-2017'!O961</f>
        <v>273518</v>
      </c>
      <c r="E900" s="13">
        <f>'12-2017'!P961</f>
        <v>273518</v>
      </c>
      <c r="F900" s="130">
        <f t="shared" si="41"/>
        <v>0</v>
      </c>
      <c r="G900" s="73"/>
      <c r="H900" s="74">
        <f>'12-2017'!H961</f>
        <v>0</v>
      </c>
      <c r="I900" s="74">
        <f>'12-2017'!I961</f>
        <v>0</v>
      </c>
      <c r="J900" s="74">
        <f>'12-2017'!J961</f>
        <v>0</v>
      </c>
    </row>
    <row r="901" spans="1:10" s="73" customFormat="1" ht="33" customHeight="1">
      <c r="A901" s="17"/>
      <c r="B901" s="237" t="str">
        <f>'12-2017'!B962</f>
        <v>Sơn trang trí các loại: Công ty TNHH MTV Thương Mại Dịch vụ Chí Nguyễn (số 01 Đường 30/4 P.Châu Phú B, TP.Châu Đốc) áp dụng giá từ ngày 01/6/2017</v>
      </c>
      <c r="C901" s="238"/>
      <c r="D901" s="238"/>
      <c r="E901" s="238"/>
      <c r="F901" s="239"/>
      <c r="H901" s="74">
        <f>'12-2017'!H962</f>
        <v>0</v>
      </c>
      <c r="I901" s="74">
        <f>'12-2017'!I962</f>
        <v>0</v>
      </c>
      <c r="J901" s="74">
        <f>'12-2017'!J962</f>
        <v>0</v>
      </c>
    </row>
    <row r="902" spans="1:10" s="58" customFormat="1" ht="17.25" hidden="1">
      <c r="A902" s="10">
        <f>'12-2017'!A963</f>
        <v>1</v>
      </c>
      <c r="B902" s="11" t="str">
        <f>'12-2017'!B963</f>
        <v>Sơn Kinh tế FLY màu INT thùng 5 kg</v>
      </c>
      <c r="C902" s="12" t="str">
        <f>'12-2017'!C963</f>
        <v>đ/kg</v>
      </c>
      <c r="D902" s="13">
        <f>'12-2017'!O963</f>
        <v>41090.909090909088</v>
      </c>
      <c r="E902" s="13">
        <f>'12-2017'!P963</f>
        <v>41090.909090909088</v>
      </c>
      <c r="F902" s="130">
        <f t="shared" ref="F902:F910" si="42">E902-D902</f>
        <v>0</v>
      </c>
      <c r="G902" s="73"/>
      <c r="H902" s="74">
        <f>'12-2017'!H963</f>
        <v>0</v>
      </c>
      <c r="I902" s="74">
        <f>'12-2017'!I963</f>
        <v>0</v>
      </c>
      <c r="J902" s="74">
        <f>'12-2017'!J963</f>
        <v>0</v>
      </c>
    </row>
    <row r="903" spans="1:10" s="58" customFormat="1" ht="17.25" hidden="1">
      <c r="A903" s="10">
        <f>'12-2017'!A964</f>
        <v>2</v>
      </c>
      <c r="B903" s="11" t="str">
        <f>'12-2017'!B964</f>
        <v>Sơn Kinh tế FLY màu INT thùng 18 kg</v>
      </c>
      <c r="C903" s="12" t="str">
        <f>'12-2017'!C964</f>
        <v>đ/kg</v>
      </c>
      <c r="D903" s="13">
        <f>'12-2017'!O964</f>
        <v>32525.454545454544</v>
      </c>
      <c r="E903" s="13">
        <f>'12-2017'!P964</f>
        <v>32525.454545454544</v>
      </c>
      <c r="F903" s="130">
        <f t="shared" si="42"/>
        <v>0</v>
      </c>
      <c r="G903" s="73"/>
      <c r="H903" s="74">
        <f>'12-2017'!H964</f>
        <v>0</v>
      </c>
      <c r="I903" s="74">
        <f>'12-2017'!I964</f>
        <v>0</v>
      </c>
      <c r="J903" s="74">
        <f>'12-2017'!J964</f>
        <v>0</v>
      </c>
    </row>
    <row r="904" spans="1:10" s="58" customFormat="1" ht="17.25" hidden="1">
      <c r="A904" s="10">
        <f>'12-2017'!A965</f>
        <v>3</v>
      </c>
      <c r="B904" s="11" t="str">
        <f>'12-2017'!B965</f>
        <v>Sơn Kinh tế FLY màu EXT thùng 5 kg</v>
      </c>
      <c r="C904" s="12" t="str">
        <f>'12-2017'!C965</f>
        <v>đ/kg</v>
      </c>
      <c r="D904" s="13">
        <f>'12-2017'!O965</f>
        <v>73454.545454545456</v>
      </c>
      <c r="E904" s="13">
        <f>'12-2017'!P965</f>
        <v>73454.545454545456</v>
      </c>
      <c r="F904" s="130">
        <f t="shared" si="42"/>
        <v>0</v>
      </c>
      <c r="G904" s="73"/>
      <c r="H904" s="74">
        <f>'12-2017'!H965</f>
        <v>0</v>
      </c>
      <c r="I904" s="74">
        <f>'12-2017'!I965</f>
        <v>0</v>
      </c>
      <c r="J904" s="74">
        <f>'12-2017'!J965</f>
        <v>0</v>
      </c>
    </row>
    <row r="905" spans="1:10" s="58" customFormat="1" ht="17.25" hidden="1">
      <c r="A905" s="10">
        <f>'12-2017'!A966</f>
        <v>4</v>
      </c>
      <c r="B905" s="11" t="str">
        <f>'12-2017'!B966</f>
        <v>Sơn Kinh tế FLY màu EXT thùng 18 kg</v>
      </c>
      <c r="C905" s="12" t="str">
        <f>'12-2017'!C966</f>
        <v>đ/kg</v>
      </c>
      <c r="D905" s="13">
        <f>'12-2017'!O966</f>
        <v>65050.909090909088</v>
      </c>
      <c r="E905" s="13">
        <f>'12-2017'!P966</f>
        <v>65050.909090909088</v>
      </c>
      <c r="F905" s="130">
        <f t="shared" si="42"/>
        <v>0</v>
      </c>
      <c r="G905" s="73"/>
      <c r="H905" s="74">
        <f>'12-2017'!H966</f>
        <v>0</v>
      </c>
      <c r="I905" s="74">
        <f>'12-2017'!I966</f>
        <v>0</v>
      </c>
      <c r="J905" s="74">
        <f>'12-2017'!J966</f>
        <v>0</v>
      </c>
    </row>
    <row r="906" spans="1:10" s="58" customFormat="1" ht="17.25" hidden="1">
      <c r="A906" s="10">
        <f>'12-2017'!A967</f>
        <v>5</v>
      </c>
      <c r="B906" s="11" t="str">
        <f>'12-2017'!B967</f>
        <v>Sơn phủ nội thất ONIP, MAX thùng 5kg</v>
      </c>
      <c r="C906" s="12" t="str">
        <f>'12-2017'!C967</f>
        <v>đ/kg</v>
      </c>
      <c r="D906" s="13">
        <f>'12-2017'!O967</f>
        <v>63272.727272727265</v>
      </c>
      <c r="E906" s="13">
        <f>'12-2017'!P967</f>
        <v>63272.727272727265</v>
      </c>
      <c r="F906" s="130">
        <f t="shared" si="42"/>
        <v>0</v>
      </c>
      <c r="G906" s="73"/>
      <c r="H906" s="74">
        <f>'12-2017'!H967</f>
        <v>0</v>
      </c>
      <c r="I906" s="74">
        <f>'12-2017'!I967</f>
        <v>0</v>
      </c>
      <c r="J906" s="74">
        <f>'12-2017'!J967</f>
        <v>0</v>
      </c>
    </row>
    <row r="907" spans="1:10" s="58" customFormat="1" ht="17.25" hidden="1">
      <c r="A907" s="10">
        <f>'12-2017'!A968</f>
        <v>6</v>
      </c>
      <c r="B907" s="11" t="str">
        <f>'12-2017'!B968</f>
        <v>Sơn phủ nội thất ONIP, MAX thùng 18kg</v>
      </c>
      <c r="C907" s="12" t="str">
        <f>'12-2017'!C968</f>
        <v>đ/kg</v>
      </c>
      <c r="D907" s="13">
        <f>'12-2017'!O968</f>
        <v>55151.818181818177</v>
      </c>
      <c r="E907" s="13">
        <f>'12-2017'!P968</f>
        <v>55151.818181818177</v>
      </c>
      <c r="F907" s="130">
        <f t="shared" si="42"/>
        <v>0</v>
      </c>
      <c r="G907" s="73"/>
      <c r="H907" s="74">
        <f>'12-2017'!H968</f>
        <v>0</v>
      </c>
      <c r="I907" s="74">
        <f>'12-2017'!I968</f>
        <v>0</v>
      </c>
      <c r="J907" s="74">
        <f>'12-2017'!J968</f>
        <v>0</v>
      </c>
    </row>
    <row r="908" spans="1:10" s="58" customFormat="1" ht="17.25" hidden="1">
      <c r="A908" s="10">
        <f>'12-2017'!A969</f>
        <v>7</v>
      </c>
      <c r="B908" s="11" t="str">
        <f>'12-2017'!B969</f>
        <v>Sơn phủ nội thất ONIP, PLUS thùng 5kg</v>
      </c>
      <c r="C908" s="12" t="str">
        <f>'12-2017'!C969</f>
        <v>đ/kg</v>
      </c>
      <c r="D908" s="13">
        <f>'12-2017'!O969</f>
        <v>75636.363636363632</v>
      </c>
      <c r="E908" s="13">
        <f>'12-2017'!P969</f>
        <v>75636.363636363632</v>
      </c>
      <c r="F908" s="130">
        <f t="shared" si="42"/>
        <v>0</v>
      </c>
      <c r="G908" s="73"/>
      <c r="H908" s="74">
        <f>'12-2017'!H969</f>
        <v>0</v>
      </c>
      <c r="I908" s="74">
        <f>'12-2017'!I969</f>
        <v>0</v>
      </c>
      <c r="J908" s="74">
        <f>'12-2017'!J969</f>
        <v>0</v>
      </c>
    </row>
    <row r="909" spans="1:10" s="58" customFormat="1" ht="17.25" hidden="1">
      <c r="A909" s="10">
        <f>'12-2017'!A970</f>
        <v>8</v>
      </c>
      <c r="B909" s="11" t="str">
        <f>'12-2017'!B970</f>
        <v>Sơn phủ nội thất ONIP, PLUS thùng 18kg</v>
      </c>
      <c r="C909" s="12" t="str">
        <f>'12-2017'!C970</f>
        <v>đ/kg</v>
      </c>
      <c r="D909" s="13">
        <f>'12-2017'!O970</f>
        <v>75252.727272727265</v>
      </c>
      <c r="E909" s="13">
        <f>'12-2017'!P970</f>
        <v>75252.727272727265</v>
      </c>
      <c r="F909" s="130">
        <f t="shared" si="42"/>
        <v>0</v>
      </c>
      <c r="G909" s="73"/>
      <c r="H909" s="74">
        <f>'12-2017'!H970</f>
        <v>0</v>
      </c>
      <c r="I909" s="74">
        <f>'12-2017'!I970</f>
        <v>0</v>
      </c>
      <c r="J909" s="74">
        <f>'12-2017'!J970</f>
        <v>0</v>
      </c>
    </row>
    <row r="910" spans="1:10" s="58" customFormat="1" ht="17.25" hidden="1">
      <c r="A910" s="10">
        <f>'12-2017'!A971</f>
        <v>9</v>
      </c>
      <c r="B910" s="11" t="str">
        <f>'12-2017'!B971</f>
        <v>Sơn phủ nội thất ONIP, ARCADIA MAT thùng 5kg</v>
      </c>
      <c r="C910" s="12" t="str">
        <f>'12-2017'!C971</f>
        <v>đ/kg</v>
      </c>
      <c r="D910" s="13">
        <f>'12-2017'!O971</f>
        <v>95999.999999999985</v>
      </c>
      <c r="E910" s="13">
        <f>'12-2017'!P971</f>
        <v>95999.999999999985</v>
      </c>
      <c r="F910" s="130">
        <f t="shared" si="42"/>
        <v>0</v>
      </c>
      <c r="G910" s="73"/>
      <c r="H910" s="74">
        <f>'12-2017'!H971</f>
        <v>0</v>
      </c>
      <c r="I910" s="74">
        <f>'12-2017'!I971</f>
        <v>0</v>
      </c>
      <c r="J910" s="74">
        <f>'12-2017'!J971</f>
        <v>0</v>
      </c>
    </row>
    <row r="911" spans="1:10" s="58" customFormat="1" ht="17.25" hidden="1">
      <c r="A911" s="10">
        <f>'12-2017'!A972</f>
        <v>10</v>
      </c>
      <c r="B911" s="11" t="str">
        <f>'12-2017'!B972</f>
        <v>Sơn phủ nội thất ONIP, ARCADIA MAT thùng 18kg</v>
      </c>
      <c r="C911" s="12" t="str">
        <f>'12-2017'!C972</f>
        <v>đ/kg</v>
      </c>
      <c r="D911" s="13">
        <f>'12-2017'!O972</f>
        <v>91211.818181818177</v>
      </c>
      <c r="E911" s="13">
        <f>'12-2017'!P972</f>
        <v>91211.818181818177</v>
      </c>
      <c r="F911" s="130">
        <f t="shared" ref="F911:F930" si="43">E911-D911</f>
        <v>0</v>
      </c>
      <c r="G911" s="73"/>
      <c r="H911" s="74">
        <f>'12-2017'!H972</f>
        <v>0</v>
      </c>
      <c r="I911" s="74">
        <f>'12-2017'!I972</f>
        <v>0</v>
      </c>
      <c r="J911" s="74">
        <f>'12-2017'!J972</f>
        <v>0</v>
      </c>
    </row>
    <row r="912" spans="1:10" s="58" customFormat="1" ht="17.25" hidden="1">
      <c r="A912" s="10">
        <f>'12-2017'!A973</f>
        <v>11</v>
      </c>
      <c r="B912" s="11" t="str">
        <f>'12-2017'!B973</f>
        <v>Sơn phủ nội thất ONIP, AQUA 50 MATT thùng 5kg</v>
      </c>
      <c r="C912" s="12" t="str">
        <f>'12-2017'!C973</f>
        <v>đ/kg</v>
      </c>
      <c r="D912" s="13">
        <f>'12-2017'!O973</f>
        <v>138545.45454545453</v>
      </c>
      <c r="E912" s="13">
        <f>'12-2017'!P973</f>
        <v>138545.45454545453</v>
      </c>
      <c r="F912" s="130">
        <f t="shared" si="43"/>
        <v>0</v>
      </c>
      <c r="G912" s="73"/>
      <c r="H912" s="74">
        <f>'12-2017'!H973</f>
        <v>0</v>
      </c>
      <c r="I912" s="74">
        <f>'12-2017'!I973</f>
        <v>0</v>
      </c>
      <c r="J912" s="74">
        <f>'12-2017'!J973</f>
        <v>0</v>
      </c>
    </row>
    <row r="913" spans="1:10" s="58" customFormat="1" ht="17.25" hidden="1">
      <c r="A913" s="10">
        <f>'12-2017'!A974</f>
        <v>12</v>
      </c>
      <c r="B913" s="11" t="str">
        <f>'12-2017'!B974</f>
        <v>Sơn phủ nội thất ONIP, AQUA 50 MATT thùng 18kg</v>
      </c>
      <c r="C913" s="12" t="str">
        <f>'12-2017'!C974</f>
        <v>đ/kg</v>
      </c>
      <c r="D913" s="13">
        <f>'12-2017'!O974</f>
        <v>131818.18181818179</v>
      </c>
      <c r="E913" s="13">
        <f>'12-2017'!P974</f>
        <v>131818.18181818179</v>
      </c>
      <c r="F913" s="130">
        <f t="shared" si="43"/>
        <v>0</v>
      </c>
      <c r="G913" s="73"/>
      <c r="H913" s="74">
        <f>'12-2017'!H974</f>
        <v>0</v>
      </c>
      <c r="I913" s="74">
        <f>'12-2017'!I974</f>
        <v>0</v>
      </c>
      <c r="J913" s="74">
        <f>'12-2017'!J974</f>
        <v>0</v>
      </c>
    </row>
    <row r="914" spans="1:10" s="58" customFormat="1" ht="17.25" hidden="1">
      <c r="A914" s="10">
        <f>'12-2017'!A975</f>
        <v>13</v>
      </c>
      <c r="B914" s="11" t="str">
        <f>'12-2017'!B975</f>
        <v>Sơn phủ nội thất ONIP, ARCADIA SATIN thùng 1kg</v>
      </c>
      <c r="C914" s="12" t="str">
        <f>'12-2017'!C975</f>
        <v>đ/kg</v>
      </c>
      <c r="D914" s="13">
        <f>'12-2017'!O975</f>
        <v>225454.54545454544</v>
      </c>
      <c r="E914" s="13">
        <f>'12-2017'!P975</f>
        <v>225454.54545454544</v>
      </c>
      <c r="F914" s="130">
        <f t="shared" si="43"/>
        <v>0</v>
      </c>
      <c r="G914" s="73"/>
      <c r="H914" s="74">
        <f>'12-2017'!H975</f>
        <v>0</v>
      </c>
      <c r="I914" s="74">
        <f>'12-2017'!I975</f>
        <v>0</v>
      </c>
      <c r="J914" s="74">
        <f>'12-2017'!J975</f>
        <v>0</v>
      </c>
    </row>
    <row r="915" spans="1:10" s="58" customFormat="1" ht="17.25" hidden="1">
      <c r="A915" s="10">
        <f>'12-2017'!A976</f>
        <v>14</v>
      </c>
      <c r="B915" s="11" t="str">
        <f>'12-2017'!B976</f>
        <v>Sơn phủ nội thất ONIP, ARCADIA SATIN thùng 5kg</v>
      </c>
      <c r="C915" s="12" t="str">
        <f>'12-2017'!C976</f>
        <v>đ/kg</v>
      </c>
      <c r="D915" s="13">
        <f>'12-2017'!O976</f>
        <v>206181.81818181818</v>
      </c>
      <c r="E915" s="13">
        <f>'12-2017'!P976</f>
        <v>206181.81818181818</v>
      </c>
      <c r="F915" s="130">
        <f t="shared" si="43"/>
        <v>0</v>
      </c>
      <c r="G915" s="73"/>
      <c r="H915" s="74">
        <f>'12-2017'!H976</f>
        <v>0</v>
      </c>
      <c r="I915" s="74">
        <f>'12-2017'!I976</f>
        <v>0</v>
      </c>
      <c r="J915" s="74">
        <f>'12-2017'!J976</f>
        <v>0</v>
      </c>
    </row>
    <row r="916" spans="1:10" s="58" customFormat="1" ht="17.25" hidden="1">
      <c r="A916" s="10">
        <f>'12-2017'!A977</f>
        <v>15</v>
      </c>
      <c r="B916" s="11" t="str">
        <f>'12-2017'!B977</f>
        <v>Sơn phủ nội thất ONIP, ARCADIA SATIN thùng 18kg</v>
      </c>
      <c r="C916" s="12" t="str">
        <f>'12-2017'!C977</f>
        <v>đ/kg</v>
      </c>
      <c r="D916" s="13">
        <f>'12-2017'!O977</f>
        <v>193636.36363636362</v>
      </c>
      <c r="E916" s="13">
        <f>'12-2017'!P977</f>
        <v>193636.36363636362</v>
      </c>
      <c r="F916" s="130">
        <f t="shared" si="43"/>
        <v>0</v>
      </c>
      <c r="G916" s="73"/>
      <c r="H916" s="74">
        <f>'12-2017'!H977</f>
        <v>0</v>
      </c>
      <c r="I916" s="74">
        <f>'12-2017'!I977</f>
        <v>0</v>
      </c>
      <c r="J916" s="74">
        <f>'12-2017'!J977</f>
        <v>0</v>
      </c>
    </row>
    <row r="917" spans="1:10" s="58" customFormat="1" ht="17.25" hidden="1">
      <c r="A917" s="10">
        <f>'12-2017'!A978</f>
        <v>16</v>
      </c>
      <c r="B917" s="11" t="str">
        <f>'12-2017'!B978</f>
        <v>Sơn phủ nội thất SUPER WHITE thùng 5kg</v>
      </c>
      <c r="C917" s="12" t="str">
        <f>'12-2017'!C978</f>
        <v>đ/kg</v>
      </c>
      <c r="D917" s="13">
        <f>'12-2017'!O978</f>
        <v>95999.999999999985</v>
      </c>
      <c r="E917" s="13">
        <f>'12-2017'!P978</f>
        <v>95999.999999999985</v>
      </c>
      <c r="F917" s="130">
        <f t="shared" si="43"/>
        <v>0</v>
      </c>
      <c r="G917" s="73"/>
      <c r="H917" s="74">
        <f>'12-2017'!H978</f>
        <v>0</v>
      </c>
      <c r="I917" s="74">
        <f>'12-2017'!I978</f>
        <v>0</v>
      </c>
      <c r="J917" s="74">
        <f>'12-2017'!J978</f>
        <v>0</v>
      </c>
    </row>
    <row r="918" spans="1:10" s="58" customFormat="1" ht="17.25" hidden="1">
      <c r="A918" s="10">
        <f>'12-2017'!A979</f>
        <v>17</v>
      </c>
      <c r="B918" s="11" t="str">
        <f>'12-2017'!B979</f>
        <v>Sơn phủ nội thất SUPER WHITE thùng 18kg</v>
      </c>
      <c r="C918" s="12" t="str">
        <f>'12-2017'!C979</f>
        <v>đ/kg</v>
      </c>
      <c r="D918" s="13">
        <f>'12-2017'!O979</f>
        <v>91211.818181818177</v>
      </c>
      <c r="E918" s="13">
        <f>'12-2017'!P979</f>
        <v>91211.818181818177</v>
      </c>
      <c r="F918" s="130">
        <f t="shared" si="43"/>
        <v>0</v>
      </c>
      <c r="G918" s="73"/>
      <c r="H918" s="74">
        <f>'12-2017'!H979</f>
        <v>0</v>
      </c>
      <c r="I918" s="74">
        <f>'12-2017'!I979</f>
        <v>0</v>
      </c>
      <c r="J918" s="74">
        <f>'12-2017'!J979</f>
        <v>0</v>
      </c>
    </row>
    <row r="919" spans="1:10" s="58" customFormat="1" ht="17.25" hidden="1">
      <c r="A919" s="10">
        <f>'12-2017'!A980</f>
        <v>18</v>
      </c>
      <c r="B919" s="11" t="str">
        <f>'12-2017'!B980</f>
        <v>Sơn phủ ngoại thất ONIP, RS thùng 01 kg</v>
      </c>
      <c r="C919" s="12" t="str">
        <f>'12-2017'!C980</f>
        <v>đ/kg</v>
      </c>
      <c r="D919" s="13">
        <f>'12-2017'!O980</f>
        <v>134545.45454545453</v>
      </c>
      <c r="E919" s="13">
        <f>'12-2017'!P980</f>
        <v>134545.45454545453</v>
      </c>
      <c r="F919" s="130">
        <f t="shared" si="43"/>
        <v>0</v>
      </c>
      <c r="G919" s="73"/>
      <c r="H919" s="74">
        <f>'12-2017'!H980</f>
        <v>0</v>
      </c>
      <c r="I919" s="74">
        <f>'12-2017'!I980</f>
        <v>0</v>
      </c>
      <c r="J919" s="74">
        <f>'12-2017'!J980</f>
        <v>0</v>
      </c>
    </row>
    <row r="920" spans="1:10" s="58" customFormat="1" ht="17.25" hidden="1">
      <c r="A920" s="10">
        <f>'12-2017'!A981</f>
        <v>19</v>
      </c>
      <c r="B920" s="11" t="str">
        <f>'12-2017'!B981</f>
        <v>Sơn phủ ngoại thất ONIP, RS thùng 05 kg</v>
      </c>
      <c r="C920" s="12" t="str">
        <f>'12-2017'!C981</f>
        <v>đ/kg</v>
      </c>
      <c r="D920" s="13">
        <f>'12-2017'!O981</f>
        <v>122909.0909090909</v>
      </c>
      <c r="E920" s="13">
        <f>'12-2017'!P981</f>
        <v>122909.0909090909</v>
      </c>
      <c r="F920" s="130">
        <f t="shared" si="43"/>
        <v>0</v>
      </c>
      <c r="G920" s="73"/>
      <c r="H920" s="74">
        <f>'12-2017'!H981</f>
        <v>0</v>
      </c>
      <c r="I920" s="74">
        <f>'12-2017'!I981</f>
        <v>0</v>
      </c>
      <c r="J920" s="74">
        <f>'12-2017'!J981</f>
        <v>0</v>
      </c>
    </row>
    <row r="921" spans="1:10" s="58" customFormat="1" ht="17.25" hidden="1">
      <c r="A921" s="10">
        <f>'12-2017'!A982</f>
        <v>20</v>
      </c>
      <c r="B921" s="11" t="str">
        <f>'12-2017'!B982</f>
        <v>Sơn phủ ngoại thất ONIP, RS thùng 18 kg</v>
      </c>
      <c r="C921" s="12" t="str">
        <f>'12-2017'!C982</f>
        <v>đ/kg</v>
      </c>
      <c r="D921" s="13">
        <f>'12-2017'!O982</f>
        <v>113232.72727272726</v>
      </c>
      <c r="E921" s="13">
        <f>'12-2017'!P982</f>
        <v>113232.72727272726</v>
      </c>
      <c r="F921" s="130">
        <f t="shared" si="43"/>
        <v>0</v>
      </c>
      <c r="G921" s="73"/>
      <c r="H921" s="74">
        <f>'12-2017'!H982</f>
        <v>0</v>
      </c>
      <c r="I921" s="74">
        <f>'12-2017'!I982</f>
        <v>0</v>
      </c>
      <c r="J921" s="74">
        <f>'12-2017'!J982</f>
        <v>0</v>
      </c>
    </row>
    <row r="922" spans="1:10" s="58" customFormat="1" ht="17.25" hidden="1">
      <c r="A922" s="10">
        <f>'12-2017'!A983</f>
        <v>21</v>
      </c>
      <c r="B922" s="11" t="str">
        <f>'12-2017'!B983</f>
        <v>Sơn phủ ngoại thất ONIP, XP thùng 01 kg</v>
      </c>
      <c r="C922" s="12" t="str">
        <f>'12-2017'!C983</f>
        <v>đ/kg</v>
      </c>
      <c r="D922" s="13">
        <f>'12-2017'!O983</f>
        <v>210909.09090909088</v>
      </c>
      <c r="E922" s="13">
        <f>'12-2017'!P983</f>
        <v>210909.09090909088</v>
      </c>
      <c r="F922" s="130">
        <f t="shared" si="43"/>
        <v>0</v>
      </c>
      <c r="G922" s="73"/>
      <c r="H922" s="74">
        <f>'12-2017'!H983</f>
        <v>0</v>
      </c>
      <c r="I922" s="74">
        <f>'12-2017'!I983</f>
        <v>0</v>
      </c>
      <c r="J922" s="74">
        <f>'12-2017'!J983</f>
        <v>0</v>
      </c>
    </row>
    <row r="923" spans="1:10" s="58" customFormat="1" ht="17.25" hidden="1">
      <c r="A923" s="10">
        <f>'12-2017'!A984</f>
        <v>22</v>
      </c>
      <c r="B923" s="11" t="str">
        <f>'12-2017'!B984</f>
        <v>Sơn phủ ngoại thất ONIP, XP thùng 05 kg</v>
      </c>
      <c r="C923" s="12" t="str">
        <f>'12-2017'!C984</f>
        <v>đ/kg</v>
      </c>
      <c r="D923" s="13">
        <f>'12-2017'!O984</f>
        <v>173818.18181818179</v>
      </c>
      <c r="E923" s="13">
        <f>'12-2017'!P984</f>
        <v>173818.18181818179</v>
      </c>
      <c r="F923" s="130">
        <f t="shared" si="43"/>
        <v>0</v>
      </c>
      <c r="G923" s="73"/>
      <c r="H923" s="74">
        <f>'12-2017'!H984</f>
        <v>0</v>
      </c>
      <c r="I923" s="74">
        <f>'12-2017'!I984</f>
        <v>0</v>
      </c>
      <c r="J923" s="74">
        <f>'12-2017'!J984</f>
        <v>0</v>
      </c>
    </row>
    <row r="924" spans="1:10" s="58" customFormat="1" ht="17.25" hidden="1">
      <c r="A924" s="10">
        <f>'12-2017'!A985</f>
        <v>23</v>
      </c>
      <c r="B924" s="11" t="str">
        <f>'12-2017'!B985</f>
        <v>Sơn phủ ngoại thất ONIP, XP thùng 18 kg</v>
      </c>
      <c r="C924" s="12" t="str">
        <f>'12-2017'!C985</f>
        <v>đ/kg</v>
      </c>
      <c r="D924" s="13">
        <f>'12-2017'!O985</f>
        <v>173130.90909090909</v>
      </c>
      <c r="E924" s="13">
        <f>'12-2017'!P985</f>
        <v>173130.90909090909</v>
      </c>
      <c r="F924" s="130">
        <f t="shared" si="43"/>
        <v>0</v>
      </c>
      <c r="G924" s="73"/>
      <c r="H924" s="74">
        <f>'12-2017'!H985</f>
        <v>0</v>
      </c>
      <c r="I924" s="74">
        <f>'12-2017'!I985</f>
        <v>0</v>
      </c>
      <c r="J924" s="74">
        <f>'12-2017'!J985</f>
        <v>0</v>
      </c>
    </row>
    <row r="925" spans="1:10" s="58" customFormat="1" ht="17.25" hidden="1">
      <c r="A925" s="10">
        <f>'12-2017'!A986</f>
        <v>24</v>
      </c>
      <c r="B925" s="11" t="str">
        <f>'12-2017'!B986</f>
        <v>Sơn phủ ngoại thất ONIP, OPACRYL SATIN thùng 01 kg</v>
      </c>
      <c r="C925" s="12" t="str">
        <f>'12-2017'!C986</f>
        <v>đ/kg</v>
      </c>
      <c r="D925" s="13">
        <f>'12-2017'!O986</f>
        <v>298181.81818181818</v>
      </c>
      <c r="E925" s="13">
        <f>'12-2017'!P986</f>
        <v>298181.81818181818</v>
      </c>
      <c r="F925" s="130">
        <f t="shared" si="43"/>
        <v>0</v>
      </c>
      <c r="G925" s="73"/>
      <c r="H925" s="74">
        <f>'12-2017'!H986</f>
        <v>0</v>
      </c>
      <c r="I925" s="74">
        <f>'12-2017'!I986</f>
        <v>0</v>
      </c>
      <c r="J925" s="74">
        <f>'12-2017'!J986</f>
        <v>0</v>
      </c>
    </row>
    <row r="926" spans="1:10" s="58" customFormat="1" ht="17.25" hidden="1">
      <c r="A926" s="10">
        <f>'12-2017'!A987</f>
        <v>25</v>
      </c>
      <c r="B926" s="11" t="str">
        <f>'12-2017'!B987</f>
        <v>Sơn phủ ngoại thất ONIP, OPACRYL SATIN thùng 5 lít</v>
      </c>
      <c r="C926" s="12" t="str">
        <f>'12-2017'!C987</f>
        <v>đ/kg</v>
      </c>
      <c r="D926" s="13">
        <f>'12-2017'!O987</f>
        <v>283636.36363636359</v>
      </c>
      <c r="E926" s="13">
        <f>'12-2017'!P987</f>
        <v>283636.36363636359</v>
      </c>
      <c r="F926" s="130">
        <f t="shared" si="43"/>
        <v>0</v>
      </c>
      <c r="G926" s="73"/>
      <c r="H926" s="74">
        <f>'12-2017'!H987</f>
        <v>0</v>
      </c>
      <c r="I926" s="74">
        <f>'12-2017'!I987</f>
        <v>0</v>
      </c>
      <c r="J926" s="74">
        <f>'12-2017'!J987</f>
        <v>0</v>
      </c>
    </row>
    <row r="927" spans="1:10" s="58" customFormat="1" ht="17.25" hidden="1">
      <c r="A927" s="10">
        <f>'12-2017'!A988</f>
        <v>26</v>
      </c>
      <c r="B927" s="11" t="str">
        <f>'12-2017'!B988</f>
        <v>Sơn phủ ngoại thất ONIP, SUPER SHINY thùng 01 kg</v>
      </c>
      <c r="C927" s="12" t="str">
        <f>'12-2017'!C988</f>
        <v>đ/kg</v>
      </c>
      <c r="D927" s="13">
        <f>'12-2017'!O988</f>
        <v>354545.45454545453</v>
      </c>
      <c r="E927" s="13">
        <f>'12-2017'!P988</f>
        <v>354545.45454545453</v>
      </c>
      <c r="F927" s="130">
        <f t="shared" si="43"/>
        <v>0</v>
      </c>
      <c r="G927" s="73"/>
      <c r="H927" s="74">
        <f>'12-2017'!H988</f>
        <v>0</v>
      </c>
      <c r="I927" s="74">
        <f>'12-2017'!I988</f>
        <v>0</v>
      </c>
      <c r="J927" s="74">
        <f>'12-2017'!J988</f>
        <v>0</v>
      </c>
    </row>
    <row r="928" spans="1:10" s="58" customFormat="1" ht="17.25" hidden="1">
      <c r="A928" s="10">
        <f>'12-2017'!A989</f>
        <v>27</v>
      </c>
      <c r="B928" s="11" t="str">
        <f>'12-2017'!B989</f>
        <v>Sơn phủ ngoại thất ONIP, SUPER SHINY thùng 5 lít</v>
      </c>
      <c r="C928" s="12" t="str">
        <f>'12-2017'!C989</f>
        <v>đ/kg</v>
      </c>
      <c r="D928" s="13">
        <f>'12-2017'!O989</f>
        <v>332727.27272727271</v>
      </c>
      <c r="E928" s="13">
        <f>'12-2017'!P989</f>
        <v>332727.27272727271</v>
      </c>
      <c r="F928" s="130">
        <f t="shared" si="43"/>
        <v>0</v>
      </c>
      <c r="G928" s="73"/>
      <c r="H928" s="74">
        <f>'12-2017'!H989</f>
        <v>0</v>
      </c>
      <c r="I928" s="74">
        <f>'12-2017'!I989</f>
        <v>0</v>
      </c>
      <c r="J928" s="74">
        <f>'12-2017'!J989</f>
        <v>0</v>
      </c>
    </row>
    <row r="929" spans="1:10" s="58" customFormat="1" ht="17.25" hidden="1">
      <c r="A929" s="10">
        <f>'12-2017'!A990</f>
        <v>28</v>
      </c>
      <c r="B929" s="11" t="str">
        <f>'12-2017'!B990</f>
        <v>Sơn lót FLY thùng 04kg</v>
      </c>
      <c r="C929" s="12" t="str">
        <f>'12-2017'!C990</f>
        <v>đ/kg</v>
      </c>
      <c r="D929" s="13">
        <f>'12-2017'!O990</f>
        <v>81818.181818181809</v>
      </c>
      <c r="E929" s="13">
        <f>'12-2017'!P990</f>
        <v>81818.181818181809</v>
      </c>
      <c r="F929" s="130">
        <f t="shared" si="43"/>
        <v>0</v>
      </c>
      <c r="G929" s="73"/>
      <c r="H929" s="74">
        <f>'12-2017'!H990</f>
        <v>0</v>
      </c>
      <c r="I929" s="74">
        <f>'12-2017'!I990</f>
        <v>0</v>
      </c>
      <c r="J929" s="74">
        <f>'12-2017'!J990</f>
        <v>0</v>
      </c>
    </row>
    <row r="930" spans="1:10" s="58" customFormat="1" ht="17.25" hidden="1">
      <c r="A930" s="10">
        <f>'12-2017'!A991</f>
        <v>29</v>
      </c>
      <c r="B930" s="11" t="str">
        <f>'12-2017'!B991</f>
        <v>Sơn lót FLY thùng 05kg</v>
      </c>
      <c r="C930" s="12" t="str">
        <f>'12-2017'!C991</f>
        <v>đ/kg</v>
      </c>
      <c r="D930" s="13">
        <f>'12-2017'!O991</f>
        <v>81454.545454545441</v>
      </c>
      <c r="E930" s="13">
        <f>'12-2017'!P991</f>
        <v>81454.545454545441</v>
      </c>
      <c r="F930" s="130">
        <f t="shared" si="43"/>
        <v>0</v>
      </c>
      <c r="G930" s="73"/>
      <c r="H930" s="74">
        <f>'12-2017'!H991</f>
        <v>0</v>
      </c>
      <c r="I930" s="74">
        <f>'12-2017'!I991</f>
        <v>0</v>
      </c>
      <c r="J930" s="74">
        <f>'12-2017'!J991</f>
        <v>0</v>
      </c>
    </row>
    <row r="931" spans="1:10" s="58" customFormat="1" ht="17.25" hidden="1">
      <c r="A931" s="10">
        <f>'12-2017'!A992</f>
        <v>30</v>
      </c>
      <c r="B931" s="11" t="str">
        <f>'12-2017'!B992</f>
        <v>Sơn lót FLY thùng 18kg</v>
      </c>
      <c r="C931" s="12" t="str">
        <f>'12-2017'!C992</f>
        <v>đ/kg</v>
      </c>
      <c r="D931" s="13">
        <f>'12-2017'!O992</f>
        <v>74040</v>
      </c>
      <c r="E931" s="13">
        <f>'12-2017'!P992</f>
        <v>74040</v>
      </c>
      <c r="F931" s="130">
        <f t="shared" ref="F931:F942" si="44">E931-D931</f>
        <v>0</v>
      </c>
      <c r="G931" s="73"/>
      <c r="H931" s="74">
        <f>'12-2017'!H992</f>
        <v>0</v>
      </c>
      <c r="I931" s="74">
        <f>'12-2017'!I992</f>
        <v>0</v>
      </c>
      <c r="J931" s="74">
        <f>'12-2017'!J992</f>
        <v>0</v>
      </c>
    </row>
    <row r="932" spans="1:10" s="58" customFormat="1" ht="17.25" hidden="1">
      <c r="A932" s="10">
        <f>'12-2017'!A993</f>
        <v>31</v>
      </c>
      <c r="B932" s="11" t="str">
        <f>'12-2017'!B993</f>
        <v>Sơn lót ONIP SEALER chống kiểm thùng 05 kg</v>
      </c>
      <c r="C932" s="12" t="str">
        <f>'12-2017'!C993</f>
        <v>đ/kg</v>
      </c>
      <c r="D932" s="13">
        <f>'12-2017'!O993</f>
        <v>171636.36363636362</v>
      </c>
      <c r="E932" s="13">
        <f>'12-2017'!P993</f>
        <v>171636.36363636362</v>
      </c>
      <c r="F932" s="130">
        <f t="shared" si="44"/>
        <v>0</v>
      </c>
      <c r="G932" s="73"/>
      <c r="H932" s="74">
        <f>'12-2017'!H993</f>
        <v>0</v>
      </c>
      <c r="I932" s="74">
        <f>'12-2017'!I993</f>
        <v>0</v>
      </c>
      <c r="J932" s="74">
        <f>'12-2017'!J993</f>
        <v>0</v>
      </c>
    </row>
    <row r="933" spans="1:10" s="58" customFormat="1" ht="17.25" hidden="1">
      <c r="A933" s="10">
        <f>'12-2017'!A994</f>
        <v>32</v>
      </c>
      <c r="B933" s="11" t="str">
        <f>'12-2017'!B994</f>
        <v>Sơn lót ONIP SEALER chống kiểm thùng 18 kg</v>
      </c>
      <c r="C933" s="12" t="str">
        <f>'12-2017'!C994</f>
        <v>đ/kg</v>
      </c>
      <c r="D933" s="13">
        <f>'12-2017'!O994</f>
        <v>158080.90909090909</v>
      </c>
      <c r="E933" s="13">
        <f>'12-2017'!P994</f>
        <v>158080.90909090909</v>
      </c>
      <c r="F933" s="130">
        <f t="shared" si="44"/>
        <v>0</v>
      </c>
      <c r="G933" s="73"/>
      <c r="H933" s="74">
        <f>'12-2017'!H994</f>
        <v>0</v>
      </c>
      <c r="I933" s="74">
        <f>'12-2017'!I994</f>
        <v>0</v>
      </c>
      <c r="J933" s="74">
        <f>'12-2017'!J994</f>
        <v>0</v>
      </c>
    </row>
    <row r="934" spans="1:10" s="58" customFormat="1" ht="17.25" hidden="1">
      <c r="A934" s="10">
        <f>'12-2017'!A995</f>
        <v>33</v>
      </c>
      <c r="B934" s="11" t="str">
        <f>'12-2017'!B995</f>
        <v>Sơn lót ONIP PRIMER chống kiểm thùng 05 kg</v>
      </c>
      <c r="C934" s="12" t="str">
        <f>'12-2017'!C995</f>
        <v>đ/kg</v>
      </c>
      <c r="D934" s="13">
        <f>'12-2017'!O995</f>
        <v>137454.54545454544</v>
      </c>
      <c r="E934" s="13">
        <f>'12-2017'!P995</f>
        <v>137454.54545454544</v>
      </c>
      <c r="F934" s="130">
        <f t="shared" si="44"/>
        <v>0</v>
      </c>
      <c r="G934" s="73"/>
      <c r="H934" s="74">
        <f>'12-2017'!H995</f>
        <v>0</v>
      </c>
      <c r="I934" s="74">
        <f>'12-2017'!I995</f>
        <v>0</v>
      </c>
      <c r="J934" s="74">
        <f>'12-2017'!J995</f>
        <v>0</v>
      </c>
    </row>
    <row r="935" spans="1:10" s="58" customFormat="1" ht="17.25" hidden="1">
      <c r="A935" s="10">
        <f>'12-2017'!A996</f>
        <v>34</v>
      </c>
      <c r="B935" s="11" t="str">
        <f>'12-2017'!B996</f>
        <v>Sơn lót ONIP PRIMER chống kiểm thùng 18 kg</v>
      </c>
      <c r="C935" s="12" t="str">
        <f>'12-2017'!C996</f>
        <v>đ/kg</v>
      </c>
      <c r="D935" s="13">
        <f>'12-2017'!O996</f>
        <v>133130.90909090909</v>
      </c>
      <c r="E935" s="13">
        <f>'12-2017'!P996</f>
        <v>133130.90909090909</v>
      </c>
      <c r="F935" s="130">
        <f t="shared" si="44"/>
        <v>0</v>
      </c>
      <c r="G935" s="73"/>
      <c r="H935" s="74">
        <f>'12-2017'!H996</f>
        <v>0</v>
      </c>
      <c r="I935" s="74">
        <f>'12-2017'!I996</f>
        <v>0</v>
      </c>
      <c r="J935" s="74">
        <f>'12-2017'!J996</f>
        <v>0</v>
      </c>
    </row>
    <row r="936" spans="1:10" s="58" customFormat="1" ht="17.25" hidden="1">
      <c r="A936" s="10">
        <f>'12-2017'!A997</f>
        <v>35</v>
      </c>
      <c r="B936" s="11" t="str">
        <f>'12-2017'!B997</f>
        <v>Sơn lót ONIP AQUA 2050 PRIMER thùng 05 kg</v>
      </c>
      <c r="C936" s="12" t="str">
        <f>'12-2017'!C997</f>
        <v>đ/kg</v>
      </c>
      <c r="D936" s="13">
        <f>'12-2017'!O997</f>
        <v>165818.18181818179</v>
      </c>
      <c r="E936" s="13">
        <f>'12-2017'!P997</f>
        <v>165818.18181818179</v>
      </c>
      <c r="F936" s="130">
        <f t="shared" si="44"/>
        <v>0</v>
      </c>
      <c r="G936" s="73"/>
      <c r="H936" s="74">
        <f>'12-2017'!H997</f>
        <v>0</v>
      </c>
      <c r="I936" s="74">
        <f>'12-2017'!I997</f>
        <v>0</v>
      </c>
      <c r="J936" s="74">
        <f>'12-2017'!J997</f>
        <v>0</v>
      </c>
    </row>
    <row r="937" spans="1:10" s="58" customFormat="1" ht="17.25" hidden="1">
      <c r="A937" s="10">
        <f>'12-2017'!A998</f>
        <v>36</v>
      </c>
      <c r="B937" s="11" t="str">
        <f>'12-2017'!B998</f>
        <v>Sơn lót ONIP AQUA 2050 PRIMER thùng 18 kg</v>
      </c>
      <c r="C937" s="12" t="str">
        <f>'12-2017'!C998</f>
        <v>đ/kg</v>
      </c>
      <c r="D937" s="13">
        <f>'12-2017'!O998</f>
        <v>159393.63636363635</v>
      </c>
      <c r="E937" s="13">
        <f>'12-2017'!P998</f>
        <v>159393.63636363635</v>
      </c>
      <c r="F937" s="130">
        <f t="shared" si="44"/>
        <v>0</v>
      </c>
      <c r="G937" s="73"/>
      <c r="H937" s="74">
        <f>'12-2017'!H998</f>
        <v>0</v>
      </c>
      <c r="I937" s="74">
        <f>'12-2017'!I998</f>
        <v>0</v>
      </c>
      <c r="J937" s="74">
        <f>'12-2017'!J998</f>
        <v>0</v>
      </c>
    </row>
    <row r="938" spans="1:10" s="58" customFormat="1" ht="17.25" hidden="1">
      <c r="A938" s="10">
        <f>'12-2017'!A999</f>
        <v>37</v>
      </c>
      <c r="B938" s="11" t="str">
        <f>'12-2017'!B999</f>
        <v>Sơn chóng nóng HEATSHIELD THÙNG 05 kg</v>
      </c>
      <c r="C938" s="12" t="str">
        <f>'12-2017'!C999</f>
        <v>đ/kg</v>
      </c>
      <c r="D938" s="13">
        <f>'12-2017'!O999</f>
        <v>198545.45454545453</v>
      </c>
      <c r="E938" s="13">
        <f>'12-2017'!P999</f>
        <v>198545.45454545453</v>
      </c>
      <c r="F938" s="130">
        <f t="shared" si="44"/>
        <v>0</v>
      </c>
      <c r="G938" s="73"/>
      <c r="H938" s="74">
        <f>'12-2017'!H999</f>
        <v>0</v>
      </c>
      <c r="I938" s="74">
        <f>'12-2017'!I999</f>
        <v>0</v>
      </c>
      <c r="J938" s="74">
        <f>'12-2017'!J999</f>
        <v>0</v>
      </c>
    </row>
    <row r="939" spans="1:10" s="58" customFormat="1" ht="17.25" hidden="1">
      <c r="A939" s="10">
        <f>'12-2017'!A1000</f>
        <v>38</v>
      </c>
      <c r="B939" s="11" t="str">
        <f>'12-2017'!B1000</f>
        <v>Sơn chóng nóng HEATSHIELD THÙNG 18 kg</v>
      </c>
      <c r="C939" s="12" t="str">
        <f>'12-2017'!C1000</f>
        <v>đ/kg</v>
      </c>
      <c r="D939" s="13">
        <f>'12-2017'!O1000</f>
        <v>190403.63636363635</v>
      </c>
      <c r="E939" s="13">
        <f>'12-2017'!P1000</f>
        <v>190403.63636363635</v>
      </c>
      <c r="F939" s="130">
        <f t="shared" si="44"/>
        <v>0</v>
      </c>
      <c r="G939" s="73"/>
      <c r="H939" s="74">
        <f>'12-2017'!H1000</f>
        <v>0</v>
      </c>
      <c r="I939" s="74">
        <f>'12-2017'!I1000</f>
        <v>0</v>
      </c>
      <c r="J939" s="74">
        <f>'12-2017'!J1000</f>
        <v>0</v>
      </c>
    </row>
    <row r="940" spans="1:10" s="58" customFormat="1" ht="17.25" hidden="1">
      <c r="A940" s="10">
        <f>'12-2017'!A1001</f>
        <v>39</v>
      </c>
      <c r="B940" s="11" t="str">
        <f>'12-2017'!B1001</f>
        <v>Sơn lót nhũ vàng thùng 01 kg</v>
      </c>
      <c r="C940" s="12" t="str">
        <f>'12-2017'!C1001</f>
        <v>đ/kg</v>
      </c>
      <c r="D940" s="13">
        <f>'12-2017'!O1001</f>
        <v>123636.36363636363</v>
      </c>
      <c r="E940" s="13">
        <f>'12-2017'!P1001</f>
        <v>123636.36363636363</v>
      </c>
      <c r="F940" s="130">
        <f t="shared" si="44"/>
        <v>0</v>
      </c>
      <c r="G940" s="73"/>
      <c r="H940" s="74">
        <f>'12-2017'!H1001</f>
        <v>0</v>
      </c>
      <c r="I940" s="74">
        <f>'12-2017'!I1001</f>
        <v>0</v>
      </c>
      <c r="J940" s="74">
        <f>'12-2017'!J1001</f>
        <v>0</v>
      </c>
    </row>
    <row r="941" spans="1:10" s="58" customFormat="1" ht="17.25" hidden="1">
      <c r="A941" s="10">
        <f>'12-2017'!A1002</f>
        <v>40</v>
      </c>
      <c r="B941" s="11" t="str">
        <f>'12-2017'!B1002</f>
        <v>Sơn lót nhũ vàng thùng 05 kg</v>
      </c>
      <c r="C941" s="12" t="str">
        <f>'12-2017'!C1002</f>
        <v>đ/kg</v>
      </c>
      <c r="D941" s="13">
        <f>'12-2017'!O1002</f>
        <v>119272.72727272726</v>
      </c>
      <c r="E941" s="13">
        <f>'12-2017'!P1002</f>
        <v>119272.72727272726</v>
      </c>
      <c r="F941" s="130">
        <f t="shared" si="44"/>
        <v>0</v>
      </c>
      <c r="G941" s="73"/>
      <c r="H941" s="74">
        <f>'12-2017'!H1002</f>
        <v>0</v>
      </c>
      <c r="I941" s="74">
        <f>'12-2017'!I1002</f>
        <v>0</v>
      </c>
      <c r="J941" s="74">
        <f>'12-2017'!J1002</f>
        <v>0</v>
      </c>
    </row>
    <row r="942" spans="1:10" s="58" customFormat="1" ht="17.25" hidden="1">
      <c r="A942" s="10">
        <f>'12-2017'!A1003</f>
        <v>41</v>
      </c>
      <c r="B942" s="11" t="str">
        <f>'12-2017'!B1003</f>
        <v>Sơn nhũ vàng thùng 01 kg</v>
      </c>
      <c r="C942" s="12" t="str">
        <f>'12-2017'!C1003</f>
        <v>đ/kg</v>
      </c>
      <c r="D942" s="13">
        <f>'12-2017'!O1003</f>
        <v>320000</v>
      </c>
      <c r="E942" s="13">
        <f>'12-2017'!P1003</f>
        <v>320000</v>
      </c>
      <c r="F942" s="130">
        <f t="shared" si="44"/>
        <v>0</v>
      </c>
      <c r="G942" s="73"/>
      <c r="H942" s="74">
        <f>'12-2017'!H1003</f>
        <v>0</v>
      </c>
      <c r="I942" s="74">
        <f>'12-2017'!I1003</f>
        <v>0</v>
      </c>
      <c r="J942" s="74">
        <f>'12-2017'!J1003</f>
        <v>0</v>
      </c>
    </row>
    <row r="943" spans="1:10" s="58" customFormat="1" ht="17.25" hidden="1">
      <c r="A943" s="10">
        <f>'12-2017'!A1004</f>
        <v>42</v>
      </c>
      <c r="B943" s="11" t="str">
        <f>'12-2017'!B1004</f>
        <v>Sơn nhũ vàng thùng 05 kg</v>
      </c>
      <c r="C943" s="12" t="str">
        <f>'12-2017'!C1004</f>
        <v>đ/kg</v>
      </c>
      <c r="D943" s="13">
        <f>'12-2017'!O1004</f>
        <v>309818.18181818177</v>
      </c>
      <c r="E943" s="13">
        <f>'12-2017'!P1004</f>
        <v>309818.18181818177</v>
      </c>
      <c r="F943" s="130">
        <f t="shared" ref="F943:F951" si="45">E943-D943</f>
        <v>0</v>
      </c>
      <c r="G943" s="73"/>
      <c r="H943" s="74">
        <f>'12-2017'!H1004</f>
        <v>0</v>
      </c>
      <c r="I943" s="74">
        <f>'12-2017'!I1004</f>
        <v>0</v>
      </c>
      <c r="J943" s="74">
        <f>'12-2017'!J1004</f>
        <v>0</v>
      </c>
    </row>
    <row r="944" spans="1:10" s="58" customFormat="1" ht="17.25" hidden="1">
      <c r="A944" s="10">
        <f>'12-2017'!A1005</f>
        <v>43</v>
      </c>
      <c r="B944" s="11" t="str">
        <f>'12-2017'!B1005</f>
        <v>Chống thấm KINGSHIELD (thùng 01kg)</v>
      </c>
      <c r="C944" s="12" t="str">
        <f>'12-2017'!C1005</f>
        <v>đ/kg</v>
      </c>
      <c r="D944" s="13">
        <f>'12-2017'!O1005</f>
        <v>141818.18181818179</v>
      </c>
      <c r="E944" s="13">
        <f>'12-2017'!P1005</f>
        <v>141818.18181818179</v>
      </c>
      <c r="F944" s="130">
        <f t="shared" si="45"/>
        <v>0</v>
      </c>
      <c r="G944" s="73"/>
      <c r="H944" s="74">
        <f>'12-2017'!H1005</f>
        <v>0</v>
      </c>
      <c r="I944" s="74">
        <f>'12-2017'!I1005</f>
        <v>0</v>
      </c>
      <c r="J944" s="74">
        <f>'12-2017'!J1005</f>
        <v>0</v>
      </c>
    </row>
    <row r="945" spans="1:10" s="58" customFormat="1" ht="17.25" hidden="1">
      <c r="A945" s="10">
        <f>'12-2017'!A1006</f>
        <v>44</v>
      </c>
      <c r="B945" s="11" t="str">
        <f>'12-2017'!B1006</f>
        <v>Chống thấm KINGSHIELD (thùng 06kg)</v>
      </c>
      <c r="C945" s="12" t="str">
        <f>'12-2017'!C1006</f>
        <v>đ/kg</v>
      </c>
      <c r="D945" s="13">
        <f>'12-2017'!O1006</f>
        <v>128484.54545454544</v>
      </c>
      <c r="E945" s="13">
        <f>'12-2017'!P1006</f>
        <v>128484.54545454544</v>
      </c>
      <c r="F945" s="130">
        <f t="shared" si="45"/>
        <v>0</v>
      </c>
      <c r="G945" s="73"/>
      <c r="H945" s="74">
        <f>'12-2017'!H1006</f>
        <v>0</v>
      </c>
      <c r="I945" s="74">
        <f>'12-2017'!I1006</f>
        <v>0</v>
      </c>
      <c r="J945" s="74">
        <f>'12-2017'!J1006</f>
        <v>0</v>
      </c>
    </row>
    <row r="946" spans="1:10" s="58" customFormat="1" ht="17.25" hidden="1">
      <c r="A946" s="10">
        <f>'12-2017'!A1007</f>
        <v>45</v>
      </c>
      <c r="B946" s="11" t="str">
        <f>'12-2017'!B1007</f>
        <v>Chống thấm KINGSHIELD (thùng 20kg)</v>
      </c>
      <c r="C946" s="12" t="str">
        <f>'12-2017'!C1007</f>
        <v>đ/kg</v>
      </c>
      <c r="D946" s="13">
        <f>'12-2017'!O1007</f>
        <v>126181.81818181818</v>
      </c>
      <c r="E946" s="13">
        <f>'12-2017'!P1007</f>
        <v>126181.81818181818</v>
      </c>
      <c r="F946" s="130">
        <f t="shared" si="45"/>
        <v>0</v>
      </c>
      <c r="G946" s="73"/>
      <c r="H946" s="74">
        <f>'12-2017'!H1007</f>
        <v>0</v>
      </c>
      <c r="I946" s="74">
        <f>'12-2017'!I1007</f>
        <v>0</v>
      </c>
      <c r="J946" s="74">
        <f>'12-2017'!J1007</f>
        <v>0</v>
      </c>
    </row>
    <row r="947" spans="1:10" s="58" customFormat="1" ht="17.25" hidden="1">
      <c r="A947" s="10">
        <f>'12-2017'!A1008</f>
        <v>46</v>
      </c>
      <c r="B947" s="11" t="str">
        <f>'12-2017'!B1008</f>
        <v>Chống thấm SONATA (thùng 05kg)</v>
      </c>
      <c r="C947" s="12" t="str">
        <f>'12-2017'!C1008</f>
        <v>đ/kg</v>
      </c>
      <c r="D947" s="13">
        <f>'12-2017'!O1008</f>
        <v>164363.63636363635</v>
      </c>
      <c r="E947" s="13">
        <f>'12-2017'!P1008</f>
        <v>164363.63636363635</v>
      </c>
      <c r="F947" s="130">
        <f t="shared" si="45"/>
        <v>0</v>
      </c>
      <c r="G947" s="73"/>
      <c r="H947" s="74">
        <f>'12-2017'!H1008</f>
        <v>0</v>
      </c>
      <c r="I947" s="74">
        <f>'12-2017'!I1008</f>
        <v>0</v>
      </c>
      <c r="J947" s="74">
        <f>'12-2017'!J1008</f>
        <v>0</v>
      </c>
    </row>
    <row r="948" spans="1:10" s="58" customFormat="1" ht="17.25" hidden="1">
      <c r="A948" s="10">
        <f>'12-2017'!A1009</f>
        <v>47</v>
      </c>
      <c r="B948" s="11" t="str">
        <f>'12-2017'!B1009</f>
        <v>Chống thấm SONATA (thùng 18kg)</v>
      </c>
      <c r="C948" s="12" t="str">
        <f>'12-2017'!C1009</f>
        <v>đ/kg</v>
      </c>
      <c r="D948" s="13">
        <f>'12-2017'!O1009</f>
        <v>157575.45454545453</v>
      </c>
      <c r="E948" s="13">
        <f>'12-2017'!P1009</f>
        <v>157575.45454545453</v>
      </c>
      <c r="F948" s="130">
        <f t="shared" si="45"/>
        <v>0</v>
      </c>
      <c r="G948" s="73"/>
      <c r="H948" s="74">
        <f>'12-2017'!H1009</f>
        <v>0</v>
      </c>
      <c r="I948" s="74">
        <f>'12-2017'!I1009</f>
        <v>0</v>
      </c>
      <c r="J948" s="74">
        <f>'12-2017'!J1009</f>
        <v>0</v>
      </c>
    </row>
    <row r="949" spans="1:10" s="58" customFormat="1" ht="17.25" hidden="1">
      <c r="A949" s="10">
        <f>'12-2017'!A1010</f>
        <v>48</v>
      </c>
      <c r="B949" s="11" t="str">
        <f>'12-2017'!B1010</f>
        <v>Bột trét tường MASTIC D'ACCORD nội thất</v>
      </c>
      <c r="C949" s="12" t="str">
        <f>'12-2017'!C1010</f>
        <v>đ/kg</v>
      </c>
      <c r="D949" s="13">
        <f>'12-2017'!O1010</f>
        <v>5909.090909090909</v>
      </c>
      <c r="E949" s="13">
        <f>'12-2017'!P1010</f>
        <v>5909.090909090909</v>
      </c>
      <c r="F949" s="130">
        <f t="shared" si="45"/>
        <v>0</v>
      </c>
      <c r="G949" s="73"/>
      <c r="H949" s="74">
        <f>'12-2017'!H1010</f>
        <v>0</v>
      </c>
      <c r="I949" s="74">
        <f>'12-2017'!I1010</f>
        <v>0</v>
      </c>
      <c r="J949" s="74">
        <f>'12-2017'!J1010</f>
        <v>0</v>
      </c>
    </row>
    <row r="950" spans="1:10" s="58" customFormat="1" ht="17.25" hidden="1">
      <c r="A950" s="10">
        <f>'12-2017'!A1011</f>
        <v>49</v>
      </c>
      <c r="B950" s="11" t="str">
        <f>'12-2017'!B1011</f>
        <v>Bột trét tường MASTIC D'ACCORD ngoại thất</v>
      </c>
      <c r="C950" s="12" t="str">
        <f>'12-2017'!C1011</f>
        <v>đ/kg</v>
      </c>
      <c r="D950" s="13">
        <f>'12-2017'!O1011</f>
        <v>7272.7272727272721</v>
      </c>
      <c r="E950" s="13">
        <f>'12-2017'!P1011</f>
        <v>7272.7272727272721</v>
      </c>
      <c r="F950" s="130">
        <f t="shared" si="45"/>
        <v>0</v>
      </c>
      <c r="G950" s="73"/>
      <c r="H950" s="74">
        <f>'12-2017'!H1011</f>
        <v>0</v>
      </c>
      <c r="I950" s="74">
        <f>'12-2017'!I1011</f>
        <v>0</v>
      </c>
      <c r="J950" s="74">
        <f>'12-2017'!J1011</f>
        <v>0</v>
      </c>
    </row>
    <row r="951" spans="1:10" s="58" customFormat="1" ht="17.25" hidden="1">
      <c r="A951" s="10">
        <f>'12-2017'!A1012</f>
        <v>50</v>
      </c>
      <c r="B951" s="11" t="str">
        <f>'12-2017'!B1012</f>
        <v>Bột trét tường MASTIC ONIP QUALITEE đặt biệt</v>
      </c>
      <c r="C951" s="12" t="str">
        <f>'12-2017'!C1012</f>
        <v>đ/kg</v>
      </c>
      <c r="D951" s="13">
        <f>'12-2017'!O1012</f>
        <v>8181.8181818181811</v>
      </c>
      <c r="E951" s="13">
        <f>'12-2017'!P1012</f>
        <v>8181.8181818181811</v>
      </c>
      <c r="F951" s="130">
        <f t="shared" si="45"/>
        <v>0</v>
      </c>
      <c r="G951" s="73"/>
      <c r="H951" s="74">
        <f>'12-2017'!H1012</f>
        <v>0</v>
      </c>
      <c r="I951" s="74">
        <f>'12-2017'!I1012</f>
        <v>0</v>
      </c>
      <c r="J951" s="74">
        <f>'12-2017'!J1012</f>
        <v>0</v>
      </c>
    </row>
    <row r="952" spans="1:10" s="73" customFormat="1" ht="17.25">
      <c r="A952" s="17"/>
      <c r="B952" s="237" t="str">
        <f>'12-2017'!B1013</f>
        <v>Sơn SPEC: Cửa hàng Bảy Khá tổ 05, ấp Vĩnh Lộc, thị trấn Cái Dầu, huyện Châu Phú, áp dụng từ ngày 13/9/2017</v>
      </c>
      <c r="C952" s="238"/>
      <c r="D952" s="238"/>
      <c r="E952" s="238"/>
      <c r="F952" s="239"/>
      <c r="H952" s="78">
        <f>'12-2017'!H1013</f>
        <v>0</v>
      </c>
      <c r="I952" s="78">
        <f>'12-2017'!I1013</f>
        <v>0</v>
      </c>
      <c r="J952" s="78">
        <f>'12-2017'!J1013</f>
        <v>0</v>
      </c>
    </row>
    <row r="953" spans="1:10" s="58" customFormat="1" ht="17.25" hidden="1">
      <c r="A953" s="10" t="s">
        <v>1727</v>
      </c>
      <c r="B953" s="11" t="str">
        <f>'12-2017'!B1014</f>
        <v>Bột SPEC INT&amp;ÈILLER (bao 40Kg)</v>
      </c>
      <c r="C953" s="12" t="str">
        <f>'12-2017'!C1014</f>
        <v>đ/kg</v>
      </c>
      <c r="D953" s="13">
        <f>'12-2017'!O1014</f>
        <v>5875</v>
      </c>
      <c r="E953" s="13">
        <f>'12-2017'!P1014</f>
        <v>5875</v>
      </c>
      <c r="F953" s="130">
        <f>E953-D953</f>
        <v>0</v>
      </c>
      <c r="G953" s="73"/>
      <c r="H953" s="74">
        <f>'12-2017'!H1014</f>
        <v>0</v>
      </c>
      <c r="I953" s="74">
        <f>'12-2017'!I1014</f>
        <v>0</v>
      </c>
      <c r="J953" s="74">
        <f>'12-2017'!J1014</f>
        <v>0</v>
      </c>
    </row>
    <row r="954" spans="1:10" s="58" customFormat="1" ht="17.25" hidden="1">
      <c r="A954" s="10">
        <f>'12-2017'!A1015</f>
        <v>2</v>
      </c>
      <c r="B954" s="11" t="str">
        <f>'12-2017'!B1015</f>
        <v>Sơn ngoại thất chống bám bẩn SPEC HI-ANTISTAIN (01 lít)</v>
      </c>
      <c r="C954" s="12" t="str">
        <f>'12-2017'!C1015</f>
        <v>đ/kg</v>
      </c>
      <c r="D954" s="13">
        <f>'12-2017'!O1015</f>
        <v>218750</v>
      </c>
      <c r="E954" s="13">
        <f>'12-2017'!P1015</f>
        <v>218750</v>
      </c>
      <c r="F954" s="130">
        <f t="shared" ref="F954:F971" si="46">E954-D954</f>
        <v>0</v>
      </c>
      <c r="G954" s="73"/>
      <c r="H954" s="74">
        <f>'12-2017'!H1015</f>
        <v>0</v>
      </c>
      <c r="I954" s="74">
        <f>'12-2017'!I1015</f>
        <v>0</v>
      </c>
      <c r="J954" s="74">
        <f>'12-2017'!J1015</f>
        <v>0</v>
      </c>
    </row>
    <row r="955" spans="1:10" s="58" customFormat="1" ht="17.25" hidden="1">
      <c r="A955" s="10">
        <f>'12-2017'!A1016</f>
        <v>3</v>
      </c>
      <c r="B955" s="11" t="str">
        <f>'12-2017'!B1016</f>
        <v>Sơn ngoại thất chống bám bẩn SPEC HI-ANTISTAIN  (05 lít)</v>
      </c>
      <c r="C955" s="12" t="str">
        <f>'12-2017'!C1016</f>
        <v>đ/kg</v>
      </c>
      <c r="D955" s="13">
        <f>'12-2017'!O1016</f>
        <v>210000</v>
      </c>
      <c r="E955" s="13">
        <f>'12-2017'!P1016</f>
        <v>210000</v>
      </c>
      <c r="F955" s="130">
        <f t="shared" si="46"/>
        <v>0</v>
      </c>
      <c r="G955" s="73"/>
      <c r="H955" s="74">
        <f>'12-2017'!H1016</f>
        <v>0</v>
      </c>
      <c r="I955" s="74">
        <f>'12-2017'!I1016</f>
        <v>0</v>
      </c>
      <c r="J955" s="74">
        <f>'12-2017'!J1016</f>
        <v>0</v>
      </c>
    </row>
    <row r="956" spans="1:10" s="58" customFormat="1" ht="17.25" hidden="1">
      <c r="A956" s="10">
        <f>'12-2017'!A1017</f>
        <v>4</v>
      </c>
      <c r="B956" s="11" t="str">
        <f>'12-2017'!B1017</f>
        <v>Sơn ngoại thất cao cấp bóng lau chùi hiệu quả SPEC HELOO SATINKOTE  (01 lít)</v>
      </c>
      <c r="C956" s="12" t="str">
        <f>'12-2017'!C1017</f>
        <v>đ/kg</v>
      </c>
      <c r="D956" s="13">
        <f>'12-2017'!O1017</f>
        <v>166667</v>
      </c>
      <c r="E956" s="13">
        <f>'12-2017'!P1017</f>
        <v>166667</v>
      </c>
      <c r="F956" s="130">
        <f t="shared" si="46"/>
        <v>0</v>
      </c>
      <c r="G956" s="73"/>
      <c r="H956" s="74">
        <f>'12-2017'!H1017</f>
        <v>0</v>
      </c>
      <c r="I956" s="74">
        <f>'12-2017'!I1017</f>
        <v>0</v>
      </c>
      <c r="J956" s="74">
        <f>'12-2017'!J1017</f>
        <v>0</v>
      </c>
    </row>
    <row r="957" spans="1:10" s="58" customFormat="1" ht="17.25" hidden="1">
      <c r="A957" s="10">
        <f>'12-2017'!A1018</f>
        <v>5</v>
      </c>
      <c r="B957" s="11" t="str">
        <f>'12-2017'!B1018</f>
        <v>Sơn ngoại thất cao cấp bóng lau chùi hiệu quả SPEC HELOO SATINKOTE  (05 lít)</v>
      </c>
      <c r="C957" s="12" t="str">
        <f>'12-2017'!C1018</f>
        <v>đ/kg</v>
      </c>
      <c r="D957" s="13">
        <f>'12-2017'!O1018</f>
        <v>153846</v>
      </c>
      <c r="E957" s="13">
        <f>'12-2017'!P1018</f>
        <v>153846</v>
      </c>
      <c r="F957" s="130">
        <f t="shared" si="46"/>
        <v>0</v>
      </c>
      <c r="G957" s="73"/>
      <c r="H957" s="74">
        <f>'12-2017'!H1018</f>
        <v>0</v>
      </c>
      <c r="I957" s="74">
        <f>'12-2017'!I1018</f>
        <v>0</v>
      </c>
      <c r="J957" s="74">
        <f>'12-2017'!J1018</f>
        <v>0</v>
      </c>
    </row>
    <row r="958" spans="1:10" s="58" customFormat="1" ht="17.25" hidden="1">
      <c r="A958" s="10">
        <f>'12-2017'!A1019</f>
        <v>6</v>
      </c>
      <c r="B958" s="11" t="str">
        <f>'12-2017'!B1019</f>
        <v>Sơn ngoại thất cao cấp bóng lau chùi hiệu quả SPEC HELOO SATINKOTE  (18 lít)</v>
      </c>
      <c r="C958" s="12" t="str">
        <f>'12-2017'!C1019</f>
        <v>đ/kg</v>
      </c>
      <c r="D958" s="13">
        <f>'12-2017'!O1019</f>
        <v>109091</v>
      </c>
      <c r="E958" s="13">
        <f>'12-2017'!P1019</f>
        <v>109091</v>
      </c>
      <c r="F958" s="130">
        <f t="shared" si="46"/>
        <v>0</v>
      </c>
      <c r="G958" s="73"/>
      <c r="H958" s="74">
        <f>'12-2017'!H1019</f>
        <v>0</v>
      </c>
      <c r="I958" s="74">
        <f>'12-2017'!I1019</f>
        <v>0</v>
      </c>
      <c r="J958" s="74">
        <f>'12-2017'!J1019</f>
        <v>0</v>
      </c>
    </row>
    <row r="959" spans="1:10" s="58" customFormat="1" ht="32.25" hidden="1" customHeight="1">
      <c r="A959" s="10">
        <f>'12-2017'!A1020</f>
        <v>7</v>
      </c>
      <c r="B959" s="11" t="str">
        <f>'12-2017'!B1020</f>
        <v>Sơn nội thất cao cấp bóng lau chùi hiệu quả SPEC HELOO SATINKOTE FOR INT (01 lít)</v>
      </c>
      <c r="C959" s="12" t="str">
        <f>'12-2017'!C1020</f>
        <v>đ/kg</v>
      </c>
      <c r="D959" s="13">
        <f>'12-2017'!O1020</f>
        <v>145833</v>
      </c>
      <c r="E959" s="13">
        <f>'12-2017'!P1020</f>
        <v>145833</v>
      </c>
      <c r="F959" s="130">
        <f t="shared" si="46"/>
        <v>0</v>
      </c>
      <c r="G959" s="73"/>
      <c r="H959" s="74">
        <f>'12-2017'!H1020</f>
        <v>0</v>
      </c>
      <c r="I959" s="74">
        <f>'12-2017'!I1020</f>
        <v>0</v>
      </c>
      <c r="J959" s="74">
        <f>'12-2017'!J1020</f>
        <v>0</v>
      </c>
    </row>
    <row r="960" spans="1:10" s="58" customFormat="1" ht="32.25" hidden="1" customHeight="1">
      <c r="A960" s="10">
        <f>'12-2017'!A1021</f>
        <v>8</v>
      </c>
      <c r="B960" s="11" t="str">
        <f>'12-2017'!B1021</f>
        <v>Sơn nội thất cao cấp bóng lau chùi hiệu quả SPEC HELOO SATINKOTE FOR INT (05 lít)</v>
      </c>
      <c r="C960" s="12" t="str">
        <f>'12-2017'!C1021</f>
        <v>đ/kg</v>
      </c>
      <c r="D960" s="13">
        <f>'12-2017'!O1021</f>
        <v>137255</v>
      </c>
      <c r="E960" s="13">
        <f>'12-2017'!P1021</f>
        <v>137255</v>
      </c>
      <c r="F960" s="130">
        <f t="shared" si="46"/>
        <v>0</v>
      </c>
      <c r="G960" s="73"/>
      <c r="H960" s="74">
        <f>'12-2017'!H1021</f>
        <v>0</v>
      </c>
      <c r="I960" s="74">
        <f>'12-2017'!I1021</f>
        <v>0</v>
      </c>
      <c r="J960" s="74">
        <f>'12-2017'!J1021</f>
        <v>0</v>
      </c>
    </row>
    <row r="961" spans="1:10" s="58" customFormat="1" ht="32.25" hidden="1" customHeight="1">
      <c r="A961" s="10">
        <f>'12-2017'!A1022</f>
        <v>9</v>
      </c>
      <c r="B961" s="11" t="str">
        <f>'12-2017'!B1022</f>
        <v>Sơn nội thất cao cấp bóng lau chùi hiệu quả SPEC HELOO SATINKOTE FOR INT (18 lít)</v>
      </c>
      <c r="C961" s="12" t="str">
        <f>'12-2017'!C1022</f>
        <v>đ/kg</v>
      </c>
      <c r="D961" s="13">
        <f>'12-2017'!O1022</f>
        <v>95455</v>
      </c>
      <c r="E961" s="13">
        <f>'12-2017'!P1022</f>
        <v>95455</v>
      </c>
      <c r="F961" s="130">
        <f t="shared" si="46"/>
        <v>0</v>
      </c>
      <c r="G961" s="73"/>
      <c r="H961" s="74">
        <f>'12-2017'!H1022</f>
        <v>0</v>
      </c>
      <c r="I961" s="74">
        <f>'12-2017'!I1022</f>
        <v>0</v>
      </c>
      <c r="J961" s="74">
        <f>'12-2017'!J1022</f>
        <v>0</v>
      </c>
    </row>
    <row r="962" spans="1:10" s="58" customFormat="1" ht="17.25" hidden="1">
      <c r="A962" s="10">
        <f>'12-2017'!A1023</f>
        <v>10</v>
      </c>
      <c r="B962" s="11" t="str">
        <f>'12-2017'!B1023</f>
        <v>Sơn nội thất dễ lau chùi hiệu quả SPEC HELLO EASY WASH (01 lít)</v>
      </c>
      <c r="C962" s="12" t="str">
        <f>'12-2017'!C1023</f>
        <v>đ/kg</v>
      </c>
      <c r="D962" s="13">
        <f>'12-2017'!O1023</f>
        <v>99359</v>
      </c>
      <c r="E962" s="13">
        <f>'12-2017'!P1023</f>
        <v>99359</v>
      </c>
      <c r="F962" s="130">
        <f t="shared" si="46"/>
        <v>0</v>
      </c>
      <c r="G962" s="73"/>
      <c r="H962" s="74">
        <f>'12-2017'!H1023</f>
        <v>0</v>
      </c>
      <c r="I962" s="74">
        <f>'12-2017'!I1023</f>
        <v>0</v>
      </c>
      <c r="J962" s="74">
        <f>'12-2017'!J1023</f>
        <v>0</v>
      </c>
    </row>
    <row r="963" spans="1:10" s="58" customFormat="1" ht="17.25" hidden="1">
      <c r="A963" s="10">
        <f>'12-2017'!A1024</f>
        <v>11</v>
      </c>
      <c r="B963" s="11" t="str">
        <f>'12-2017'!B1024</f>
        <v>Sơn nội thất dễ lau chùi hiệu quả SPEC HELLO EASY WASH (05 lít)</v>
      </c>
      <c r="C963" s="12" t="str">
        <f>'12-2017'!C1024</f>
        <v>đ/kg</v>
      </c>
      <c r="D963" s="13">
        <f>'12-2017'!O1024</f>
        <v>86111</v>
      </c>
      <c r="E963" s="13">
        <f>'12-2017'!P1024</f>
        <v>86111</v>
      </c>
      <c r="F963" s="130">
        <f t="shared" si="46"/>
        <v>0</v>
      </c>
      <c r="G963" s="73"/>
      <c r="H963" s="74">
        <f>'12-2017'!H1024</f>
        <v>0</v>
      </c>
      <c r="I963" s="74">
        <f>'12-2017'!I1024</f>
        <v>0</v>
      </c>
      <c r="J963" s="74">
        <f>'12-2017'!J1024</f>
        <v>0</v>
      </c>
    </row>
    <row r="964" spans="1:10" s="58" customFormat="1" ht="17.25" hidden="1">
      <c r="A964" s="10">
        <f>'12-2017'!A1025</f>
        <v>12</v>
      </c>
      <c r="B964" s="11" t="str">
        <f>'12-2017'!B1025</f>
        <v>Sơn nội thất dễ lau chùi hiệu quả SPEC HELLO EASY WASH (18 lít)</v>
      </c>
      <c r="C964" s="12" t="str">
        <f>'12-2017'!C1025</f>
        <v>đ/kg</v>
      </c>
      <c r="D964" s="13">
        <f>'12-2017'!O1025</f>
        <v>62000</v>
      </c>
      <c r="E964" s="13">
        <f>'12-2017'!P1025</f>
        <v>62000</v>
      </c>
      <c r="F964" s="130">
        <f t="shared" si="46"/>
        <v>0</v>
      </c>
      <c r="G964" s="73"/>
      <c r="H964" s="74">
        <f>'12-2017'!H1025</f>
        <v>0</v>
      </c>
      <c r="I964" s="74">
        <f>'12-2017'!I1025</f>
        <v>0</v>
      </c>
      <c r="J964" s="74">
        <f>'12-2017'!J1025</f>
        <v>0</v>
      </c>
    </row>
    <row r="965" spans="1:10" s="58" customFormat="1" ht="17.25" hidden="1">
      <c r="A965" s="10">
        <f>'12-2017'!A1026</f>
        <v>13</v>
      </c>
      <c r="B965" s="11" t="str">
        <f>'12-2017'!B1026</f>
        <v>Sơn nội thất SPEC HELLO FAST INT (01 lít)</v>
      </c>
      <c r="C965" s="12" t="str">
        <f>'12-2017'!C1026</f>
        <v>đ/kg</v>
      </c>
      <c r="D965" s="13">
        <f>'12-2017'!O1026</f>
        <v>61538</v>
      </c>
      <c r="E965" s="13">
        <f>'12-2017'!P1026</f>
        <v>61538</v>
      </c>
      <c r="F965" s="130">
        <f t="shared" si="46"/>
        <v>0</v>
      </c>
      <c r="G965" s="73"/>
      <c r="H965" s="74">
        <f>'12-2017'!H1026</f>
        <v>0</v>
      </c>
      <c r="I965" s="74">
        <f>'12-2017'!I1026</f>
        <v>0</v>
      </c>
      <c r="J965" s="74">
        <f>'12-2017'!J1026</f>
        <v>0</v>
      </c>
    </row>
    <row r="966" spans="1:10" s="58" customFormat="1" ht="17.25" hidden="1">
      <c r="A966" s="10">
        <f>'12-2017'!A1027</f>
        <v>14</v>
      </c>
      <c r="B966" s="11" t="str">
        <f>'12-2017'!B1027</f>
        <v>Sơn nội thất SPEC HELLO FAST INT (05 lít)</v>
      </c>
      <c r="C966" s="12" t="str">
        <f>'12-2017'!C1027</f>
        <v>đ/kg</v>
      </c>
      <c r="D966" s="13">
        <f>'12-2017'!O1027</f>
        <v>52459</v>
      </c>
      <c r="E966" s="13">
        <f>'12-2017'!P1027</f>
        <v>52459</v>
      </c>
      <c r="F966" s="130">
        <f t="shared" si="46"/>
        <v>0</v>
      </c>
      <c r="G966" s="73"/>
      <c r="H966" s="74">
        <f>'12-2017'!H1027</f>
        <v>0</v>
      </c>
      <c r="I966" s="74">
        <f>'12-2017'!I1027</f>
        <v>0</v>
      </c>
      <c r="J966" s="74">
        <f>'12-2017'!J1027</f>
        <v>0</v>
      </c>
    </row>
    <row r="967" spans="1:10" s="58" customFormat="1" ht="17.25" hidden="1">
      <c r="A967" s="10">
        <f>'12-2017'!A1028</f>
        <v>15</v>
      </c>
      <c r="B967" s="11" t="str">
        <f>'12-2017'!B1028</f>
        <v>Sơn nội thất SPEC HELLO FAST INT (18 lít)</v>
      </c>
      <c r="C967" s="12" t="str">
        <f>'12-2017'!C1028</f>
        <v>đ/kg</v>
      </c>
      <c r="D967" s="13">
        <f>'12-2017'!O1028</f>
        <v>36923</v>
      </c>
      <c r="E967" s="13">
        <f>'12-2017'!P1028</f>
        <v>36923</v>
      </c>
      <c r="F967" s="130">
        <f t="shared" si="46"/>
        <v>0</v>
      </c>
      <c r="G967" s="73"/>
      <c r="H967" s="74">
        <f>'12-2017'!H1028</f>
        <v>0</v>
      </c>
      <c r="I967" s="74">
        <f>'12-2017'!I1028</f>
        <v>0</v>
      </c>
      <c r="J967" s="74">
        <f>'12-2017'!J1028</f>
        <v>0</v>
      </c>
    </row>
    <row r="968" spans="1:10" s="58" customFormat="1" ht="17.25" hidden="1">
      <c r="A968" s="10">
        <f>'12-2017'!A1029</f>
        <v>16</v>
      </c>
      <c r="B968" s="11" t="str">
        <f>'12-2017'!B1029</f>
        <v>Sơn ngoại thất bóng mờ, lau chùi hiệu quả SPEC HELLO ALL EXTERIOR (01 lít)</v>
      </c>
      <c r="C968" s="12" t="str">
        <f>'12-2017'!C1029</f>
        <v>đ/kg</v>
      </c>
      <c r="D968" s="13">
        <f>'12-2017'!O1029</f>
        <v>144444</v>
      </c>
      <c r="E968" s="13">
        <f>'12-2017'!P1029</f>
        <v>144444</v>
      </c>
      <c r="F968" s="130">
        <f t="shared" si="46"/>
        <v>0</v>
      </c>
      <c r="G968" s="73"/>
      <c r="H968" s="74">
        <f>'12-2017'!H1029</f>
        <v>0</v>
      </c>
      <c r="I968" s="74">
        <f>'12-2017'!I1029</f>
        <v>0</v>
      </c>
      <c r="J968" s="74">
        <f>'12-2017'!J1029</f>
        <v>0</v>
      </c>
    </row>
    <row r="969" spans="1:10" s="58" customFormat="1" ht="17.25" hidden="1">
      <c r="A969" s="10">
        <f>'12-2017'!A1030</f>
        <v>17</v>
      </c>
      <c r="B969" s="11" t="str">
        <f>'12-2017'!B1030</f>
        <v>Sơn ngoại thất bóng mờ, lau chùi hiệu quả SPEC HELLO ALL EXTERIOR (05 lít)</v>
      </c>
      <c r="C969" s="12" t="str">
        <f>'12-2017'!C1030</f>
        <v>đ/kg</v>
      </c>
      <c r="D969" s="13">
        <f>'12-2017'!O1030</f>
        <v>133333</v>
      </c>
      <c r="E969" s="13">
        <f>'12-2017'!P1030</f>
        <v>133333</v>
      </c>
      <c r="F969" s="130">
        <f t="shared" si="46"/>
        <v>0</v>
      </c>
      <c r="G969" s="73"/>
      <c r="H969" s="74">
        <f>'12-2017'!H1030</f>
        <v>0</v>
      </c>
      <c r="I969" s="74">
        <f>'12-2017'!I1030</f>
        <v>0</v>
      </c>
      <c r="J969" s="74">
        <f>'12-2017'!J1030</f>
        <v>0</v>
      </c>
    </row>
    <row r="970" spans="1:10" s="58" customFormat="1" ht="17.25" hidden="1">
      <c r="A970" s="10">
        <f>'12-2017'!A1031</f>
        <v>18</v>
      </c>
      <c r="B970" s="11" t="str">
        <f>'12-2017'!B1031</f>
        <v>Sơn ngoại thất bóng mờ, lau chùi hiệu quả SPEC HELLO ALL EXTERIOR (18 lít)</v>
      </c>
      <c r="C970" s="12" t="str">
        <f>'12-2017'!C1031</f>
        <v>đ/kg</v>
      </c>
      <c r="D970" s="13">
        <f>'12-2017'!O1031</f>
        <v>90435</v>
      </c>
      <c r="E970" s="13">
        <f>'12-2017'!P1031</f>
        <v>90435</v>
      </c>
      <c r="F970" s="130">
        <f t="shared" si="46"/>
        <v>0</v>
      </c>
      <c r="G970" s="73"/>
      <c r="H970" s="74">
        <f>'12-2017'!H1031</f>
        <v>0</v>
      </c>
      <c r="I970" s="74">
        <f>'12-2017'!I1031</f>
        <v>0</v>
      </c>
      <c r="J970" s="74">
        <f>'12-2017'!J1031</f>
        <v>0</v>
      </c>
    </row>
    <row r="971" spans="1:10" s="58" customFormat="1" ht="17.25" hidden="1">
      <c r="A971" s="10">
        <f>'12-2017'!A1032</f>
        <v>19</v>
      </c>
      <c r="B971" s="11" t="str">
        <f>'12-2017'!B1032</f>
        <v>Sơn ngoại thất mờ, lau chùi được SPEC HELLO FAST ERTERIOR (01 lít)</v>
      </c>
      <c r="C971" s="12" t="str">
        <f>'12-2017'!C1032</f>
        <v>đ/kg</v>
      </c>
      <c r="D971" s="13">
        <f>'12-2017'!O1032</f>
        <v>116667</v>
      </c>
      <c r="E971" s="13">
        <f>'12-2017'!P1032</f>
        <v>116667</v>
      </c>
      <c r="F971" s="130">
        <f t="shared" si="46"/>
        <v>0</v>
      </c>
      <c r="G971" s="73"/>
      <c r="H971" s="74">
        <f>'12-2017'!H1032</f>
        <v>0</v>
      </c>
      <c r="I971" s="74">
        <f>'12-2017'!I1032</f>
        <v>0</v>
      </c>
      <c r="J971" s="74">
        <f>'12-2017'!J1032</f>
        <v>0</v>
      </c>
    </row>
    <row r="972" spans="1:10" s="58" customFormat="1" ht="17.25" hidden="1">
      <c r="A972" s="10">
        <f>'12-2017'!A1033</f>
        <v>20</v>
      </c>
      <c r="B972" s="11" t="str">
        <f>'12-2017'!B1033</f>
        <v>Sơn ngoại thất mờ, lau chùi được SPEC HELLO FAST ERTERIOR (05 lít)</v>
      </c>
      <c r="C972" s="12" t="str">
        <f>'12-2017'!C1033</f>
        <v>đ/kg</v>
      </c>
      <c r="D972" s="13">
        <f>'12-2017'!O1033</f>
        <v>93333</v>
      </c>
      <c r="E972" s="13">
        <f>'12-2017'!P1033</f>
        <v>93333</v>
      </c>
      <c r="F972" s="130">
        <f t="shared" ref="F972:F977" si="47">E972-D972</f>
        <v>0</v>
      </c>
      <c r="G972" s="73"/>
      <c r="H972" s="74">
        <f>'12-2017'!H1033</f>
        <v>0</v>
      </c>
      <c r="I972" s="74">
        <f>'12-2017'!I1033</f>
        <v>0</v>
      </c>
      <c r="J972" s="74">
        <f>'12-2017'!J1033</f>
        <v>0</v>
      </c>
    </row>
    <row r="973" spans="1:10" s="58" customFormat="1" ht="17.25" hidden="1">
      <c r="A973" s="10">
        <f>'12-2017'!A1034</f>
        <v>21</v>
      </c>
      <c r="B973" s="11" t="str">
        <f>'12-2017'!B1034</f>
        <v>Sơn ngoại thất mờ, lau chùi được SPEC HELLO FAST ERTERIOR (18 lít)</v>
      </c>
      <c r="C973" s="12" t="str">
        <f>'12-2017'!C1034</f>
        <v>đ/kg</v>
      </c>
      <c r="D973" s="13">
        <f>'12-2017'!O1034</f>
        <v>67200</v>
      </c>
      <c r="E973" s="13">
        <f>'12-2017'!P1034</f>
        <v>67200</v>
      </c>
      <c r="F973" s="130">
        <f t="shared" si="47"/>
        <v>0</v>
      </c>
      <c r="G973" s="73"/>
      <c r="H973" s="74">
        <f>'12-2017'!H1034</f>
        <v>0</v>
      </c>
      <c r="I973" s="74">
        <f>'12-2017'!I1034</f>
        <v>0</v>
      </c>
      <c r="J973" s="74">
        <f>'12-2017'!J1034</f>
        <v>0</v>
      </c>
    </row>
    <row r="974" spans="1:10" s="58" customFormat="1" ht="17.25" hidden="1">
      <c r="A974" s="10">
        <f>'12-2017'!A1035</f>
        <v>22</v>
      </c>
      <c r="B974" s="11" t="str">
        <f>'12-2017'!B1035</f>
        <v>Chống kiềm cao cấp INT&amp;EXTERIOR  (05 lít)</v>
      </c>
      <c r="C974" s="12" t="str">
        <f>'12-2017'!C1035</f>
        <v>đ/kg</v>
      </c>
      <c r="D974" s="13">
        <f>'12-2017'!O1035</f>
        <v>118387</v>
      </c>
      <c r="E974" s="13">
        <f>'12-2017'!P1035</f>
        <v>118387</v>
      </c>
      <c r="F974" s="130">
        <f t="shared" si="47"/>
        <v>0</v>
      </c>
      <c r="G974" s="73"/>
      <c r="H974" s="74">
        <f>'12-2017'!H1035</f>
        <v>0</v>
      </c>
      <c r="I974" s="74">
        <f>'12-2017'!I1035</f>
        <v>0</v>
      </c>
      <c r="J974" s="74">
        <f>'12-2017'!J1035</f>
        <v>0</v>
      </c>
    </row>
    <row r="975" spans="1:10" s="58" customFormat="1" ht="17.25" hidden="1">
      <c r="A975" s="10">
        <f>'12-2017'!A1036</f>
        <v>23</v>
      </c>
      <c r="B975" s="11" t="str">
        <f>'12-2017'!B1036</f>
        <v>Chống kiềm cao cấp INT&amp;EXTERIOR  (18 lít)</v>
      </c>
      <c r="C975" s="12" t="str">
        <f>'12-2017'!C1036</f>
        <v>đ/kg</v>
      </c>
      <c r="D975" s="13">
        <f>'12-2017'!O1036</f>
        <v>84615</v>
      </c>
      <c r="E975" s="13">
        <f>'12-2017'!P1036</f>
        <v>84615</v>
      </c>
      <c r="F975" s="130">
        <f t="shared" si="47"/>
        <v>0</v>
      </c>
      <c r="G975" s="73"/>
      <c r="H975" s="74">
        <f>'12-2017'!H1036</f>
        <v>0</v>
      </c>
      <c r="I975" s="74">
        <f>'12-2017'!I1036</f>
        <v>0</v>
      </c>
      <c r="J975" s="74">
        <f>'12-2017'!J1036</f>
        <v>0</v>
      </c>
    </row>
    <row r="976" spans="1:10" s="58" customFormat="1" ht="17.25" hidden="1">
      <c r="A976" s="10">
        <f>'12-2017'!A1037</f>
        <v>24</v>
      </c>
      <c r="B976" s="11" t="str">
        <f>'12-2017'!B1037</f>
        <v>Chống kiềm nội thất cao cấp (05 lít)</v>
      </c>
      <c r="C976" s="12" t="str">
        <f>'12-2017'!C1037</f>
        <v>đ/kg</v>
      </c>
      <c r="D976" s="13">
        <f>'12-2017'!O1037</f>
        <v>78629</v>
      </c>
      <c r="E976" s="13">
        <f>'12-2017'!P1037</f>
        <v>78629</v>
      </c>
      <c r="F976" s="130">
        <f t="shared" si="47"/>
        <v>0</v>
      </c>
      <c r="G976" s="73"/>
      <c r="H976" s="74">
        <f>'12-2017'!H1037</f>
        <v>0</v>
      </c>
      <c r="I976" s="74">
        <f>'12-2017'!I1037</f>
        <v>0</v>
      </c>
      <c r="J976" s="74">
        <f>'12-2017'!J1037</f>
        <v>0</v>
      </c>
    </row>
    <row r="977" spans="1:10" s="58" customFormat="1" ht="17.25" hidden="1">
      <c r="A977" s="10">
        <f>'12-2017'!A1038</f>
        <v>25</v>
      </c>
      <c r="B977" s="11" t="str">
        <f>'12-2017'!B1038</f>
        <v>Chống kiềm nội thất cao cấp (18 lít)</v>
      </c>
      <c r="C977" s="12" t="str">
        <f>'12-2017'!C1038</f>
        <v>đ/kg</v>
      </c>
      <c r="D977" s="13">
        <f>'12-2017'!O1038</f>
        <v>78000</v>
      </c>
      <c r="E977" s="13">
        <f>'12-2017'!P1038</f>
        <v>78000</v>
      </c>
      <c r="F977" s="130">
        <f t="shared" si="47"/>
        <v>0</v>
      </c>
      <c r="G977" s="73"/>
      <c r="H977" s="74">
        <f>'12-2017'!H1038</f>
        <v>0</v>
      </c>
      <c r="I977" s="74">
        <f>'12-2017'!I1038</f>
        <v>0</v>
      </c>
      <c r="J977" s="74">
        <f>'12-2017'!J1038</f>
        <v>0</v>
      </c>
    </row>
    <row r="978" spans="1:10" s="58" customFormat="1" ht="17.25" hidden="1">
      <c r="A978" s="10">
        <f>'12-2017'!A1039</f>
        <v>26</v>
      </c>
      <c r="B978" s="11" t="str">
        <f>'12-2017'!B1039</f>
        <v>Sơn lót chống thấm ngược SPEX DAMP SEALER (05 lit)</v>
      </c>
      <c r="C978" s="12" t="str">
        <f>'12-2017'!C1039</f>
        <v>đ/kg</v>
      </c>
      <c r="D978" s="13">
        <f>'12-2017'!O1039</f>
        <v>149180</v>
      </c>
      <c r="E978" s="13">
        <f>'12-2017'!P1039</f>
        <v>149180</v>
      </c>
      <c r="F978" s="130">
        <f>E978-D978</f>
        <v>0</v>
      </c>
      <c r="G978" s="73"/>
      <c r="H978" s="74">
        <f>'12-2017'!H1039</f>
        <v>0</v>
      </c>
      <c r="I978" s="74">
        <f>'12-2017'!I1039</f>
        <v>0</v>
      </c>
      <c r="J978" s="74">
        <f>'12-2017'!J1039</f>
        <v>0</v>
      </c>
    </row>
    <row r="979" spans="1:10" s="58" customFormat="1" ht="17.25">
      <c r="A979" s="10"/>
      <c r="B979" s="237" t="str">
        <f>'12-2017'!B1040</f>
        <v>Sơn DURA: Cửa hàng Trung Hưng số 7-8 Nguyễn Thái Học, phường Mỹ Hòa, TP.LX, AG, áp dụng từ ngày 10/10/2017</v>
      </c>
      <c r="C979" s="238"/>
      <c r="D979" s="238"/>
      <c r="E979" s="238"/>
      <c r="F979" s="239"/>
      <c r="G979" s="73"/>
      <c r="H979" s="74">
        <f>'12-2017'!H1040</f>
        <v>0</v>
      </c>
      <c r="I979" s="74">
        <f>'12-2017'!I1040</f>
        <v>0</v>
      </c>
      <c r="J979" s="74">
        <f>'12-2017'!J1040</f>
        <v>0</v>
      </c>
    </row>
    <row r="980" spans="1:10" s="58" customFormat="1" ht="17.25" hidden="1">
      <c r="A980" s="10">
        <f>'12-2017'!A1041</f>
        <v>1</v>
      </c>
      <c r="B980" s="11" t="str">
        <f>'12-2017'!B1041</f>
        <v>Sơn nội thất LAVENDER đa dụng (05 lít, 7,5kg)</v>
      </c>
      <c r="C980" s="12" t="str">
        <f>'12-2017'!C1041</f>
        <v>đ/kg</v>
      </c>
      <c r="D980" s="13">
        <f>'12-2017'!O1041</f>
        <v>0</v>
      </c>
      <c r="E980" s="13">
        <f>'12-2017'!P1041</f>
        <v>38666</v>
      </c>
      <c r="F980" s="130">
        <f t="shared" ref="F980:F987" si="48">E980-D980</f>
        <v>38666</v>
      </c>
      <c r="G980" s="73"/>
      <c r="H980" s="74">
        <f>'12-2017'!H1041</f>
        <v>0</v>
      </c>
      <c r="I980" s="74">
        <f>'12-2017'!I1041</f>
        <v>38666</v>
      </c>
      <c r="J980" s="74">
        <f>'12-2017'!J1041</f>
        <v>38666</v>
      </c>
    </row>
    <row r="981" spans="1:10" s="58" customFormat="1" ht="17.25" hidden="1">
      <c r="A981" s="10">
        <f>'12-2017'!A1043</f>
        <v>3</v>
      </c>
      <c r="B981" s="11" t="str">
        <f>'12-2017'!B1043</f>
        <v>Sơn nội thất VEGO bóng mờ cổ điển (05 lít, 7,5kg).</v>
      </c>
      <c r="C981" s="12" t="str">
        <f>'12-2017'!C1043</f>
        <v>đ/kg</v>
      </c>
      <c r="D981" s="13">
        <f>'12-2017'!O1043</f>
        <v>0</v>
      </c>
      <c r="E981" s="13">
        <f>'12-2017'!P1043</f>
        <v>67200</v>
      </c>
      <c r="F981" s="130">
        <f t="shared" si="48"/>
        <v>67200</v>
      </c>
      <c r="G981" s="73"/>
      <c r="H981" s="74">
        <f>'12-2017'!H1043</f>
        <v>0</v>
      </c>
      <c r="I981" s="74">
        <f>'12-2017'!I1043</f>
        <v>67200</v>
      </c>
      <c r="J981" s="74">
        <f>'12-2017'!J1043</f>
        <v>67200</v>
      </c>
    </row>
    <row r="982" spans="1:10" s="58" customFormat="1" ht="17.25" hidden="1">
      <c r="A982" s="10">
        <f>'12-2017'!A1068</f>
        <v>28</v>
      </c>
      <c r="B982" s="11" t="str">
        <f>'12-2017'!B1068</f>
        <v>Sơn lót ngoại thất ENRIC NANO SEALER (18 lít, 27kg)</v>
      </c>
      <c r="C982" s="12" t="str">
        <f>'12-2017'!C1068</f>
        <v>đ/kg</v>
      </c>
      <c r="D982" s="13">
        <f>'12-2017'!O1068</f>
        <v>0</v>
      </c>
      <c r="E982" s="13">
        <f>'12-2017'!P1068</f>
        <v>171897</v>
      </c>
      <c r="F982" s="130">
        <f t="shared" si="48"/>
        <v>171897</v>
      </c>
      <c r="G982" s="73"/>
      <c r="H982" s="74">
        <f>'12-2017'!H1068</f>
        <v>0</v>
      </c>
      <c r="I982" s="74">
        <f>'12-2017'!I1068</f>
        <v>171897</v>
      </c>
      <c r="J982" s="74">
        <f>'12-2017'!J1068</f>
        <v>171897</v>
      </c>
    </row>
    <row r="983" spans="1:10" s="58" customFormat="1" ht="17.25" hidden="1">
      <c r="A983" s="10">
        <f>'12-2017'!A1069</f>
        <v>29</v>
      </c>
      <c r="B983" s="11" t="str">
        <f>'12-2017'!B1069</f>
        <v>Chống thấm ENRIC đa năng (05 lít, 7,5kg)</v>
      </c>
      <c r="C983" s="12" t="str">
        <f>'12-2017'!C1069</f>
        <v>đ/kg</v>
      </c>
      <c r="D983" s="13">
        <f>'12-2017'!O1069</f>
        <v>0</v>
      </c>
      <c r="E983" s="13">
        <f>'12-2017'!P1069</f>
        <v>131000</v>
      </c>
      <c r="F983" s="130">
        <f t="shared" si="48"/>
        <v>131000</v>
      </c>
      <c r="G983" s="73"/>
      <c r="H983" s="74">
        <f>'12-2017'!H1069</f>
        <v>0</v>
      </c>
      <c r="I983" s="74">
        <f>'12-2017'!I1069</f>
        <v>131000</v>
      </c>
      <c r="J983" s="74">
        <f>'12-2017'!J1069</f>
        <v>131000</v>
      </c>
    </row>
    <row r="984" spans="1:10" s="58" customFormat="1" ht="49.5" customHeight="1">
      <c r="A984" s="10"/>
      <c r="B984" s="237" t="str">
        <f>'12-2017'!B1074</f>
        <v>Sơn nước + bột trét KANSAI-ALPHANAM: Công ty TNHH Phương Anh Long Xuyên số 26-28 Lý Bôn, phường Bình Khánh, TP.LX, AG, áp dụng từ ngày 04/9/2017</v>
      </c>
      <c r="C984" s="238"/>
      <c r="D984" s="238"/>
      <c r="E984" s="238"/>
      <c r="F984" s="239"/>
      <c r="G984" s="73"/>
      <c r="H984" s="74">
        <f>'12-2017'!H1074</f>
        <v>0</v>
      </c>
      <c r="I984" s="74">
        <f>'12-2017'!I1074</f>
        <v>0</v>
      </c>
      <c r="J984" s="74">
        <f>'12-2017'!J1074</f>
        <v>0</v>
      </c>
    </row>
    <row r="985" spans="1:10" s="58" customFormat="1" ht="17.25" hidden="1">
      <c r="A985" s="10">
        <f>'12-2017'!A1075</f>
        <v>1</v>
      </c>
      <c r="B985" s="11" t="str">
        <f>'12-2017'!B1075</f>
        <v>Sơn lót chống kiềm ngoại thất SEALER PRO (Thùng 18lít-23,76kg) mã hiệu DPE</v>
      </c>
      <c r="C985" s="12" t="str">
        <f>'12-2017'!C1075</f>
        <v>đ/kg</v>
      </c>
      <c r="D985" s="13">
        <f>'12-2017'!O1075</f>
        <v>0</v>
      </c>
      <c r="E985" s="13">
        <f>'12-2017'!P1075</f>
        <v>63200</v>
      </c>
      <c r="F985" s="130">
        <f t="shared" si="48"/>
        <v>63200</v>
      </c>
      <c r="G985" s="73"/>
      <c r="H985" s="74">
        <f>'12-2017'!H1075</f>
        <v>63200</v>
      </c>
      <c r="I985" s="74">
        <f>'12-2017'!I1075</f>
        <v>0</v>
      </c>
      <c r="J985" s="74">
        <f>'12-2017'!J1075</f>
        <v>0</v>
      </c>
    </row>
    <row r="986" spans="1:10" s="58" customFormat="1" ht="17.25" hidden="1">
      <c r="A986" s="10">
        <f>'12-2017'!A1076</f>
        <v>2</v>
      </c>
      <c r="B986" s="11" t="str">
        <f>'12-2017'!B1076</f>
        <v>Sơn nội thất mờ MATT FINISH FOR INTERIOR (Thùng 18lít-26,28kg) mã hiệu DI10</v>
      </c>
      <c r="C986" s="12" t="str">
        <f>'12-2017'!C1076</f>
        <v>đ/kg</v>
      </c>
      <c r="D986" s="13">
        <f>'12-2017'!O1076</f>
        <v>0</v>
      </c>
      <c r="E986" s="13">
        <f>'12-2017'!P1076</f>
        <v>34600</v>
      </c>
      <c r="F986" s="130">
        <f t="shared" si="48"/>
        <v>34600</v>
      </c>
      <c r="G986" s="73"/>
      <c r="H986" s="74">
        <f>'12-2017'!H1076</f>
        <v>34600</v>
      </c>
      <c r="I986" s="74">
        <f>'12-2017'!I1076</f>
        <v>0</v>
      </c>
      <c r="J986" s="74">
        <f>'12-2017'!J1076</f>
        <v>0</v>
      </c>
    </row>
    <row r="987" spans="1:10" s="58" customFormat="1" ht="17.25" hidden="1">
      <c r="A987" s="10">
        <f>'12-2017'!A1077</f>
        <v>3</v>
      </c>
      <c r="B987" s="11" t="str">
        <f>'12-2017'!B1077</f>
        <v>Sơn nội thất lau chùi hiệu quả CLEAN PRO (Thùng 18lít-21,06kg) mã hiệu DI16</v>
      </c>
      <c r="C987" s="12" t="str">
        <f>'12-2017'!C1077</f>
        <v>đ/kg</v>
      </c>
      <c r="D987" s="13">
        <f>'12-2017'!O1077</f>
        <v>0</v>
      </c>
      <c r="E987" s="13">
        <f>'12-2017'!P1077</f>
        <v>87900</v>
      </c>
      <c r="F987" s="130">
        <f t="shared" si="48"/>
        <v>87900</v>
      </c>
      <c r="G987" s="73"/>
      <c r="H987" s="74">
        <f>'12-2017'!H1077</f>
        <v>87900</v>
      </c>
      <c r="I987" s="74">
        <f>'12-2017'!I1077</f>
        <v>0</v>
      </c>
      <c r="J987" s="74">
        <f>'12-2017'!J1077</f>
        <v>0</v>
      </c>
    </row>
    <row r="988" spans="1:10" s="58" customFormat="1" ht="17.25" hidden="1">
      <c r="A988" s="10">
        <f>'12-2017'!A1078</f>
        <v>4</v>
      </c>
      <c r="B988" s="11" t="str">
        <f>'12-2017'!B1078</f>
        <v>Sơn ngoại thất mờ MATT FINISH FOR EXTERIOR (Thùng 18lít-24,48kg) mã hiệu DE11</v>
      </c>
      <c r="C988" s="12" t="str">
        <f>'12-2017'!C1078</f>
        <v>đ/kg</v>
      </c>
      <c r="D988" s="13">
        <f>'12-2017'!O1078</f>
        <v>0</v>
      </c>
      <c r="E988" s="13">
        <f>'12-2017'!P1078</f>
        <v>72000</v>
      </c>
      <c r="F988" s="130">
        <f>E988-D988</f>
        <v>72000</v>
      </c>
      <c r="G988" s="73"/>
      <c r="H988" s="74">
        <f>'12-2017'!H1078</f>
        <v>72000</v>
      </c>
      <c r="I988" s="74">
        <f>'12-2017'!I1078</f>
        <v>0</v>
      </c>
      <c r="J988" s="74">
        <f>'12-2017'!J1078</f>
        <v>0</v>
      </c>
    </row>
    <row r="989" spans="1:10" s="58" customFormat="1" ht="17.25" hidden="1">
      <c r="A989" s="10">
        <f>'12-2017'!A1079</f>
        <v>5</v>
      </c>
      <c r="B989" s="11" t="str">
        <f>'12-2017'!B1079</f>
        <v>Sơn ngoại thất lau chùi hiệu quả SHEEN PRO (Thùng 18lít-21,06kg) mã hiệu DE9</v>
      </c>
      <c r="C989" s="12" t="str">
        <f>'12-2017'!C1079</f>
        <v>đ/kg</v>
      </c>
      <c r="D989" s="13">
        <f>'12-2017'!O1079</f>
        <v>0</v>
      </c>
      <c r="E989" s="13">
        <f>'12-2017'!P1079</f>
        <v>129200</v>
      </c>
      <c r="F989" s="130">
        <f>E989-D989</f>
        <v>129200</v>
      </c>
      <c r="G989" s="73"/>
      <c r="H989" s="74">
        <f>'12-2017'!H1079</f>
        <v>129200</v>
      </c>
      <c r="I989" s="74">
        <f>'12-2017'!I1079</f>
        <v>0</v>
      </c>
      <c r="J989" s="74">
        <f>'12-2017'!J1079</f>
        <v>0</v>
      </c>
    </row>
    <row r="990" spans="1:10" s="73" customFormat="1" ht="33" customHeight="1">
      <c r="A990" s="17"/>
      <c r="B990" s="237" t="str">
        <f>'12-2017'!B1080</f>
        <v>Sơn nước KENNY: Công ty TNHH SX-TM Sơn Phúc (CN 551/162 Lê Văn Khương, P.Hiệp Thành, Quận 12, TP.HCM, áp dụng từ ngày 01/12/2017)</v>
      </c>
      <c r="C990" s="238"/>
      <c r="D990" s="238"/>
      <c r="E990" s="238"/>
      <c r="F990" s="239"/>
      <c r="H990" s="78">
        <f>'12-2017'!H1080</f>
        <v>0</v>
      </c>
      <c r="I990" s="78">
        <f>'12-2017'!I1080</f>
        <v>0</v>
      </c>
      <c r="J990" s="78">
        <f>'12-2017'!J1080</f>
        <v>0</v>
      </c>
    </row>
    <row r="991" spans="1:10" s="58" customFormat="1" ht="17.25">
      <c r="A991" s="10">
        <f>'12-2017'!A1081</f>
        <v>1</v>
      </c>
      <c r="B991" s="11" t="str">
        <f>'12-2017'!B1081</f>
        <v>Sơn nước nội thất KENNY NICE (sơn kinh tế)</v>
      </c>
      <c r="C991" s="12" t="str">
        <f>'12-2017'!C1081</f>
        <v>đ/kg</v>
      </c>
      <c r="D991" s="13">
        <f>'12-2017'!O1081</f>
        <v>0</v>
      </c>
      <c r="E991" s="13">
        <f>'12-2017'!P1081</f>
        <v>23636.363636363636</v>
      </c>
      <c r="F991" s="130">
        <f t="shared" ref="F991:F1000" si="49">E991-D991</f>
        <v>23636.363636363636</v>
      </c>
      <c r="G991" s="73"/>
      <c r="H991" s="74">
        <f>'12-2017'!H1081</f>
        <v>0</v>
      </c>
      <c r="I991" s="74">
        <f>'12-2017'!I1081</f>
        <v>23636.363636363636</v>
      </c>
      <c r="J991" s="74">
        <f>'12-2017'!J1081</f>
        <v>0</v>
      </c>
    </row>
    <row r="992" spans="1:10" s="58" customFormat="1" ht="17.25">
      <c r="A992" s="10">
        <f>'12-2017'!A1082</f>
        <v>2</v>
      </c>
      <c r="B992" s="11" t="str">
        <f>'12-2017'!B1082</f>
        <v>Sơn nước nội thất KENNY INT (sơn chất lượng cao)</v>
      </c>
      <c r="C992" s="12" t="str">
        <f>'12-2017'!C1082</f>
        <v>đ/kg</v>
      </c>
      <c r="D992" s="13">
        <f>'12-2017'!O1082</f>
        <v>0</v>
      </c>
      <c r="E992" s="13">
        <f>'12-2017'!P1082</f>
        <v>29999.999999999996</v>
      </c>
      <c r="F992" s="130">
        <f t="shared" si="49"/>
        <v>29999.999999999996</v>
      </c>
      <c r="G992" s="73"/>
      <c r="H992" s="74">
        <f>'12-2017'!H1082</f>
        <v>0</v>
      </c>
      <c r="I992" s="74">
        <f>'12-2017'!I1082</f>
        <v>29999.999999999996</v>
      </c>
      <c r="J992" s="74">
        <f>'12-2017'!J1082</f>
        <v>0</v>
      </c>
    </row>
    <row r="993" spans="1:10" s="58" customFormat="1" ht="17.25">
      <c r="A993" s="10">
        <f>'12-2017'!A1083</f>
        <v>3</v>
      </c>
      <c r="B993" s="11" t="str">
        <f>'12-2017'!B1083</f>
        <v>Sơn nước nội thất KENNY SUPER WHITE (Siêu trắng)</v>
      </c>
      <c r="C993" s="12" t="str">
        <f>'12-2017'!C1083</f>
        <v>đ/kg</v>
      </c>
      <c r="D993" s="13">
        <f>'12-2017'!O1083</f>
        <v>0</v>
      </c>
      <c r="E993" s="13">
        <f>'12-2017'!P1083</f>
        <v>43636.363636363632</v>
      </c>
      <c r="F993" s="130">
        <f t="shared" si="49"/>
        <v>43636.363636363632</v>
      </c>
      <c r="G993" s="73"/>
      <c r="H993" s="74">
        <f>'12-2017'!H1083</f>
        <v>0</v>
      </c>
      <c r="I993" s="74">
        <f>'12-2017'!I1083</f>
        <v>43636.363636363632</v>
      </c>
      <c r="J993" s="74">
        <f>'12-2017'!J1083</f>
        <v>0</v>
      </c>
    </row>
    <row r="994" spans="1:10" s="58" customFormat="1" ht="17.25">
      <c r="A994" s="10">
        <f>'12-2017'!A1084</f>
        <v>4</v>
      </c>
      <c r="B994" s="11" t="str">
        <f>'12-2017'!B1084</f>
        <v>Sơn nước nội thất KENNY LIGHT (Cao cấp, lau chùi) màu thường</v>
      </c>
      <c r="C994" s="12" t="str">
        <f>'12-2017'!C1084</f>
        <v>đ/kg</v>
      </c>
      <c r="D994" s="13">
        <f>'12-2017'!O1084</f>
        <v>0</v>
      </c>
      <c r="E994" s="13">
        <f>'12-2017'!P1084</f>
        <v>44545.454545454544</v>
      </c>
      <c r="F994" s="130">
        <f t="shared" si="49"/>
        <v>44545.454545454544</v>
      </c>
      <c r="G994" s="73"/>
      <c r="H994" s="74">
        <f>'12-2017'!H1084</f>
        <v>0</v>
      </c>
      <c r="I994" s="74">
        <f>'12-2017'!I1084</f>
        <v>44545.454545454544</v>
      </c>
      <c r="J994" s="74">
        <f>'12-2017'!J1084</f>
        <v>0</v>
      </c>
    </row>
    <row r="995" spans="1:10" s="58" customFormat="1" ht="17.25">
      <c r="A995" s="10">
        <f>'12-2017'!A1085</f>
        <v>5</v>
      </c>
      <c r="B995" s="11" t="str">
        <f>'12-2017'!B1085</f>
        <v>Sơn nước nội thất KENNY DELUXE 5 TRONG 1 (Bóng mờ, chùi rửa) màu thường.</v>
      </c>
      <c r="C995" s="12" t="str">
        <f>'12-2017'!C1085</f>
        <v>đ/kg</v>
      </c>
      <c r="D995" s="13">
        <f>'12-2017'!O1085</f>
        <v>0</v>
      </c>
      <c r="E995" s="13">
        <f>'12-2017'!P1085</f>
        <v>105454.54545454544</v>
      </c>
      <c r="F995" s="130">
        <f t="shared" si="49"/>
        <v>105454.54545454544</v>
      </c>
      <c r="G995" s="73"/>
      <c r="H995" s="74">
        <f>'12-2017'!H1085</f>
        <v>0</v>
      </c>
      <c r="I995" s="74">
        <f>'12-2017'!I1085</f>
        <v>105454.54545454544</v>
      </c>
      <c r="J995" s="74">
        <f>'12-2017'!J1085</f>
        <v>0</v>
      </c>
    </row>
    <row r="996" spans="1:10" s="58" customFormat="1" ht="17.25">
      <c r="A996" s="10">
        <f>'12-2017'!A1086</f>
        <v>6</v>
      </c>
      <c r="B996" s="11" t="str">
        <f>'12-2017'!B1086</f>
        <v>Sơn nước nội thất KENNY SATIN (Bóng cao cấp, chùi rửa)</v>
      </c>
      <c r="C996" s="12" t="str">
        <f>'12-2017'!C1086</f>
        <v>đ/kg</v>
      </c>
      <c r="D996" s="13">
        <f>'12-2017'!O1086</f>
        <v>0</v>
      </c>
      <c r="E996" s="13">
        <f>'12-2017'!P1086</f>
        <v>145454.54545454544</v>
      </c>
      <c r="F996" s="130">
        <f t="shared" si="49"/>
        <v>145454.54545454544</v>
      </c>
      <c r="G996" s="73"/>
      <c r="H996" s="74">
        <f>'12-2017'!H1086</f>
        <v>0</v>
      </c>
      <c r="I996" s="74">
        <f>'12-2017'!I1086</f>
        <v>145454.54545454544</v>
      </c>
      <c r="J996" s="74">
        <f>'12-2017'!J1086</f>
        <v>0</v>
      </c>
    </row>
    <row r="997" spans="1:10" s="58" customFormat="1" ht="17.25">
      <c r="A997" s="10">
        <f>'12-2017'!A1087</f>
        <v>7</v>
      </c>
      <c r="B997" s="11" t="str">
        <f>'12-2017'!B1087</f>
        <v>Sơn nước ngoại thất KENNY EXT PLUS (kháng kiềm tốt)</v>
      </c>
      <c r="C997" s="12" t="str">
        <f>'12-2017'!C1087</f>
        <v>đ/kg</v>
      </c>
      <c r="D997" s="13">
        <f>'12-2017'!O1087</f>
        <v>0</v>
      </c>
      <c r="E997" s="13">
        <f>'12-2017'!P1087</f>
        <v>66363.636363636353</v>
      </c>
      <c r="F997" s="130">
        <f t="shared" si="49"/>
        <v>66363.636363636353</v>
      </c>
      <c r="G997" s="73"/>
      <c r="H997" s="74">
        <f>'12-2017'!H1087</f>
        <v>0</v>
      </c>
      <c r="I997" s="74">
        <f>'12-2017'!I1087</f>
        <v>66363.636363636353</v>
      </c>
      <c r="J997" s="74">
        <f>'12-2017'!J1087</f>
        <v>0</v>
      </c>
    </row>
    <row r="998" spans="1:10" s="58" customFormat="1" ht="17.25">
      <c r="A998" s="10">
        <f>'12-2017'!A1088</f>
        <v>8</v>
      </c>
      <c r="B998" s="11" t="str">
        <f>'12-2017'!B1088</f>
        <v>Sơn nước ngoại thất KENNY EXTRA (cao cấp, chống thấm) - màu thường</v>
      </c>
      <c r="C998" s="12" t="str">
        <f>'12-2017'!C1088</f>
        <v>đ/kg</v>
      </c>
      <c r="D998" s="13">
        <f>'12-2017'!O1088</f>
        <v>0</v>
      </c>
      <c r="E998" s="13">
        <f>'12-2017'!P1088</f>
        <v>126363.63636363635</v>
      </c>
      <c r="F998" s="130">
        <f t="shared" si="49"/>
        <v>126363.63636363635</v>
      </c>
      <c r="G998" s="73"/>
      <c r="H998" s="74">
        <f>'12-2017'!H1088</f>
        <v>0</v>
      </c>
      <c r="I998" s="74">
        <f>'12-2017'!I1088</f>
        <v>126363.63636363635</v>
      </c>
      <c r="J998" s="74">
        <f>'12-2017'!J1088</f>
        <v>0</v>
      </c>
    </row>
    <row r="999" spans="1:10" s="58" customFormat="1" ht="17.25">
      <c r="A999" s="10">
        <f>'12-2017'!A1089</f>
        <v>9</v>
      </c>
      <c r="B999" s="11" t="str">
        <f>'12-2017'!B1089</f>
        <v>Sơn nước ngoại thất KENNY MAXSHELD (chống nóng, chống thấm) - màu thường</v>
      </c>
      <c r="C999" s="12" t="str">
        <f>'12-2017'!C1089</f>
        <v>đ/kg</v>
      </c>
      <c r="D999" s="13">
        <f>'12-2017'!O1089</f>
        <v>0</v>
      </c>
      <c r="E999" s="13">
        <f>'12-2017'!P1089</f>
        <v>149090.90909090909</v>
      </c>
      <c r="F999" s="130">
        <f t="shared" si="49"/>
        <v>149090.90909090909</v>
      </c>
      <c r="G999" s="73"/>
      <c r="H999" s="74">
        <f>'12-2017'!H1089</f>
        <v>0</v>
      </c>
      <c r="I999" s="74">
        <f>'12-2017'!I1089</f>
        <v>149090.90909090909</v>
      </c>
      <c r="J999" s="74">
        <f>'12-2017'!J1089</f>
        <v>0</v>
      </c>
    </row>
    <row r="1000" spans="1:10" s="58" customFormat="1" ht="17.25">
      <c r="A1000" s="10">
        <f>'12-2017'!A1090</f>
        <v>10</v>
      </c>
      <c r="B1000" s="11" t="str">
        <f>'12-2017'!B1090</f>
        <v>Sơn nước ngoại thất KENNY SHIELD (Bóng cao cấp, chống thấm) - màu thường</v>
      </c>
      <c r="C1000" s="12" t="str">
        <f>'12-2017'!C1090</f>
        <v>đ/kg</v>
      </c>
      <c r="D1000" s="13">
        <f>'12-2017'!O1090</f>
        <v>0</v>
      </c>
      <c r="E1000" s="13">
        <f>'12-2017'!P1090</f>
        <v>167272.72727272726</v>
      </c>
      <c r="F1000" s="130">
        <f t="shared" si="49"/>
        <v>167272.72727272726</v>
      </c>
      <c r="G1000" s="73"/>
      <c r="H1000" s="74">
        <f>'12-2017'!H1090</f>
        <v>0</v>
      </c>
      <c r="I1000" s="74">
        <f>'12-2017'!I1090</f>
        <v>167272.72727272726</v>
      </c>
      <c r="J1000" s="74">
        <f>'12-2017'!J1090</f>
        <v>0</v>
      </c>
    </row>
    <row r="1001" spans="1:10" s="58" customFormat="1" ht="17.25">
      <c r="A1001" s="10">
        <f>'12-2017'!A1091</f>
        <v>11</v>
      </c>
      <c r="B1001" s="11" t="str">
        <f>'12-2017'!B1091</f>
        <v>Sơn nước ngoại thất KENNY NANOSILK (ngoại thất siêu hạng) - màu thường</v>
      </c>
      <c r="C1001" s="12" t="str">
        <f>'12-2017'!C1091</f>
        <v>đ/kg</v>
      </c>
      <c r="D1001" s="13">
        <f>'12-2017'!O1091</f>
        <v>0</v>
      </c>
      <c r="E1001" s="13">
        <f>'12-2017'!P1091</f>
        <v>219999.99999999997</v>
      </c>
      <c r="F1001" s="130">
        <f t="shared" ref="F1001:F1015" si="50">E1001-D1001</f>
        <v>219999.99999999997</v>
      </c>
      <c r="G1001" s="73"/>
      <c r="H1001" s="74">
        <f>'12-2017'!H1091</f>
        <v>0</v>
      </c>
      <c r="I1001" s="74">
        <f>'12-2017'!I1091</f>
        <v>219999.99999999997</v>
      </c>
      <c r="J1001" s="74">
        <f>'12-2017'!J1091</f>
        <v>0</v>
      </c>
    </row>
    <row r="1002" spans="1:10" s="58" customFormat="1" ht="17.25">
      <c r="A1002" s="10">
        <f>'12-2017'!A1092</f>
        <v>12</v>
      </c>
      <c r="B1002" s="11" t="str">
        <f>'12-2017'!B1092</f>
        <v>Sơn lót chống kiềm KENNY ANGEL nội thất cao cấp</v>
      </c>
      <c r="C1002" s="12" t="str">
        <f>'12-2017'!C1092</f>
        <v>đ/kg</v>
      </c>
      <c r="D1002" s="13">
        <f>'12-2017'!O1092</f>
        <v>0</v>
      </c>
      <c r="E1002" s="13">
        <f>'12-2017'!P1092</f>
        <v>50909.090909090904</v>
      </c>
      <c r="F1002" s="130">
        <f t="shared" si="50"/>
        <v>50909.090909090904</v>
      </c>
      <c r="G1002" s="73"/>
      <c r="H1002" s="74">
        <f>'12-2017'!H1092</f>
        <v>0</v>
      </c>
      <c r="I1002" s="74">
        <f>'12-2017'!I1092</f>
        <v>50909.090909090904</v>
      </c>
      <c r="J1002" s="74">
        <f>'12-2017'!J1092</f>
        <v>0</v>
      </c>
    </row>
    <row r="1003" spans="1:10" s="58" customFormat="1" ht="17.25">
      <c r="A1003" s="10">
        <f>'12-2017'!A1093</f>
        <v>13</v>
      </c>
      <c r="B1003" s="11" t="str">
        <f>'12-2017'!B1093</f>
        <v xml:space="preserve">Sơn lót chống kiềm KENNY SEALER ngoại thất chất lượng cao </v>
      </c>
      <c r="C1003" s="12" t="str">
        <f>'12-2017'!C1093</f>
        <v>đ/kg</v>
      </c>
      <c r="D1003" s="13">
        <f>'12-2017'!O1093</f>
        <v>0</v>
      </c>
      <c r="E1003" s="13">
        <f>'12-2017'!P1093</f>
        <v>64545.454545454537</v>
      </c>
      <c r="F1003" s="130">
        <f t="shared" si="50"/>
        <v>64545.454545454537</v>
      </c>
      <c r="G1003" s="73"/>
      <c r="H1003" s="74">
        <f>'12-2017'!H1093</f>
        <v>0</v>
      </c>
      <c r="I1003" s="74">
        <f>'12-2017'!I1093</f>
        <v>64545.454545454537</v>
      </c>
      <c r="J1003" s="74">
        <f>'12-2017'!J1093</f>
        <v>0</v>
      </c>
    </row>
    <row r="1004" spans="1:10" s="58" customFormat="1" ht="17.25">
      <c r="A1004" s="10">
        <f>'12-2017'!A1094</f>
        <v>14</v>
      </c>
      <c r="B1004" s="11" t="str">
        <f>'12-2017'!B1094</f>
        <v xml:space="preserve">Sơn lót chống kiềm KENNY PRIMER ngoại thất chất lượng cao </v>
      </c>
      <c r="C1004" s="12" t="str">
        <f>'12-2017'!C1094</f>
        <v>đ/kg</v>
      </c>
      <c r="D1004" s="13">
        <f>'12-2017'!O1094</f>
        <v>0</v>
      </c>
      <c r="E1004" s="13">
        <f>'12-2017'!P1094</f>
        <v>81818.181818181809</v>
      </c>
      <c r="F1004" s="130">
        <f t="shared" si="50"/>
        <v>81818.181818181809</v>
      </c>
      <c r="G1004" s="73"/>
      <c r="H1004" s="74">
        <f>'12-2017'!H1094</f>
        <v>0</v>
      </c>
      <c r="I1004" s="74">
        <f>'12-2017'!I1094</f>
        <v>81818.181818181809</v>
      </c>
      <c r="J1004" s="74">
        <f>'12-2017'!J1094</f>
        <v>0</v>
      </c>
    </row>
    <row r="1005" spans="1:10" s="58" customFormat="1" ht="17.25">
      <c r="A1005" s="10">
        <f>'12-2017'!A1095</f>
        <v>15</v>
      </c>
      <c r="B1005" s="11" t="str">
        <f>'12-2017'!B1095</f>
        <v xml:space="preserve">Sơn lót chống kiềm KENNY NANOSILK 5 trong 1 ngoại thất siêu hạng </v>
      </c>
      <c r="C1005" s="12" t="str">
        <f>'12-2017'!C1095</f>
        <v>đ/kg</v>
      </c>
      <c r="D1005" s="13">
        <f>'12-2017'!O1095</f>
        <v>0</v>
      </c>
      <c r="E1005" s="13">
        <f>'12-2017'!P1095</f>
        <v>103636.36363636363</v>
      </c>
      <c r="F1005" s="130">
        <f t="shared" si="50"/>
        <v>103636.36363636363</v>
      </c>
      <c r="G1005" s="73"/>
      <c r="H1005" s="74">
        <f>'12-2017'!H1095</f>
        <v>0</v>
      </c>
      <c r="I1005" s="74">
        <f>'12-2017'!I1095</f>
        <v>103636.36363636363</v>
      </c>
      <c r="J1005" s="74">
        <f>'12-2017'!J1095</f>
        <v>0</v>
      </c>
    </row>
    <row r="1006" spans="1:10" s="58" customFormat="1" ht="17.25">
      <c r="A1006" s="10">
        <f>'12-2017'!A1096</f>
        <v>16</v>
      </c>
      <c r="B1006" s="11" t="str">
        <f>'12-2017'!B1096</f>
        <v xml:space="preserve">Sơn chống thấm KENNY RAINKOTE màu đen cao cấp </v>
      </c>
      <c r="C1006" s="12" t="str">
        <f>'12-2017'!C1096</f>
        <v>đ/kg</v>
      </c>
      <c r="D1006" s="13">
        <f>'12-2017'!O1096</f>
        <v>0</v>
      </c>
      <c r="E1006" s="13">
        <f>'12-2017'!P1096</f>
        <v>31818.181818181816</v>
      </c>
      <c r="F1006" s="130">
        <f t="shared" si="50"/>
        <v>31818.181818181816</v>
      </c>
      <c r="G1006" s="73"/>
      <c r="H1006" s="74">
        <f>'12-2017'!H1096</f>
        <v>0</v>
      </c>
      <c r="I1006" s="74">
        <f>'12-2017'!I1096</f>
        <v>31818.181818181816</v>
      </c>
      <c r="J1006" s="74">
        <f>'12-2017'!J1096</f>
        <v>0</v>
      </c>
    </row>
    <row r="1007" spans="1:10" s="58" customFormat="1" ht="17.25">
      <c r="A1007" s="10">
        <f>'12-2017'!A1097</f>
        <v>17</v>
      </c>
      <c r="B1007" s="11" t="str">
        <f>'12-2017'!B1097</f>
        <v>Sơn chống thấm KENNY LATEX K11A đa năng cao cấp</v>
      </c>
      <c r="C1007" s="12" t="str">
        <f>'12-2017'!C1097</f>
        <v>đ/kg</v>
      </c>
      <c r="D1007" s="13">
        <f>'12-2017'!O1097</f>
        <v>0</v>
      </c>
      <c r="E1007" s="13">
        <f>'12-2017'!P1097</f>
        <v>105454.54545454544</v>
      </c>
      <c r="F1007" s="130">
        <f t="shared" si="50"/>
        <v>105454.54545454544</v>
      </c>
      <c r="G1007" s="73"/>
      <c r="H1007" s="74">
        <f>'12-2017'!H1097</f>
        <v>0</v>
      </c>
      <c r="I1007" s="74">
        <f>'12-2017'!I1097</f>
        <v>105454.54545454544</v>
      </c>
      <c r="J1007" s="74">
        <f>'12-2017'!J1097</f>
        <v>0</v>
      </c>
    </row>
    <row r="1008" spans="1:10" s="58" customFormat="1" ht="17.25">
      <c r="A1008" s="10">
        <f>'12-2017'!A1098</f>
        <v>18</v>
      </c>
      <c r="B1008" s="11" t="str">
        <f>'12-2017'!B1098</f>
        <v>Sơn chống thấm KENNY LATEX CT11B - Hợp chất pha xi măng, vữa tô.</v>
      </c>
      <c r="C1008" s="12" t="str">
        <f>'12-2017'!C1098</f>
        <v>đ/kg</v>
      </c>
      <c r="D1008" s="13">
        <f>'12-2017'!O1098</f>
        <v>0</v>
      </c>
      <c r="E1008" s="13">
        <f>'12-2017'!P1098</f>
        <v>69090.909090909088</v>
      </c>
      <c r="F1008" s="130">
        <f t="shared" si="50"/>
        <v>69090.909090909088</v>
      </c>
      <c r="G1008" s="73"/>
      <c r="H1008" s="74">
        <f>'12-2017'!H1098</f>
        <v>0</v>
      </c>
      <c r="I1008" s="74">
        <f>'12-2017'!I1098</f>
        <v>69090.909090909088</v>
      </c>
      <c r="J1008" s="74">
        <f>'12-2017'!J1098</f>
        <v>0</v>
      </c>
    </row>
    <row r="1009" spans="1:10" s="58" customFormat="1" ht="17.25">
      <c r="A1009" s="10">
        <f>'12-2017'!A1099</f>
        <v>19</v>
      </c>
      <c r="B1009" s="11" t="str">
        <f>'12-2017'!B1099</f>
        <v>Bột trét tường nội thất KENNY NICE kinh tế</v>
      </c>
      <c r="C1009" s="12" t="str">
        <f>'12-2017'!C1099</f>
        <v>đ/kg</v>
      </c>
      <c r="D1009" s="13">
        <f>'12-2017'!O1099</f>
        <v>0</v>
      </c>
      <c r="E1009" s="13">
        <f>'12-2017'!P1099</f>
        <v>3927.272727272727</v>
      </c>
      <c r="F1009" s="130">
        <f t="shared" si="50"/>
        <v>3927.272727272727</v>
      </c>
      <c r="G1009" s="73"/>
      <c r="H1009" s="74">
        <f>'12-2017'!H1099</f>
        <v>0</v>
      </c>
      <c r="I1009" s="74">
        <f>'12-2017'!I1099</f>
        <v>3927.272727272727</v>
      </c>
      <c r="J1009" s="74">
        <f>'12-2017'!J1099</f>
        <v>0</v>
      </c>
    </row>
    <row r="1010" spans="1:10" s="58" customFormat="1" ht="17.25">
      <c r="A1010" s="10">
        <f>'12-2017'!A1100</f>
        <v>20</v>
      </c>
      <c r="B1010" s="11" t="str">
        <f>'12-2017'!B1100</f>
        <v>Bột trét tường nội thất KENNY INT chất lượng cao</v>
      </c>
      <c r="C1010" s="12" t="str">
        <f>'12-2017'!C1100</f>
        <v>đ/kg</v>
      </c>
      <c r="D1010" s="13">
        <f>'12-2017'!O1100</f>
        <v>0</v>
      </c>
      <c r="E1010" s="13">
        <f>'12-2017'!P1100</f>
        <v>5745.454545454545</v>
      </c>
      <c r="F1010" s="130">
        <f t="shared" si="50"/>
        <v>5745.454545454545</v>
      </c>
      <c r="G1010" s="73"/>
      <c r="H1010" s="74">
        <f>'12-2017'!H1100</f>
        <v>0</v>
      </c>
      <c r="I1010" s="74">
        <f>'12-2017'!I1100</f>
        <v>5745.454545454545</v>
      </c>
      <c r="J1010" s="74">
        <f>'12-2017'!J1100</f>
        <v>0</v>
      </c>
    </row>
    <row r="1011" spans="1:10" s="58" customFormat="1" ht="17.25">
      <c r="A1011" s="10">
        <f>'12-2017'!A1101</f>
        <v>21</v>
      </c>
      <c r="B1011" s="11" t="str">
        <f>'12-2017'!B1101</f>
        <v>Bột trét tường nội thất KENNY LINGT cao cấp</v>
      </c>
      <c r="C1011" s="12" t="str">
        <f>'12-2017'!C1101</f>
        <v>đ/kg</v>
      </c>
      <c r="D1011" s="13">
        <f>'12-2017'!O1101</f>
        <v>0</v>
      </c>
      <c r="E1011" s="13">
        <f>'12-2017'!P1101</f>
        <v>6181.8181818181811</v>
      </c>
      <c r="F1011" s="130">
        <f t="shared" si="50"/>
        <v>6181.8181818181811</v>
      </c>
      <c r="G1011" s="73"/>
      <c r="H1011" s="74">
        <f>'12-2017'!H1101</f>
        <v>0</v>
      </c>
      <c r="I1011" s="74">
        <f>'12-2017'!I1101</f>
        <v>6181.8181818181811</v>
      </c>
      <c r="J1011" s="74">
        <f>'12-2017'!J1101</f>
        <v>0</v>
      </c>
    </row>
    <row r="1012" spans="1:10" s="58" customFormat="1" ht="17.25">
      <c r="A1012" s="10">
        <f>'12-2017'!A1102</f>
        <v>22</v>
      </c>
      <c r="B1012" s="11" t="str">
        <f>'12-2017'!B1102</f>
        <v>Bột trét tường nội thất KENNY DELUXE cao cấp</v>
      </c>
      <c r="C1012" s="12" t="str">
        <f>'12-2017'!C1102</f>
        <v>đ/kg</v>
      </c>
      <c r="D1012" s="13">
        <f>'12-2017'!O1102</f>
        <v>0</v>
      </c>
      <c r="E1012" s="13">
        <f>'12-2017'!P1102</f>
        <v>6363.6363636363631</v>
      </c>
      <c r="F1012" s="130">
        <f t="shared" si="50"/>
        <v>6363.6363636363631</v>
      </c>
      <c r="G1012" s="73"/>
      <c r="H1012" s="74">
        <f>'12-2017'!H1102</f>
        <v>0</v>
      </c>
      <c r="I1012" s="74">
        <f>'12-2017'!I1102</f>
        <v>6363.6363636363631</v>
      </c>
      <c r="J1012" s="74">
        <f>'12-2017'!J1102</f>
        <v>0</v>
      </c>
    </row>
    <row r="1013" spans="1:10" s="58" customFormat="1" ht="17.25">
      <c r="A1013" s="10">
        <f>'12-2017'!A1103</f>
        <v>23</v>
      </c>
      <c r="B1013" s="11" t="str">
        <f>'12-2017'!B1103</f>
        <v>Bột trét tường nội thất KENNY SATIN siêu bền</v>
      </c>
      <c r="C1013" s="12" t="str">
        <f>'12-2017'!C1103</f>
        <v>đ/kg</v>
      </c>
      <c r="D1013" s="13">
        <f>'12-2017'!O1103</f>
        <v>0</v>
      </c>
      <c r="E1013" s="13">
        <f>'12-2017'!P1103</f>
        <v>6545.454545454545</v>
      </c>
      <c r="F1013" s="130">
        <f t="shared" si="50"/>
        <v>6545.454545454545</v>
      </c>
      <c r="G1013" s="73"/>
      <c r="H1013" s="74">
        <f>'12-2017'!H1103</f>
        <v>0</v>
      </c>
      <c r="I1013" s="74">
        <f>'12-2017'!I1103</f>
        <v>6545.454545454545</v>
      </c>
      <c r="J1013" s="74">
        <f>'12-2017'!J1103</f>
        <v>0</v>
      </c>
    </row>
    <row r="1014" spans="1:10" s="58" customFormat="1" ht="17.25">
      <c r="A1014" s="10">
        <f>'12-2017'!A1104</f>
        <v>24</v>
      </c>
      <c r="B1014" s="11" t="str">
        <f>'12-2017'!B1104</f>
        <v>Bột trét tường ngoại thất KENNY NICE kinh tế</v>
      </c>
      <c r="C1014" s="12" t="str">
        <f>'12-2017'!C1104</f>
        <v>đ/kg</v>
      </c>
      <c r="D1014" s="13">
        <f>'12-2017'!O1104</f>
        <v>0</v>
      </c>
      <c r="E1014" s="13">
        <f>'12-2017'!P1104</f>
        <v>4363.6363636363631</v>
      </c>
      <c r="F1014" s="130">
        <f t="shared" si="50"/>
        <v>4363.6363636363631</v>
      </c>
      <c r="G1014" s="73"/>
      <c r="H1014" s="74">
        <f>'12-2017'!H1104</f>
        <v>0</v>
      </c>
      <c r="I1014" s="74">
        <f>'12-2017'!I1104</f>
        <v>4363.6363636363631</v>
      </c>
      <c r="J1014" s="74">
        <f>'12-2017'!J1104</f>
        <v>0</v>
      </c>
    </row>
    <row r="1015" spans="1:10" s="58" customFormat="1" ht="17.25">
      <c r="A1015" s="10">
        <f>'12-2017'!A1105</f>
        <v>25</v>
      </c>
      <c r="B1015" s="11" t="str">
        <f>'12-2017'!B1105</f>
        <v>Bột trét tường ngoại thất KENNY EXT chất lượng cao</v>
      </c>
      <c r="C1015" s="12" t="str">
        <f>'12-2017'!C1105</f>
        <v>đ/kg</v>
      </c>
      <c r="D1015" s="13">
        <f>'12-2017'!O1105</f>
        <v>0</v>
      </c>
      <c r="E1015" s="13">
        <f>'12-2017'!P1105</f>
        <v>6981.8181818181811</v>
      </c>
      <c r="F1015" s="130">
        <f t="shared" si="50"/>
        <v>6981.8181818181811</v>
      </c>
      <c r="G1015" s="73"/>
      <c r="H1015" s="74">
        <f>'12-2017'!H1105</f>
        <v>0</v>
      </c>
      <c r="I1015" s="74">
        <f>'12-2017'!I1105</f>
        <v>6981.8181818181811</v>
      </c>
      <c r="J1015" s="74">
        <f>'12-2017'!J1105</f>
        <v>0</v>
      </c>
    </row>
    <row r="1016" spans="1:10" s="58" customFormat="1" ht="17.25">
      <c r="A1016" s="10">
        <f>'12-2017'!A1106</f>
        <v>26</v>
      </c>
      <c r="B1016" s="11" t="str">
        <f>'12-2017'!B1106</f>
        <v>Bột trét tường ngoại thất KENNY EXTRA cao cấp</v>
      </c>
      <c r="C1016" s="12" t="str">
        <f>'12-2017'!C1106</f>
        <v>đ/kg</v>
      </c>
      <c r="D1016" s="13">
        <f>'12-2017'!O1106</f>
        <v>0</v>
      </c>
      <c r="E1016" s="13">
        <f>'12-2017'!P1106</f>
        <v>7345.454545454545</v>
      </c>
      <c r="F1016" s="130">
        <f>E1016-D1016</f>
        <v>7345.454545454545</v>
      </c>
      <c r="G1016" s="73"/>
      <c r="H1016" s="74">
        <f>'12-2017'!H1106</f>
        <v>0</v>
      </c>
      <c r="I1016" s="74">
        <f>'12-2017'!I1106</f>
        <v>7345.454545454545</v>
      </c>
      <c r="J1016" s="74">
        <f>'12-2017'!J1106</f>
        <v>0</v>
      </c>
    </row>
    <row r="1017" spans="1:10" s="58" customFormat="1" ht="17.25">
      <c r="A1017" s="10">
        <f>'12-2017'!A1107</f>
        <v>27</v>
      </c>
      <c r="B1017" s="11" t="str">
        <f>'12-2017'!B1107</f>
        <v>Bột trét tường ngoại thất KENNY MAXSHIELD cao cấp</v>
      </c>
      <c r="C1017" s="12" t="str">
        <f>'12-2017'!C1107</f>
        <v>đ/kg</v>
      </c>
      <c r="D1017" s="13">
        <f>'12-2017'!O1107</f>
        <v>0</v>
      </c>
      <c r="E1017" s="13">
        <f>'12-2017'!P1107</f>
        <v>7527.272727272727</v>
      </c>
      <c r="F1017" s="130">
        <f>E1017-D1017</f>
        <v>7527.272727272727</v>
      </c>
      <c r="G1017" s="73"/>
      <c r="H1017" s="74">
        <f>'12-2017'!H1107</f>
        <v>0</v>
      </c>
      <c r="I1017" s="74">
        <f>'12-2017'!I1107</f>
        <v>7527.272727272727</v>
      </c>
      <c r="J1017" s="74">
        <f>'12-2017'!J1107</f>
        <v>0</v>
      </c>
    </row>
    <row r="1018" spans="1:10" s="58" customFormat="1" ht="17.25">
      <c r="A1018" s="10">
        <f>'12-2017'!A1108</f>
        <v>28</v>
      </c>
      <c r="B1018" s="11" t="str">
        <f>'12-2017'!B1108</f>
        <v>Bột trét tường ngoại thất KENNY SHIELD siêu bền</v>
      </c>
      <c r="C1018" s="12" t="str">
        <f>'12-2017'!C1108</f>
        <v>đ/kg</v>
      </c>
      <c r="D1018" s="13">
        <f>'12-2017'!O1108</f>
        <v>0</v>
      </c>
      <c r="E1018" s="13">
        <f>'12-2017'!P1108</f>
        <v>7709.0909090909081</v>
      </c>
      <c r="F1018" s="130">
        <f>E1018-D1018</f>
        <v>7709.0909090909081</v>
      </c>
      <c r="G1018" s="73"/>
      <c r="H1018" s="74">
        <f>'12-2017'!H1108</f>
        <v>0</v>
      </c>
      <c r="I1018" s="74">
        <f>'12-2017'!I1108</f>
        <v>7709.0909090909081</v>
      </c>
      <c r="J1018" s="74">
        <f>'12-2017'!J1108</f>
        <v>0</v>
      </c>
    </row>
    <row r="1019" spans="1:10" s="58" customFormat="1" ht="17.25">
      <c r="A1019" s="10">
        <f>'12-2017'!A1109</f>
        <v>29</v>
      </c>
      <c r="B1019" s="11" t="str">
        <f>'12-2017'!B1109</f>
        <v>Bột trét tường ngoại thất KENNY PRO cao cấp</v>
      </c>
      <c r="C1019" s="12" t="str">
        <f>'12-2017'!C1109</f>
        <v>đ/kg</v>
      </c>
      <c r="D1019" s="13">
        <f>'12-2017'!O1109</f>
        <v>0</v>
      </c>
      <c r="E1019" s="13">
        <f>'12-2017'!P1109</f>
        <v>8909.0909090909081</v>
      </c>
      <c r="F1019" s="130">
        <f>E1019-D1019</f>
        <v>8909.0909090909081</v>
      </c>
      <c r="G1019" s="73"/>
      <c r="H1019" s="74">
        <f>'12-2017'!H1109</f>
        <v>0</v>
      </c>
      <c r="I1019" s="74">
        <f>'12-2017'!I1109</f>
        <v>8909.0909090909081</v>
      </c>
      <c r="J1019" s="74">
        <f>'12-2017'!J1109</f>
        <v>0</v>
      </c>
    </row>
    <row r="1020" spans="1:10" s="58" customFormat="1" ht="17.25">
      <c r="A1020" s="10">
        <f>'12-2017'!A1110</f>
        <v>30</v>
      </c>
      <c r="B1020" s="11" t="str">
        <f>'12-2017'!B1110</f>
        <v>Sơn dầu trang trí KENNY - trắng bóng</v>
      </c>
      <c r="C1020" s="12" t="str">
        <f>'12-2017'!C1110</f>
        <v>lít</v>
      </c>
      <c r="D1020" s="13">
        <f>'12-2017'!O1110</f>
        <v>0</v>
      </c>
      <c r="E1020" s="13">
        <f>'12-2017'!P1110</f>
        <v>130909.0909090909</v>
      </c>
      <c r="F1020" s="130">
        <f t="shared" ref="F1020:F1028" si="51">E1020-D1020</f>
        <v>130909.0909090909</v>
      </c>
      <c r="G1020" s="73"/>
      <c r="H1020" s="74">
        <f>'12-2017'!H1110</f>
        <v>0</v>
      </c>
      <c r="I1020" s="74">
        <f>'12-2017'!I1110</f>
        <v>130909.0909090909</v>
      </c>
      <c r="J1020" s="74">
        <f>'12-2017'!J1110</f>
        <v>0</v>
      </c>
    </row>
    <row r="1021" spans="1:10" s="58" customFormat="1" ht="17.25">
      <c r="A1021" s="10">
        <f>'12-2017'!A1111</f>
        <v>31</v>
      </c>
      <c r="B1021" s="11" t="str">
        <f>'12-2017'!B1111</f>
        <v>Sơn dầu trang trí KENNY - màu bóng</v>
      </c>
      <c r="C1021" s="12" t="str">
        <f>'12-2017'!C1111</f>
        <v>lít</v>
      </c>
      <c r="D1021" s="13">
        <f>'12-2017'!O1111</f>
        <v>0</v>
      </c>
      <c r="E1021" s="13">
        <f>'12-2017'!P1111</f>
        <v>119999.99999999999</v>
      </c>
      <c r="F1021" s="130">
        <f t="shared" si="51"/>
        <v>119999.99999999999</v>
      </c>
      <c r="G1021" s="73"/>
      <c r="H1021" s="74">
        <f>'12-2017'!H1111</f>
        <v>0</v>
      </c>
      <c r="I1021" s="74">
        <f>'12-2017'!I1111</f>
        <v>119999.99999999999</v>
      </c>
      <c r="J1021" s="74">
        <f>'12-2017'!J1111</f>
        <v>0</v>
      </c>
    </row>
    <row r="1022" spans="1:10" s="58" customFormat="1" ht="17.25">
      <c r="A1022" s="10">
        <f>'12-2017'!A1112</f>
        <v>32</v>
      </c>
      <c r="B1022" s="11" t="str">
        <f>'12-2017'!B1112</f>
        <v>Sơn dầu trang trí KENNY - trắng mờ</v>
      </c>
      <c r="C1022" s="12" t="str">
        <f>'12-2017'!C1112</f>
        <v>lít</v>
      </c>
      <c r="D1022" s="13">
        <f>'12-2017'!O1112</f>
        <v>0</v>
      </c>
      <c r="E1022" s="13">
        <f>'12-2017'!P1112</f>
        <v>132727.27272727271</v>
      </c>
      <c r="F1022" s="130">
        <f t="shared" si="51"/>
        <v>132727.27272727271</v>
      </c>
      <c r="G1022" s="73"/>
      <c r="H1022" s="74">
        <f>'12-2017'!H1112</f>
        <v>0</v>
      </c>
      <c r="I1022" s="74">
        <f>'12-2017'!I1112</f>
        <v>132727.27272727271</v>
      </c>
      <c r="J1022" s="74">
        <f>'12-2017'!J1112</f>
        <v>0</v>
      </c>
    </row>
    <row r="1023" spans="1:10" s="58" customFormat="1" ht="17.25">
      <c r="A1023" s="10">
        <f>'12-2017'!A1113</f>
        <v>33</v>
      </c>
      <c r="B1023" s="11" t="str">
        <f>'12-2017'!B1113</f>
        <v>Sơn dầu trang trí KENNY - đen mờ</v>
      </c>
      <c r="C1023" s="12" t="str">
        <f>'12-2017'!C1113</f>
        <v>lít</v>
      </c>
      <c r="D1023" s="13">
        <f>'12-2017'!O1113</f>
        <v>0</v>
      </c>
      <c r="E1023" s="13">
        <f>'12-2017'!P1113</f>
        <v>127272.72727272726</v>
      </c>
      <c r="F1023" s="130">
        <f t="shared" si="51"/>
        <v>127272.72727272726</v>
      </c>
      <c r="G1023" s="73"/>
      <c r="H1023" s="74">
        <f>'12-2017'!H1113</f>
        <v>0</v>
      </c>
      <c r="I1023" s="74">
        <f>'12-2017'!I1113</f>
        <v>127272.72727272726</v>
      </c>
      <c r="J1023" s="74">
        <f>'12-2017'!J1113</f>
        <v>0</v>
      </c>
    </row>
    <row r="1024" spans="1:10" s="58" customFormat="1" ht="17.25">
      <c r="A1024" s="10">
        <f>'12-2017'!A1114</f>
        <v>34</v>
      </c>
      <c r="B1024" s="11" t="str">
        <f>'12-2017'!B1114</f>
        <v>Sơn dầu chống rỉ KENNY màu đỏ</v>
      </c>
      <c r="C1024" s="12" t="str">
        <f>'12-2017'!C1114</f>
        <v>lít</v>
      </c>
      <c r="D1024" s="13">
        <f>'12-2017'!O1114</f>
        <v>0</v>
      </c>
      <c r="E1024" s="13">
        <f>'12-2017'!P1114</f>
        <v>86363.636363636353</v>
      </c>
      <c r="F1024" s="130">
        <f t="shared" si="51"/>
        <v>86363.636363636353</v>
      </c>
      <c r="G1024" s="73"/>
      <c r="H1024" s="74">
        <f>'12-2017'!H1114</f>
        <v>0</v>
      </c>
      <c r="I1024" s="74">
        <f>'12-2017'!I1114</f>
        <v>86363.636363636353</v>
      </c>
      <c r="J1024" s="74">
        <f>'12-2017'!J1114</f>
        <v>0</v>
      </c>
    </row>
    <row r="1025" spans="1:10" s="58" customFormat="1" ht="17.25">
      <c r="A1025" s="10">
        <f>'12-2017'!A1115</f>
        <v>35</v>
      </c>
      <c r="B1025" s="11" t="str">
        <f>'12-2017'!B1115</f>
        <v>Sơn dầu chống rỉ KENNY màu xám</v>
      </c>
      <c r="C1025" s="12" t="str">
        <f>'12-2017'!C1115</f>
        <v>lít</v>
      </c>
      <c r="D1025" s="13">
        <f>'12-2017'!O1115</f>
        <v>0</v>
      </c>
      <c r="E1025" s="13">
        <f>'12-2017'!P1115</f>
        <v>89090.909090909088</v>
      </c>
      <c r="F1025" s="130">
        <f t="shared" si="51"/>
        <v>89090.909090909088</v>
      </c>
      <c r="G1025" s="73"/>
      <c r="H1025" s="74">
        <f>'12-2017'!H1115</f>
        <v>0</v>
      </c>
      <c r="I1025" s="74">
        <f>'12-2017'!I1115</f>
        <v>89090.909090909088</v>
      </c>
      <c r="J1025" s="74">
        <f>'12-2017'!J1115</f>
        <v>0</v>
      </c>
    </row>
    <row r="1026" spans="1:10" s="58" customFormat="1" ht="17.25">
      <c r="A1026" s="10">
        <f>'12-2017'!A1116</f>
        <v>36</v>
      </c>
      <c r="B1026" s="11" t="str">
        <f>'12-2017'!B1116</f>
        <v>Sơn dầu chống rỉ kim loại mạ kẽm KENNY màu đỏ</v>
      </c>
      <c r="C1026" s="12" t="str">
        <f>'12-2017'!C1116</f>
        <v>lít</v>
      </c>
      <c r="D1026" s="13">
        <f>'12-2017'!O1116</f>
        <v>0</v>
      </c>
      <c r="E1026" s="13">
        <f>'12-2017'!P1116</f>
        <v>133636.36363636362</v>
      </c>
      <c r="F1026" s="130">
        <f t="shared" si="51"/>
        <v>133636.36363636362</v>
      </c>
      <c r="G1026" s="73"/>
      <c r="H1026" s="74">
        <f>'12-2017'!H1116</f>
        <v>0</v>
      </c>
      <c r="I1026" s="74">
        <f>'12-2017'!I1116</f>
        <v>133636.36363636362</v>
      </c>
      <c r="J1026" s="74">
        <f>'12-2017'!J1116</f>
        <v>0</v>
      </c>
    </row>
    <row r="1027" spans="1:10" s="58" customFormat="1" ht="17.25">
      <c r="A1027" s="10">
        <f>'12-2017'!A1117</f>
        <v>37</v>
      </c>
      <c r="B1027" s="11" t="str">
        <f>'12-2017'!B1117</f>
        <v>Sơn dầu chống rỉ kim loại mạ kẽm KENNY màu xanh</v>
      </c>
      <c r="C1027" s="12" t="str">
        <f>'12-2017'!C1117</f>
        <v>lít</v>
      </c>
      <c r="D1027" s="13">
        <f>'12-2017'!O1117</f>
        <v>0</v>
      </c>
      <c r="E1027" s="13">
        <f>'12-2017'!P1117</f>
        <v>133636.36363636362</v>
      </c>
      <c r="F1027" s="130">
        <f t="shared" si="51"/>
        <v>133636.36363636362</v>
      </c>
      <c r="G1027" s="73"/>
      <c r="H1027" s="74">
        <f>'12-2017'!H1117</f>
        <v>0</v>
      </c>
      <c r="I1027" s="74">
        <f>'12-2017'!I1117</f>
        <v>133636.36363636362</v>
      </c>
      <c r="J1027" s="74">
        <f>'12-2017'!J1117</f>
        <v>0</v>
      </c>
    </row>
    <row r="1028" spans="1:10" s="58" customFormat="1" ht="17.25">
      <c r="A1028" s="10">
        <f>'12-2017'!A1118</f>
        <v>38</v>
      </c>
      <c r="B1028" s="11" t="str">
        <f>'12-2017'!B1118</f>
        <v>Sơn dầu chống rỉ kim loại mạ kẽm KENNY màu trắng</v>
      </c>
      <c r="C1028" s="12" t="str">
        <f>'12-2017'!C1118</f>
        <v>lít</v>
      </c>
      <c r="D1028" s="13">
        <f>'12-2017'!O1118</f>
        <v>0</v>
      </c>
      <c r="E1028" s="13">
        <f>'12-2017'!P1118</f>
        <v>142727.27272727271</v>
      </c>
      <c r="F1028" s="130">
        <f t="shared" si="51"/>
        <v>142727.27272727271</v>
      </c>
      <c r="G1028" s="73"/>
      <c r="H1028" s="74">
        <f>'12-2017'!H1118</f>
        <v>0</v>
      </c>
      <c r="I1028" s="74">
        <f>'12-2017'!I1118</f>
        <v>142727.27272727271</v>
      </c>
      <c r="J1028" s="74">
        <f>'12-2017'!J1118</f>
        <v>0</v>
      </c>
    </row>
    <row r="1029" spans="1:10" s="73" customFormat="1" ht="17.25">
      <c r="A1029" s="17" t="str">
        <f>'12-2017'!A1119</f>
        <v>XVIII</v>
      </c>
      <c r="B1029" s="9" t="str">
        <f>'12-2017'!B1119</f>
        <v>CHUYÊN NGÀNH NƯỚC</v>
      </c>
      <c r="C1029" s="8"/>
      <c r="D1029" s="22"/>
      <c r="E1029" s="22"/>
      <c r="F1029" s="131"/>
      <c r="H1029" s="74">
        <f>'12-2017'!H1119</f>
        <v>0</v>
      </c>
      <c r="I1029" s="74">
        <f>'12-2017'!I1119</f>
        <v>0</v>
      </c>
      <c r="J1029" s="74">
        <f>'12-2017'!J1119</f>
        <v>0</v>
      </c>
    </row>
    <row r="1030" spans="1:10" s="73" customFormat="1" ht="17.25">
      <c r="A1030" s="17"/>
      <c r="B1030" s="237" t="str">
        <f>'12-2017'!B1120</f>
        <v xml:space="preserve"> * Công ty TNHH Hoá nhựa Đệ Nhất Áp dụng cho khu vực phía Nam từ Quảng Bình). Theo bảng giá ngày 10/05/2016</v>
      </c>
      <c r="C1030" s="238"/>
      <c r="D1030" s="238"/>
      <c r="E1030" s="238"/>
      <c r="F1030" s="239"/>
      <c r="H1030" s="74">
        <f>'12-2017'!H1120</f>
        <v>0</v>
      </c>
      <c r="I1030" s="74">
        <f>'12-2017'!I1120</f>
        <v>0</v>
      </c>
      <c r="J1030" s="74">
        <f>'12-2017'!J1120</f>
        <v>0</v>
      </c>
    </row>
    <row r="1031" spans="1:10" s="73" customFormat="1" ht="17.25" hidden="1">
      <c r="A1031" s="17"/>
      <c r="B1031" s="9" t="str">
        <f>'12-2017'!B1121</f>
        <v xml:space="preserve"> - Ống PVC Đệ Nhất ASTM 2241 # BS 3505 và B908:</v>
      </c>
      <c r="C1031" s="8"/>
      <c r="D1031" s="22"/>
      <c r="E1031" s="22"/>
      <c r="F1031" s="131"/>
      <c r="H1031" s="74">
        <f>'12-2017'!H1121</f>
        <v>0</v>
      </c>
      <c r="I1031" s="74">
        <f>'12-2017'!I1121</f>
        <v>0</v>
      </c>
      <c r="J1031" s="74">
        <f>'12-2017'!J1121</f>
        <v>0</v>
      </c>
    </row>
    <row r="1032" spans="1:10" s="58" customFormat="1" ht="17.25" hidden="1">
      <c r="A1032" s="10">
        <f>'12-2017'!A1122</f>
        <v>1</v>
      </c>
      <c r="B1032" s="11" t="str">
        <f>'12-2017'!B1122</f>
        <v xml:space="preserve"> Þ 21    (dày 1,7 mm)</v>
      </c>
      <c r="C1032" s="12" t="str">
        <f>'12-2017'!C1122</f>
        <v>đ/m</v>
      </c>
      <c r="D1032" s="13">
        <f>'12-2017'!O1122</f>
        <v>6200</v>
      </c>
      <c r="E1032" s="13">
        <f>'12-2017'!P1122</f>
        <v>6200</v>
      </c>
      <c r="F1032" s="130">
        <f t="shared" ref="F1032:F1042" si="52">E1032-D1032</f>
        <v>0</v>
      </c>
      <c r="H1032" s="74">
        <f>'12-2017'!H1122</f>
        <v>0</v>
      </c>
      <c r="I1032" s="74">
        <f>'12-2017'!I1122</f>
        <v>0</v>
      </c>
      <c r="J1032" s="74">
        <f>'12-2017'!J1122</f>
        <v>0</v>
      </c>
    </row>
    <row r="1033" spans="1:10" s="58" customFormat="1" ht="17.25" hidden="1">
      <c r="A1033" s="10">
        <f>'12-2017'!A1123</f>
        <v>2</v>
      </c>
      <c r="B1033" s="11" t="str">
        <f>'12-2017'!B1123</f>
        <v xml:space="preserve"> Þ 27    (dày 1,9 mm)</v>
      </c>
      <c r="C1033" s="12" t="str">
        <f>'12-2017'!C1123</f>
        <v>đ/m</v>
      </c>
      <c r="D1033" s="13">
        <f>'12-2017'!O1123</f>
        <v>8800</v>
      </c>
      <c r="E1033" s="13">
        <f>'12-2017'!P1123</f>
        <v>8800</v>
      </c>
      <c r="F1033" s="130">
        <f t="shared" si="52"/>
        <v>0</v>
      </c>
      <c r="H1033" s="74">
        <f>'12-2017'!H1123</f>
        <v>0</v>
      </c>
      <c r="I1033" s="74">
        <f>'12-2017'!I1123</f>
        <v>0</v>
      </c>
      <c r="J1033" s="74">
        <f>'12-2017'!J1123</f>
        <v>0</v>
      </c>
    </row>
    <row r="1034" spans="1:10" s="58" customFormat="1" ht="17.25" hidden="1">
      <c r="A1034" s="10">
        <f>'12-2017'!A1124</f>
        <v>3</v>
      </c>
      <c r="B1034" s="11" t="str">
        <f>'12-2017'!B1124</f>
        <v xml:space="preserve"> Þ 34    (dày 2,1 mm)</v>
      </c>
      <c r="C1034" s="12" t="str">
        <f>'12-2017'!C1124</f>
        <v>đ/m</v>
      </c>
      <c r="D1034" s="13">
        <f>'12-2017'!O1124</f>
        <v>12300</v>
      </c>
      <c r="E1034" s="13">
        <f>'12-2017'!P1124</f>
        <v>12300</v>
      </c>
      <c r="F1034" s="130">
        <f t="shared" si="52"/>
        <v>0</v>
      </c>
      <c r="H1034" s="74">
        <f>'12-2017'!H1124</f>
        <v>0</v>
      </c>
      <c r="I1034" s="74">
        <f>'12-2017'!I1124</f>
        <v>0</v>
      </c>
      <c r="J1034" s="74">
        <f>'12-2017'!J1124</f>
        <v>0</v>
      </c>
    </row>
    <row r="1035" spans="1:10" s="58" customFormat="1" ht="17.25" hidden="1">
      <c r="A1035" s="10">
        <f>'12-2017'!A1125</f>
        <v>4</v>
      </c>
      <c r="B1035" s="11" t="str">
        <f>'12-2017'!B1125</f>
        <v xml:space="preserve"> Þ42    (dày 2,1 mm)</v>
      </c>
      <c r="C1035" s="12" t="str">
        <f>'12-2017'!C1125</f>
        <v>đ/m</v>
      </c>
      <c r="D1035" s="13">
        <f>'12-2017'!O1125</f>
        <v>16400</v>
      </c>
      <c r="E1035" s="13">
        <f>'12-2017'!P1125</f>
        <v>16400</v>
      </c>
      <c r="F1035" s="130">
        <f t="shared" si="52"/>
        <v>0</v>
      </c>
      <c r="H1035" s="74">
        <f>'12-2017'!H1125</f>
        <v>0</v>
      </c>
      <c r="I1035" s="74">
        <f>'12-2017'!I1125</f>
        <v>0</v>
      </c>
      <c r="J1035" s="74">
        <f>'12-2017'!J1125</f>
        <v>0</v>
      </c>
    </row>
    <row r="1036" spans="1:10" s="58" customFormat="1" ht="17.25" hidden="1">
      <c r="A1036" s="10">
        <f>'12-2017'!A1126</f>
        <v>5</v>
      </c>
      <c r="B1036" s="11" t="str">
        <f>'12-2017'!B1126</f>
        <v xml:space="preserve"> Þ 49    (dày 2,5 mm)</v>
      </c>
      <c r="C1036" s="12" t="str">
        <f>'12-2017'!C1126</f>
        <v>đ/m</v>
      </c>
      <c r="D1036" s="13">
        <f>'12-2017'!O1126</f>
        <v>21400</v>
      </c>
      <c r="E1036" s="13">
        <f>'12-2017'!P1126</f>
        <v>21400</v>
      </c>
      <c r="F1036" s="130">
        <f t="shared" si="52"/>
        <v>0</v>
      </c>
      <c r="H1036" s="74">
        <f>'12-2017'!H1126</f>
        <v>0</v>
      </c>
      <c r="I1036" s="74">
        <f>'12-2017'!I1126</f>
        <v>0</v>
      </c>
      <c r="J1036" s="74">
        <f>'12-2017'!J1126</f>
        <v>0</v>
      </c>
    </row>
    <row r="1037" spans="1:10" s="58" customFormat="1" ht="17.25" hidden="1">
      <c r="A1037" s="10">
        <f>'12-2017'!A1127</f>
        <v>6</v>
      </c>
      <c r="B1037" s="11" t="str">
        <f>'12-2017'!B1127</f>
        <v xml:space="preserve"> Þ 60    (dày 2,5 mm)</v>
      </c>
      <c r="C1037" s="12" t="str">
        <f>'12-2017'!C1127</f>
        <v>đ/m</v>
      </c>
      <c r="D1037" s="13">
        <f>'12-2017'!O1127</f>
        <v>26800</v>
      </c>
      <c r="E1037" s="13">
        <f>'12-2017'!P1127</f>
        <v>26800</v>
      </c>
      <c r="F1037" s="130">
        <f t="shared" si="52"/>
        <v>0</v>
      </c>
      <c r="H1037" s="74">
        <f>'12-2017'!H1127</f>
        <v>0</v>
      </c>
      <c r="I1037" s="74">
        <f>'12-2017'!I1127</f>
        <v>0</v>
      </c>
      <c r="J1037" s="74">
        <f>'12-2017'!J1127</f>
        <v>0</v>
      </c>
    </row>
    <row r="1038" spans="1:10" s="58" customFormat="1" ht="17.25" hidden="1">
      <c r="A1038" s="10">
        <f>'12-2017'!A1128</f>
        <v>7</v>
      </c>
      <c r="B1038" s="11" t="str">
        <f>'12-2017'!B1128</f>
        <v xml:space="preserve"> Þ 60    (dày 3,0 mm)</v>
      </c>
      <c r="C1038" s="12" t="str">
        <f>'12-2017'!C1128</f>
        <v>đ/m</v>
      </c>
      <c r="D1038" s="13">
        <f>'12-2017'!O1128</f>
        <v>31200</v>
      </c>
      <c r="E1038" s="13">
        <f>'12-2017'!P1128</f>
        <v>31200</v>
      </c>
      <c r="F1038" s="130">
        <f t="shared" si="52"/>
        <v>0</v>
      </c>
      <c r="H1038" s="74">
        <f>'12-2017'!H1128</f>
        <v>0</v>
      </c>
      <c r="I1038" s="74">
        <f>'12-2017'!I1128</f>
        <v>0</v>
      </c>
      <c r="J1038" s="74">
        <f>'12-2017'!J1128</f>
        <v>0</v>
      </c>
    </row>
    <row r="1039" spans="1:10" s="58" customFormat="1" ht="17.25" hidden="1">
      <c r="A1039" s="10">
        <f>'12-2017'!A1129</f>
        <v>8</v>
      </c>
      <c r="B1039" s="11" t="str">
        <f>'12-2017'!B1129</f>
        <v xml:space="preserve"> Þ 73    (dày 3,0 mm)</v>
      </c>
      <c r="C1039" s="12" t="str">
        <f>'12-2017'!C1129</f>
        <v>đ/m</v>
      </c>
      <c r="D1039" s="13">
        <f>'12-2017'!O1129</f>
        <v>40700</v>
      </c>
      <c r="E1039" s="13">
        <f>'12-2017'!P1129</f>
        <v>40700</v>
      </c>
      <c r="F1039" s="130">
        <f t="shared" si="52"/>
        <v>0</v>
      </c>
      <c r="H1039" s="74">
        <f>'12-2017'!H1129</f>
        <v>0</v>
      </c>
      <c r="I1039" s="74">
        <f>'12-2017'!I1129</f>
        <v>0</v>
      </c>
      <c r="J1039" s="74">
        <f>'12-2017'!J1129</f>
        <v>0</v>
      </c>
    </row>
    <row r="1040" spans="1:10" s="58" customFormat="1" ht="17.25" hidden="1">
      <c r="A1040" s="10">
        <f>'12-2017'!A1130</f>
        <v>9</v>
      </c>
      <c r="B1040" s="11" t="str">
        <f>'12-2017'!B1130</f>
        <v xml:space="preserve"> Þ 76    (dày 3,0 mm)</v>
      </c>
      <c r="C1040" s="12" t="str">
        <f>'12-2017'!C1130</f>
        <v>đ/m</v>
      </c>
      <c r="D1040" s="13">
        <f>'12-2017'!O1130</f>
        <v>41000</v>
      </c>
      <c r="E1040" s="13">
        <f>'12-2017'!P1130</f>
        <v>41000</v>
      </c>
      <c r="F1040" s="130">
        <f t="shared" si="52"/>
        <v>0</v>
      </c>
      <c r="H1040" s="74">
        <f>'12-2017'!H1130</f>
        <v>0</v>
      </c>
      <c r="I1040" s="74">
        <f>'12-2017'!I1130</f>
        <v>0</v>
      </c>
      <c r="J1040" s="74">
        <f>'12-2017'!J1130</f>
        <v>0</v>
      </c>
    </row>
    <row r="1041" spans="1:10" s="58" customFormat="1" ht="17.25" hidden="1">
      <c r="A1041" s="10">
        <f>'12-2017'!A1131</f>
        <v>10</v>
      </c>
      <c r="B1041" s="11" t="str">
        <f>'12-2017'!B1131</f>
        <v xml:space="preserve"> Þ 90   (dày 3,0 mm)</v>
      </c>
      <c r="C1041" s="12" t="str">
        <f>'12-2017'!C1131</f>
        <v>đ/m</v>
      </c>
      <c r="D1041" s="13">
        <f>'12-2017'!O1131</f>
        <v>48800</v>
      </c>
      <c r="E1041" s="13">
        <f>'12-2017'!P1131</f>
        <v>48800</v>
      </c>
      <c r="F1041" s="130">
        <f t="shared" si="52"/>
        <v>0</v>
      </c>
      <c r="H1041" s="74">
        <f>'12-2017'!H1131</f>
        <v>0</v>
      </c>
      <c r="I1041" s="74">
        <f>'12-2017'!I1131</f>
        <v>0</v>
      </c>
      <c r="J1041" s="74">
        <f>'12-2017'!J1131</f>
        <v>0</v>
      </c>
    </row>
    <row r="1042" spans="1:10" s="58" customFormat="1" ht="17.25" hidden="1">
      <c r="A1042" s="10">
        <f>'12-2017'!A1132</f>
        <v>11</v>
      </c>
      <c r="B1042" s="11" t="str">
        <f>'12-2017'!B1132</f>
        <v xml:space="preserve"> Þ 114  (dày 3,5 mm)</v>
      </c>
      <c r="C1042" s="12" t="str">
        <f>'12-2017'!C1132</f>
        <v>đ/m</v>
      </c>
      <c r="D1042" s="13">
        <f>'12-2017'!O1132</f>
        <v>70600</v>
      </c>
      <c r="E1042" s="13">
        <f>'12-2017'!P1132</f>
        <v>70600</v>
      </c>
      <c r="F1042" s="130">
        <f t="shared" si="52"/>
        <v>0</v>
      </c>
      <c r="H1042" s="74">
        <f>'12-2017'!H1132</f>
        <v>0</v>
      </c>
      <c r="I1042" s="74">
        <f>'12-2017'!I1132</f>
        <v>0</v>
      </c>
      <c r="J1042" s="74">
        <f>'12-2017'!J1132</f>
        <v>0</v>
      </c>
    </row>
    <row r="1043" spans="1:10" s="58" customFormat="1" ht="17.25" hidden="1">
      <c r="A1043" s="10">
        <f>'12-2017'!A1133</f>
        <v>12</v>
      </c>
      <c r="B1043" s="11" t="str">
        <f>'12-2017'!B1133</f>
        <v xml:space="preserve"> Þ 114  (dày 5,0 mm)</v>
      </c>
      <c r="C1043" s="12" t="str">
        <f>'12-2017'!C1133</f>
        <v>đ/m</v>
      </c>
      <c r="D1043" s="13">
        <f>'12-2017'!O1133</f>
        <v>103700</v>
      </c>
      <c r="E1043" s="13">
        <f>'12-2017'!P1133</f>
        <v>103700</v>
      </c>
      <c r="F1043" s="130">
        <f t="shared" ref="F1043:F1106" si="53">E1043-D1043</f>
        <v>0</v>
      </c>
      <c r="H1043" s="74">
        <f>'12-2017'!H1133</f>
        <v>0</v>
      </c>
      <c r="I1043" s="74">
        <f>'12-2017'!I1133</f>
        <v>0</v>
      </c>
      <c r="J1043" s="74">
        <f>'12-2017'!J1133</f>
        <v>0</v>
      </c>
    </row>
    <row r="1044" spans="1:10" s="58" customFormat="1" ht="17.25" hidden="1">
      <c r="A1044" s="10">
        <f>'12-2017'!A1134</f>
        <v>13</v>
      </c>
      <c r="B1044" s="11" t="str">
        <f>'12-2017'!B1134</f>
        <v xml:space="preserve"> Þ140  (dày 3,5 mm)</v>
      </c>
      <c r="C1044" s="12" t="str">
        <f>'12-2017'!C1134</f>
        <v>đ/m</v>
      </c>
      <c r="D1044" s="13">
        <f>'12-2017'!O1134</f>
        <v>92000</v>
      </c>
      <c r="E1044" s="13">
        <f>'12-2017'!P1134</f>
        <v>92000</v>
      </c>
      <c r="F1044" s="130">
        <f t="shared" si="53"/>
        <v>0</v>
      </c>
      <c r="H1044" s="74">
        <f>'12-2017'!H1134</f>
        <v>0</v>
      </c>
      <c r="I1044" s="74">
        <f>'12-2017'!I1134</f>
        <v>0</v>
      </c>
      <c r="J1044" s="74">
        <f>'12-2017'!J1134</f>
        <v>0</v>
      </c>
    </row>
    <row r="1045" spans="1:10" s="58" customFormat="1" ht="17.25" hidden="1">
      <c r="A1045" s="10">
        <f>'12-2017'!A1135</f>
        <v>14</v>
      </c>
      <c r="B1045" s="11" t="str">
        <f>'12-2017'!B1135</f>
        <v xml:space="preserve"> Þ 140  (dày 5,0 mm)</v>
      </c>
      <c r="C1045" s="12" t="str">
        <f>'12-2017'!C1135</f>
        <v>đ/m</v>
      </c>
      <c r="D1045" s="13">
        <f>'12-2017'!O1135</f>
        <v>141100</v>
      </c>
      <c r="E1045" s="13">
        <f>'12-2017'!P1135</f>
        <v>141100</v>
      </c>
      <c r="F1045" s="130">
        <f t="shared" si="53"/>
        <v>0</v>
      </c>
      <c r="H1045" s="74">
        <f>'12-2017'!H1135</f>
        <v>0</v>
      </c>
      <c r="I1045" s="74">
        <f>'12-2017'!I1135</f>
        <v>0</v>
      </c>
      <c r="J1045" s="74">
        <f>'12-2017'!J1135</f>
        <v>0</v>
      </c>
    </row>
    <row r="1046" spans="1:10" s="58" customFormat="1" ht="17.25" hidden="1">
      <c r="A1046" s="10">
        <f>'12-2017'!A1136</f>
        <v>15</v>
      </c>
      <c r="B1046" s="11" t="str">
        <f>'12-2017'!B1136</f>
        <v xml:space="preserve"> Þ 168  (dày 4,5 mm)</v>
      </c>
      <c r="C1046" s="12" t="str">
        <f>'12-2017'!C1136</f>
        <v>đ/m</v>
      </c>
      <c r="D1046" s="13">
        <f>'12-2017'!O1136</f>
        <v>135800</v>
      </c>
      <c r="E1046" s="13">
        <f>'12-2017'!P1136</f>
        <v>135800</v>
      </c>
      <c r="F1046" s="130">
        <f t="shared" si="53"/>
        <v>0</v>
      </c>
      <c r="H1046" s="74">
        <f>'12-2017'!H1136</f>
        <v>0</v>
      </c>
      <c r="I1046" s="74">
        <f>'12-2017'!I1136</f>
        <v>0</v>
      </c>
      <c r="J1046" s="74">
        <f>'12-2017'!J1136</f>
        <v>0</v>
      </c>
    </row>
    <row r="1047" spans="1:10" s="73" customFormat="1" ht="17.25" hidden="1">
      <c r="A1047" s="17"/>
      <c r="B1047" s="9" t="str">
        <f>'12-2017'!B1137</f>
        <v xml:space="preserve"> - Phụ kiện Đệ Nhất tiêu chuẩn ASTM hệ inch - loại dày:</v>
      </c>
      <c r="C1047" s="8"/>
      <c r="D1047" s="22"/>
      <c r="E1047" s="22"/>
      <c r="F1047" s="131"/>
      <c r="H1047" s="74">
        <f>'12-2017'!H1137</f>
        <v>0</v>
      </c>
      <c r="I1047" s="74">
        <f>'12-2017'!I1137</f>
        <v>0</v>
      </c>
      <c r="J1047" s="74">
        <f>'12-2017'!J1137</f>
        <v>0</v>
      </c>
    </row>
    <row r="1048" spans="1:10" s="58" customFormat="1" ht="17.25" hidden="1">
      <c r="A1048" s="10">
        <f>'12-2017'!A1138</f>
        <v>16</v>
      </c>
      <c r="B1048" s="11" t="str">
        <f>'12-2017'!B1138</f>
        <v xml:space="preserve"> Nối fi 42 (1-1/4")</v>
      </c>
      <c r="C1048" s="12" t="str">
        <f>'12-2017'!C1138</f>
        <v>đ/cái</v>
      </c>
      <c r="D1048" s="13">
        <f>'12-2017'!O1138</f>
        <v>5000</v>
      </c>
      <c r="E1048" s="13">
        <f>'12-2017'!P1138</f>
        <v>5000</v>
      </c>
      <c r="F1048" s="130">
        <f t="shared" si="53"/>
        <v>0</v>
      </c>
      <c r="H1048" s="74">
        <f>'12-2017'!H1138</f>
        <v>0</v>
      </c>
      <c r="I1048" s="74">
        <f>'12-2017'!I1138</f>
        <v>0</v>
      </c>
      <c r="J1048" s="74">
        <f>'12-2017'!J1138</f>
        <v>0</v>
      </c>
    </row>
    <row r="1049" spans="1:10" s="58" customFormat="1" ht="17.25" hidden="1">
      <c r="A1049" s="10">
        <f>'12-2017'!A1139</f>
        <v>17</v>
      </c>
      <c r="B1049" s="11" t="str">
        <f>'12-2017'!B1139</f>
        <v xml:space="preserve"> Nối fi 49 (1-1/2")</v>
      </c>
      <c r="C1049" s="12" t="str">
        <f>'12-2017'!C1139</f>
        <v>đ/cái</v>
      </c>
      <c r="D1049" s="13">
        <f>'12-2017'!O1139</f>
        <v>7899.9999999999991</v>
      </c>
      <c r="E1049" s="13">
        <f>'12-2017'!P1139</f>
        <v>7899.9999999999991</v>
      </c>
      <c r="F1049" s="130">
        <f t="shared" si="53"/>
        <v>0</v>
      </c>
      <c r="H1049" s="74">
        <f>'12-2017'!H1139</f>
        <v>0</v>
      </c>
      <c r="I1049" s="74">
        <f>'12-2017'!I1139</f>
        <v>0</v>
      </c>
      <c r="J1049" s="74">
        <f>'12-2017'!J1139</f>
        <v>0</v>
      </c>
    </row>
    <row r="1050" spans="1:10" s="58" customFormat="1" ht="17.25" hidden="1">
      <c r="A1050" s="10">
        <f>'12-2017'!A1140</f>
        <v>18</v>
      </c>
      <c r="B1050" s="11" t="str">
        <f>'12-2017'!B1140</f>
        <v xml:space="preserve"> Nối fi 60 (2")</v>
      </c>
      <c r="C1050" s="12" t="str">
        <f>'12-2017'!C1140</f>
        <v>đ/cái</v>
      </c>
      <c r="D1050" s="13">
        <f>'12-2017'!O1140</f>
        <v>12199.999999999998</v>
      </c>
      <c r="E1050" s="13">
        <f>'12-2017'!P1140</f>
        <v>12199.999999999998</v>
      </c>
      <c r="F1050" s="130">
        <f t="shared" si="53"/>
        <v>0</v>
      </c>
      <c r="H1050" s="74">
        <f>'12-2017'!H1140</f>
        <v>0</v>
      </c>
      <c r="I1050" s="74">
        <f>'12-2017'!I1140</f>
        <v>0</v>
      </c>
      <c r="J1050" s="74">
        <f>'12-2017'!J1140</f>
        <v>0</v>
      </c>
    </row>
    <row r="1051" spans="1:10" s="58" customFormat="1" ht="17.25" hidden="1">
      <c r="A1051" s="10">
        <f>'12-2017'!A1141</f>
        <v>19</v>
      </c>
      <c r="B1051" s="11" t="str">
        <f>'12-2017'!B1141</f>
        <v xml:space="preserve"> Nối fi 76 (2-1/2")</v>
      </c>
      <c r="C1051" s="12" t="str">
        <f>'12-2017'!C1141</f>
        <v>đ/cái</v>
      </c>
      <c r="D1051" s="13">
        <f>'12-2017'!O1141</f>
        <v>24199.999999999996</v>
      </c>
      <c r="E1051" s="13">
        <f>'12-2017'!P1141</f>
        <v>24199.999999999996</v>
      </c>
      <c r="F1051" s="130">
        <f t="shared" si="53"/>
        <v>0</v>
      </c>
      <c r="H1051" s="74">
        <f>'12-2017'!H1141</f>
        <v>0</v>
      </c>
      <c r="I1051" s="74">
        <f>'12-2017'!I1141</f>
        <v>0</v>
      </c>
      <c r="J1051" s="74">
        <f>'12-2017'!J1141</f>
        <v>0</v>
      </c>
    </row>
    <row r="1052" spans="1:10" s="58" customFormat="1" ht="17.25" hidden="1">
      <c r="A1052" s="10">
        <f>'12-2017'!A1142</f>
        <v>20</v>
      </c>
      <c r="B1052" s="11" t="str">
        <f>'12-2017'!B1142</f>
        <v xml:space="preserve"> Nối fi 90 (3") </v>
      </c>
      <c r="C1052" s="12" t="str">
        <f>'12-2017'!C1142</f>
        <v>đ/cái</v>
      </c>
      <c r="D1052" s="13">
        <f>'12-2017'!O1142</f>
        <v>24799.999999999996</v>
      </c>
      <c r="E1052" s="13">
        <f>'12-2017'!P1142</f>
        <v>24799.999999999996</v>
      </c>
      <c r="F1052" s="130">
        <f t="shared" si="53"/>
        <v>0</v>
      </c>
      <c r="H1052" s="74">
        <f>'12-2017'!H1142</f>
        <v>0</v>
      </c>
      <c r="I1052" s="74">
        <f>'12-2017'!I1142</f>
        <v>0</v>
      </c>
      <c r="J1052" s="74">
        <f>'12-2017'!J1142</f>
        <v>0</v>
      </c>
    </row>
    <row r="1053" spans="1:10" s="58" customFormat="1" ht="17.25" hidden="1">
      <c r="A1053" s="10">
        <f>'12-2017'!A1143</f>
        <v>21</v>
      </c>
      <c r="B1053" s="11" t="str">
        <f>'12-2017'!B1143</f>
        <v xml:space="preserve"> Nối fi 114 (4")</v>
      </c>
      <c r="C1053" s="12" t="str">
        <f>'12-2017'!C1143</f>
        <v>đ/cái</v>
      </c>
      <c r="D1053" s="13">
        <f>'12-2017'!O1143</f>
        <v>52399.999999999993</v>
      </c>
      <c r="E1053" s="13">
        <f>'12-2017'!P1143</f>
        <v>52399.999999999993</v>
      </c>
      <c r="F1053" s="130">
        <f t="shared" si="53"/>
        <v>0</v>
      </c>
      <c r="H1053" s="74">
        <f>'12-2017'!H1143</f>
        <v>0</v>
      </c>
      <c r="I1053" s="74">
        <f>'12-2017'!I1143</f>
        <v>0</v>
      </c>
      <c r="J1053" s="74">
        <f>'12-2017'!J1143</f>
        <v>0</v>
      </c>
    </row>
    <row r="1054" spans="1:10" s="58" customFormat="1" ht="17.25" hidden="1">
      <c r="A1054" s="10">
        <f>'12-2017'!A1144</f>
        <v>22</v>
      </c>
      <c r="B1054" s="11" t="str">
        <f>'12-2017'!B1144</f>
        <v xml:space="preserve"> Nối fi 168 (6")</v>
      </c>
      <c r="C1054" s="12" t="str">
        <f>'12-2017'!C1144</f>
        <v>đ/cái</v>
      </c>
      <c r="D1054" s="13">
        <f>'12-2017'!O1144</f>
        <v>203499.99999999997</v>
      </c>
      <c r="E1054" s="13">
        <f>'12-2017'!P1144</f>
        <v>203499.99999999997</v>
      </c>
      <c r="F1054" s="130">
        <f t="shared" si="53"/>
        <v>0</v>
      </c>
      <c r="H1054" s="74">
        <f>'12-2017'!H1144</f>
        <v>0</v>
      </c>
      <c r="I1054" s="74">
        <f>'12-2017'!I1144</f>
        <v>0</v>
      </c>
      <c r="J1054" s="74">
        <f>'12-2017'!J1144</f>
        <v>0</v>
      </c>
    </row>
    <row r="1055" spans="1:10" s="58" customFormat="1" ht="17.25" hidden="1">
      <c r="A1055" s="10">
        <f>'12-2017'!A1145</f>
        <v>23</v>
      </c>
      <c r="B1055" s="11" t="str">
        <f>'12-2017'!B1145</f>
        <v xml:space="preserve"> Chữ  T fi 21 (1/2") </v>
      </c>
      <c r="C1055" s="12" t="str">
        <f>'12-2017'!C1145</f>
        <v>đ/cái</v>
      </c>
      <c r="D1055" s="13">
        <f>'12-2017'!O1145</f>
        <v>2999.9999999999995</v>
      </c>
      <c r="E1055" s="13">
        <f>'12-2017'!P1145</f>
        <v>2999.9999999999995</v>
      </c>
      <c r="F1055" s="130">
        <f t="shared" si="53"/>
        <v>0</v>
      </c>
      <c r="H1055" s="74">
        <f>'12-2017'!H1145</f>
        <v>0</v>
      </c>
      <c r="I1055" s="74">
        <f>'12-2017'!I1145</f>
        <v>0</v>
      </c>
      <c r="J1055" s="74">
        <f>'12-2017'!J1145</f>
        <v>0</v>
      </c>
    </row>
    <row r="1056" spans="1:10" s="58" customFormat="1" ht="17.25" hidden="1">
      <c r="A1056" s="10">
        <f>'12-2017'!A1146</f>
        <v>24</v>
      </c>
      <c r="B1056" s="11" t="str">
        <f>'12-2017'!B1146</f>
        <v xml:space="preserve"> Chữ  T fi 27 (3/4") </v>
      </c>
      <c r="C1056" s="12" t="str">
        <f>'12-2017'!C1146</f>
        <v>đ/cái</v>
      </c>
      <c r="D1056" s="13">
        <f>'12-2017'!O1146</f>
        <v>4600</v>
      </c>
      <c r="E1056" s="13">
        <f>'12-2017'!P1146</f>
        <v>4600</v>
      </c>
      <c r="F1056" s="130">
        <f t="shared" si="53"/>
        <v>0</v>
      </c>
      <c r="H1056" s="74">
        <f>'12-2017'!H1146</f>
        <v>0</v>
      </c>
      <c r="I1056" s="74">
        <f>'12-2017'!I1146</f>
        <v>0</v>
      </c>
      <c r="J1056" s="74">
        <f>'12-2017'!J1146</f>
        <v>0</v>
      </c>
    </row>
    <row r="1057" spans="1:10" s="58" customFormat="1" ht="17.25" hidden="1">
      <c r="A1057" s="10">
        <f>'12-2017'!A1147</f>
        <v>25</v>
      </c>
      <c r="B1057" s="11" t="str">
        <f>'12-2017'!B1147</f>
        <v xml:space="preserve"> Chữ  T fi 34 (1") </v>
      </c>
      <c r="C1057" s="12" t="str">
        <f>'12-2017'!C1147</f>
        <v>đ/cái</v>
      </c>
      <c r="D1057" s="13">
        <f>'12-2017'!O1147</f>
        <v>7399.9999999999991</v>
      </c>
      <c r="E1057" s="13">
        <f>'12-2017'!P1147</f>
        <v>7399.9999999999991</v>
      </c>
      <c r="F1057" s="130">
        <f t="shared" si="53"/>
        <v>0</v>
      </c>
      <c r="H1057" s="74">
        <f>'12-2017'!H1147</f>
        <v>0</v>
      </c>
      <c r="I1057" s="74">
        <f>'12-2017'!I1147</f>
        <v>0</v>
      </c>
      <c r="J1057" s="74">
        <f>'12-2017'!J1147</f>
        <v>0</v>
      </c>
    </row>
    <row r="1058" spans="1:10" s="58" customFormat="1" ht="17.25" hidden="1">
      <c r="A1058" s="10">
        <f>'12-2017'!A1148</f>
        <v>26</v>
      </c>
      <c r="B1058" s="11" t="str">
        <f>'12-2017'!B1148</f>
        <v xml:space="preserve"> Chữ  T fi 42 (1-1/4") </v>
      </c>
      <c r="C1058" s="12" t="str">
        <f>'12-2017'!C1148</f>
        <v>đ/cái</v>
      </c>
      <c r="D1058" s="13">
        <f>'12-2017'!O1148</f>
        <v>9800</v>
      </c>
      <c r="E1058" s="13">
        <f>'12-2017'!P1148</f>
        <v>9800</v>
      </c>
      <c r="F1058" s="130">
        <f t="shared" si="53"/>
        <v>0</v>
      </c>
      <c r="H1058" s="74">
        <f>'12-2017'!H1148</f>
        <v>0</v>
      </c>
      <c r="I1058" s="74">
        <f>'12-2017'!I1148</f>
        <v>0</v>
      </c>
      <c r="J1058" s="74">
        <f>'12-2017'!J1148</f>
        <v>0</v>
      </c>
    </row>
    <row r="1059" spans="1:10" s="58" customFormat="1" ht="17.25" hidden="1">
      <c r="A1059" s="10">
        <f>'12-2017'!A1149</f>
        <v>27</v>
      </c>
      <c r="B1059" s="11" t="str">
        <f>'12-2017'!B1149</f>
        <v xml:space="preserve"> Chữ  T fi 49 (1-1/2") </v>
      </c>
      <c r="C1059" s="12" t="str">
        <f>'12-2017'!C1149</f>
        <v>đ/cái</v>
      </c>
      <c r="D1059" s="13">
        <f>'12-2017'!O1149</f>
        <v>14499.999999999998</v>
      </c>
      <c r="E1059" s="13">
        <f>'12-2017'!P1149</f>
        <v>14499.999999999998</v>
      </c>
      <c r="F1059" s="130">
        <f t="shared" si="53"/>
        <v>0</v>
      </c>
      <c r="H1059" s="74">
        <f>'12-2017'!H1149</f>
        <v>0</v>
      </c>
      <c r="I1059" s="74">
        <f>'12-2017'!I1149</f>
        <v>0</v>
      </c>
      <c r="J1059" s="74">
        <f>'12-2017'!J1149</f>
        <v>0</v>
      </c>
    </row>
    <row r="1060" spans="1:10" s="58" customFormat="1" ht="17.25" hidden="1">
      <c r="A1060" s="10">
        <f>'12-2017'!A1150</f>
        <v>28</v>
      </c>
      <c r="B1060" s="11" t="str">
        <f>'12-2017'!B1150</f>
        <v xml:space="preserve"> Chữ  T fi 60 (2") </v>
      </c>
      <c r="C1060" s="12" t="str">
        <f>'12-2017'!C1150</f>
        <v>đ/cái</v>
      </c>
      <c r="D1060" s="13">
        <f>'12-2017'!O1150</f>
        <v>24699.999999999996</v>
      </c>
      <c r="E1060" s="13">
        <f>'12-2017'!P1150</f>
        <v>24699.999999999996</v>
      </c>
      <c r="F1060" s="130">
        <f t="shared" si="53"/>
        <v>0</v>
      </c>
      <c r="H1060" s="74">
        <f>'12-2017'!H1150</f>
        <v>0</v>
      </c>
      <c r="I1060" s="74">
        <f>'12-2017'!I1150</f>
        <v>0</v>
      </c>
      <c r="J1060" s="74">
        <f>'12-2017'!J1150</f>
        <v>0</v>
      </c>
    </row>
    <row r="1061" spans="1:10" s="58" customFormat="1" ht="17.25" hidden="1">
      <c r="A1061" s="10">
        <f>'12-2017'!A1151</f>
        <v>29</v>
      </c>
      <c r="B1061" s="11" t="str">
        <f>'12-2017'!B1151</f>
        <v xml:space="preserve"> Chữ  T fi 76 (2 - 1/2") </v>
      </c>
      <c r="C1061" s="12" t="str">
        <f>'12-2017'!C1151</f>
        <v>đ/cái</v>
      </c>
      <c r="D1061" s="13">
        <f>'12-2017'!O1151</f>
        <v>46999.999999999993</v>
      </c>
      <c r="E1061" s="13">
        <f>'12-2017'!P1151</f>
        <v>46999.999999999993</v>
      </c>
      <c r="F1061" s="130">
        <f t="shared" si="53"/>
        <v>0</v>
      </c>
      <c r="H1061" s="74">
        <f>'12-2017'!H1151</f>
        <v>0</v>
      </c>
      <c r="I1061" s="74">
        <f>'12-2017'!I1151</f>
        <v>0</v>
      </c>
      <c r="J1061" s="74">
        <f>'12-2017'!J1151</f>
        <v>0</v>
      </c>
    </row>
    <row r="1062" spans="1:10" s="58" customFormat="1" ht="17.25" hidden="1">
      <c r="A1062" s="10">
        <f>'12-2017'!A1152</f>
        <v>30</v>
      </c>
      <c r="B1062" s="11" t="str">
        <f>'12-2017'!B1152</f>
        <v xml:space="preserve"> Chữ  T fi 90 (3") </v>
      </c>
      <c r="C1062" s="12" t="str">
        <f>'12-2017'!C1152</f>
        <v>đ/cái</v>
      </c>
      <c r="D1062" s="13">
        <f>'12-2017'!O1152</f>
        <v>62199.999999999993</v>
      </c>
      <c r="E1062" s="13">
        <f>'12-2017'!P1152</f>
        <v>62199.999999999993</v>
      </c>
      <c r="F1062" s="130">
        <f t="shared" si="53"/>
        <v>0</v>
      </c>
      <c r="H1062" s="74">
        <f>'12-2017'!H1152</f>
        <v>0</v>
      </c>
      <c r="I1062" s="74">
        <f>'12-2017'!I1152</f>
        <v>0</v>
      </c>
      <c r="J1062" s="74">
        <f>'12-2017'!J1152</f>
        <v>0</v>
      </c>
    </row>
    <row r="1063" spans="1:10" s="58" customFormat="1" ht="17.25" hidden="1">
      <c r="A1063" s="10">
        <f>'12-2017'!A1153</f>
        <v>31</v>
      </c>
      <c r="B1063" s="11" t="str">
        <f>'12-2017'!B1153</f>
        <v xml:space="preserve"> Chữ  T fi 114 (4") </v>
      </c>
      <c r="C1063" s="12" t="str">
        <f>'12-2017'!C1153</f>
        <v>đ/cái</v>
      </c>
      <c r="D1063" s="13">
        <f>'12-2017'!O1153</f>
        <v>126899.99999999999</v>
      </c>
      <c r="E1063" s="13">
        <f>'12-2017'!P1153</f>
        <v>126899.99999999999</v>
      </c>
      <c r="F1063" s="130">
        <f t="shared" si="53"/>
        <v>0</v>
      </c>
      <c r="H1063" s="74">
        <f>'12-2017'!H1153</f>
        <v>0</v>
      </c>
      <c r="I1063" s="74">
        <f>'12-2017'!I1153</f>
        <v>0</v>
      </c>
      <c r="J1063" s="74">
        <f>'12-2017'!J1153</f>
        <v>0</v>
      </c>
    </row>
    <row r="1064" spans="1:10" s="58" customFormat="1" ht="17.25" hidden="1">
      <c r="A1064" s="10">
        <f>'12-2017'!A1154</f>
        <v>32</v>
      </c>
      <c r="B1064" s="11" t="str">
        <f>'12-2017'!B1154</f>
        <v xml:space="preserve"> Chữ  T fi 168 (6") </v>
      </c>
      <c r="C1064" s="12" t="str">
        <f>'12-2017'!C1154</f>
        <v>đ/cái</v>
      </c>
      <c r="D1064" s="13">
        <f>'12-2017'!O1154</f>
        <v>459099.99999999994</v>
      </c>
      <c r="E1064" s="13">
        <f>'12-2017'!P1154</f>
        <v>459099.99999999994</v>
      </c>
      <c r="F1064" s="130">
        <f t="shared" si="53"/>
        <v>0</v>
      </c>
      <c r="H1064" s="74">
        <f>'12-2017'!H1154</f>
        <v>0</v>
      </c>
      <c r="I1064" s="74">
        <f>'12-2017'!I1154</f>
        <v>0</v>
      </c>
      <c r="J1064" s="74">
        <f>'12-2017'!J1154</f>
        <v>0</v>
      </c>
    </row>
    <row r="1065" spans="1:10" s="58" customFormat="1" ht="17.25" hidden="1">
      <c r="A1065" s="10">
        <f>'12-2017'!A1155</f>
        <v>33</v>
      </c>
      <c r="B1065" s="11" t="str">
        <f>'12-2017'!B1155</f>
        <v xml:space="preserve"> Co 450  fi 42 (1-1/4")</v>
      </c>
      <c r="C1065" s="12" t="str">
        <f>'12-2017'!C1155</f>
        <v>đ/cái</v>
      </c>
      <c r="D1065" s="13">
        <f>'12-2017'!O1155</f>
        <v>6199.9999999999991</v>
      </c>
      <c r="E1065" s="13">
        <f>'12-2017'!P1155</f>
        <v>6199.9999999999991</v>
      </c>
      <c r="F1065" s="130">
        <f t="shared" si="53"/>
        <v>0</v>
      </c>
      <c r="H1065" s="74">
        <f>'12-2017'!H1155</f>
        <v>0</v>
      </c>
      <c r="I1065" s="74">
        <f>'12-2017'!I1155</f>
        <v>0</v>
      </c>
      <c r="J1065" s="74">
        <f>'12-2017'!J1155</f>
        <v>0</v>
      </c>
    </row>
    <row r="1066" spans="1:10" s="58" customFormat="1" ht="17.25" hidden="1">
      <c r="A1066" s="10">
        <f>'12-2017'!A1156</f>
        <v>34</v>
      </c>
      <c r="B1066" s="11" t="str">
        <f>'12-2017'!B1156</f>
        <v xml:space="preserve"> Co 450  fi 49 (1-1/2")</v>
      </c>
      <c r="C1066" s="12" t="str">
        <f>'12-2017'!C1156</f>
        <v>đ/cái</v>
      </c>
      <c r="D1066" s="13">
        <f>'12-2017'!O1156</f>
        <v>9600</v>
      </c>
      <c r="E1066" s="13">
        <f>'12-2017'!P1156</f>
        <v>9600</v>
      </c>
      <c r="F1066" s="130">
        <f t="shared" si="53"/>
        <v>0</v>
      </c>
      <c r="H1066" s="74">
        <f>'12-2017'!H1156</f>
        <v>0</v>
      </c>
      <c r="I1066" s="74">
        <f>'12-2017'!I1156</f>
        <v>0</v>
      </c>
      <c r="J1066" s="74">
        <f>'12-2017'!J1156</f>
        <v>0</v>
      </c>
    </row>
    <row r="1067" spans="1:10" s="58" customFormat="1" ht="17.25" hidden="1">
      <c r="A1067" s="10">
        <f>'12-2017'!A1157</f>
        <v>35</v>
      </c>
      <c r="B1067" s="11" t="str">
        <f>'12-2017'!B1157</f>
        <v xml:space="preserve"> Co 450  fi 60 (2") </v>
      </c>
      <c r="C1067" s="12" t="str">
        <f>'12-2017'!C1157</f>
        <v>đ/cái</v>
      </c>
      <c r="D1067" s="13">
        <f>'12-2017'!O1157</f>
        <v>14699.999999999998</v>
      </c>
      <c r="E1067" s="13">
        <f>'12-2017'!P1157</f>
        <v>14699.999999999998</v>
      </c>
      <c r="F1067" s="130">
        <f t="shared" si="53"/>
        <v>0</v>
      </c>
      <c r="H1067" s="74">
        <f>'12-2017'!H1157</f>
        <v>0</v>
      </c>
      <c r="I1067" s="74">
        <f>'12-2017'!I1157</f>
        <v>0</v>
      </c>
      <c r="J1067" s="74">
        <f>'12-2017'!J1157</f>
        <v>0</v>
      </c>
    </row>
    <row r="1068" spans="1:10" s="58" customFormat="1" ht="17.25" hidden="1">
      <c r="A1068" s="10">
        <f>'12-2017'!A1158</f>
        <v>36</v>
      </c>
      <c r="B1068" s="11" t="str">
        <f>'12-2017'!B1158</f>
        <v xml:space="preserve"> Co 450  fi 76 (2-1/2")</v>
      </c>
      <c r="C1068" s="12" t="str">
        <f>'12-2017'!C1158</f>
        <v>đ/cái</v>
      </c>
      <c r="D1068" s="13">
        <f>'12-2017'!O1158</f>
        <v>29899.999999999996</v>
      </c>
      <c r="E1068" s="13">
        <f>'12-2017'!P1158</f>
        <v>29899.999999999996</v>
      </c>
      <c r="F1068" s="130">
        <f t="shared" si="53"/>
        <v>0</v>
      </c>
      <c r="H1068" s="74">
        <f>'12-2017'!H1158</f>
        <v>0</v>
      </c>
      <c r="I1068" s="74">
        <f>'12-2017'!I1158</f>
        <v>0</v>
      </c>
      <c r="J1068" s="74">
        <f>'12-2017'!J1158</f>
        <v>0</v>
      </c>
    </row>
    <row r="1069" spans="1:10" s="58" customFormat="1" ht="17.25" hidden="1">
      <c r="A1069" s="10">
        <f>'12-2017'!A1159</f>
        <v>37</v>
      </c>
      <c r="B1069" s="11" t="str">
        <f>'12-2017'!B1159</f>
        <v xml:space="preserve"> Co 450  fi 90 (3") </v>
      </c>
      <c r="C1069" s="12" t="str">
        <f>'12-2017'!C1159</f>
        <v>đ/cái</v>
      </c>
      <c r="D1069" s="13">
        <f>'12-2017'!O1159</f>
        <v>33600</v>
      </c>
      <c r="E1069" s="13">
        <f>'12-2017'!P1159</f>
        <v>33600</v>
      </c>
      <c r="F1069" s="130">
        <f t="shared" si="53"/>
        <v>0</v>
      </c>
      <c r="H1069" s="74">
        <f>'12-2017'!H1159</f>
        <v>0</v>
      </c>
      <c r="I1069" s="74">
        <f>'12-2017'!I1159</f>
        <v>0</v>
      </c>
      <c r="J1069" s="74">
        <f>'12-2017'!J1159</f>
        <v>0</v>
      </c>
    </row>
    <row r="1070" spans="1:10" s="58" customFormat="1" ht="17.25" hidden="1">
      <c r="A1070" s="10">
        <f>'12-2017'!A1160</f>
        <v>38</v>
      </c>
      <c r="B1070" s="11" t="str">
        <f>'12-2017'!B1160</f>
        <v xml:space="preserve"> Co 450 fi 114 (4")</v>
      </c>
      <c r="C1070" s="12" t="str">
        <f>'12-2017'!C1160</f>
        <v>đ/cái</v>
      </c>
      <c r="D1070" s="13">
        <f>'12-2017'!O1160</f>
        <v>70200</v>
      </c>
      <c r="E1070" s="13">
        <f>'12-2017'!P1160</f>
        <v>70200</v>
      </c>
      <c r="F1070" s="130">
        <f t="shared" si="53"/>
        <v>0</v>
      </c>
      <c r="H1070" s="74">
        <f>'12-2017'!H1160</f>
        <v>0</v>
      </c>
      <c r="I1070" s="74">
        <f>'12-2017'!I1160</f>
        <v>0</v>
      </c>
      <c r="J1070" s="74">
        <f>'12-2017'!J1160</f>
        <v>0</v>
      </c>
    </row>
    <row r="1071" spans="1:10" s="58" customFormat="1" ht="17.25" hidden="1">
      <c r="A1071" s="10">
        <f>'12-2017'!A1161</f>
        <v>39</v>
      </c>
      <c r="B1071" s="11" t="str">
        <f>'12-2017'!B1161</f>
        <v xml:space="preserve"> Co 450 fi 168 (6")</v>
      </c>
      <c r="C1071" s="12" t="str">
        <f>'12-2017'!C1161</f>
        <v>đ/cái</v>
      </c>
      <c r="D1071" s="13">
        <f>'12-2017'!O1161</f>
        <v>280800</v>
      </c>
      <c r="E1071" s="13">
        <f>'12-2017'!P1161</f>
        <v>280800</v>
      </c>
      <c r="F1071" s="130">
        <f t="shared" si="53"/>
        <v>0</v>
      </c>
      <c r="H1071" s="74">
        <f>'12-2017'!H1161</f>
        <v>0</v>
      </c>
      <c r="I1071" s="74">
        <f>'12-2017'!I1161</f>
        <v>0</v>
      </c>
      <c r="J1071" s="74">
        <f>'12-2017'!J1161</f>
        <v>0</v>
      </c>
    </row>
    <row r="1072" spans="1:10" s="73" customFormat="1" ht="17.25" hidden="1">
      <c r="A1072" s="17"/>
      <c r="B1072" s="9" t="str">
        <f>'12-2017'!B1162</f>
        <v xml:space="preserve"> - Phụ kiện Đệ Nhất tiêu chuẩn ISO hệ mét - loại dày:</v>
      </c>
      <c r="C1072" s="8"/>
      <c r="D1072" s="22"/>
      <c r="E1072" s="22"/>
      <c r="F1072" s="131"/>
      <c r="H1072" s="74">
        <f>'12-2017'!H1162</f>
        <v>0</v>
      </c>
      <c r="I1072" s="74">
        <f>'12-2017'!I1162</f>
        <v>0</v>
      </c>
      <c r="J1072" s="74">
        <f>'12-2017'!J1162</f>
        <v>0</v>
      </c>
    </row>
    <row r="1073" spans="1:10" s="58" customFormat="1" ht="17.25" hidden="1">
      <c r="A1073" s="10">
        <f>'12-2017'!A1163</f>
        <v>40</v>
      </c>
      <c r="B1073" s="11" t="str">
        <f>'12-2017'!B1163</f>
        <v xml:space="preserve"> Nối fi 75</v>
      </c>
      <c r="C1073" s="12" t="str">
        <f>'12-2017'!C1163</f>
        <v>đ/cái</v>
      </c>
      <c r="D1073" s="13">
        <f>'12-2017'!O1163</f>
        <v>22999.999999999996</v>
      </c>
      <c r="E1073" s="13">
        <f>'12-2017'!P1163</f>
        <v>22999.999999999996</v>
      </c>
      <c r="F1073" s="130">
        <f t="shared" si="53"/>
        <v>0</v>
      </c>
      <c r="H1073" s="74">
        <f>'12-2017'!H1163</f>
        <v>0</v>
      </c>
      <c r="I1073" s="74">
        <f>'12-2017'!I1163</f>
        <v>0</v>
      </c>
      <c r="J1073" s="74">
        <f>'12-2017'!J1163</f>
        <v>0</v>
      </c>
    </row>
    <row r="1074" spans="1:10" s="58" customFormat="1" ht="17.25" hidden="1">
      <c r="A1074" s="10">
        <f>'12-2017'!A1164</f>
        <v>41</v>
      </c>
      <c r="B1074" s="11" t="str">
        <f>'12-2017'!B1164</f>
        <v xml:space="preserve"> Nối fi 90</v>
      </c>
      <c r="C1074" s="12" t="str">
        <f>'12-2017'!C1164</f>
        <v>đ/cái</v>
      </c>
      <c r="D1074" s="13">
        <f>'12-2017'!O1164</f>
        <v>24799.999999999996</v>
      </c>
      <c r="E1074" s="13">
        <f>'12-2017'!P1164</f>
        <v>24799.999999999996</v>
      </c>
      <c r="F1074" s="130">
        <f t="shared" si="53"/>
        <v>0</v>
      </c>
      <c r="H1074" s="74">
        <f>'12-2017'!H1164</f>
        <v>0</v>
      </c>
      <c r="I1074" s="74">
        <f>'12-2017'!I1164</f>
        <v>0</v>
      </c>
      <c r="J1074" s="74">
        <f>'12-2017'!J1164</f>
        <v>0</v>
      </c>
    </row>
    <row r="1075" spans="1:10" s="58" customFormat="1" ht="17.25" hidden="1">
      <c r="A1075" s="10">
        <f>'12-2017'!A1165</f>
        <v>42</v>
      </c>
      <c r="B1075" s="11" t="str">
        <f>'12-2017'!B1165</f>
        <v xml:space="preserve"> Nối fi 110</v>
      </c>
      <c r="C1075" s="12" t="str">
        <f>'12-2017'!C1165</f>
        <v>đ/cái</v>
      </c>
      <c r="D1075" s="13">
        <f>'12-2017'!O1165</f>
        <v>50899.999999999993</v>
      </c>
      <c r="E1075" s="13">
        <f>'12-2017'!P1165</f>
        <v>50899.999999999993</v>
      </c>
      <c r="F1075" s="130">
        <f t="shared" si="53"/>
        <v>0</v>
      </c>
      <c r="H1075" s="74">
        <f>'12-2017'!H1165</f>
        <v>0</v>
      </c>
      <c r="I1075" s="74">
        <f>'12-2017'!I1165</f>
        <v>0</v>
      </c>
      <c r="J1075" s="74">
        <f>'12-2017'!J1165</f>
        <v>0</v>
      </c>
    </row>
    <row r="1076" spans="1:10" s="58" customFormat="1" ht="17.25" hidden="1">
      <c r="A1076" s="10">
        <f>'12-2017'!A1166</f>
        <v>43</v>
      </c>
      <c r="B1076" s="11" t="str">
        <f>'12-2017'!B1166</f>
        <v xml:space="preserve"> Nối fi 140  </v>
      </c>
      <c r="C1076" s="12" t="str">
        <f>'12-2017'!C1166</f>
        <v>đ/cái</v>
      </c>
      <c r="D1076" s="13">
        <f>'12-2017'!O1166</f>
        <v>85200</v>
      </c>
      <c r="E1076" s="13">
        <f>'12-2017'!P1166</f>
        <v>85200</v>
      </c>
      <c r="F1076" s="130">
        <f t="shared" si="53"/>
        <v>0</v>
      </c>
      <c r="H1076" s="74">
        <f>'12-2017'!H1166</f>
        <v>0</v>
      </c>
      <c r="I1076" s="74">
        <f>'12-2017'!I1166</f>
        <v>0</v>
      </c>
      <c r="J1076" s="74">
        <f>'12-2017'!J1166</f>
        <v>0</v>
      </c>
    </row>
    <row r="1077" spans="1:10" s="58" customFormat="1" ht="17.25" hidden="1">
      <c r="A1077" s="10">
        <f>'12-2017'!A1167</f>
        <v>44</v>
      </c>
      <c r="B1077" s="11" t="str">
        <f>'12-2017'!B1167</f>
        <v xml:space="preserve"> Nối fi 160  </v>
      </c>
      <c r="C1077" s="12" t="str">
        <f>'12-2017'!C1167</f>
        <v>đ/cái</v>
      </c>
      <c r="D1077" s="13">
        <f>'12-2017'!O1167</f>
        <v>129399.99999999999</v>
      </c>
      <c r="E1077" s="13">
        <f>'12-2017'!P1167</f>
        <v>129399.99999999999</v>
      </c>
      <c r="F1077" s="130">
        <f t="shared" si="53"/>
        <v>0</v>
      </c>
      <c r="H1077" s="74">
        <f>'12-2017'!H1167</f>
        <v>0</v>
      </c>
      <c r="I1077" s="74">
        <f>'12-2017'!I1167</f>
        <v>0</v>
      </c>
      <c r="J1077" s="74">
        <f>'12-2017'!J1167</f>
        <v>0</v>
      </c>
    </row>
    <row r="1078" spans="1:10" s="58" customFormat="1" ht="17.25" hidden="1">
      <c r="A1078" s="10">
        <f>'12-2017'!A1168</f>
        <v>45</v>
      </c>
      <c r="B1078" s="11" t="str">
        <f>'12-2017'!B1168</f>
        <v xml:space="preserve"> Nối fi 200  </v>
      </c>
      <c r="C1078" s="12" t="str">
        <f>'12-2017'!C1168</f>
        <v>đ/cái</v>
      </c>
      <c r="D1078" s="13">
        <f>'12-2017'!O1168</f>
        <v>279200</v>
      </c>
      <c r="E1078" s="13">
        <f>'12-2017'!P1168</f>
        <v>279200</v>
      </c>
      <c r="F1078" s="130">
        <f t="shared" si="53"/>
        <v>0</v>
      </c>
      <c r="H1078" s="74">
        <f>'12-2017'!H1168</f>
        <v>0</v>
      </c>
      <c r="I1078" s="74">
        <f>'12-2017'!I1168</f>
        <v>0</v>
      </c>
      <c r="J1078" s="74">
        <f>'12-2017'!J1168</f>
        <v>0</v>
      </c>
    </row>
    <row r="1079" spans="1:10" s="58" customFormat="1" ht="17.25" hidden="1">
      <c r="A1079" s="10">
        <f>'12-2017'!A1169</f>
        <v>46</v>
      </c>
      <c r="B1079" s="11" t="str">
        <f>'12-2017'!B1169</f>
        <v xml:space="preserve"> Chữ T fi 50 </v>
      </c>
      <c r="C1079" s="12" t="str">
        <f>'12-2017'!C1169</f>
        <v>đ/cái</v>
      </c>
      <c r="D1079" s="13">
        <f>'12-2017'!O1169</f>
        <v>18500</v>
      </c>
      <c r="E1079" s="13">
        <f>'12-2017'!P1169</f>
        <v>18500</v>
      </c>
      <c r="F1079" s="130">
        <f t="shared" si="53"/>
        <v>0</v>
      </c>
      <c r="H1079" s="74">
        <f>'12-2017'!H1169</f>
        <v>0</v>
      </c>
      <c r="I1079" s="74">
        <f>'12-2017'!I1169</f>
        <v>0</v>
      </c>
      <c r="J1079" s="74">
        <f>'12-2017'!J1169</f>
        <v>0</v>
      </c>
    </row>
    <row r="1080" spans="1:10" s="58" customFormat="1" ht="17.25" hidden="1">
      <c r="A1080" s="10">
        <f>'12-2017'!A1170</f>
        <v>47</v>
      </c>
      <c r="B1080" s="11" t="str">
        <f>'12-2017'!B1170</f>
        <v xml:space="preserve"> Chữ T fi 63 </v>
      </c>
      <c r="C1080" s="12" t="str">
        <f>'12-2017'!C1170</f>
        <v>đ/cái</v>
      </c>
      <c r="D1080" s="13">
        <f>'12-2017'!O1170</f>
        <v>33500</v>
      </c>
      <c r="E1080" s="13">
        <f>'12-2017'!P1170</f>
        <v>33500</v>
      </c>
      <c r="F1080" s="130">
        <f t="shared" si="53"/>
        <v>0</v>
      </c>
      <c r="H1080" s="74">
        <f>'12-2017'!H1170</f>
        <v>0</v>
      </c>
      <c r="I1080" s="74">
        <f>'12-2017'!I1170</f>
        <v>0</v>
      </c>
      <c r="J1080" s="74">
        <f>'12-2017'!J1170</f>
        <v>0</v>
      </c>
    </row>
    <row r="1081" spans="1:10" s="58" customFormat="1" ht="17.25" hidden="1">
      <c r="A1081" s="10">
        <f>'12-2017'!A1171</f>
        <v>48</v>
      </c>
      <c r="B1081" s="11" t="str">
        <f>'12-2017'!B1171</f>
        <v xml:space="preserve"> Chữ T fi 75 </v>
      </c>
      <c r="C1081" s="12" t="str">
        <f>'12-2017'!C1171</f>
        <v>đ/cái</v>
      </c>
      <c r="D1081" s="13">
        <f>'12-2017'!O1171</f>
        <v>36800</v>
      </c>
      <c r="E1081" s="13">
        <f>'12-2017'!P1171</f>
        <v>36800</v>
      </c>
      <c r="F1081" s="130">
        <f t="shared" si="53"/>
        <v>0</v>
      </c>
      <c r="H1081" s="74">
        <f>'12-2017'!H1171</f>
        <v>0</v>
      </c>
      <c r="I1081" s="74">
        <f>'12-2017'!I1171</f>
        <v>0</v>
      </c>
      <c r="J1081" s="74">
        <f>'12-2017'!J1171</f>
        <v>0</v>
      </c>
    </row>
    <row r="1082" spans="1:10" s="58" customFormat="1" ht="17.25" hidden="1">
      <c r="A1082" s="10">
        <f>'12-2017'!A1172</f>
        <v>49</v>
      </c>
      <c r="B1082" s="11" t="str">
        <f>'12-2017'!B1172</f>
        <v xml:space="preserve"> Chữ T fi 90 </v>
      </c>
      <c r="C1082" s="12" t="str">
        <f>'12-2017'!C1172</f>
        <v>đ/cái</v>
      </c>
      <c r="D1082" s="13">
        <f>'12-2017'!O1172</f>
        <v>62199.999999999993</v>
      </c>
      <c r="E1082" s="13">
        <f>'12-2017'!P1172</f>
        <v>62199.999999999993</v>
      </c>
      <c r="F1082" s="130">
        <f t="shared" si="53"/>
        <v>0</v>
      </c>
      <c r="H1082" s="74">
        <f>'12-2017'!H1172</f>
        <v>0</v>
      </c>
      <c r="I1082" s="74">
        <f>'12-2017'!I1172</f>
        <v>0</v>
      </c>
      <c r="J1082" s="74">
        <f>'12-2017'!J1172</f>
        <v>0</v>
      </c>
    </row>
    <row r="1083" spans="1:10" s="58" customFormat="1" ht="17.25" hidden="1">
      <c r="A1083" s="10">
        <f>'12-2017'!A1173</f>
        <v>50</v>
      </c>
      <c r="B1083" s="11" t="str">
        <f>'12-2017'!B1173</f>
        <v xml:space="preserve"> Chữ T fi 110 </v>
      </c>
      <c r="C1083" s="12" t="str">
        <f>'12-2017'!C1173</f>
        <v>đ/cái</v>
      </c>
      <c r="D1083" s="13">
        <f>'12-2017'!O1173</f>
        <v>102799.99999999999</v>
      </c>
      <c r="E1083" s="13">
        <f>'12-2017'!P1173</f>
        <v>102799.99999999999</v>
      </c>
      <c r="F1083" s="130">
        <f t="shared" si="53"/>
        <v>0</v>
      </c>
      <c r="H1083" s="74">
        <f>'12-2017'!H1173</f>
        <v>0</v>
      </c>
      <c r="I1083" s="74">
        <f>'12-2017'!I1173</f>
        <v>0</v>
      </c>
      <c r="J1083" s="74">
        <f>'12-2017'!J1173</f>
        <v>0</v>
      </c>
    </row>
    <row r="1084" spans="1:10" s="58" customFormat="1" ht="17.25" hidden="1">
      <c r="A1084" s="10">
        <f>'12-2017'!A1174</f>
        <v>51</v>
      </c>
      <c r="B1084" s="11" t="str">
        <f>'12-2017'!B1174</f>
        <v xml:space="preserve"> Chữ T fi 140</v>
      </c>
      <c r="C1084" s="12" t="str">
        <f>'12-2017'!C1174</f>
        <v>đ/cái</v>
      </c>
      <c r="D1084" s="13">
        <f>'12-2017'!O1174</f>
        <v>224399.99999999997</v>
      </c>
      <c r="E1084" s="13">
        <f>'12-2017'!P1174</f>
        <v>224399.99999999997</v>
      </c>
      <c r="F1084" s="130">
        <f t="shared" si="53"/>
        <v>0</v>
      </c>
      <c r="H1084" s="74">
        <f>'12-2017'!H1174</f>
        <v>0</v>
      </c>
      <c r="I1084" s="74">
        <f>'12-2017'!I1174</f>
        <v>0</v>
      </c>
      <c r="J1084" s="74">
        <f>'12-2017'!J1174</f>
        <v>0</v>
      </c>
    </row>
    <row r="1085" spans="1:10" s="58" customFormat="1" ht="17.25" hidden="1">
      <c r="A1085" s="10">
        <f>'12-2017'!A1175</f>
        <v>52</v>
      </c>
      <c r="B1085" s="11" t="str">
        <f>'12-2017'!B1175</f>
        <v xml:space="preserve"> Chữ T fi 160</v>
      </c>
      <c r="C1085" s="12" t="str">
        <f>'12-2017'!C1175</f>
        <v>đ/cái</v>
      </c>
      <c r="D1085" s="13">
        <f>'12-2017'!O1175</f>
        <v>432299.99999999994</v>
      </c>
      <c r="E1085" s="13">
        <f>'12-2017'!P1175</f>
        <v>432299.99999999994</v>
      </c>
      <c r="F1085" s="130">
        <f t="shared" si="53"/>
        <v>0</v>
      </c>
      <c r="H1085" s="74">
        <f>'12-2017'!H1175</f>
        <v>0</v>
      </c>
      <c r="I1085" s="74">
        <f>'12-2017'!I1175</f>
        <v>0</v>
      </c>
      <c r="J1085" s="74">
        <f>'12-2017'!J1175</f>
        <v>0</v>
      </c>
    </row>
    <row r="1086" spans="1:10" s="58" customFormat="1" ht="17.25" hidden="1">
      <c r="A1086" s="10">
        <f>'12-2017'!A1176</f>
        <v>53</v>
      </c>
      <c r="B1086" s="11" t="str">
        <f>'12-2017'!B1176</f>
        <v xml:space="preserve"> Chữ T fi 200</v>
      </c>
      <c r="C1086" s="12" t="str">
        <f>'12-2017'!C1176</f>
        <v>đ/cái</v>
      </c>
      <c r="D1086" s="13">
        <f>'12-2017'!O1176</f>
        <v>991799.99999999988</v>
      </c>
      <c r="E1086" s="13">
        <f>'12-2017'!P1176</f>
        <v>991799.99999999988</v>
      </c>
      <c r="F1086" s="130">
        <f t="shared" si="53"/>
        <v>0</v>
      </c>
      <c r="H1086" s="74">
        <f>'12-2017'!H1176</f>
        <v>0</v>
      </c>
      <c r="I1086" s="74">
        <f>'12-2017'!I1176</f>
        <v>0</v>
      </c>
      <c r="J1086" s="74">
        <f>'12-2017'!J1176</f>
        <v>0</v>
      </c>
    </row>
    <row r="1087" spans="1:10" s="58" customFormat="1" ht="17.25" hidden="1">
      <c r="A1087" s="10">
        <f>'12-2017'!A1177</f>
        <v>54</v>
      </c>
      <c r="B1087" s="11" t="str">
        <f>'12-2017'!B1177</f>
        <v xml:space="preserve"> Co 450  fi 50</v>
      </c>
      <c r="C1087" s="12" t="str">
        <f>'12-2017'!C1177</f>
        <v>đ/cái</v>
      </c>
      <c r="D1087" s="13">
        <f>'12-2017'!O1177</f>
        <v>11200</v>
      </c>
      <c r="E1087" s="13">
        <f>'12-2017'!P1177</f>
        <v>11200</v>
      </c>
      <c r="F1087" s="130">
        <f t="shared" si="53"/>
        <v>0</v>
      </c>
      <c r="H1087" s="74">
        <f>'12-2017'!H1177</f>
        <v>0</v>
      </c>
      <c r="I1087" s="74">
        <f>'12-2017'!I1177</f>
        <v>0</v>
      </c>
      <c r="J1087" s="74">
        <f>'12-2017'!J1177</f>
        <v>0</v>
      </c>
    </row>
    <row r="1088" spans="1:10" s="58" customFormat="1" ht="17.25" hidden="1">
      <c r="A1088" s="10">
        <f>'12-2017'!A1178</f>
        <v>55</v>
      </c>
      <c r="B1088" s="11" t="str">
        <f>'12-2017'!B1178</f>
        <v xml:space="preserve"> Co 450  fi 63 </v>
      </c>
      <c r="C1088" s="12" t="str">
        <f>'12-2017'!C1178</f>
        <v>đ/cái</v>
      </c>
      <c r="D1088" s="13">
        <f>'12-2017'!O1178</f>
        <v>24099.999999999996</v>
      </c>
      <c r="E1088" s="13">
        <f>'12-2017'!P1178</f>
        <v>24099.999999999996</v>
      </c>
      <c r="F1088" s="130">
        <f t="shared" si="53"/>
        <v>0</v>
      </c>
      <c r="H1088" s="74">
        <f>'12-2017'!H1178</f>
        <v>0</v>
      </c>
      <c r="I1088" s="74">
        <f>'12-2017'!I1178</f>
        <v>0</v>
      </c>
      <c r="J1088" s="74">
        <f>'12-2017'!J1178</f>
        <v>0</v>
      </c>
    </row>
    <row r="1089" spans="1:10" s="58" customFormat="1" ht="17.25" hidden="1">
      <c r="A1089" s="10">
        <f>'12-2017'!A1179</f>
        <v>56</v>
      </c>
      <c r="B1089" s="11" t="str">
        <f>'12-2017'!B1179</f>
        <v xml:space="preserve"> Co 450  fi 75</v>
      </c>
      <c r="C1089" s="12" t="str">
        <f>'12-2017'!C1179</f>
        <v>đ/cái</v>
      </c>
      <c r="D1089" s="13">
        <f>'12-2017'!O1179</f>
        <v>29799.999999999996</v>
      </c>
      <c r="E1089" s="13">
        <f>'12-2017'!P1179</f>
        <v>29799.999999999996</v>
      </c>
      <c r="F1089" s="130">
        <f t="shared" si="53"/>
        <v>0</v>
      </c>
      <c r="H1089" s="74">
        <f>'12-2017'!H1179</f>
        <v>0</v>
      </c>
      <c r="I1089" s="74">
        <f>'12-2017'!I1179</f>
        <v>0</v>
      </c>
      <c r="J1089" s="74">
        <f>'12-2017'!J1179</f>
        <v>0</v>
      </c>
    </row>
    <row r="1090" spans="1:10" s="58" customFormat="1" ht="17.25" hidden="1">
      <c r="A1090" s="10">
        <f>'12-2017'!A1180</f>
        <v>57</v>
      </c>
      <c r="B1090" s="11" t="str">
        <f>'12-2017'!B1180</f>
        <v xml:space="preserve"> Co 450  fi 90 </v>
      </c>
      <c r="C1090" s="12" t="str">
        <f>'12-2017'!C1180</f>
        <v>đ/cái</v>
      </c>
      <c r="D1090" s="13">
        <f>'12-2017'!O1180</f>
        <v>33600</v>
      </c>
      <c r="E1090" s="13">
        <f>'12-2017'!P1180</f>
        <v>33600</v>
      </c>
      <c r="F1090" s="130">
        <f t="shared" si="53"/>
        <v>0</v>
      </c>
      <c r="H1090" s="74">
        <f>'12-2017'!H1180</f>
        <v>0</v>
      </c>
      <c r="I1090" s="74">
        <f>'12-2017'!I1180</f>
        <v>0</v>
      </c>
      <c r="J1090" s="74">
        <f>'12-2017'!J1180</f>
        <v>0</v>
      </c>
    </row>
    <row r="1091" spans="1:10" s="58" customFormat="1" ht="17.25" hidden="1">
      <c r="A1091" s="10">
        <f>'12-2017'!A1181</f>
        <v>58</v>
      </c>
      <c r="B1091" s="11" t="str">
        <f>'12-2017'!B1181</f>
        <v xml:space="preserve"> Co 450 fi 110 </v>
      </c>
      <c r="C1091" s="12" t="str">
        <f>'12-2017'!C1181</f>
        <v>đ/cái</v>
      </c>
      <c r="D1091" s="13">
        <f>'12-2017'!O1181</f>
        <v>56999.999999999993</v>
      </c>
      <c r="E1091" s="13">
        <f>'12-2017'!P1181</f>
        <v>56999.999999999993</v>
      </c>
      <c r="F1091" s="130">
        <f t="shared" si="53"/>
        <v>0</v>
      </c>
      <c r="H1091" s="74">
        <f>'12-2017'!H1181</f>
        <v>0</v>
      </c>
      <c r="I1091" s="74">
        <f>'12-2017'!I1181</f>
        <v>0</v>
      </c>
      <c r="J1091" s="74">
        <f>'12-2017'!J1181</f>
        <v>0</v>
      </c>
    </row>
    <row r="1092" spans="1:10" s="58" customFormat="1" ht="17.25" hidden="1">
      <c r="A1092" s="10">
        <f>'12-2017'!A1182</f>
        <v>59</v>
      </c>
      <c r="B1092" s="11" t="str">
        <f>'12-2017'!B1182</f>
        <v xml:space="preserve"> Co 450 fi 140 </v>
      </c>
      <c r="C1092" s="12" t="str">
        <f>'12-2017'!C1182</f>
        <v>đ/cái</v>
      </c>
      <c r="D1092" s="13">
        <f>'12-2017'!O1182</f>
        <v>116099.99999999999</v>
      </c>
      <c r="E1092" s="13">
        <f>'12-2017'!P1182</f>
        <v>116099.99999999999</v>
      </c>
      <c r="F1092" s="130">
        <f t="shared" si="53"/>
        <v>0</v>
      </c>
      <c r="H1092" s="74">
        <f>'12-2017'!H1182</f>
        <v>0</v>
      </c>
      <c r="I1092" s="74">
        <f>'12-2017'!I1182</f>
        <v>0</v>
      </c>
      <c r="J1092" s="74">
        <f>'12-2017'!J1182</f>
        <v>0</v>
      </c>
    </row>
    <row r="1093" spans="1:10" s="58" customFormat="1" ht="17.25" hidden="1">
      <c r="A1093" s="10">
        <f>'12-2017'!A1183</f>
        <v>60</v>
      </c>
      <c r="B1093" s="11" t="str">
        <f>'12-2017'!B1183</f>
        <v xml:space="preserve"> Co 450 fi 160 </v>
      </c>
      <c r="C1093" s="12" t="str">
        <f>'12-2017'!C1183</f>
        <v>đ/cái</v>
      </c>
      <c r="D1093" s="13">
        <f>'12-2017'!O1183</f>
        <v>147600</v>
      </c>
      <c r="E1093" s="13">
        <f>'12-2017'!P1183</f>
        <v>147600</v>
      </c>
      <c r="F1093" s="130">
        <f t="shared" si="53"/>
        <v>0</v>
      </c>
      <c r="H1093" s="74">
        <f>'12-2017'!H1183</f>
        <v>0</v>
      </c>
      <c r="I1093" s="74">
        <f>'12-2017'!I1183</f>
        <v>0</v>
      </c>
      <c r="J1093" s="74">
        <f>'12-2017'!J1183</f>
        <v>0</v>
      </c>
    </row>
    <row r="1094" spans="1:10" s="58" customFormat="1" ht="17.25" hidden="1">
      <c r="A1094" s="10">
        <f>'12-2017'!A1184</f>
        <v>61</v>
      </c>
      <c r="B1094" s="11" t="str">
        <f>'12-2017'!B1184</f>
        <v xml:space="preserve"> Co 450 fi 200</v>
      </c>
      <c r="C1094" s="12" t="str">
        <f>'12-2017'!C1184</f>
        <v>đ/cái</v>
      </c>
      <c r="D1094" s="13">
        <f>'12-2017'!O1184</f>
        <v>389999.99999999994</v>
      </c>
      <c r="E1094" s="13">
        <f>'12-2017'!P1184</f>
        <v>389999.99999999994</v>
      </c>
      <c r="F1094" s="130">
        <f t="shared" si="53"/>
        <v>0</v>
      </c>
      <c r="H1094" s="74">
        <f>'12-2017'!H1184</f>
        <v>0</v>
      </c>
      <c r="I1094" s="74">
        <f>'12-2017'!I1184</f>
        <v>0</v>
      </c>
      <c r="J1094" s="74">
        <f>'12-2017'!J1184</f>
        <v>0</v>
      </c>
    </row>
    <row r="1095" spans="1:10" s="58" customFormat="1" ht="17.25" hidden="1">
      <c r="A1095" s="10">
        <f>'12-2017'!A1185</f>
        <v>62</v>
      </c>
      <c r="B1095" s="11" t="str">
        <f>'12-2017'!B1185</f>
        <v xml:space="preserve"> Keo dán ống Đệ Nhất (loại 1kg)</v>
      </c>
      <c r="C1095" s="12" t="str">
        <f>'12-2017'!C1185</f>
        <v>đ/lon</v>
      </c>
      <c r="D1095" s="13">
        <f>'12-2017'!O1185</f>
        <v>105299.99999999999</v>
      </c>
      <c r="E1095" s="13">
        <f>'12-2017'!P1185</f>
        <v>105299.99999999999</v>
      </c>
      <c r="F1095" s="130">
        <f t="shared" si="53"/>
        <v>0</v>
      </c>
      <c r="H1095" s="74">
        <f>'12-2017'!H1185</f>
        <v>0</v>
      </c>
      <c r="I1095" s="74">
        <f>'12-2017'!I1185</f>
        <v>0</v>
      </c>
      <c r="J1095" s="74">
        <f>'12-2017'!J1185</f>
        <v>0</v>
      </c>
    </row>
    <row r="1096" spans="1:10" s="73" customFormat="1" ht="17.25">
      <c r="A1096" s="17"/>
      <c r="B1096" s="237" t="str">
        <f>'12-2017'!B1186</f>
        <v>* Công ty Cổ phần Nhựa Bình Minh (Phía Nam: 240 Hậu Giang, P.9, Q.6, Tp.HCM). Theo văn bản đến bảng giá ngày 04/01/2017</v>
      </c>
      <c r="C1096" s="238"/>
      <c r="D1096" s="238"/>
      <c r="E1096" s="238"/>
      <c r="F1096" s="239"/>
      <c r="H1096" s="74">
        <f>'12-2017'!H1186</f>
        <v>0</v>
      </c>
      <c r="I1096" s="74">
        <f>'12-2017'!I1186</f>
        <v>0</v>
      </c>
      <c r="J1096" s="74">
        <f>'12-2017'!J1186</f>
        <v>0</v>
      </c>
    </row>
    <row r="1097" spans="1:10" s="73" customFormat="1" ht="17.25" hidden="1">
      <c r="A1097" s="17"/>
      <c r="B1097" s="9" t="str">
        <f>'12-2017'!B1187</f>
        <v xml:space="preserve"> - Ống uPVC - Ống gân Bình Minh: Tiêu chuẩn BS 3505:1968 (hệ Inch)</v>
      </c>
      <c r="C1097" s="8"/>
      <c r="D1097" s="22"/>
      <c r="E1097" s="22"/>
      <c r="F1097" s="131"/>
      <c r="H1097" s="74">
        <f>'12-2017'!H1187</f>
        <v>0</v>
      </c>
      <c r="I1097" s="74">
        <f>'12-2017'!I1187</f>
        <v>0</v>
      </c>
      <c r="J1097" s="74">
        <f>'12-2017'!J1187</f>
        <v>0</v>
      </c>
    </row>
    <row r="1098" spans="1:10" s="58" customFormat="1" ht="17.25" hidden="1">
      <c r="A1098" s="10">
        <f>'12-2017'!A1188</f>
        <v>1</v>
      </c>
      <c r="B1098" s="11" t="str">
        <f>'12-2017'!B1188</f>
        <v xml:space="preserve">  Þ 21    (dày 1,6 mm) PN 15 bar</v>
      </c>
      <c r="C1098" s="12" t="str">
        <f>'12-2017'!C1188</f>
        <v>đ/m</v>
      </c>
      <c r="D1098" s="13">
        <f>'12-2017'!O1188</f>
        <v>6200</v>
      </c>
      <c r="E1098" s="13">
        <f>'12-2017'!P1188</f>
        <v>6200</v>
      </c>
      <c r="F1098" s="130">
        <f t="shared" si="53"/>
        <v>0</v>
      </c>
      <c r="H1098" s="74">
        <f>'12-2017'!H1188</f>
        <v>0</v>
      </c>
      <c r="I1098" s="74">
        <f>'12-2017'!I1188</f>
        <v>0</v>
      </c>
      <c r="J1098" s="74">
        <f>'12-2017'!J1188</f>
        <v>0</v>
      </c>
    </row>
    <row r="1099" spans="1:10" s="58" customFormat="1" ht="17.25" hidden="1">
      <c r="A1099" s="10">
        <f>'12-2017'!A1189</f>
        <v>2</v>
      </c>
      <c r="B1099" s="11" t="str">
        <f>'12-2017'!B1189</f>
        <v xml:space="preserve">  Þ 27    (dày 1,8 mm) PN 12 bar</v>
      </c>
      <c r="C1099" s="12" t="str">
        <f>'12-2017'!C1189</f>
        <v>đ/m</v>
      </c>
      <c r="D1099" s="13">
        <f>'12-2017'!O1189</f>
        <v>8800</v>
      </c>
      <c r="E1099" s="13">
        <f>'12-2017'!P1189</f>
        <v>8800</v>
      </c>
      <c r="F1099" s="130">
        <f t="shared" si="53"/>
        <v>0</v>
      </c>
      <c r="H1099" s="74">
        <f>'12-2017'!H1189</f>
        <v>0</v>
      </c>
      <c r="I1099" s="74">
        <f>'12-2017'!I1189</f>
        <v>0</v>
      </c>
      <c r="J1099" s="74">
        <f>'12-2017'!J1189</f>
        <v>0</v>
      </c>
    </row>
    <row r="1100" spans="1:10" s="58" customFormat="1" ht="17.25" hidden="1">
      <c r="A1100" s="10">
        <f>'12-2017'!A1190</f>
        <v>3</v>
      </c>
      <c r="B1100" s="11" t="str">
        <f>'12-2017'!B1190</f>
        <v xml:space="preserve">  Þ 34    (dày 2,0 mm) PN 12 bar</v>
      </c>
      <c r="C1100" s="12" t="str">
        <f>'12-2017'!C1190</f>
        <v>đ/m</v>
      </c>
      <c r="D1100" s="13">
        <f>'12-2017'!O1190</f>
        <v>12300</v>
      </c>
      <c r="E1100" s="13">
        <f>'12-2017'!P1190</f>
        <v>12300</v>
      </c>
      <c r="F1100" s="130">
        <f t="shared" si="53"/>
        <v>0</v>
      </c>
      <c r="H1100" s="74">
        <f>'12-2017'!H1190</f>
        <v>0</v>
      </c>
      <c r="I1100" s="74">
        <f>'12-2017'!I1190</f>
        <v>0</v>
      </c>
      <c r="J1100" s="74">
        <f>'12-2017'!J1190</f>
        <v>0</v>
      </c>
    </row>
    <row r="1101" spans="1:10" s="58" customFormat="1" ht="17.25" hidden="1">
      <c r="A1101" s="10">
        <f>'12-2017'!A1191</f>
        <v>4</v>
      </c>
      <c r="B1101" s="11" t="str">
        <f>'12-2017'!B1191</f>
        <v xml:space="preserve">  Þ 42    (dày 2,1 mm) PN 9 bar</v>
      </c>
      <c r="C1101" s="12" t="str">
        <f>'12-2017'!C1191</f>
        <v>đ/m</v>
      </c>
      <c r="D1101" s="13">
        <f>'12-2017'!O1191</f>
        <v>16400</v>
      </c>
      <c r="E1101" s="13">
        <f>'12-2017'!P1191</f>
        <v>16400</v>
      </c>
      <c r="F1101" s="130">
        <f t="shared" si="53"/>
        <v>0</v>
      </c>
      <c r="H1101" s="74">
        <f>'12-2017'!H1191</f>
        <v>0</v>
      </c>
      <c r="I1101" s="74">
        <f>'12-2017'!I1191</f>
        <v>0</v>
      </c>
      <c r="J1101" s="74">
        <f>'12-2017'!J1191</f>
        <v>0</v>
      </c>
    </row>
    <row r="1102" spans="1:10" s="58" customFormat="1" ht="17.25" hidden="1">
      <c r="A1102" s="10">
        <f>'12-2017'!A1192</f>
        <v>5</v>
      </c>
      <c r="B1102" s="11" t="str">
        <f>'12-2017'!B1192</f>
        <v xml:space="preserve">  Þ 49    (dày 2,4 mm) PN 9 bar</v>
      </c>
      <c r="C1102" s="12" t="str">
        <f>'12-2017'!C1192</f>
        <v>đ/m</v>
      </c>
      <c r="D1102" s="13">
        <f>'12-2017'!O1192</f>
        <v>21400</v>
      </c>
      <c r="E1102" s="13">
        <f>'12-2017'!P1192</f>
        <v>21400</v>
      </c>
      <c r="F1102" s="130">
        <f t="shared" si="53"/>
        <v>0</v>
      </c>
      <c r="H1102" s="74">
        <f>'12-2017'!H1192</f>
        <v>0</v>
      </c>
      <c r="I1102" s="74">
        <f>'12-2017'!I1192</f>
        <v>0</v>
      </c>
      <c r="J1102" s="74">
        <f>'12-2017'!J1192</f>
        <v>0</v>
      </c>
    </row>
    <row r="1103" spans="1:10" s="58" customFormat="1" ht="17.25" hidden="1">
      <c r="A1103" s="10">
        <f>'12-2017'!A1193</f>
        <v>6</v>
      </c>
      <c r="B1103" s="11" t="str">
        <f>'12-2017'!B1193</f>
        <v xml:space="preserve">  Þ 60    (dày 2,0 mm) PN 6 bar</v>
      </c>
      <c r="C1103" s="12" t="str">
        <f>'12-2017'!C1193</f>
        <v>đ/m</v>
      </c>
      <c r="D1103" s="13">
        <f>'12-2017'!O1193</f>
        <v>22600</v>
      </c>
      <c r="E1103" s="13">
        <f>'12-2017'!P1193</f>
        <v>22600</v>
      </c>
      <c r="F1103" s="130">
        <f t="shared" si="53"/>
        <v>0</v>
      </c>
      <c r="H1103" s="74">
        <f>'12-2017'!H1193</f>
        <v>0</v>
      </c>
      <c r="I1103" s="74">
        <f>'12-2017'!I1193</f>
        <v>0</v>
      </c>
      <c r="J1103" s="74">
        <f>'12-2017'!J1193</f>
        <v>0</v>
      </c>
    </row>
    <row r="1104" spans="1:10" s="58" customFormat="1" ht="17.25" hidden="1">
      <c r="A1104" s="10">
        <f>'12-2017'!A1194</f>
        <v>7</v>
      </c>
      <c r="B1104" s="11" t="str">
        <f>'12-2017'!B1194</f>
        <v xml:space="preserve">  Þ 90    (dày 2,9 mm) PN 6 bar</v>
      </c>
      <c r="C1104" s="12" t="str">
        <f>'12-2017'!C1194</f>
        <v>đ/m</v>
      </c>
      <c r="D1104" s="13">
        <f>'12-2017'!O1194</f>
        <v>48800</v>
      </c>
      <c r="E1104" s="13">
        <f>'12-2017'!P1194</f>
        <v>48800</v>
      </c>
      <c r="F1104" s="130">
        <f t="shared" si="53"/>
        <v>0</v>
      </c>
      <c r="H1104" s="74">
        <f>'12-2017'!H1194</f>
        <v>0</v>
      </c>
      <c r="I1104" s="74">
        <f>'12-2017'!I1194</f>
        <v>0</v>
      </c>
      <c r="J1104" s="74">
        <f>'12-2017'!J1194</f>
        <v>0</v>
      </c>
    </row>
    <row r="1105" spans="1:10" s="58" customFormat="1" ht="17.25" hidden="1">
      <c r="A1105" s="10">
        <f>'12-2017'!A1195</f>
        <v>8</v>
      </c>
      <c r="B1105" s="11" t="str">
        <f>'12-2017'!B1195</f>
        <v xml:space="preserve">  Þ 114  (dày 3,8 mm) PN 6 bar</v>
      </c>
      <c r="C1105" s="12" t="str">
        <f>'12-2017'!C1195</f>
        <v>đ/m</v>
      </c>
      <c r="D1105" s="13">
        <f>'12-2017'!O1195</f>
        <v>81000</v>
      </c>
      <c r="E1105" s="13">
        <f>'12-2017'!P1195</f>
        <v>81000</v>
      </c>
      <c r="F1105" s="130">
        <f t="shared" si="53"/>
        <v>0</v>
      </c>
      <c r="H1105" s="74">
        <f>'12-2017'!H1195</f>
        <v>0</v>
      </c>
      <c r="I1105" s="74">
        <f>'12-2017'!I1195</f>
        <v>0</v>
      </c>
      <c r="J1105" s="74">
        <f>'12-2017'!J1195</f>
        <v>0</v>
      </c>
    </row>
    <row r="1106" spans="1:10" s="58" customFormat="1" ht="17.25" hidden="1">
      <c r="A1106" s="10">
        <f>'12-2017'!A1196</f>
        <v>9</v>
      </c>
      <c r="B1106" s="11" t="str">
        <f>'12-2017'!B1196</f>
        <v xml:space="preserve">  Þ 114  (dày 4,9 mm) PN 9 bar</v>
      </c>
      <c r="C1106" s="12" t="str">
        <f>'12-2017'!C1196</f>
        <v>đ/m</v>
      </c>
      <c r="D1106" s="13">
        <f>'12-2017'!O1196</f>
        <v>103700</v>
      </c>
      <c r="E1106" s="13">
        <f>'12-2017'!P1196</f>
        <v>103700</v>
      </c>
      <c r="F1106" s="130">
        <f t="shared" si="53"/>
        <v>0</v>
      </c>
      <c r="H1106" s="74">
        <f>'12-2017'!H1196</f>
        <v>0</v>
      </c>
      <c r="I1106" s="74">
        <f>'12-2017'!I1196</f>
        <v>0</v>
      </c>
      <c r="J1106" s="74">
        <f>'12-2017'!J1196</f>
        <v>0</v>
      </c>
    </row>
    <row r="1107" spans="1:10" s="58" customFormat="1" ht="17.25" hidden="1">
      <c r="A1107" s="10">
        <f>'12-2017'!A1197</f>
        <v>10</v>
      </c>
      <c r="B1107" s="11" t="str">
        <f>'12-2017'!B1197</f>
        <v xml:space="preserve">  Þ 168  (dày 4,3 mm) PN 3 bar</v>
      </c>
      <c r="C1107" s="12" t="str">
        <f>'12-2017'!C1197</f>
        <v>đ/m</v>
      </c>
      <c r="D1107" s="13">
        <f>'12-2017'!O1197</f>
        <v>135800</v>
      </c>
      <c r="E1107" s="13">
        <f>'12-2017'!P1197</f>
        <v>135800</v>
      </c>
      <c r="F1107" s="130">
        <f t="shared" ref="F1107:F1170" si="54">E1107-D1107</f>
        <v>0</v>
      </c>
      <c r="H1107" s="74">
        <f>'12-2017'!H1197</f>
        <v>0</v>
      </c>
      <c r="I1107" s="74">
        <f>'12-2017'!I1197</f>
        <v>0</v>
      </c>
      <c r="J1107" s="74">
        <f>'12-2017'!J1197</f>
        <v>0</v>
      </c>
    </row>
    <row r="1108" spans="1:10" s="58" customFormat="1" ht="17.25" hidden="1">
      <c r="A1108" s="10">
        <f>'12-2017'!A1198</f>
        <v>11</v>
      </c>
      <c r="B1108" s="11" t="str">
        <f>'12-2017'!B1198</f>
        <v xml:space="preserve">  Þ 220  (dày 5,1 mm) PN 3bar</v>
      </c>
      <c r="C1108" s="12" t="str">
        <f>'12-2017'!C1198</f>
        <v>đ/m</v>
      </c>
      <c r="D1108" s="13">
        <f>'12-2017'!O1198</f>
        <v>210200</v>
      </c>
      <c r="E1108" s="13">
        <f>'12-2017'!P1198</f>
        <v>210200</v>
      </c>
      <c r="F1108" s="130">
        <f t="shared" si="54"/>
        <v>0</v>
      </c>
      <c r="H1108" s="74">
        <f>'12-2017'!H1198</f>
        <v>0</v>
      </c>
      <c r="I1108" s="74">
        <f>'12-2017'!I1198</f>
        <v>0</v>
      </c>
      <c r="J1108" s="74">
        <f>'12-2017'!J1198</f>
        <v>0</v>
      </c>
    </row>
    <row r="1109" spans="1:10" s="73" customFormat="1" ht="17.25" hidden="1">
      <c r="A1109" s="17"/>
      <c r="B1109" s="9" t="str">
        <f>'12-2017'!B1199</f>
        <v xml:space="preserve"> - Ống uPVC Bình Minh: TCVN 6151:1996 - ISO 4422: 1990 (hệ mét)</v>
      </c>
      <c r="C1109" s="8"/>
      <c r="D1109" s="22"/>
      <c r="E1109" s="22"/>
      <c r="F1109" s="131"/>
      <c r="H1109" s="74">
        <f>'12-2017'!H1199</f>
        <v>0</v>
      </c>
      <c r="I1109" s="74">
        <f>'12-2017'!I1199</f>
        <v>0</v>
      </c>
      <c r="J1109" s="74">
        <f>'12-2017'!J1199</f>
        <v>0</v>
      </c>
    </row>
    <row r="1110" spans="1:10" s="58" customFormat="1" ht="17.25" hidden="1">
      <c r="A1110" s="10">
        <f>'12-2017'!A1200</f>
        <v>12</v>
      </c>
      <c r="B1110" s="11" t="str">
        <f>'12-2017'!B1200</f>
        <v xml:space="preserve">  fi  63 x 1,6mm PN 5 bar</v>
      </c>
      <c r="C1110" s="12" t="str">
        <f>'12-2017'!C1200</f>
        <v>đ/m</v>
      </c>
      <c r="D1110" s="13">
        <f>'12-2017'!O1200</f>
        <v>21400</v>
      </c>
      <c r="E1110" s="13">
        <f>'12-2017'!P1200</f>
        <v>21400</v>
      </c>
      <c r="F1110" s="130">
        <f t="shared" si="54"/>
        <v>0</v>
      </c>
      <c r="H1110" s="74">
        <f>'12-2017'!H1200</f>
        <v>0</v>
      </c>
      <c r="I1110" s="74">
        <f>'12-2017'!I1200</f>
        <v>0</v>
      </c>
      <c r="J1110" s="74">
        <f>'12-2017'!J1200</f>
        <v>0</v>
      </c>
    </row>
    <row r="1111" spans="1:10" s="58" customFormat="1" ht="17.25" hidden="1">
      <c r="A1111" s="10">
        <f>'12-2017'!A1201</f>
        <v>13</v>
      </c>
      <c r="B1111" s="11" t="str">
        <f>'12-2017'!B1201</f>
        <v xml:space="preserve">  fi  63 x 1,9mm PN 6 bar</v>
      </c>
      <c r="C1111" s="12" t="str">
        <f>'12-2017'!C1201</f>
        <v>đ/m</v>
      </c>
      <c r="D1111" s="13">
        <f>'12-2017'!O1201</f>
        <v>24800</v>
      </c>
      <c r="E1111" s="13">
        <f>'12-2017'!P1201</f>
        <v>24800</v>
      </c>
      <c r="F1111" s="130">
        <f t="shared" si="54"/>
        <v>0</v>
      </c>
      <c r="H1111" s="74">
        <f>'12-2017'!H1201</f>
        <v>0</v>
      </c>
      <c r="I1111" s="74">
        <f>'12-2017'!I1201</f>
        <v>0</v>
      </c>
      <c r="J1111" s="74">
        <f>'12-2017'!J1201</f>
        <v>0</v>
      </c>
    </row>
    <row r="1112" spans="1:10" s="58" customFormat="1" ht="17.25" hidden="1">
      <c r="A1112" s="10">
        <f>'12-2017'!A1202</f>
        <v>14</v>
      </c>
      <c r="B1112" s="11" t="str">
        <f>'12-2017'!B1202</f>
        <v xml:space="preserve">  Þ 75 x 2,2mm PN 6 bar</v>
      </c>
      <c r="C1112" s="12" t="str">
        <f>'12-2017'!C1202</f>
        <v>đ/m</v>
      </c>
      <c r="D1112" s="13">
        <f>'12-2017'!O1202</f>
        <v>34500</v>
      </c>
      <c r="E1112" s="13">
        <f>'12-2017'!P1202</f>
        <v>34500</v>
      </c>
      <c r="F1112" s="130">
        <f t="shared" si="54"/>
        <v>0</v>
      </c>
      <c r="H1112" s="74">
        <f>'12-2017'!H1202</f>
        <v>0</v>
      </c>
      <c r="I1112" s="74">
        <f>'12-2017'!I1202</f>
        <v>0</v>
      </c>
      <c r="J1112" s="74">
        <f>'12-2017'!J1202</f>
        <v>0</v>
      </c>
    </row>
    <row r="1113" spans="1:10" s="58" customFormat="1" ht="17.25" hidden="1">
      <c r="A1113" s="10">
        <f>'12-2017'!A1203</f>
        <v>15</v>
      </c>
      <c r="B1113" s="11" t="str">
        <f>'12-2017'!B1203</f>
        <v xml:space="preserve">  Þ  90 x 2,7mm PN 6 bar</v>
      </c>
      <c r="C1113" s="12" t="str">
        <f>'12-2017'!C1203</f>
        <v>đ/m</v>
      </c>
      <c r="D1113" s="13">
        <f>'12-2017'!O1203</f>
        <v>50200</v>
      </c>
      <c r="E1113" s="13">
        <f>'12-2017'!P1203</f>
        <v>50200</v>
      </c>
      <c r="F1113" s="130">
        <f t="shared" si="54"/>
        <v>0</v>
      </c>
      <c r="H1113" s="74">
        <f>'12-2017'!H1203</f>
        <v>0</v>
      </c>
      <c r="I1113" s="74">
        <f>'12-2017'!I1203</f>
        <v>0</v>
      </c>
      <c r="J1113" s="74">
        <f>'12-2017'!J1203</f>
        <v>0</v>
      </c>
    </row>
    <row r="1114" spans="1:10" s="58" customFormat="1" ht="17.25" hidden="1">
      <c r="A1114" s="10">
        <f>'12-2017'!A1204</f>
        <v>16</v>
      </c>
      <c r="B1114" s="11" t="str">
        <f>'12-2017'!B1204</f>
        <v xml:space="preserve">  Þ  110 x 3,2mm PN 6 bar</v>
      </c>
      <c r="C1114" s="12" t="str">
        <f>'12-2017'!C1204</f>
        <v>đ/m</v>
      </c>
      <c r="D1114" s="13">
        <f>'12-2017'!O1204</f>
        <v>72100</v>
      </c>
      <c r="E1114" s="13">
        <f>'12-2017'!P1204</f>
        <v>72100</v>
      </c>
      <c r="F1114" s="130">
        <f t="shared" si="54"/>
        <v>0</v>
      </c>
      <c r="H1114" s="74">
        <f>'12-2017'!H1204</f>
        <v>0</v>
      </c>
      <c r="I1114" s="74">
        <f>'12-2017'!I1204</f>
        <v>0</v>
      </c>
      <c r="J1114" s="74">
        <f>'12-2017'!J1204</f>
        <v>0</v>
      </c>
    </row>
    <row r="1115" spans="1:10" s="58" customFormat="1" ht="17.25" hidden="1">
      <c r="A1115" s="10">
        <f>'12-2017'!A1205</f>
        <v>17</v>
      </c>
      <c r="B1115" s="11" t="str">
        <f>'12-2017'!B1205</f>
        <v xml:space="preserve">  Þ 140 x 4,1mm PN 6 bar</v>
      </c>
      <c r="C1115" s="12" t="str">
        <f>'12-2017'!C1205</f>
        <v>đ/m</v>
      </c>
      <c r="D1115" s="13">
        <f>'12-2017'!O1205</f>
        <v>116300</v>
      </c>
      <c r="E1115" s="13">
        <f>'12-2017'!P1205</f>
        <v>116300</v>
      </c>
      <c r="F1115" s="130">
        <f t="shared" si="54"/>
        <v>0</v>
      </c>
      <c r="H1115" s="74">
        <f>'12-2017'!H1205</f>
        <v>0</v>
      </c>
      <c r="I1115" s="74">
        <f>'12-2017'!I1205</f>
        <v>0</v>
      </c>
      <c r="J1115" s="74">
        <f>'12-2017'!J1205</f>
        <v>0</v>
      </c>
    </row>
    <row r="1116" spans="1:10" s="58" customFormat="1" ht="17.25" hidden="1">
      <c r="A1116" s="10">
        <f>'12-2017'!A1206</f>
        <v>18</v>
      </c>
      <c r="B1116" s="11" t="str">
        <f>'12-2017'!B1206</f>
        <v xml:space="preserve">  Þ  160 x 4mm PN 4 bar</v>
      </c>
      <c r="C1116" s="12" t="str">
        <f>'12-2017'!C1206</f>
        <v>đ/m</v>
      </c>
      <c r="D1116" s="13">
        <f>'12-2017'!O1206</f>
        <v>129000</v>
      </c>
      <c r="E1116" s="13">
        <f>'12-2017'!P1206</f>
        <v>129000</v>
      </c>
      <c r="F1116" s="130">
        <f t="shared" si="54"/>
        <v>0</v>
      </c>
      <c r="H1116" s="74">
        <f>'12-2017'!H1206</f>
        <v>0</v>
      </c>
      <c r="I1116" s="74">
        <f>'12-2017'!I1206</f>
        <v>0</v>
      </c>
      <c r="J1116" s="74">
        <f>'12-2017'!J1206</f>
        <v>0</v>
      </c>
    </row>
    <row r="1117" spans="1:10" s="58" customFormat="1" ht="17.25" hidden="1">
      <c r="A1117" s="10">
        <f>'12-2017'!A1207</f>
        <v>19</v>
      </c>
      <c r="B1117" s="11" t="str">
        <f>'12-2017'!B1207</f>
        <v xml:space="preserve">  Þ 160 x 7,7mm PN 10 bar</v>
      </c>
      <c r="C1117" s="12" t="str">
        <f>'12-2017'!C1207</f>
        <v>đ/m</v>
      </c>
      <c r="D1117" s="13">
        <f>'12-2017'!O1207</f>
        <v>240000</v>
      </c>
      <c r="E1117" s="13">
        <f>'12-2017'!P1207</f>
        <v>240000</v>
      </c>
      <c r="F1117" s="130">
        <f t="shared" si="54"/>
        <v>0</v>
      </c>
      <c r="H1117" s="74">
        <f>'12-2017'!H1207</f>
        <v>0</v>
      </c>
      <c r="I1117" s="74">
        <f>'12-2017'!I1207</f>
        <v>0</v>
      </c>
      <c r="J1117" s="74">
        <f>'12-2017'!J1207</f>
        <v>0</v>
      </c>
    </row>
    <row r="1118" spans="1:10" s="58" customFormat="1" ht="17.25" hidden="1">
      <c r="A1118" s="10">
        <f>'12-2017'!A1208</f>
        <v>20</v>
      </c>
      <c r="B1118" s="11" t="str">
        <f>'12-2017'!B1208</f>
        <v xml:space="preserve">  Þ 200 x 5,9mm PN 6 bar</v>
      </c>
      <c r="C1118" s="12" t="str">
        <f>'12-2017'!C1208</f>
        <v>đ/m</v>
      </c>
      <c r="D1118" s="13">
        <f>'12-2017'!O1208</f>
        <v>235300</v>
      </c>
      <c r="E1118" s="13">
        <f>'12-2017'!P1208</f>
        <v>235300</v>
      </c>
      <c r="F1118" s="130">
        <f t="shared" si="54"/>
        <v>0</v>
      </c>
      <c r="H1118" s="74">
        <f>'12-2017'!H1208</f>
        <v>0</v>
      </c>
      <c r="I1118" s="74">
        <f>'12-2017'!I1208</f>
        <v>0</v>
      </c>
      <c r="J1118" s="74">
        <f>'12-2017'!J1208</f>
        <v>0</v>
      </c>
    </row>
    <row r="1119" spans="1:10" s="73" customFormat="1" ht="17.25" hidden="1">
      <c r="A1119" s="17"/>
      <c r="B1119" s="9" t="str">
        <f>'12-2017'!B1209</f>
        <v xml:space="preserve"> - Ống uPVC Bình Minh: Tiêu chuẩn AS 1477:1996 CIOD (nối với ống gang)</v>
      </c>
      <c r="C1119" s="8"/>
      <c r="D1119" s="22"/>
      <c r="E1119" s="22"/>
      <c r="F1119" s="131"/>
      <c r="H1119" s="74">
        <f>'12-2017'!H1209</f>
        <v>0</v>
      </c>
      <c r="I1119" s="74">
        <f>'12-2017'!I1209</f>
        <v>0</v>
      </c>
      <c r="J1119" s="74">
        <f>'12-2017'!J1209</f>
        <v>0</v>
      </c>
    </row>
    <row r="1120" spans="1:10" s="58" customFormat="1" ht="17.25" hidden="1">
      <c r="A1120" s="10">
        <f>'12-2017'!A1210</f>
        <v>21</v>
      </c>
      <c r="B1120" s="11" t="str">
        <f>'12-2017'!B1210</f>
        <v xml:space="preserve">  Þ 100 x 6,7mm PN 12 bar</v>
      </c>
      <c r="C1120" s="12" t="str">
        <f>'12-2017'!C1210</f>
        <v>đ/m</v>
      </c>
      <c r="D1120" s="13">
        <f>'12-2017'!O1210</f>
        <v>151200</v>
      </c>
      <c r="E1120" s="13">
        <f>'12-2017'!P1210</f>
        <v>151200</v>
      </c>
      <c r="F1120" s="130">
        <f t="shared" si="54"/>
        <v>0</v>
      </c>
      <c r="H1120" s="74">
        <f>'12-2017'!H1210</f>
        <v>0</v>
      </c>
      <c r="I1120" s="74">
        <f>'12-2017'!I1210</f>
        <v>0</v>
      </c>
      <c r="J1120" s="74">
        <f>'12-2017'!J1210</f>
        <v>0</v>
      </c>
    </row>
    <row r="1121" spans="1:10" s="58" customFormat="1" ht="17.25" hidden="1">
      <c r="A1121" s="10">
        <f>'12-2017'!A1211</f>
        <v>22</v>
      </c>
      <c r="B1121" s="11" t="str">
        <f>'12-2017'!B1211</f>
        <v xml:space="preserve">  Þ 150 x 9,7mm PN 12 bar</v>
      </c>
      <c r="C1121" s="12" t="str">
        <f>'12-2017'!C1211</f>
        <v>đ/m</v>
      </c>
      <c r="D1121" s="13">
        <f>'12-2017'!O1211</f>
        <v>319300</v>
      </c>
      <c r="E1121" s="13">
        <f>'12-2017'!P1211</f>
        <v>319300</v>
      </c>
      <c r="F1121" s="130">
        <f t="shared" si="54"/>
        <v>0</v>
      </c>
      <c r="H1121" s="74">
        <f>'12-2017'!H1211</f>
        <v>0</v>
      </c>
      <c r="I1121" s="74">
        <f>'12-2017'!I1211</f>
        <v>0</v>
      </c>
      <c r="J1121" s="74">
        <f>'12-2017'!J1211</f>
        <v>0</v>
      </c>
    </row>
    <row r="1122" spans="1:10" s="73" customFormat="1" ht="17.25" hidden="1">
      <c r="A1122" s="17"/>
      <c r="B1122" s="9" t="str">
        <f>'12-2017'!B1212</f>
        <v xml:space="preserve"> - Ống uPVC Bình Minh: Tiêu chuẩn CIOD ISO 2531 (nối với ống gang). </v>
      </c>
      <c r="C1122" s="8"/>
      <c r="D1122" s="22"/>
      <c r="E1122" s="22"/>
      <c r="F1122" s="131"/>
      <c r="H1122" s="74">
        <f>'12-2017'!H1212</f>
        <v>0</v>
      </c>
      <c r="I1122" s="74">
        <f>'12-2017'!I1212</f>
        <v>0</v>
      </c>
      <c r="J1122" s="74">
        <f>'12-2017'!J1212</f>
        <v>0</v>
      </c>
    </row>
    <row r="1123" spans="1:10" s="58" customFormat="1" ht="17.25" hidden="1">
      <c r="A1123" s="10">
        <f>'12-2017'!A1213</f>
        <v>23</v>
      </c>
      <c r="B1123" s="11" t="str">
        <f>'12-2017'!B1213</f>
        <v xml:space="preserve">  Þ 200 x 9,7mm PN 10 bar</v>
      </c>
      <c r="C1123" s="12" t="str">
        <f>'12-2017'!C1213</f>
        <v>đ/m</v>
      </c>
      <c r="D1123" s="13">
        <f>'12-2017'!O1213</f>
        <v>408000</v>
      </c>
      <c r="E1123" s="13">
        <f>'12-2017'!P1213</f>
        <v>408000</v>
      </c>
      <c r="F1123" s="130">
        <f t="shared" si="54"/>
        <v>0</v>
      </c>
      <c r="H1123" s="74">
        <f>'12-2017'!H1213</f>
        <v>0</v>
      </c>
      <c r="I1123" s="74">
        <f>'12-2017'!I1213</f>
        <v>0</v>
      </c>
      <c r="J1123" s="74">
        <f>'12-2017'!J1213</f>
        <v>0</v>
      </c>
    </row>
    <row r="1124" spans="1:10" s="58" customFormat="1" ht="17.25" hidden="1">
      <c r="A1124" s="10">
        <f>'12-2017'!A1214</f>
        <v>24</v>
      </c>
      <c r="B1124" s="11" t="str">
        <f>'12-2017'!B1214</f>
        <v xml:space="preserve">  Þ 200 x 11,4mm PN 12,5 bar</v>
      </c>
      <c r="C1124" s="12" t="str">
        <f>'12-2017'!C1214</f>
        <v>đ/m</v>
      </c>
      <c r="D1124" s="13">
        <f>'12-2017'!O1214</f>
        <v>475700</v>
      </c>
      <c r="E1124" s="13">
        <f>'12-2017'!P1214</f>
        <v>475700</v>
      </c>
      <c r="F1124" s="130">
        <f t="shared" si="54"/>
        <v>0</v>
      </c>
      <c r="H1124" s="74">
        <f>'12-2017'!H1214</f>
        <v>0</v>
      </c>
      <c r="I1124" s="74">
        <f>'12-2017'!I1214</f>
        <v>0</v>
      </c>
      <c r="J1124" s="74">
        <f>'12-2017'!J1214</f>
        <v>0</v>
      </c>
    </row>
    <row r="1125" spans="1:10" s="73" customFormat="1" ht="17.25" hidden="1">
      <c r="A1125" s="17"/>
      <c r="B1125" s="9" t="str">
        <f>'12-2017'!B1215</f>
        <v xml:space="preserve"> - Phụ tùng cho Ống - Keo dán Bình Minh. Theo bảng giá ngày 08/10/2015</v>
      </c>
      <c r="C1125" s="8"/>
      <c r="D1125" s="22"/>
      <c r="E1125" s="22"/>
      <c r="F1125" s="131"/>
      <c r="H1125" s="74">
        <f>'12-2017'!H1215</f>
        <v>0</v>
      </c>
      <c r="I1125" s="74">
        <f>'12-2017'!I1215</f>
        <v>0</v>
      </c>
      <c r="J1125" s="74">
        <f>'12-2017'!J1215</f>
        <v>0</v>
      </c>
    </row>
    <row r="1126" spans="1:10" s="58" customFormat="1" ht="17.25" hidden="1">
      <c r="A1126" s="10">
        <f>'12-2017'!A1216</f>
        <v>25</v>
      </c>
      <c r="B1126" s="11" t="str">
        <f>'12-2017'!B1216</f>
        <v xml:space="preserve"> Nối trơn  21  dày</v>
      </c>
      <c r="C1126" s="12" t="str">
        <f>'12-2017'!C1216</f>
        <v>đ/cái</v>
      </c>
      <c r="D1126" s="13">
        <f>'12-2017'!O1216</f>
        <v>1600</v>
      </c>
      <c r="E1126" s="13">
        <f>'12-2017'!P1216</f>
        <v>1600</v>
      </c>
      <c r="F1126" s="130">
        <f t="shared" si="54"/>
        <v>0</v>
      </c>
      <c r="H1126" s="74">
        <f>'12-2017'!H1216</f>
        <v>0</v>
      </c>
      <c r="I1126" s="74">
        <f>'12-2017'!I1216</f>
        <v>0</v>
      </c>
      <c r="J1126" s="74">
        <f>'12-2017'!J1216</f>
        <v>0</v>
      </c>
    </row>
    <row r="1127" spans="1:10" s="58" customFormat="1" ht="17.25" hidden="1">
      <c r="A1127" s="10">
        <f>'12-2017'!A1217</f>
        <v>26</v>
      </c>
      <c r="B1127" s="11" t="str">
        <f>'12-2017'!B1217</f>
        <v xml:space="preserve"> Nối trơn  27  dày</v>
      </c>
      <c r="C1127" s="12" t="str">
        <f>'12-2017'!C1217</f>
        <v>đ/cái</v>
      </c>
      <c r="D1127" s="13">
        <f>'12-2017'!O1217</f>
        <v>2200</v>
      </c>
      <c r="E1127" s="13">
        <f>'12-2017'!P1217</f>
        <v>2200</v>
      </c>
      <c r="F1127" s="130">
        <f t="shared" si="54"/>
        <v>0</v>
      </c>
      <c r="H1127" s="74">
        <f>'12-2017'!H1217</f>
        <v>0</v>
      </c>
      <c r="I1127" s="74">
        <f>'12-2017'!I1217</f>
        <v>0</v>
      </c>
      <c r="J1127" s="74">
        <f>'12-2017'!J1217</f>
        <v>0</v>
      </c>
    </row>
    <row r="1128" spans="1:10" s="58" customFormat="1" ht="17.25" hidden="1">
      <c r="A1128" s="10">
        <f>'12-2017'!A1218</f>
        <v>27</v>
      </c>
      <c r="B1128" s="11" t="str">
        <f>'12-2017'!B1218</f>
        <v xml:space="preserve"> Nối trơn  34  dày</v>
      </c>
      <c r="C1128" s="12" t="str">
        <f>'12-2017'!C1218</f>
        <v>đ/cái</v>
      </c>
      <c r="D1128" s="13">
        <f>'12-2017'!O1218</f>
        <v>3700</v>
      </c>
      <c r="E1128" s="13">
        <f>'12-2017'!P1218</f>
        <v>3700</v>
      </c>
      <c r="F1128" s="130">
        <f t="shared" si="54"/>
        <v>0</v>
      </c>
      <c r="H1128" s="74">
        <f>'12-2017'!H1218</f>
        <v>0</v>
      </c>
      <c r="I1128" s="74">
        <f>'12-2017'!I1218</f>
        <v>0</v>
      </c>
      <c r="J1128" s="74">
        <f>'12-2017'!J1218</f>
        <v>0</v>
      </c>
    </row>
    <row r="1129" spans="1:10" s="58" customFormat="1" ht="17.25" hidden="1">
      <c r="A1129" s="10">
        <f>'12-2017'!A1219</f>
        <v>28</v>
      </c>
      <c r="B1129" s="11" t="str">
        <f>'12-2017'!B1219</f>
        <v xml:space="preserve"> Nối trơn  42  dày</v>
      </c>
      <c r="C1129" s="12" t="str">
        <f>'12-2017'!C1219</f>
        <v>đ/cái</v>
      </c>
      <c r="D1129" s="13">
        <f>'12-2017'!O1219</f>
        <v>5100</v>
      </c>
      <c r="E1129" s="13">
        <f>'12-2017'!P1219</f>
        <v>5100</v>
      </c>
      <c r="F1129" s="130">
        <f t="shared" si="54"/>
        <v>0</v>
      </c>
      <c r="H1129" s="74">
        <f>'12-2017'!H1219</f>
        <v>0</v>
      </c>
      <c r="I1129" s="74">
        <f>'12-2017'!I1219</f>
        <v>0</v>
      </c>
      <c r="J1129" s="74">
        <f>'12-2017'!J1219</f>
        <v>0</v>
      </c>
    </row>
    <row r="1130" spans="1:10" s="58" customFormat="1" ht="17.25" hidden="1">
      <c r="A1130" s="10">
        <f>'12-2017'!A1220</f>
        <v>29</v>
      </c>
      <c r="B1130" s="11" t="str">
        <f>'12-2017'!B1220</f>
        <v xml:space="preserve"> Nối trơn  49  dày</v>
      </c>
      <c r="C1130" s="12" t="str">
        <f>'12-2017'!C1220</f>
        <v>đ/cái</v>
      </c>
      <c r="D1130" s="13">
        <f>'12-2017'!O1220</f>
        <v>7900</v>
      </c>
      <c r="E1130" s="13">
        <f>'12-2017'!P1220</f>
        <v>7900</v>
      </c>
      <c r="F1130" s="130">
        <f t="shared" si="54"/>
        <v>0</v>
      </c>
      <c r="H1130" s="74">
        <f>'12-2017'!H1220</f>
        <v>0</v>
      </c>
      <c r="I1130" s="74">
        <f>'12-2017'!I1220</f>
        <v>0</v>
      </c>
      <c r="J1130" s="74">
        <f>'12-2017'!J1220</f>
        <v>0</v>
      </c>
    </row>
    <row r="1131" spans="1:10" s="58" customFormat="1" ht="17.25" hidden="1">
      <c r="A1131" s="10">
        <f>'12-2017'!A1221</f>
        <v>30</v>
      </c>
      <c r="B1131" s="11" t="str">
        <f>'12-2017'!B1221</f>
        <v xml:space="preserve"> Nối trơn  60  dày</v>
      </c>
      <c r="C1131" s="12" t="str">
        <f>'12-2017'!C1221</f>
        <v>đ/cái</v>
      </c>
      <c r="D1131" s="13">
        <f>'12-2017'!O1221</f>
        <v>12200</v>
      </c>
      <c r="E1131" s="13">
        <f>'12-2017'!P1221</f>
        <v>12200</v>
      </c>
      <c r="F1131" s="130">
        <f t="shared" si="54"/>
        <v>0</v>
      </c>
      <c r="H1131" s="74">
        <f>'12-2017'!H1221</f>
        <v>0</v>
      </c>
      <c r="I1131" s="74">
        <f>'12-2017'!I1221</f>
        <v>0</v>
      </c>
      <c r="J1131" s="74">
        <f>'12-2017'!J1221</f>
        <v>0</v>
      </c>
    </row>
    <row r="1132" spans="1:10" s="58" customFormat="1" ht="17.25" hidden="1">
      <c r="A1132" s="10">
        <f>'12-2017'!A1222</f>
        <v>31</v>
      </c>
      <c r="B1132" s="11" t="str">
        <f>'12-2017'!B1222</f>
        <v xml:space="preserve"> Nối trơn  75D TC </v>
      </c>
      <c r="C1132" s="12" t="str">
        <f>'12-2017'!C1222</f>
        <v>đ/cái</v>
      </c>
      <c r="D1132" s="13">
        <f>'12-2017'!O1222</f>
        <v>15800</v>
      </c>
      <c r="E1132" s="13">
        <f>'12-2017'!P1222</f>
        <v>15800</v>
      </c>
      <c r="F1132" s="130">
        <f t="shared" si="54"/>
        <v>0</v>
      </c>
      <c r="H1132" s="74">
        <f>'12-2017'!H1222</f>
        <v>0</v>
      </c>
      <c r="I1132" s="74">
        <f>'12-2017'!I1222</f>
        <v>0</v>
      </c>
      <c r="J1132" s="74">
        <f>'12-2017'!J1222</f>
        <v>0</v>
      </c>
    </row>
    <row r="1133" spans="1:10" s="58" customFormat="1" ht="17.25" hidden="1">
      <c r="A1133" s="10">
        <f>'12-2017'!A1223</f>
        <v>32</v>
      </c>
      <c r="B1133" s="11" t="str">
        <f>'12-2017'!B1223</f>
        <v xml:space="preserve"> Nối trơn  90  dày</v>
      </c>
      <c r="C1133" s="12" t="str">
        <f>'12-2017'!C1223</f>
        <v>đ/cái</v>
      </c>
      <c r="D1133" s="13">
        <f>'12-2017'!O1223</f>
        <v>25000</v>
      </c>
      <c r="E1133" s="13">
        <f>'12-2017'!P1223</f>
        <v>25000</v>
      </c>
      <c r="F1133" s="130">
        <f t="shared" si="54"/>
        <v>0</v>
      </c>
      <c r="H1133" s="74">
        <f>'12-2017'!H1223</f>
        <v>0</v>
      </c>
      <c r="I1133" s="74">
        <f>'12-2017'!I1223</f>
        <v>0</v>
      </c>
      <c r="J1133" s="74">
        <f>'12-2017'!J1223</f>
        <v>0</v>
      </c>
    </row>
    <row r="1134" spans="1:10" s="58" customFormat="1" ht="17.25" hidden="1">
      <c r="A1134" s="10">
        <f>'12-2017'!A1224</f>
        <v>33</v>
      </c>
      <c r="B1134" s="11" t="str">
        <f>'12-2017'!B1224</f>
        <v xml:space="preserve"> Nối trơn  110 dày</v>
      </c>
      <c r="C1134" s="12" t="str">
        <f>'12-2017'!C1224</f>
        <v>đ/cái</v>
      </c>
      <c r="D1134" s="13">
        <f>'12-2017'!O1224</f>
        <v>51300</v>
      </c>
      <c r="E1134" s="13">
        <f>'12-2017'!P1224</f>
        <v>51300</v>
      </c>
      <c r="F1134" s="130">
        <f t="shared" si="54"/>
        <v>0</v>
      </c>
      <c r="H1134" s="74">
        <f>'12-2017'!H1224</f>
        <v>0</v>
      </c>
      <c r="I1134" s="74">
        <f>'12-2017'!I1224</f>
        <v>0</v>
      </c>
      <c r="J1134" s="74">
        <f>'12-2017'!J1224</f>
        <v>0</v>
      </c>
    </row>
    <row r="1135" spans="1:10" s="58" customFormat="1" ht="17.25" hidden="1">
      <c r="A1135" s="10">
        <f>'12-2017'!A1225</f>
        <v>34</v>
      </c>
      <c r="B1135" s="11" t="str">
        <f>'12-2017'!B1225</f>
        <v xml:space="preserve"> Nối trơn  114 dày</v>
      </c>
      <c r="C1135" s="12" t="str">
        <f>'12-2017'!C1225</f>
        <v>đ/cái</v>
      </c>
      <c r="D1135" s="13">
        <f>'12-2017'!O1225</f>
        <v>52800</v>
      </c>
      <c r="E1135" s="13">
        <f>'12-2017'!P1225</f>
        <v>52800</v>
      </c>
      <c r="F1135" s="130">
        <f t="shared" si="54"/>
        <v>0</v>
      </c>
      <c r="H1135" s="74">
        <f>'12-2017'!H1225</f>
        <v>0</v>
      </c>
      <c r="I1135" s="74">
        <f>'12-2017'!I1225</f>
        <v>0</v>
      </c>
      <c r="J1135" s="74">
        <f>'12-2017'!J1225</f>
        <v>0</v>
      </c>
    </row>
    <row r="1136" spans="1:10" s="58" customFormat="1" ht="17.25" hidden="1">
      <c r="A1136" s="10">
        <f>'12-2017'!A1226</f>
        <v>35</v>
      </c>
      <c r="B1136" s="11" t="str">
        <f>'12-2017'!B1226</f>
        <v xml:space="preserve"> Nối trơn  140 TC </v>
      </c>
      <c r="C1136" s="12" t="str">
        <f>'12-2017'!C1226</f>
        <v>đ/cái</v>
      </c>
      <c r="D1136" s="13">
        <f>'12-2017'!O1226</f>
        <v>83200</v>
      </c>
      <c r="E1136" s="13">
        <f>'12-2017'!P1226</f>
        <v>83200</v>
      </c>
      <c r="F1136" s="130">
        <f t="shared" si="54"/>
        <v>0</v>
      </c>
      <c r="H1136" s="74">
        <f>'12-2017'!H1226</f>
        <v>0</v>
      </c>
      <c r="I1136" s="74">
        <f>'12-2017'!I1226</f>
        <v>0</v>
      </c>
      <c r="J1136" s="74">
        <f>'12-2017'!J1226</f>
        <v>0</v>
      </c>
    </row>
    <row r="1137" spans="1:10" s="58" customFormat="1" ht="17.25" hidden="1">
      <c r="A1137" s="10">
        <f>'12-2017'!A1227</f>
        <v>36</v>
      </c>
      <c r="B1137" s="11" t="str">
        <f>'12-2017'!B1227</f>
        <v xml:space="preserve"> Nối trơn  160 TC </v>
      </c>
      <c r="C1137" s="12" t="str">
        <f>'12-2017'!C1227</f>
        <v>đ/cái</v>
      </c>
      <c r="D1137" s="13">
        <f>'12-2017'!O1227</f>
        <v>145400</v>
      </c>
      <c r="E1137" s="13">
        <f>'12-2017'!P1227</f>
        <v>145400</v>
      </c>
      <c r="F1137" s="130">
        <f t="shared" si="54"/>
        <v>0</v>
      </c>
      <c r="H1137" s="74">
        <f>'12-2017'!H1227</f>
        <v>0</v>
      </c>
      <c r="I1137" s="74">
        <f>'12-2017'!I1227</f>
        <v>0</v>
      </c>
      <c r="J1137" s="74">
        <f>'12-2017'!J1227</f>
        <v>0</v>
      </c>
    </row>
    <row r="1138" spans="1:10" s="58" customFormat="1" ht="17.25" hidden="1">
      <c r="A1138" s="10">
        <f>'12-2017'!A1228</f>
        <v>37</v>
      </c>
      <c r="B1138" s="11" t="str">
        <f>'12-2017'!B1228</f>
        <v xml:space="preserve"> Nối trơn  168 TC </v>
      </c>
      <c r="C1138" s="12" t="str">
        <f>'12-2017'!C1228</f>
        <v>đ/cái</v>
      </c>
      <c r="D1138" s="13">
        <f>'12-2017'!O1228</f>
        <v>132600</v>
      </c>
      <c r="E1138" s="13">
        <f>'12-2017'!P1228</f>
        <v>132600</v>
      </c>
      <c r="F1138" s="130">
        <f t="shared" si="54"/>
        <v>0</v>
      </c>
      <c r="H1138" s="74">
        <f>'12-2017'!H1228</f>
        <v>0</v>
      </c>
      <c r="I1138" s="74">
        <f>'12-2017'!I1228</f>
        <v>0</v>
      </c>
      <c r="J1138" s="74">
        <f>'12-2017'!J1228</f>
        <v>0</v>
      </c>
    </row>
    <row r="1139" spans="1:10" s="58" customFormat="1" ht="17.25" hidden="1">
      <c r="A1139" s="10">
        <f>'12-2017'!A1229</f>
        <v>38</v>
      </c>
      <c r="B1139" s="11" t="str">
        <f>'12-2017'!B1229</f>
        <v xml:space="preserve"> Co 450 21 dày</v>
      </c>
      <c r="C1139" s="12" t="str">
        <f>'12-2017'!C1229</f>
        <v>đ/cái</v>
      </c>
      <c r="D1139" s="13">
        <f>'12-2017'!O1229</f>
        <v>1900</v>
      </c>
      <c r="E1139" s="13">
        <f>'12-2017'!P1229</f>
        <v>1900</v>
      </c>
      <c r="F1139" s="130">
        <f t="shared" si="54"/>
        <v>0</v>
      </c>
      <c r="H1139" s="74">
        <f>'12-2017'!H1229</f>
        <v>0</v>
      </c>
      <c r="I1139" s="74">
        <f>'12-2017'!I1229</f>
        <v>0</v>
      </c>
      <c r="J1139" s="74">
        <f>'12-2017'!J1229</f>
        <v>0</v>
      </c>
    </row>
    <row r="1140" spans="1:10" s="58" customFormat="1" ht="17.25" hidden="1">
      <c r="A1140" s="10">
        <f>'12-2017'!A1230</f>
        <v>39</v>
      </c>
      <c r="B1140" s="11" t="str">
        <f>'12-2017'!B1230</f>
        <v xml:space="preserve"> Co 450 27 dày</v>
      </c>
      <c r="C1140" s="12" t="str">
        <f>'12-2017'!C1230</f>
        <v>đ/cái</v>
      </c>
      <c r="D1140" s="13">
        <f>'12-2017'!O1230</f>
        <v>2800</v>
      </c>
      <c r="E1140" s="13">
        <f>'12-2017'!P1230</f>
        <v>2800</v>
      </c>
      <c r="F1140" s="130">
        <f t="shared" si="54"/>
        <v>0</v>
      </c>
      <c r="H1140" s="74">
        <f>'12-2017'!H1230</f>
        <v>0</v>
      </c>
      <c r="I1140" s="74">
        <f>'12-2017'!I1230</f>
        <v>0</v>
      </c>
      <c r="J1140" s="74">
        <f>'12-2017'!J1230</f>
        <v>0</v>
      </c>
    </row>
    <row r="1141" spans="1:10" s="58" customFormat="1" ht="17.25" hidden="1">
      <c r="A1141" s="10">
        <f>'12-2017'!A1231</f>
        <v>40</v>
      </c>
      <c r="B1141" s="11" t="str">
        <f>'12-2017'!B1231</f>
        <v xml:space="preserve"> Co 450 34 dày</v>
      </c>
      <c r="C1141" s="12" t="str">
        <f>'12-2017'!C1231</f>
        <v>đ/cái</v>
      </c>
      <c r="D1141" s="13">
        <f>'12-2017'!O1231</f>
        <v>4500</v>
      </c>
      <c r="E1141" s="13">
        <f>'12-2017'!P1231</f>
        <v>4500</v>
      </c>
      <c r="F1141" s="130">
        <f t="shared" si="54"/>
        <v>0</v>
      </c>
      <c r="H1141" s="74">
        <f>'12-2017'!H1231</f>
        <v>0</v>
      </c>
      <c r="I1141" s="74">
        <f>'12-2017'!I1231</f>
        <v>0</v>
      </c>
      <c r="J1141" s="74">
        <f>'12-2017'!J1231</f>
        <v>0</v>
      </c>
    </row>
    <row r="1142" spans="1:10" s="58" customFormat="1" ht="17.25" hidden="1">
      <c r="A1142" s="10">
        <f>'12-2017'!A1232</f>
        <v>41</v>
      </c>
      <c r="B1142" s="11" t="str">
        <f>'12-2017'!B1232</f>
        <v xml:space="preserve"> Co 450 42 dày</v>
      </c>
      <c r="C1142" s="12" t="str">
        <f>'12-2017'!C1232</f>
        <v>đ/cái</v>
      </c>
      <c r="D1142" s="13">
        <f>'12-2017'!O1232</f>
        <v>6300</v>
      </c>
      <c r="E1142" s="13">
        <f>'12-2017'!P1232</f>
        <v>6300</v>
      </c>
      <c r="F1142" s="130">
        <f t="shared" si="54"/>
        <v>0</v>
      </c>
      <c r="H1142" s="74">
        <f>'12-2017'!H1232</f>
        <v>0</v>
      </c>
      <c r="I1142" s="74">
        <f>'12-2017'!I1232</f>
        <v>0</v>
      </c>
      <c r="J1142" s="74">
        <f>'12-2017'!J1232</f>
        <v>0</v>
      </c>
    </row>
    <row r="1143" spans="1:10" s="58" customFormat="1" ht="17.25" hidden="1">
      <c r="A1143" s="10">
        <f>'12-2017'!A1233</f>
        <v>42</v>
      </c>
      <c r="B1143" s="11" t="str">
        <f>'12-2017'!B1233</f>
        <v xml:space="preserve"> Co 450 49 dày</v>
      </c>
      <c r="C1143" s="12" t="str">
        <f>'12-2017'!C1233</f>
        <v>đ/cái</v>
      </c>
      <c r="D1143" s="13">
        <f>'12-2017'!O1233</f>
        <v>9600</v>
      </c>
      <c r="E1143" s="13">
        <f>'12-2017'!P1233</f>
        <v>9600</v>
      </c>
      <c r="F1143" s="130">
        <f t="shared" si="54"/>
        <v>0</v>
      </c>
      <c r="H1143" s="74">
        <f>'12-2017'!H1233</f>
        <v>0</v>
      </c>
      <c r="I1143" s="74">
        <f>'12-2017'!I1233</f>
        <v>0</v>
      </c>
      <c r="J1143" s="74">
        <f>'12-2017'!J1233</f>
        <v>0</v>
      </c>
    </row>
    <row r="1144" spans="1:10" s="58" customFormat="1" ht="17.25" hidden="1">
      <c r="A1144" s="10">
        <f>'12-2017'!A1234</f>
        <v>43</v>
      </c>
      <c r="B1144" s="11" t="str">
        <f>'12-2017'!B1234</f>
        <v xml:space="preserve"> Co 450 60 dày</v>
      </c>
      <c r="C1144" s="12" t="str">
        <f>'12-2017'!C1234</f>
        <v>đ/cái</v>
      </c>
      <c r="D1144" s="13">
        <f>'12-2017'!O1234</f>
        <v>14800</v>
      </c>
      <c r="E1144" s="13">
        <f>'12-2017'!P1234</f>
        <v>14800</v>
      </c>
      <c r="F1144" s="130">
        <f t="shared" si="54"/>
        <v>0</v>
      </c>
      <c r="H1144" s="74">
        <f>'12-2017'!H1234</f>
        <v>0</v>
      </c>
      <c r="I1144" s="74">
        <f>'12-2017'!I1234</f>
        <v>0</v>
      </c>
      <c r="J1144" s="74">
        <f>'12-2017'!J1234</f>
        <v>0</v>
      </c>
    </row>
    <row r="1145" spans="1:10" s="58" customFormat="1" ht="17.25" hidden="1">
      <c r="A1145" s="10">
        <f>'12-2017'!A1235</f>
        <v>44</v>
      </c>
      <c r="B1145" s="11" t="str">
        <f>'12-2017'!B1235</f>
        <v xml:space="preserve"> Co 450 75 TC</v>
      </c>
      <c r="C1145" s="12" t="str">
        <f>'12-2017'!C1235</f>
        <v>đ/cái</v>
      </c>
      <c r="D1145" s="13">
        <f>'12-2017'!O1235</f>
        <v>21900</v>
      </c>
      <c r="E1145" s="13">
        <f>'12-2017'!P1235</f>
        <v>21900</v>
      </c>
      <c r="F1145" s="130">
        <f t="shared" si="54"/>
        <v>0</v>
      </c>
      <c r="H1145" s="74">
        <f>'12-2017'!H1235</f>
        <v>0</v>
      </c>
      <c r="I1145" s="74">
        <f>'12-2017'!I1235</f>
        <v>0</v>
      </c>
      <c r="J1145" s="74">
        <f>'12-2017'!J1235</f>
        <v>0</v>
      </c>
    </row>
    <row r="1146" spans="1:10" s="58" customFormat="1" ht="17.25" hidden="1">
      <c r="A1146" s="10">
        <f>'12-2017'!A1236</f>
        <v>45</v>
      </c>
      <c r="B1146" s="11" t="str">
        <f>'12-2017'!B1236</f>
        <v xml:space="preserve"> Co 450 90 dày</v>
      </c>
      <c r="C1146" s="12" t="str">
        <f>'12-2017'!C1236</f>
        <v>đ/cái</v>
      </c>
      <c r="D1146" s="13">
        <f>'12-2017'!O1236</f>
        <v>33900</v>
      </c>
      <c r="E1146" s="13">
        <f>'12-2017'!P1236</f>
        <v>33900</v>
      </c>
      <c r="F1146" s="130">
        <f t="shared" si="54"/>
        <v>0</v>
      </c>
      <c r="H1146" s="74">
        <f>'12-2017'!H1236</f>
        <v>0</v>
      </c>
      <c r="I1146" s="74">
        <f>'12-2017'!I1236</f>
        <v>0</v>
      </c>
      <c r="J1146" s="74">
        <f>'12-2017'!J1236</f>
        <v>0</v>
      </c>
    </row>
    <row r="1147" spans="1:10" s="58" customFormat="1" ht="17.25" hidden="1">
      <c r="A1147" s="10">
        <f>'12-2017'!A1237</f>
        <v>46</v>
      </c>
      <c r="B1147" s="11" t="str">
        <f>'12-2017'!B1237</f>
        <v xml:space="preserve"> Co 450 110 dày</v>
      </c>
      <c r="C1147" s="12" t="str">
        <f>'12-2017'!C1237</f>
        <v>đ/cái</v>
      </c>
      <c r="D1147" s="13">
        <f>'12-2017'!O1237</f>
        <v>57500</v>
      </c>
      <c r="E1147" s="13">
        <f>'12-2017'!P1237</f>
        <v>57500</v>
      </c>
      <c r="F1147" s="130">
        <f t="shared" si="54"/>
        <v>0</v>
      </c>
      <c r="H1147" s="74">
        <f>'12-2017'!H1237</f>
        <v>0</v>
      </c>
      <c r="I1147" s="74">
        <f>'12-2017'!I1237</f>
        <v>0</v>
      </c>
      <c r="J1147" s="74">
        <f>'12-2017'!J1237</f>
        <v>0</v>
      </c>
    </row>
    <row r="1148" spans="1:10" s="58" customFormat="1" ht="17.25" hidden="1">
      <c r="A1148" s="10">
        <f>'12-2017'!A1238</f>
        <v>47</v>
      </c>
      <c r="B1148" s="11" t="str">
        <f>'12-2017'!B1238</f>
        <v xml:space="preserve"> Co 450 114 dày</v>
      </c>
      <c r="C1148" s="12" t="str">
        <f>'12-2017'!C1238</f>
        <v>đ/cái</v>
      </c>
      <c r="D1148" s="13">
        <f>'12-2017'!O1238</f>
        <v>70800</v>
      </c>
      <c r="E1148" s="13">
        <f>'12-2017'!P1238</f>
        <v>70800</v>
      </c>
      <c r="F1148" s="130">
        <f t="shared" si="54"/>
        <v>0</v>
      </c>
      <c r="H1148" s="74">
        <f>'12-2017'!H1238</f>
        <v>0</v>
      </c>
      <c r="I1148" s="74">
        <f>'12-2017'!I1238</f>
        <v>0</v>
      </c>
      <c r="J1148" s="74">
        <f>'12-2017'!J1238</f>
        <v>0</v>
      </c>
    </row>
    <row r="1149" spans="1:10" s="58" customFormat="1" ht="17.25" hidden="1">
      <c r="A1149" s="10">
        <f>'12-2017'!A1239</f>
        <v>48</v>
      </c>
      <c r="B1149" s="11" t="str">
        <f>'12-2017'!B1239</f>
        <v xml:space="preserve"> Co 450 140 dày</v>
      </c>
      <c r="C1149" s="12" t="str">
        <f>'12-2017'!C1239</f>
        <v>đ/cái</v>
      </c>
      <c r="D1149" s="13">
        <f>'12-2017'!O1239</f>
        <v>117100</v>
      </c>
      <c r="E1149" s="13">
        <f>'12-2017'!P1239</f>
        <v>117100</v>
      </c>
      <c r="F1149" s="130">
        <f t="shared" si="54"/>
        <v>0</v>
      </c>
      <c r="H1149" s="74">
        <f>'12-2017'!H1239</f>
        <v>0</v>
      </c>
      <c r="I1149" s="74">
        <f>'12-2017'!I1239</f>
        <v>0</v>
      </c>
      <c r="J1149" s="74">
        <f>'12-2017'!J1239</f>
        <v>0</v>
      </c>
    </row>
    <row r="1150" spans="1:10" s="58" customFormat="1" ht="17.25" hidden="1">
      <c r="A1150" s="10">
        <f>'12-2017'!A1240</f>
        <v>49</v>
      </c>
      <c r="B1150" s="11" t="str">
        <f>'12-2017'!B1240</f>
        <v xml:space="preserve"> Co 450 168  TC</v>
      </c>
      <c r="C1150" s="12" t="str">
        <f>'12-2017'!C1240</f>
        <v>đ/cái</v>
      </c>
      <c r="D1150" s="13">
        <f>'12-2017'!O1240</f>
        <v>156500</v>
      </c>
      <c r="E1150" s="13">
        <f>'12-2017'!P1240</f>
        <v>156500</v>
      </c>
      <c r="F1150" s="130">
        <f t="shared" si="54"/>
        <v>0</v>
      </c>
      <c r="H1150" s="74">
        <f>'12-2017'!H1240</f>
        <v>0</v>
      </c>
      <c r="I1150" s="74">
        <f>'12-2017'!I1240</f>
        <v>0</v>
      </c>
      <c r="J1150" s="74">
        <f>'12-2017'!J1240</f>
        <v>0</v>
      </c>
    </row>
    <row r="1151" spans="1:10" s="58" customFormat="1" ht="17.25" hidden="1">
      <c r="A1151" s="10">
        <f>'12-2017'!A1241</f>
        <v>50</v>
      </c>
      <c r="B1151" s="11" t="str">
        <f>'12-2017'!B1241</f>
        <v xml:space="preserve"> Chữ  T fi 21 dày</v>
      </c>
      <c r="C1151" s="12" t="str">
        <f>'12-2017'!C1241</f>
        <v>đ/cái</v>
      </c>
      <c r="D1151" s="13">
        <f>'12-2017'!O1241</f>
        <v>2800</v>
      </c>
      <c r="E1151" s="13">
        <f>'12-2017'!P1241</f>
        <v>2800</v>
      </c>
      <c r="F1151" s="130">
        <f t="shared" si="54"/>
        <v>0</v>
      </c>
      <c r="H1151" s="74">
        <f>'12-2017'!H1241</f>
        <v>0</v>
      </c>
      <c r="I1151" s="74">
        <f>'12-2017'!I1241</f>
        <v>0</v>
      </c>
      <c r="J1151" s="74">
        <f>'12-2017'!J1241</f>
        <v>0</v>
      </c>
    </row>
    <row r="1152" spans="1:10" s="58" customFormat="1" ht="17.25" hidden="1">
      <c r="A1152" s="10">
        <f>'12-2017'!A1242</f>
        <v>51</v>
      </c>
      <c r="B1152" s="11" t="str">
        <f>'12-2017'!B1242</f>
        <v xml:space="preserve"> Chữ  T fi 27 dày</v>
      </c>
      <c r="C1152" s="12" t="str">
        <f>'12-2017'!C1242</f>
        <v>đ/cái</v>
      </c>
      <c r="D1152" s="13">
        <f>'12-2017'!O1242</f>
        <v>4600</v>
      </c>
      <c r="E1152" s="13">
        <f>'12-2017'!P1242</f>
        <v>4600</v>
      </c>
      <c r="F1152" s="130">
        <f t="shared" si="54"/>
        <v>0</v>
      </c>
      <c r="H1152" s="74">
        <f>'12-2017'!H1242</f>
        <v>0</v>
      </c>
      <c r="I1152" s="74">
        <f>'12-2017'!I1242</f>
        <v>0</v>
      </c>
      <c r="J1152" s="74">
        <f>'12-2017'!J1242</f>
        <v>0</v>
      </c>
    </row>
    <row r="1153" spans="1:10" s="58" customFormat="1" ht="17.25" hidden="1">
      <c r="A1153" s="10">
        <f>'12-2017'!A1243</f>
        <v>52</v>
      </c>
      <c r="B1153" s="11" t="str">
        <f>'12-2017'!B1243</f>
        <v xml:space="preserve"> Chữ  T fi 34 dày</v>
      </c>
      <c r="C1153" s="12" t="str">
        <f>'12-2017'!C1243</f>
        <v>đ/cái</v>
      </c>
      <c r="D1153" s="13">
        <f>'12-2017'!O1243</f>
        <v>7400</v>
      </c>
      <c r="E1153" s="13">
        <f>'12-2017'!P1243</f>
        <v>7400</v>
      </c>
      <c r="F1153" s="130">
        <f t="shared" si="54"/>
        <v>0</v>
      </c>
      <c r="H1153" s="74">
        <f>'12-2017'!H1243</f>
        <v>0</v>
      </c>
      <c r="I1153" s="74">
        <f>'12-2017'!I1243</f>
        <v>0</v>
      </c>
      <c r="J1153" s="74">
        <f>'12-2017'!J1243</f>
        <v>0</v>
      </c>
    </row>
    <row r="1154" spans="1:10" s="58" customFormat="1" ht="17.25" hidden="1">
      <c r="A1154" s="10">
        <f>'12-2017'!A1244</f>
        <v>53</v>
      </c>
      <c r="B1154" s="11" t="str">
        <f>'12-2017'!B1244</f>
        <v xml:space="preserve"> Chữ  T fi 42 dày</v>
      </c>
      <c r="C1154" s="12" t="str">
        <f>'12-2017'!C1244</f>
        <v>đ/cái</v>
      </c>
      <c r="D1154" s="13">
        <f>'12-2017'!O1244</f>
        <v>9800</v>
      </c>
      <c r="E1154" s="13">
        <f>'12-2017'!P1244</f>
        <v>9800</v>
      </c>
      <c r="F1154" s="130">
        <f t="shared" si="54"/>
        <v>0</v>
      </c>
      <c r="H1154" s="74">
        <f>'12-2017'!H1244</f>
        <v>0</v>
      </c>
      <c r="I1154" s="74">
        <f>'12-2017'!I1244</f>
        <v>0</v>
      </c>
      <c r="J1154" s="74">
        <f>'12-2017'!J1244</f>
        <v>0</v>
      </c>
    </row>
    <row r="1155" spans="1:10" s="58" customFormat="1" ht="17.25" hidden="1">
      <c r="A1155" s="10">
        <f>'12-2017'!A1245</f>
        <v>54</v>
      </c>
      <c r="B1155" s="11" t="str">
        <f>'12-2017'!B1245</f>
        <v xml:space="preserve"> Chữ  T fi 49 dày</v>
      </c>
      <c r="C1155" s="12" t="str">
        <f>'12-2017'!C1245</f>
        <v>đ/cái</v>
      </c>
      <c r="D1155" s="13">
        <f>'12-2017'!O1245</f>
        <v>14500</v>
      </c>
      <c r="E1155" s="13">
        <f>'12-2017'!P1245</f>
        <v>14500</v>
      </c>
      <c r="F1155" s="130">
        <f t="shared" si="54"/>
        <v>0</v>
      </c>
      <c r="H1155" s="74">
        <f>'12-2017'!H1245</f>
        <v>0</v>
      </c>
      <c r="I1155" s="74">
        <f>'12-2017'!I1245</f>
        <v>0</v>
      </c>
      <c r="J1155" s="74">
        <f>'12-2017'!J1245</f>
        <v>0</v>
      </c>
    </row>
    <row r="1156" spans="1:10" s="58" customFormat="1" ht="17.25" hidden="1">
      <c r="A1156" s="10">
        <f>'12-2017'!A1246</f>
        <v>55</v>
      </c>
      <c r="B1156" s="11" t="str">
        <f>'12-2017'!B1246</f>
        <v xml:space="preserve"> Chữ  T fi 60 dày</v>
      </c>
      <c r="C1156" s="12" t="str">
        <f>'12-2017'!C1246</f>
        <v>đ/cái</v>
      </c>
      <c r="D1156" s="13">
        <f>'12-2017'!O1246</f>
        <v>24900</v>
      </c>
      <c r="E1156" s="13">
        <f>'12-2017'!P1246</f>
        <v>24900</v>
      </c>
      <c r="F1156" s="130">
        <f t="shared" si="54"/>
        <v>0</v>
      </c>
      <c r="H1156" s="74">
        <f>'12-2017'!H1246</f>
        <v>0</v>
      </c>
      <c r="I1156" s="74">
        <f>'12-2017'!I1246</f>
        <v>0</v>
      </c>
      <c r="J1156" s="74">
        <f>'12-2017'!J1246</f>
        <v>0</v>
      </c>
    </row>
    <row r="1157" spans="1:10" s="58" customFormat="1" ht="17.25" hidden="1">
      <c r="A1157" s="10">
        <f>'12-2017'!A1247</f>
        <v>56</v>
      </c>
      <c r="B1157" s="11" t="str">
        <f>'12-2017'!B1247</f>
        <v xml:space="preserve"> Chữ  T fi 75 dày</v>
      </c>
      <c r="C1157" s="12" t="str">
        <f>'12-2017'!C1247</f>
        <v>đ/cái</v>
      </c>
      <c r="D1157" s="13">
        <f>'12-2017'!O1247</f>
        <v>37000</v>
      </c>
      <c r="E1157" s="13">
        <f>'12-2017'!P1247</f>
        <v>37000</v>
      </c>
      <c r="F1157" s="130">
        <f t="shared" si="54"/>
        <v>0</v>
      </c>
      <c r="H1157" s="74">
        <f>'12-2017'!H1247</f>
        <v>0</v>
      </c>
      <c r="I1157" s="74">
        <f>'12-2017'!I1247</f>
        <v>0</v>
      </c>
      <c r="J1157" s="74">
        <f>'12-2017'!J1247</f>
        <v>0</v>
      </c>
    </row>
    <row r="1158" spans="1:10" s="58" customFormat="1" ht="17.25" hidden="1">
      <c r="A1158" s="10">
        <f>'12-2017'!A1248</f>
        <v>57</v>
      </c>
      <c r="B1158" s="11" t="str">
        <f>'12-2017'!B1248</f>
        <v xml:space="preserve"> Chữ  T fi 90 dày</v>
      </c>
      <c r="C1158" s="12" t="str">
        <f>'12-2017'!C1248</f>
        <v>đ/cái</v>
      </c>
      <c r="D1158" s="13">
        <f>'12-2017'!O1248</f>
        <v>62700</v>
      </c>
      <c r="E1158" s="13">
        <f>'12-2017'!P1248</f>
        <v>62700</v>
      </c>
      <c r="F1158" s="130">
        <f t="shared" si="54"/>
        <v>0</v>
      </c>
      <c r="H1158" s="74">
        <f>'12-2017'!H1248</f>
        <v>0</v>
      </c>
      <c r="I1158" s="74">
        <f>'12-2017'!I1248</f>
        <v>0</v>
      </c>
      <c r="J1158" s="74">
        <f>'12-2017'!J1248</f>
        <v>0</v>
      </c>
    </row>
    <row r="1159" spans="1:10" s="58" customFormat="1" ht="17.25" hidden="1">
      <c r="A1159" s="10">
        <f>'12-2017'!A1249</f>
        <v>58</v>
      </c>
      <c r="B1159" s="11" t="str">
        <f>'12-2017'!B1249</f>
        <v xml:space="preserve"> Chữ  T fi 110 dày</v>
      </c>
      <c r="C1159" s="12" t="str">
        <f>'12-2017'!C1249</f>
        <v>đ/cái</v>
      </c>
      <c r="D1159" s="13">
        <f>'12-2017'!O1249</f>
        <v>103600</v>
      </c>
      <c r="E1159" s="13">
        <f>'12-2017'!P1249</f>
        <v>103600</v>
      </c>
      <c r="F1159" s="130">
        <f t="shared" si="54"/>
        <v>0</v>
      </c>
      <c r="H1159" s="74">
        <f>'12-2017'!H1249</f>
        <v>0</v>
      </c>
      <c r="I1159" s="74">
        <f>'12-2017'!I1249</f>
        <v>0</v>
      </c>
      <c r="J1159" s="74">
        <f>'12-2017'!J1249</f>
        <v>0</v>
      </c>
    </row>
    <row r="1160" spans="1:10" s="58" customFormat="1" ht="17.25" hidden="1">
      <c r="A1160" s="10">
        <f>'12-2017'!A1250</f>
        <v>59</v>
      </c>
      <c r="B1160" s="11" t="str">
        <f>'12-2017'!B1250</f>
        <v xml:space="preserve"> Chữ  T fi 114 dày</v>
      </c>
      <c r="C1160" s="12" t="str">
        <f>'12-2017'!C1250</f>
        <v>đ/cái</v>
      </c>
      <c r="D1160" s="13">
        <f>'12-2017'!O1250</f>
        <v>127900</v>
      </c>
      <c r="E1160" s="13">
        <f>'12-2017'!P1250</f>
        <v>127900</v>
      </c>
      <c r="F1160" s="130">
        <f t="shared" si="54"/>
        <v>0</v>
      </c>
      <c r="H1160" s="74">
        <f>'12-2017'!H1250</f>
        <v>0</v>
      </c>
      <c r="I1160" s="74">
        <f>'12-2017'!I1250</f>
        <v>0</v>
      </c>
      <c r="J1160" s="74">
        <f>'12-2017'!J1250</f>
        <v>0</v>
      </c>
    </row>
    <row r="1161" spans="1:10" s="58" customFormat="1" ht="17.25" hidden="1">
      <c r="A1161" s="10">
        <f>'12-2017'!A1251</f>
        <v>60</v>
      </c>
      <c r="B1161" s="11" t="str">
        <f>'12-2017'!B1251</f>
        <v xml:space="preserve"> Chữ  T fi 140 dày</v>
      </c>
      <c r="C1161" s="12" t="str">
        <f>'12-2017'!C1251</f>
        <v>đ/cái</v>
      </c>
      <c r="D1161" s="13">
        <f>'12-2017'!O1251</f>
        <v>217200</v>
      </c>
      <c r="E1161" s="13">
        <f>'12-2017'!P1251</f>
        <v>217200</v>
      </c>
      <c r="F1161" s="130">
        <f t="shared" si="54"/>
        <v>0</v>
      </c>
      <c r="H1161" s="74">
        <f>'12-2017'!H1251</f>
        <v>0</v>
      </c>
      <c r="I1161" s="74">
        <f>'12-2017'!I1251</f>
        <v>0</v>
      </c>
      <c r="J1161" s="74">
        <f>'12-2017'!J1251</f>
        <v>0</v>
      </c>
    </row>
    <row r="1162" spans="1:10" s="58" customFormat="1" ht="17.25" hidden="1">
      <c r="A1162" s="10">
        <f>'12-2017'!A1252</f>
        <v>61</v>
      </c>
      <c r="B1162" s="11" t="str">
        <f>'12-2017'!B1252</f>
        <v xml:space="preserve"> Keo dán ống Bình Minh (loại 1kg)</v>
      </c>
      <c r="C1162" s="12" t="str">
        <f>'12-2017'!C1252</f>
        <v>đ/lon</v>
      </c>
      <c r="D1162" s="13">
        <f>'12-2017'!O1252</f>
        <v>100900</v>
      </c>
      <c r="E1162" s="13">
        <f>'12-2017'!P1252</f>
        <v>100900</v>
      </c>
      <c r="F1162" s="130">
        <f t="shared" si="54"/>
        <v>0</v>
      </c>
      <c r="H1162" s="74">
        <f>'12-2017'!H1252</f>
        <v>0</v>
      </c>
      <c r="I1162" s="74">
        <f>'12-2017'!I1252</f>
        <v>0</v>
      </c>
      <c r="J1162" s="74">
        <f>'12-2017'!J1252</f>
        <v>0</v>
      </c>
    </row>
    <row r="1163" spans="1:10" s="58" customFormat="1" ht="17.25" hidden="1">
      <c r="A1163" s="10">
        <f>'12-2017'!A1253</f>
        <v>62</v>
      </c>
      <c r="B1163" s="11" t="str">
        <f>'12-2017'!B1253</f>
        <v xml:space="preserve"> Que hàn nhựa</v>
      </c>
      <c r="C1163" s="12" t="str">
        <f>'12-2017'!C1253</f>
        <v>đ/kg</v>
      </c>
      <c r="D1163" s="13">
        <f>'12-2017'!O1253</f>
        <v>67300</v>
      </c>
      <c r="E1163" s="13">
        <f>'12-2017'!P1253</f>
        <v>67300</v>
      </c>
      <c r="F1163" s="130">
        <f t="shared" si="54"/>
        <v>0</v>
      </c>
      <c r="H1163" s="74">
        <f>'12-2017'!H1253</f>
        <v>0</v>
      </c>
      <c r="I1163" s="74">
        <f>'12-2017'!I1253</f>
        <v>0</v>
      </c>
      <c r="J1163" s="74">
        <f>'12-2017'!J1253</f>
        <v>0</v>
      </c>
    </row>
    <row r="1164" spans="1:10" s="73" customFormat="1" ht="17.25" hidden="1">
      <c r="A1164" s="17"/>
      <c r="B1164" s="237" t="str">
        <f>'12-2017'!B1254</f>
        <v xml:space="preserve"> - Ống HDPE Bình Minh: (tiêu chuẩn/Standard ISO 4427-2:2007). Theo bảng giá ngày 08/10/2015.</v>
      </c>
      <c r="C1164" s="238"/>
      <c r="D1164" s="238"/>
      <c r="E1164" s="238"/>
      <c r="F1164" s="239"/>
      <c r="H1164" s="74">
        <f>'12-2017'!H1254</f>
        <v>0</v>
      </c>
      <c r="I1164" s="74">
        <f>'12-2017'!I1254</f>
        <v>0</v>
      </c>
      <c r="J1164" s="74">
        <f>'12-2017'!J1254</f>
        <v>0</v>
      </c>
    </row>
    <row r="1165" spans="1:10" s="58" customFormat="1" ht="17.25" hidden="1">
      <c r="A1165" s="10">
        <f>'12-2017'!A1255</f>
        <v>63</v>
      </c>
      <c r="B1165" s="11" t="str">
        <f>'12-2017'!B1255</f>
        <v xml:space="preserve"> D180 x 10,7mm  PN 10 bar</v>
      </c>
      <c r="C1165" s="12" t="str">
        <f>'12-2017'!C1255</f>
        <v>đ/m</v>
      </c>
      <c r="D1165" s="13">
        <f>'12-2017'!O1255</f>
        <v>387100</v>
      </c>
      <c r="E1165" s="13">
        <f>'12-2017'!P1255</f>
        <v>387100</v>
      </c>
      <c r="F1165" s="130">
        <f t="shared" si="54"/>
        <v>0</v>
      </c>
      <c r="H1165" s="74">
        <f>'12-2017'!H1255</f>
        <v>0</v>
      </c>
      <c r="I1165" s="74">
        <f>'12-2017'!I1255</f>
        <v>0</v>
      </c>
      <c r="J1165" s="74">
        <f>'12-2017'!J1255</f>
        <v>0</v>
      </c>
    </row>
    <row r="1166" spans="1:10" s="58" customFormat="1" ht="17.25" hidden="1">
      <c r="A1166" s="10">
        <f>'12-2017'!A1256</f>
        <v>64</v>
      </c>
      <c r="B1166" s="11" t="str">
        <f>'12-2017'!B1256</f>
        <v xml:space="preserve"> D180 x 13,3mm  PN 12,5 bar</v>
      </c>
      <c r="C1166" s="12" t="str">
        <f>'12-2017'!C1256</f>
        <v>đ/m</v>
      </c>
      <c r="D1166" s="13">
        <f>'12-2017'!O1256</f>
        <v>473400</v>
      </c>
      <c r="E1166" s="13">
        <f>'12-2017'!P1256</f>
        <v>473400</v>
      </c>
      <c r="F1166" s="130">
        <f t="shared" si="54"/>
        <v>0</v>
      </c>
      <c r="H1166" s="74">
        <f>'12-2017'!H1256</f>
        <v>0</v>
      </c>
      <c r="I1166" s="74">
        <f>'12-2017'!I1256</f>
        <v>0</v>
      </c>
      <c r="J1166" s="74">
        <f>'12-2017'!J1256</f>
        <v>0</v>
      </c>
    </row>
    <row r="1167" spans="1:10" s="58" customFormat="1" ht="17.25" hidden="1">
      <c r="A1167" s="10">
        <f>'12-2017'!A1257</f>
        <v>65</v>
      </c>
      <c r="B1167" s="11" t="str">
        <f>'12-2017'!B1257</f>
        <v xml:space="preserve"> D180 x 16,4m  PN 16 bar</v>
      </c>
      <c r="C1167" s="12" t="str">
        <f>'12-2017'!C1257</f>
        <v>đ/m</v>
      </c>
      <c r="D1167" s="13">
        <f>'12-2017'!O1257</f>
        <v>571500</v>
      </c>
      <c r="E1167" s="13">
        <f>'12-2017'!P1257</f>
        <v>571500</v>
      </c>
      <c r="F1167" s="130">
        <f t="shared" si="54"/>
        <v>0</v>
      </c>
      <c r="H1167" s="74">
        <f>'12-2017'!H1257</f>
        <v>0</v>
      </c>
      <c r="I1167" s="74">
        <f>'12-2017'!I1257</f>
        <v>0</v>
      </c>
      <c r="J1167" s="74">
        <f>'12-2017'!J1257</f>
        <v>0</v>
      </c>
    </row>
    <row r="1168" spans="1:10" s="58" customFormat="1" ht="17.25" hidden="1">
      <c r="A1168" s="10">
        <f>'12-2017'!A1258</f>
        <v>66</v>
      </c>
      <c r="B1168" s="11" t="str">
        <f>'12-2017'!B1258</f>
        <v xml:space="preserve"> D200 x 11,9mm  PN 10 bar</v>
      </c>
      <c r="C1168" s="12" t="str">
        <f>'12-2017'!C1258</f>
        <v>đ/m</v>
      </c>
      <c r="D1168" s="13">
        <f>'12-2017'!O1258</f>
        <v>477600</v>
      </c>
      <c r="E1168" s="13">
        <f>'12-2017'!P1258</f>
        <v>477600</v>
      </c>
      <c r="F1168" s="130">
        <f t="shared" si="54"/>
        <v>0</v>
      </c>
      <c r="H1168" s="74">
        <f>'12-2017'!H1258</f>
        <v>0</v>
      </c>
      <c r="I1168" s="74">
        <f>'12-2017'!I1258</f>
        <v>0</v>
      </c>
      <c r="J1168" s="74">
        <f>'12-2017'!J1258</f>
        <v>0</v>
      </c>
    </row>
    <row r="1169" spans="1:10" s="58" customFormat="1" ht="17.25" hidden="1">
      <c r="A1169" s="10">
        <f>'12-2017'!A1259</f>
        <v>67</v>
      </c>
      <c r="B1169" s="11" t="str">
        <f>'12-2017'!B1259</f>
        <v xml:space="preserve"> D200 x 14,7mm  PN 12,5 bar</v>
      </c>
      <c r="C1169" s="12" t="str">
        <f>'12-2017'!C1259</f>
        <v>đ/m</v>
      </c>
      <c r="D1169" s="13">
        <f>'12-2017'!O1259</f>
        <v>580600</v>
      </c>
      <c r="E1169" s="13">
        <f>'12-2017'!P1259</f>
        <v>580600</v>
      </c>
      <c r="F1169" s="130">
        <f t="shared" si="54"/>
        <v>0</v>
      </c>
      <c r="H1169" s="74">
        <f>'12-2017'!H1259</f>
        <v>0</v>
      </c>
      <c r="I1169" s="74">
        <f>'12-2017'!I1259</f>
        <v>0</v>
      </c>
      <c r="J1169" s="74">
        <f>'12-2017'!J1259</f>
        <v>0</v>
      </c>
    </row>
    <row r="1170" spans="1:10" s="58" customFormat="1" ht="17.25" hidden="1">
      <c r="A1170" s="10">
        <f>'12-2017'!A1260</f>
        <v>68</v>
      </c>
      <c r="B1170" s="11" t="str">
        <f>'12-2017'!B1260</f>
        <v xml:space="preserve"> D200 x 18,2m  PN 16 bar</v>
      </c>
      <c r="C1170" s="12" t="str">
        <f>'12-2017'!C1260</f>
        <v>đ/m</v>
      </c>
      <c r="D1170" s="13">
        <f>'12-2017'!O1260</f>
        <v>704800</v>
      </c>
      <c r="E1170" s="13">
        <f>'12-2017'!P1260</f>
        <v>704800</v>
      </c>
      <c r="F1170" s="130">
        <f t="shared" si="54"/>
        <v>0</v>
      </c>
      <c r="H1170" s="74">
        <f>'12-2017'!H1260</f>
        <v>0</v>
      </c>
      <c r="I1170" s="74">
        <f>'12-2017'!I1260</f>
        <v>0</v>
      </c>
      <c r="J1170" s="74">
        <f>'12-2017'!J1260</f>
        <v>0</v>
      </c>
    </row>
    <row r="1171" spans="1:10" s="58" customFormat="1" ht="17.25" hidden="1">
      <c r="A1171" s="10">
        <f>'12-2017'!A1261</f>
        <v>69</v>
      </c>
      <c r="B1171" s="11" t="str">
        <f>'12-2017'!B1261</f>
        <v xml:space="preserve"> D225 x 13,4mm  PN 10 bar</v>
      </c>
      <c r="C1171" s="12" t="str">
        <f>'12-2017'!C1261</f>
        <v>đ/m</v>
      </c>
      <c r="D1171" s="13">
        <f>'12-2017'!O1261</f>
        <v>605800</v>
      </c>
      <c r="E1171" s="13">
        <f>'12-2017'!P1261</f>
        <v>605800</v>
      </c>
      <c r="F1171" s="130">
        <f t="shared" ref="F1171:F1234" si="55">E1171-D1171</f>
        <v>0</v>
      </c>
      <c r="H1171" s="74">
        <f>'12-2017'!H1261</f>
        <v>0</v>
      </c>
      <c r="I1171" s="74">
        <f>'12-2017'!I1261</f>
        <v>0</v>
      </c>
      <c r="J1171" s="74">
        <f>'12-2017'!J1261</f>
        <v>0</v>
      </c>
    </row>
    <row r="1172" spans="1:10" s="58" customFormat="1" ht="17.25" hidden="1">
      <c r="A1172" s="10">
        <f>'12-2017'!A1262</f>
        <v>70</v>
      </c>
      <c r="B1172" s="11" t="str">
        <f>'12-2017'!B1262</f>
        <v xml:space="preserve"> D225 x 16,6mm  PN 12,5 bar</v>
      </c>
      <c r="C1172" s="12" t="str">
        <f>'12-2017'!C1262</f>
        <v>đ/m</v>
      </c>
      <c r="D1172" s="13">
        <f>'12-2017'!O1262</f>
        <v>737300</v>
      </c>
      <c r="E1172" s="13">
        <f>'12-2017'!P1262</f>
        <v>737300</v>
      </c>
      <c r="F1172" s="130">
        <f t="shared" si="55"/>
        <v>0</v>
      </c>
      <c r="H1172" s="74">
        <f>'12-2017'!H1262</f>
        <v>0</v>
      </c>
      <c r="I1172" s="74">
        <f>'12-2017'!I1262</f>
        <v>0</v>
      </c>
      <c r="J1172" s="74">
        <f>'12-2017'!J1262</f>
        <v>0</v>
      </c>
    </row>
    <row r="1173" spans="1:10" s="58" customFormat="1" ht="17.25" hidden="1">
      <c r="A1173" s="10">
        <f>'12-2017'!A1263</f>
        <v>71</v>
      </c>
      <c r="B1173" s="11" t="str">
        <f>'12-2017'!B1263</f>
        <v xml:space="preserve"> D225 x 20,5m  PN 16 bar</v>
      </c>
      <c r="C1173" s="12" t="str">
        <f>'12-2017'!C1263</f>
        <v>đ/m</v>
      </c>
      <c r="D1173" s="13">
        <f>'12-2017'!O1263</f>
        <v>892000</v>
      </c>
      <c r="E1173" s="13">
        <f>'12-2017'!P1263</f>
        <v>892000</v>
      </c>
      <c r="F1173" s="130">
        <f t="shared" si="55"/>
        <v>0</v>
      </c>
      <c r="H1173" s="74">
        <f>'12-2017'!H1263</f>
        <v>0</v>
      </c>
      <c r="I1173" s="74">
        <f>'12-2017'!I1263</f>
        <v>0</v>
      </c>
      <c r="J1173" s="74">
        <f>'12-2017'!J1263</f>
        <v>0</v>
      </c>
    </row>
    <row r="1174" spans="1:10" s="58" customFormat="1" ht="17.25" hidden="1">
      <c r="A1174" s="10">
        <f>'12-2017'!A1264</f>
        <v>72</v>
      </c>
      <c r="B1174" s="11" t="str">
        <f>'12-2017'!B1264</f>
        <v xml:space="preserve"> D250 x 14,8mm  PN 10 bar</v>
      </c>
      <c r="C1174" s="12" t="str">
        <f>'12-2017'!C1264</f>
        <v>đ/m</v>
      </c>
      <c r="D1174" s="13">
        <f>'12-2017'!O1264</f>
        <v>742400</v>
      </c>
      <c r="E1174" s="13">
        <f>'12-2017'!P1264</f>
        <v>742400</v>
      </c>
      <c r="F1174" s="130">
        <f t="shared" si="55"/>
        <v>0</v>
      </c>
      <c r="H1174" s="74">
        <f>'12-2017'!H1264</f>
        <v>0</v>
      </c>
      <c r="I1174" s="74">
        <f>'12-2017'!I1264</f>
        <v>0</v>
      </c>
      <c r="J1174" s="74">
        <f>'12-2017'!J1264</f>
        <v>0</v>
      </c>
    </row>
    <row r="1175" spans="1:10" s="58" customFormat="1" ht="17.25" hidden="1">
      <c r="A1175" s="10">
        <f>'12-2017'!A1265</f>
        <v>73</v>
      </c>
      <c r="B1175" s="11" t="str">
        <f>'12-2017'!B1265</f>
        <v xml:space="preserve"> D250 x 18,4mm  PN 12,5 bar</v>
      </c>
      <c r="C1175" s="12" t="str">
        <f>'12-2017'!C1265</f>
        <v>đ/m</v>
      </c>
      <c r="D1175" s="13">
        <f>'12-2017'!O1265</f>
        <v>908300</v>
      </c>
      <c r="E1175" s="13">
        <f>'12-2017'!P1265</f>
        <v>908300</v>
      </c>
      <c r="F1175" s="130">
        <f t="shared" si="55"/>
        <v>0</v>
      </c>
      <c r="H1175" s="74">
        <f>'12-2017'!H1265</f>
        <v>0</v>
      </c>
      <c r="I1175" s="74">
        <f>'12-2017'!I1265</f>
        <v>0</v>
      </c>
      <c r="J1175" s="74">
        <f>'12-2017'!J1265</f>
        <v>0</v>
      </c>
    </row>
    <row r="1176" spans="1:10" s="58" customFormat="1" ht="17.25" hidden="1">
      <c r="A1176" s="10">
        <f>'12-2017'!A1266</f>
        <v>74</v>
      </c>
      <c r="B1176" s="11" t="str">
        <f>'12-2017'!B1266</f>
        <v xml:space="preserve"> D250 x 22,7m  PN 16 bar</v>
      </c>
      <c r="C1176" s="12" t="str">
        <f>'12-2017'!C1266</f>
        <v>đ/m</v>
      </c>
      <c r="D1176" s="13">
        <f>'12-2017'!O1266</f>
        <v>1097100</v>
      </c>
      <c r="E1176" s="13">
        <f>'12-2017'!P1266</f>
        <v>1097100</v>
      </c>
      <c r="F1176" s="130">
        <f t="shared" si="55"/>
        <v>0</v>
      </c>
      <c r="H1176" s="74">
        <f>'12-2017'!H1266</f>
        <v>0</v>
      </c>
      <c r="I1176" s="74">
        <f>'12-2017'!I1266</f>
        <v>0</v>
      </c>
      <c r="J1176" s="74">
        <f>'12-2017'!J1266</f>
        <v>0</v>
      </c>
    </row>
    <row r="1177" spans="1:10" s="58" customFormat="1" ht="17.25" hidden="1">
      <c r="A1177" s="10">
        <f>'12-2017'!A1267</f>
        <v>75</v>
      </c>
      <c r="B1177" s="11" t="str">
        <f>'12-2017'!B1267</f>
        <v xml:space="preserve"> D280 x 16,6mm  PN 10 bar</v>
      </c>
      <c r="C1177" s="12" t="str">
        <f>'12-2017'!C1267</f>
        <v>đ/m</v>
      </c>
      <c r="D1177" s="13">
        <f>'12-2017'!O1267</f>
        <v>932700</v>
      </c>
      <c r="E1177" s="13">
        <f>'12-2017'!P1267</f>
        <v>932700</v>
      </c>
      <c r="F1177" s="130">
        <f t="shared" si="55"/>
        <v>0</v>
      </c>
      <c r="H1177" s="74">
        <f>'12-2017'!H1267</f>
        <v>0</v>
      </c>
      <c r="I1177" s="74">
        <f>'12-2017'!I1267</f>
        <v>0</v>
      </c>
      <c r="J1177" s="74">
        <f>'12-2017'!J1267</f>
        <v>0</v>
      </c>
    </row>
    <row r="1178" spans="1:10" s="58" customFormat="1" ht="17.25" hidden="1">
      <c r="A1178" s="10">
        <f>'12-2017'!A1268</f>
        <v>76</v>
      </c>
      <c r="B1178" s="11" t="str">
        <f>'12-2017'!B1268</f>
        <v xml:space="preserve"> D280 x 20,6mm  PN 12,5 bar</v>
      </c>
      <c r="C1178" s="12" t="str">
        <f>'12-2017'!C1268</f>
        <v>đ/m</v>
      </c>
      <c r="D1178" s="13">
        <f>'12-2017'!O1268</f>
        <v>1138000</v>
      </c>
      <c r="E1178" s="13">
        <f>'12-2017'!P1268</f>
        <v>1138000</v>
      </c>
      <c r="F1178" s="130">
        <f t="shared" si="55"/>
        <v>0</v>
      </c>
      <c r="H1178" s="74">
        <f>'12-2017'!H1268</f>
        <v>0</v>
      </c>
      <c r="I1178" s="74">
        <f>'12-2017'!I1268</f>
        <v>0</v>
      </c>
      <c r="J1178" s="74">
        <f>'12-2017'!J1268</f>
        <v>0</v>
      </c>
    </row>
    <row r="1179" spans="1:10" s="58" customFormat="1" ht="17.25" hidden="1">
      <c r="A1179" s="10">
        <f>'12-2017'!A1269</f>
        <v>77</v>
      </c>
      <c r="B1179" s="11" t="str">
        <f>'12-2017'!B1269</f>
        <v xml:space="preserve"> D280 x 25,4m  PN 16 bar</v>
      </c>
      <c r="C1179" s="12" t="str">
        <f>'12-2017'!C1269</f>
        <v>đ/m</v>
      </c>
      <c r="D1179" s="13">
        <f>'12-2017'!O1269</f>
        <v>1375400</v>
      </c>
      <c r="E1179" s="13">
        <f>'12-2017'!P1269</f>
        <v>1375400</v>
      </c>
      <c r="F1179" s="130">
        <f t="shared" si="55"/>
        <v>0</v>
      </c>
      <c r="H1179" s="74">
        <f>'12-2017'!H1269</f>
        <v>0</v>
      </c>
      <c r="I1179" s="74">
        <f>'12-2017'!I1269</f>
        <v>0</v>
      </c>
      <c r="J1179" s="74">
        <f>'12-2017'!J1269</f>
        <v>0</v>
      </c>
    </row>
    <row r="1180" spans="1:10" s="58" customFormat="1" ht="17.25" hidden="1">
      <c r="A1180" s="10">
        <f>'12-2017'!A1270</f>
        <v>78</v>
      </c>
      <c r="B1180" s="11" t="str">
        <f>'12-2017'!B1270</f>
        <v xml:space="preserve"> D315 x 18,7mm  PN 10 bar</v>
      </c>
      <c r="C1180" s="12" t="str">
        <f>'12-2017'!C1270</f>
        <v>đ/m</v>
      </c>
      <c r="D1180" s="13">
        <f>'12-2017'!O1270</f>
        <v>1181200</v>
      </c>
      <c r="E1180" s="13">
        <f>'12-2017'!P1270</f>
        <v>1181200</v>
      </c>
      <c r="F1180" s="130">
        <f t="shared" si="55"/>
        <v>0</v>
      </c>
      <c r="H1180" s="74">
        <f>'12-2017'!H1270</f>
        <v>0</v>
      </c>
      <c r="I1180" s="74">
        <f>'12-2017'!I1270</f>
        <v>0</v>
      </c>
      <c r="J1180" s="74">
        <f>'12-2017'!J1270</f>
        <v>0</v>
      </c>
    </row>
    <row r="1181" spans="1:10" s="58" customFormat="1" ht="17.25" hidden="1">
      <c r="A1181" s="10">
        <f>'12-2017'!A1271</f>
        <v>79</v>
      </c>
      <c r="B1181" s="11" t="str">
        <f>'12-2017'!B1271</f>
        <v xml:space="preserve"> D315 x 23,2mm  PN 12,5 bar</v>
      </c>
      <c r="C1181" s="12" t="str">
        <f>'12-2017'!C1271</f>
        <v>đ/m</v>
      </c>
      <c r="D1181" s="13">
        <f>'12-2017'!O1271</f>
        <v>1442300</v>
      </c>
      <c r="E1181" s="13">
        <f>'12-2017'!P1271</f>
        <v>1442300</v>
      </c>
      <c r="F1181" s="130">
        <f t="shared" si="55"/>
        <v>0</v>
      </c>
      <c r="H1181" s="74">
        <f>'12-2017'!H1271</f>
        <v>0</v>
      </c>
      <c r="I1181" s="74">
        <f>'12-2017'!I1271</f>
        <v>0</v>
      </c>
      <c r="J1181" s="74">
        <f>'12-2017'!J1271</f>
        <v>0</v>
      </c>
    </row>
    <row r="1182" spans="1:10" s="58" customFormat="1" ht="17.25" hidden="1">
      <c r="A1182" s="10">
        <f>'12-2017'!A1272</f>
        <v>80</v>
      </c>
      <c r="B1182" s="11" t="str">
        <f>'12-2017'!B1272</f>
        <v xml:space="preserve"> D315 x 28,6m  PN 16 bar</v>
      </c>
      <c r="C1182" s="12" t="str">
        <f>'12-2017'!C1272</f>
        <v>đ/m</v>
      </c>
      <c r="D1182" s="13">
        <f>'12-2017'!O1272</f>
        <v>1741000</v>
      </c>
      <c r="E1182" s="13">
        <f>'12-2017'!P1272</f>
        <v>1741000</v>
      </c>
      <c r="F1182" s="130">
        <f t="shared" si="55"/>
        <v>0</v>
      </c>
      <c r="H1182" s="74">
        <f>'12-2017'!H1272</f>
        <v>0</v>
      </c>
      <c r="I1182" s="74">
        <f>'12-2017'!I1272</f>
        <v>0</v>
      </c>
      <c r="J1182" s="74">
        <f>'12-2017'!J1272</f>
        <v>0</v>
      </c>
    </row>
    <row r="1183" spans="1:10" s="73" customFormat="1" ht="17.25" hidden="1">
      <c r="A1183" s="17"/>
      <c r="B1183" s="9" t="str">
        <f>'12-2017'!B1273</f>
        <v xml:space="preserve"> - Ống PP-R Bình Minh. Theo bảng giá ngày 08/10/2015</v>
      </c>
      <c r="C1183" s="8"/>
      <c r="D1183" s="22"/>
      <c r="E1183" s="22"/>
      <c r="F1183" s="131"/>
      <c r="H1183" s="74">
        <f>'12-2017'!H1273</f>
        <v>0</v>
      </c>
      <c r="I1183" s="74">
        <f>'12-2017'!I1273</f>
        <v>0</v>
      </c>
      <c r="J1183" s="74">
        <f>'12-2017'!J1273</f>
        <v>0</v>
      </c>
    </row>
    <row r="1184" spans="1:10" s="58" customFormat="1" ht="17.25" hidden="1">
      <c r="A1184" s="10">
        <f>'12-2017'!A1274</f>
        <v>81</v>
      </c>
      <c r="B1184" s="11" t="str">
        <f>'12-2017'!B1274</f>
        <v xml:space="preserve"> Þ 20 x 1,9mm   10 bar</v>
      </c>
      <c r="C1184" s="12" t="str">
        <f>'12-2017'!C1274</f>
        <v>đ/m</v>
      </c>
      <c r="D1184" s="13">
        <f>'12-2017'!O1274</f>
        <v>18100</v>
      </c>
      <c r="E1184" s="13">
        <f>'12-2017'!P1274</f>
        <v>18100</v>
      </c>
      <c r="F1184" s="130">
        <f t="shared" si="55"/>
        <v>0</v>
      </c>
      <c r="H1184" s="74">
        <f>'12-2017'!H1274</f>
        <v>0</v>
      </c>
      <c r="I1184" s="74">
        <f>'12-2017'!I1274</f>
        <v>0</v>
      </c>
      <c r="J1184" s="74">
        <f>'12-2017'!J1274</f>
        <v>0</v>
      </c>
    </row>
    <row r="1185" spans="1:10" s="58" customFormat="1" ht="17.25" hidden="1">
      <c r="A1185" s="10">
        <f>'12-2017'!A1275</f>
        <v>82</v>
      </c>
      <c r="B1185" s="11" t="str">
        <f>'12-2017'!B1275</f>
        <v xml:space="preserve"> Þ 32 x 2,9mm  10 bar</v>
      </c>
      <c r="C1185" s="12" t="str">
        <f>'12-2017'!C1275</f>
        <v>đ/m</v>
      </c>
      <c r="D1185" s="13">
        <f>'12-2017'!O1275</f>
        <v>43600</v>
      </c>
      <c r="E1185" s="13">
        <f>'12-2017'!P1275</f>
        <v>43600</v>
      </c>
      <c r="F1185" s="130">
        <f t="shared" si="55"/>
        <v>0</v>
      </c>
      <c r="H1185" s="74">
        <f>'12-2017'!H1275</f>
        <v>0</v>
      </c>
      <c r="I1185" s="74">
        <f>'12-2017'!I1275</f>
        <v>0</v>
      </c>
      <c r="J1185" s="74">
        <f>'12-2017'!J1275</f>
        <v>0</v>
      </c>
    </row>
    <row r="1186" spans="1:10" s="58" customFormat="1" ht="17.25" hidden="1">
      <c r="A1186" s="10">
        <f>'12-2017'!A1276</f>
        <v>83</v>
      </c>
      <c r="B1186" s="11" t="str">
        <f>'12-2017'!B1276</f>
        <v xml:space="preserve"> Þ 40 x 3,7mm  10 bar</v>
      </c>
      <c r="C1186" s="12" t="str">
        <f>'12-2017'!C1276</f>
        <v>đ/m</v>
      </c>
      <c r="D1186" s="13">
        <f>'12-2017'!O1276</f>
        <v>69100</v>
      </c>
      <c r="E1186" s="13">
        <f>'12-2017'!P1276</f>
        <v>69100</v>
      </c>
      <c r="F1186" s="130">
        <f t="shared" si="55"/>
        <v>0</v>
      </c>
      <c r="H1186" s="74">
        <f>'12-2017'!H1276</f>
        <v>0</v>
      </c>
      <c r="I1186" s="74">
        <f>'12-2017'!I1276</f>
        <v>0</v>
      </c>
      <c r="J1186" s="74">
        <f>'12-2017'!J1276</f>
        <v>0</v>
      </c>
    </row>
    <row r="1187" spans="1:10" s="58" customFormat="1" ht="17.25" hidden="1">
      <c r="A1187" s="10">
        <f>'12-2017'!A1277</f>
        <v>84</v>
      </c>
      <c r="B1187" s="11" t="str">
        <f>'12-2017'!B1277</f>
        <v xml:space="preserve"> Þ 63 x 5,8mm  10 bar</v>
      </c>
      <c r="C1187" s="12" t="str">
        <f>'12-2017'!C1277</f>
        <v>đ/m</v>
      </c>
      <c r="D1187" s="13">
        <f>'12-2017'!O1277</f>
        <v>168700</v>
      </c>
      <c r="E1187" s="13">
        <f>'12-2017'!P1277</f>
        <v>168700</v>
      </c>
      <c r="F1187" s="130">
        <f t="shared" si="55"/>
        <v>0</v>
      </c>
      <c r="H1187" s="74">
        <f>'12-2017'!H1277</f>
        <v>0</v>
      </c>
      <c r="I1187" s="74">
        <f>'12-2017'!I1277</f>
        <v>0</v>
      </c>
      <c r="J1187" s="74">
        <f>'12-2017'!J1277</f>
        <v>0</v>
      </c>
    </row>
    <row r="1188" spans="1:10" s="58" customFormat="1" ht="17.25" hidden="1">
      <c r="A1188" s="10">
        <f>'12-2017'!A1278</f>
        <v>85</v>
      </c>
      <c r="B1188" s="11" t="str">
        <f>'12-2017'!B1278</f>
        <v xml:space="preserve"> Þ 75 x 6,8mm  10 bar</v>
      </c>
      <c r="C1188" s="12" t="str">
        <f>'12-2017'!C1278</f>
        <v>đ/m</v>
      </c>
      <c r="D1188" s="13">
        <f>'12-2017'!O1278</f>
        <v>285000</v>
      </c>
      <c r="E1188" s="13">
        <f>'12-2017'!P1278</f>
        <v>285000</v>
      </c>
      <c r="F1188" s="130">
        <f t="shared" si="55"/>
        <v>0</v>
      </c>
      <c r="H1188" s="74">
        <f>'12-2017'!H1278</f>
        <v>0</v>
      </c>
      <c r="I1188" s="74">
        <f>'12-2017'!I1278</f>
        <v>0</v>
      </c>
      <c r="J1188" s="74">
        <f>'12-2017'!J1278</f>
        <v>0</v>
      </c>
    </row>
    <row r="1189" spans="1:10" s="58" customFormat="1" ht="17.25" hidden="1">
      <c r="A1189" s="10">
        <f>'12-2017'!A1279</f>
        <v>86</v>
      </c>
      <c r="B1189" s="11" t="str">
        <f>'12-2017'!B1279</f>
        <v xml:space="preserve"> Þ 90 x 8,2mm  10 bar</v>
      </c>
      <c r="C1189" s="12" t="str">
        <f>'12-2017'!C1279</f>
        <v>đ/m</v>
      </c>
      <c r="D1189" s="13">
        <f>'12-2017'!O1279</f>
        <v>600000</v>
      </c>
      <c r="E1189" s="13">
        <f>'12-2017'!P1279</f>
        <v>600000</v>
      </c>
      <c r="F1189" s="130">
        <f t="shared" si="55"/>
        <v>0</v>
      </c>
      <c r="H1189" s="74">
        <f>'12-2017'!H1279</f>
        <v>0</v>
      </c>
      <c r="I1189" s="74">
        <f>'12-2017'!I1279</f>
        <v>0</v>
      </c>
      <c r="J1189" s="74">
        <f>'12-2017'!J1279</f>
        <v>0</v>
      </c>
    </row>
    <row r="1190" spans="1:10" s="58" customFormat="1" ht="17.25" hidden="1">
      <c r="A1190" s="10">
        <f>'12-2017'!A1280</f>
        <v>87</v>
      </c>
      <c r="B1190" s="11" t="str">
        <f>'12-2017'!B1280</f>
        <v xml:space="preserve"> Þ 160 x 14,6mm  10 bar</v>
      </c>
      <c r="C1190" s="12" t="str">
        <f>'12-2017'!C1280</f>
        <v>đ/m</v>
      </c>
      <c r="D1190" s="13">
        <f>'12-2017'!O1280</f>
        <v>2032000</v>
      </c>
      <c r="E1190" s="13">
        <f>'12-2017'!P1280</f>
        <v>2032000</v>
      </c>
      <c r="F1190" s="130">
        <f t="shared" si="55"/>
        <v>0</v>
      </c>
      <c r="H1190" s="74">
        <f>'12-2017'!H1280</f>
        <v>0</v>
      </c>
      <c r="I1190" s="74">
        <f>'12-2017'!I1280</f>
        <v>0</v>
      </c>
      <c r="J1190" s="74">
        <f>'12-2017'!J1280</f>
        <v>0</v>
      </c>
    </row>
    <row r="1191" spans="1:10" s="73" customFormat="1" ht="17.25">
      <c r="A1191" s="17"/>
      <c r="B1191" s="237" t="str">
        <f>'12-2017'!B1281</f>
        <v>*  Công ty Cổ phần Nhựa Tân Tiến (giá giao tại công trình). Theo bảng giá ngày 02/01/2016</v>
      </c>
      <c r="C1191" s="238"/>
      <c r="D1191" s="238"/>
      <c r="E1191" s="238"/>
      <c r="F1191" s="239"/>
      <c r="H1191" s="74">
        <f>'12-2017'!H1281</f>
        <v>0</v>
      </c>
      <c r="I1191" s="74">
        <f>'12-2017'!I1281</f>
        <v>0</v>
      </c>
      <c r="J1191" s="74">
        <f>'12-2017'!J1281</f>
        <v>0</v>
      </c>
    </row>
    <row r="1192" spans="1:10" s="73" customFormat="1" ht="17.25" hidden="1">
      <c r="A1192" s="17"/>
      <c r="B1192" s="9" t="str">
        <f>'12-2017'!B1282</f>
        <v xml:space="preserve"> - Ống uPVC Tân Tiến - tiêu chuẩn BS 3505: 1968 (hệ In)</v>
      </c>
      <c r="C1192" s="8"/>
      <c r="D1192" s="22"/>
      <c r="E1192" s="22"/>
      <c r="F1192" s="131"/>
      <c r="H1192" s="74">
        <f>'12-2017'!H1282</f>
        <v>0</v>
      </c>
      <c r="I1192" s="74">
        <f>'12-2017'!I1282</f>
        <v>0</v>
      </c>
      <c r="J1192" s="74">
        <f>'12-2017'!J1282</f>
        <v>0</v>
      </c>
    </row>
    <row r="1193" spans="1:10" s="58" customFormat="1" ht="17.25" hidden="1">
      <c r="A1193" s="10">
        <f>'12-2017'!A1283</f>
        <v>1</v>
      </c>
      <c r="B1193" s="11" t="str">
        <f>'12-2017'!B1283</f>
        <v xml:space="preserve"> Þ 21mm x 1,6mm</v>
      </c>
      <c r="C1193" s="12" t="str">
        <f>'12-2017'!C1283</f>
        <v>đ/mét</v>
      </c>
      <c r="D1193" s="13">
        <f>'12-2017'!O1283</f>
        <v>6150</v>
      </c>
      <c r="E1193" s="13">
        <f>'12-2017'!P1283</f>
        <v>6150</v>
      </c>
      <c r="F1193" s="130">
        <f t="shared" si="55"/>
        <v>0</v>
      </c>
      <c r="H1193" s="74">
        <f>'12-2017'!H1283</f>
        <v>0</v>
      </c>
      <c r="I1193" s="74">
        <f>'12-2017'!I1283</f>
        <v>0</v>
      </c>
      <c r="J1193" s="74">
        <f>'12-2017'!J1283</f>
        <v>0</v>
      </c>
    </row>
    <row r="1194" spans="1:10" s="58" customFormat="1" ht="17.25" hidden="1">
      <c r="A1194" s="10">
        <f>'12-2017'!A1284</f>
        <v>2</v>
      </c>
      <c r="B1194" s="11" t="str">
        <f>'12-2017'!B1284</f>
        <v xml:space="preserve"> Þ 21mm x 2,0mm</v>
      </c>
      <c r="C1194" s="12" t="str">
        <f>'12-2017'!C1284</f>
        <v>đ/mét</v>
      </c>
      <c r="D1194" s="13">
        <f>'12-2017'!O1284</f>
        <v>7500</v>
      </c>
      <c r="E1194" s="13">
        <f>'12-2017'!P1284</f>
        <v>7500</v>
      </c>
      <c r="F1194" s="130">
        <f t="shared" si="55"/>
        <v>0</v>
      </c>
      <c r="H1194" s="74">
        <f>'12-2017'!H1284</f>
        <v>0</v>
      </c>
      <c r="I1194" s="74">
        <f>'12-2017'!I1284</f>
        <v>0</v>
      </c>
      <c r="J1194" s="74">
        <f>'12-2017'!J1284</f>
        <v>0</v>
      </c>
    </row>
    <row r="1195" spans="1:10" s="58" customFormat="1" ht="17.25" hidden="1">
      <c r="A1195" s="10">
        <f>'12-2017'!A1285</f>
        <v>3</v>
      </c>
      <c r="B1195" s="11" t="str">
        <f>'12-2017'!B1285</f>
        <v xml:space="preserve"> Þ 27mm x 1,8mm</v>
      </c>
      <c r="C1195" s="12" t="str">
        <f>'12-2017'!C1285</f>
        <v>đ/mét</v>
      </c>
      <c r="D1195" s="13">
        <f>'12-2017'!O1285</f>
        <v>8750</v>
      </c>
      <c r="E1195" s="13">
        <f>'12-2017'!P1285</f>
        <v>8750</v>
      </c>
      <c r="F1195" s="130">
        <f t="shared" si="55"/>
        <v>0</v>
      </c>
      <c r="H1195" s="74">
        <f>'12-2017'!H1285</f>
        <v>0</v>
      </c>
      <c r="I1195" s="74">
        <f>'12-2017'!I1285</f>
        <v>0</v>
      </c>
      <c r="J1195" s="74">
        <f>'12-2017'!J1285</f>
        <v>0</v>
      </c>
    </row>
    <row r="1196" spans="1:10" s="58" customFormat="1" ht="17.25" hidden="1">
      <c r="A1196" s="10">
        <f>'12-2017'!A1286</f>
        <v>4</v>
      </c>
      <c r="B1196" s="11" t="str">
        <f>'12-2017'!B1286</f>
        <v xml:space="preserve"> Þ 34mm x 1,8mm</v>
      </c>
      <c r="C1196" s="12" t="str">
        <f>'12-2017'!C1286</f>
        <v>đ/mét</v>
      </c>
      <c r="D1196" s="13">
        <f>'12-2017'!O1286</f>
        <v>10500</v>
      </c>
      <c r="E1196" s="13">
        <f>'12-2017'!P1286</f>
        <v>10500</v>
      </c>
      <c r="F1196" s="130">
        <f t="shared" si="55"/>
        <v>0</v>
      </c>
      <c r="H1196" s="74">
        <f>'12-2017'!H1286</f>
        <v>0</v>
      </c>
      <c r="I1196" s="74">
        <f>'12-2017'!I1286</f>
        <v>0</v>
      </c>
      <c r="J1196" s="74">
        <f>'12-2017'!J1286</f>
        <v>0</v>
      </c>
    </row>
    <row r="1197" spans="1:10" s="58" customFormat="1" ht="17.25" hidden="1">
      <c r="A1197" s="10">
        <f>'12-2017'!A1287</f>
        <v>5</v>
      </c>
      <c r="B1197" s="11" t="str">
        <f>'12-2017'!B1287</f>
        <v xml:space="preserve"> Þ 42mm x 2,1mm</v>
      </c>
      <c r="C1197" s="12" t="str">
        <f>'12-2017'!C1287</f>
        <v>đ/mét</v>
      </c>
      <c r="D1197" s="13">
        <f>'12-2017'!O1287</f>
        <v>16350</v>
      </c>
      <c r="E1197" s="13">
        <f>'12-2017'!P1287</f>
        <v>16350</v>
      </c>
      <c r="F1197" s="130">
        <f t="shared" si="55"/>
        <v>0</v>
      </c>
      <c r="H1197" s="74">
        <f>'12-2017'!H1287</f>
        <v>0</v>
      </c>
      <c r="I1197" s="74">
        <f>'12-2017'!I1287</f>
        <v>0</v>
      </c>
      <c r="J1197" s="74">
        <f>'12-2017'!J1287</f>
        <v>0</v>
      </c>
    </row>
    <row r="1198" spans="1:10" s="58" customFormat="1" ht="17.25" hidden="1">
      <c r="A1198" s="10">
        <f>'12-2017'!A1288</f>
        <v>6</v>
      </c>
      <c r="B1198" s="11" t="str">
        <f>'12-2017'!B1288</f>
        <v xml:space="preserve"> Þ 42mm x 3,5mm</v>
      </c>
      <c r="C1198" s="12" t="str">
        <f>'12-2017'!C1288</f>
        <v>đ/mét</v>
      </c>
      <c r="D1198" s="13">
        <f>'12-2017'!O1288</f>
        <v>26600</v>
      </c>
      <c r="E1198" s="13">
        <f>'12-2017'!P1288</f>
        <v>26600</v>
      </c>
      <c r="F1198" s="130">
        <f t="shared" si="55"/>
        <v>0</v>
      </c>
      <c r="H1198" s="74">
        <f>'12-2017'!H1288</f>
        <v>0</v>
      </c>
      <c r="I1198" s="74">
        <f>'12-2017'!I1288</f>
        <v>0</v>
      </c>
      <c r="J1198" s="74">
        <f>'12-2017'!J1288</f>
        <v>0</v>
      </c>
    </row>
    <row r="1199" spans="1:10" s="58" customFormat="1" ht="17.25" hidden="1">
      <c r="A1199" s="10">
        <f>'12-2017'!A1289</f>
        <v>7</v>
      </c>
      <c r="B1199" s="11" t="str">
        <f>'12-2017'!B1289</f>
        <v xml:space="preserve"> Þ 49mm x 2,4mm</v>
      </c>
      <c r="C1199" s="12" t="str">
        <f>'12-2017'!C1289</f>
        <v>đ/mét</v>
      </c>
      <c r="D1199" s="13">
        <f>'12-2017'!O1289</f>
        <v>21350</v>
      </c>
      <c r="E1199" s="13">
        <f>'12-2017'!P1289</f>
        <v>21350</v>
      </c>
      <c r="F1199" s="130">
        <f t="shared" si="55"/>
        <v>0</v>
      </c>
      <c r="H1199" s="74">
        <f>'12-2017'!H1289</f>
        <v>0</v>
      </c>
      <c r="I1199" s="74">
        <f>'12-2017'!I1289</f>
        <v>0</v>
      </c>
      <c r="J1199" s="74">
        <f>'12-2017'!J1289</f>
        <v>0</v>
      </c>
    </row>
    <row r="1200" spans="1:10" s="58" customFormat="1" ht="17.25" hidden="1">
      <c r="A1200" s="10">
        <f>'12-2017'!A1290</f>
        <v>8</v>
      </c>
      <c r="B1200" s="11" t="str">
        <f>'12-2017'!B1290</f>
        <v xml:space="preserve"> Þ 49mm x 3,5mm</v>
      </c>
      <c r="C1200" s="12" t="str">
        <f>'12-2017'!C1290</f>
        <v>đ/mét</v>
      </c>
      <c r="D1200" s="13">
        <f>'12-2017'!O1290</f>
        <v>31400</v>
      </c>
      <c r="E1200" s="13">
        <f>'12-2017'!P1290</f>
        <v>31400</v>
      </c>
      <c r="F1200" s="130">
        <f t="shared" si="55"/>
        <v>0</v>
      </c>
      <c r="H1200" s="74">
        <f>'12-2017'!H1290</f>
        <v>0</v>
      </c>
      <c r="I1200" s="74">
        <f>'12-2017'!I1290</f>
        <v>0</v>
      </c>
      <c r="J1200" s="74">
        <f>'12-2017'!J1290</f>
        <v>0</v>
      </c>
    </row>
    <row r="1201" spans="1:10" s="58" customFormat="1" ht="17.25" hidden="1">
      <c r="A1201" s="10">
        <f>'12-2017'!A1291</f>
        <v>9</v>
      </c>
      <c r="B1201" s="11" t="str">
        <f>'12-2017'!B1291</f>
        <v xml:space="preserve"> Þ 60mm x 3,5mm</v>
      </c>
      <c r="C1201" s="12" t="str">
        <f>'12-2017'!C1291</f>
        <v>đ/mét</v>
      </c>
      <c r="D1201" s="13">
        <f>'12-2017'!O1291</f>
        <v>38900</v>
      </c>
      <c r="E1201" s="13">
        <f>'12-2017'!P1291</f>
        <v>38900</v>
      </c>
      <c r="F1201" s="130">
        <f t="shared" si="55"/>
        <v>0</v>
      </c>
      <c r="H1201" s="74">
        <f>'12-2017'!H1291</f>
        <v>0</v>
      </c>
      <c r="I1201" s="74">
        <f>'12-2017'!I1291</f>
        <v>0</v>
      </c>
      <c r="J1201" s="74">
        <f>'12-2017'!J1291</f>
        <v>0</v>
      </c>
    </row>
    <row r="1202" spans="1:10" s="58" customFormat="1" ht="17.25" hidden="1">
      <c r="A1202" s="10">
        <f>'12-2017'!A1292</f>
        <v>10</v>
      </c>
      <c r="B1202" s="11" t="str">
        <f>'12-2017'!B1292</f>
        <v xml:space="preserve"> Þ 90mm x 2,7mm</v>
      </c>
      <c r="C1202" s="12" t="str">
        <f>'12-2017'!C1292</f>
        <v>đ/mét</v>
      </c>
      <c r="D1202" s="13">
        <f>'12-2017'!O1292</f>
        <v>48200</v>
      </c>
      <c r="E1202" s="13">
        <f>'12-2017'!P1292</f>
        <v>48200</v>
      </c>
      <c r="F1202" s="130">
        <f t="shared" si="55"/>
        <v>0</v>
      </c>
      <c r="H1202" s="74">
        <f>'12-2017'!H1292</f>
        <v>0</v>
      </c>
      <c r="I1202" s="74">
        <f>'12-2017'!I1292</f>
        <v>0</v>
      </c>
      <c r="J1202" s="74">
        <f>'12-2017'!J1292</f>
        <v>0</v>
      </c>
    </row>
    <row r="1203" spans="1:10" s="58" customFormat="1" ht="17.25" hidden="1">
      <c r="A1203" s="10">
        <f>'12-2017'!A1293</f>
        <v>11</v>
      </c>
      <c r="B1203" s="11" t="str">
        <f>'12-2017'!B1293</f>
        <v xml:space="preserve"> Þ 90mm x 3,8mm</v>
      </c>
      <c r="C1203" s="12" t="str">
        <f>'12-2017'!C1293</f>
        <v>đ/mét</v>
      </c>
      <c r="D1203" s="13">
        <f>'12-2017'!O1293</f>
        <v>63150</v>
      </c>
      <c r="E1203" s="13">
        <f>'12-2017'!P1293</f>
        <v>63150</v>
      </c>
      <c r="F1203" s="130">
        <f t="shared" si="55"/>
        <v>0</v>
      </c>
      <c r="H1203" s="74">
        <f>'12-2017'!H1293</f>
        <v>0</v>
      </c>
      <c r="I1203" s="74">
        <f>'12-2017'!I1293</f>
        <v>0</v>
      </c>
      <c r="J1203" s="74">
        <f>'12-2017'!J1293</f>
        <v>0</v>
      </c>
    </row>
    <row r="1204" spans="1:10" s="58" customFormat="1" ht="17.25" hidden="1">
      <c r="A1204" s="10">
        <f>'12-2017'!A1294</f>
        <v>12</v>
      </c>
      <c r="B1204" s="11" t="str">
        <f>'12-2017'!B1294</f>
        <v xml:space="preserve"> Þ 114mm x 3,2mm</v>
      </c>
      <c r="C1204" s="12" t="str">
        <f>'12-2017'!C1294</f>
        <v>đ/mét</v>
      </c>
      <c r="D1204" s="13">
        <f>'12-2017'!O1294</f>
        <v>68700</v>
      </c>
      <c r="E1204" s="13">
        <f>'12-2017'!P1294</f>
        <v>68700</v>
      </c>
      <c r="F1204" s="130">
        <f t="shared" si="55"/>
        <v>0</v>
      </c>
      <c r="H1204" s="74">
        <f>'12-2017'!H1294</f>
        <v>0</v>
      </c>
      <c r="I1204" s="74">
        <f>'12-2017'!I1294</f>
        <v>0</v>
      </c>
      <c r="J1204" s="74">
        <f>'12-2017'!J1294</f>
        <v>0</v>
      </c>
    </row>
    <row r="1205" spans="1:10" s="58" customFormat="1" ht="17.25" hidden="1">
      <c r="A1205" s="10">
        <f>'12-2017'!A1295</f>
        <v>13</v>
      </c>
      <c r="B1205" s="11" t="str">
        <f>'12-2017'!B1295</f>
        <v xml:space="preserve"> Þ 114mm x 3,8mm</v>
      </c>
      <c r="C1205" s="12" t="str">
        <f>'12-2017'!C1295</f>
        <v>đ/mét</v>
      </c>
      <c r="D1205" s="13">
        <f>'12-2017'!O1295</f>
        <v>80900</v>
      </c>
      <c r="E1205" s="13">
        <f>'12-2017'!P1295</f>
        <v>80900</v>
      </c>
      <c r="F1205" s="130">
        <f t="shared" si="55"/>
        <v>0</v>
      </c>
      <c r="H1205" s="74">
        <f>'12-2017'!H1295</f>
        <v>0</v>
      </c>
      <c r="I1205" s="74">
        <f>'12-2017'!I1295</f>
        <v>0</v>
      </c>
      <c r="J1205" s="74">
        <f>'12-2017'!J1295</f>
        <v>0</v>
      </c>
    </row>
    <row r="1206" spans="1:10" s="58" customFormat="1" ht="17.25" hidden="1">
      <c r="A1206" s="10">
        <f>'12-2017'!A1296</f>
        <v>14</v>
      </c>
      <c r="B1206" s="11" t="str">
        <f>'12-2017'!B1296</f>
        <v xml:space="preserve"> Þ 168mm x 4,3mm</v>
      </c>
      <c r="C1206" s="12" t="str">
        <f>'12-2017'!C1296</f>
        <v>đ/mét</v>
      </c>
      <c r="D1206" s="13">
        <f>'12-2017'!O1296</f>
        <v>135700</v>
      </c>
      <c r="E1206" s="13">
        <f>'12-2017'!P1296</f>
        <v>135700</v>
      </c>
      <c r="F1206" s="130">
        <f t="shared" si="55"/>
        <v>0</v>
      </c>
      <c r="H1206" s="74">
        <f>'12-2017'!H1296</f>
        <v>0</v>
      </c>
      <c r="I1206" s="74">
        <f>'12-2017'!I1296</f>
        <v>0</v>
      </c>
      <c r="J1206" s="74">
        <f>'12-2017'!J1296</f>
        <v>0</v>
      </c>
    </row>
    <row r="1207" spans="1:10" s="73" customFormat="1" ht="17.25" hidden="1">
      <c r="A1207" s="17"/>
      <c r="B1207" s="237" t="str">
        <f>'12-2017'!B1297</f>
        <v xml:space="preserve"> - Ống uPVC Tân Tiến - tiêu chuẩn TCVN 6151:1996  tương đương tiêu chuẩn ISO 4422:1990 (hệ mét)</v>
      </c>
      <c r="C1207" s="238"/>
      <c r="D1207" s="238"/>
      <c r="E1207" s="238"/>
      <c r="F1207" s="239"/>
      <c r="H1207" s="74">
        <f>'12-2017'!H1297</f>
        <v>0</v>
      </c>
      <c r="I1207" s="74">
        <f>'12-2017'!I1297</f>
        <v>0</v>
      </c>
      <c r="J1207" s="74">
        <f>'12-2017'!J1297</f>
        <v>0</v>
      </c>
    </row>
    <row r="1208" spans="1:10" s="58" customFormat="1" ht="17.25" hidden="1">
      <c r="A1208" s="10">
        <f>'12-2017'!A1298</f>
        <v>15</v>
      </c>
      <c r="B1208" s="11" t="str">
        <f>'12-2017'!B1298</f>
        <v xml:space="preserve"> Þ 75mm x 3,0mm</v>
      </c>
      <c r="C1208" s="12" t="str">
        <f>'12-2017'!C1298</f>
        <v>đ/mét</v>
      </c>
      <c r="D1208" s="13">
        <f>'12-2017'!O1298</f>
        <v>43500</v>
      </c>
      <c r="E1208" s="13">
        <f>'12-2017'!P1298</f>
        <v>43500</v>
      </c>
      <c r="F1208" s="130">
        <f t="shared" si="55"/>
        <v>0</v>
      </c>
      <c r="H1208" s="74">
        <f>'12-2017'!H1298</f>
        <v>0</v>
      </c>
      <c r="I1208" s="74">
        <f>'12-2017'!I1298</f>
        <v>0</v>
      </c>
      <c r="J1208" s="74">
        <f>'12-2017'!J1298</f>
        <v>0</v>
      </c>
    </row>
    <row r="1209" spans="1:10" s="58" customFormat="1" ht="17.25" hidden="1">
      <c r="A1209" s="10">
        <f>'12-2017'!A1299</f>
        <v>16</v>
      </c>
      <c r="B1209" s="11" t="str">
        <f>'12-2017'!B1299</f>
        <v xml:space="preserve"> Þ 110mm x 3,2mm</v>
      </c>
      <c r="C1209" s="12" t="str">
        <f>'12-2017'!C1299</f>
        <v>đ/mét</v>
      </c>
      <c r="D1209" s="13">
        <f>'12-2017'!O1299</f>
        <v>72000</v>
      </c>
      <c r="E1209" s="13">
        <f>'12-2017'!P1299</f>
        <v>72000</v>
      </c>
      <c r="F1209" s="130">
        <f t="shared" si="55"/>
        <v>0</v>
      </c>
      <c r="H1209" s="74">
        <f>'12-2017'!H1299</f>
        <v>0</v>
      </c>
      <c r="I1209" s="74">
        <f>'12-2017'!I1299</f>
        <v>0</v>
      </c>
      <c r="J1209" s="74">
        <f>'12-2017'!J1299</f>
        <v>0</v>
      </c>
    </row>
    <row r="1210" spans="1:10" s="58" customFormat="1" ht="17.25" hidden="1">
      <c r="A1210" s="10">
        <f>'12-2017'!A1300</f>
        <v>17</v>
      </c>
      <c r="B1210" s="11" t="str">
        <f>'12-2017'!B1300</f>
        <v xml:space="preserve"> Þ 140mm x 4,1mm</v>
      </c>
      <c r="C1210" s="12" t="str">
        <f>'12-2017'!C1300</f>
        <v>đ/mét</v>
      </c>
      <c r="D1210" s="13">
        <f>'12-2017'!O1300</f>
        <v>116200</v>
      </c>
      <c r="E1210" s="13">
        <f>'12-2017'!P1300</f>
        <v>116200</v>
      </c>
      <c r="F1210" s="130">
        <f t="shared" si="55"/>
        <v>0</v>
      </c>
      <c r="H1210" s="74">
        <f>'12-2017'!H1300</f>
        <v>0</v>
      </c>
      <c r="I1210" s="74">
        <f>'12-2017'!I1300</f>
        <v>0</v>
      </c>
      <c r="J1210" s="74">
        <f>'12-2017'!J1300</f>
        <v>0</v>
      </c>
    </row>
    <row r="1211" spans="1:10" s="58" customFormat="1" ht="17.25" hidden="1">
      <c r="A1211" s="10">
        <f>'12-2017'!A1301</f>
        <v>18</v>
      </c>
      <c r="B1211" s="11" t="str">
        <f>'12-2017'!B1301</f>
        <v xml:space="preserve"> Þ 160mm x 4,7mm</v>
      </c>
      <c r="C1211" s="12" t="str">
        <f>'12-2017'!C1301</f>
        <v>đ/mét</v>
      </c>
      <c r="D1211" s="13">
        <f>'12-2017'!O1301</f>
        <v>151000</v>
      </c>
      <c r="E1211" s="13">
        <f>'12-2017'!P1301</f>
        <v>151000</v>
      </c>
      <c r="F1211" s="130">
        <f t="shared" si="55"/>
        <v>0</v>
      </c>
      <c r="H1211" s="74">
        <f>'12-2017'!H1301</f>
        <v>0</v>
      </c>
      <c r="I1211" s="74">
        <f>'12-2017'!I1301</f>
        <v>0</v>
      </c>
      <c r="J1211" s="74">
        <f>'12-2017'!J1301</f>
        <v>0</v>
      </c>
    </row>
    <row r="1212" spans="1:10" s="58" customFormat="1" ht="17.25" hidden="1">
      <c r="A1212" s="10">
        <f>'12-2017'!A1302</f>
        <v>19</v>
      </c>
      <c r="B1212" s="11" t="str">
        <f>'12-2017'!B1302</f>
        <v xml:space="preserve"> Þ 200mm x 5,9mm</v>
      </c>
      <c r="C1212" s="12" t="str">
        <f>'12-2017'!C1302</f>
        <v>đ/mét</v>
      </c>
      <c r="D1212" s="13">
        <f>'12-2017'!O1302</f>
        <v>235200</v>
      </c>
      <c r="E1212" s="13">
        <f>'12-2017'!P1302</f>
        <v>235200</v>
      </c>
      <c r="F1212" s="130">
        <f t="shared" si="55"/>
        <v>0</v>
      </c>
      <c r="H1212" s="74">
        <f>'12-2017'!H1302</f>
        <v>0</v>
      </c>
      <c r="I1212" s="74">
        <f>'12-2017'!I1302</f>
        <v>0</v>
      </c>
      <c r="J1212" s="74">
        <f>'12-2017'!J1302</f>
        <v>0</v>
      </c>
    </row>
    <row r="1213" spans="1:10" s="73" customFormat="1" ht="17.25" hidden="1">
      <c r="A1213" s="17"/>
      <c r="B1213" s="237" t="str">
        <f>'12-2017'!B1303</f>
        <v xml:space="preserve"> - Ống uPVC Tân Tiến - tiêu chuẩn AS 1477:1996 &amp; AS 2977: 1998 (CIOD - nối với ống gang) </v>
      </c>
      <c r="C1213" s="238"/>
      <c r="D1213" s="238"/>
      <c r="E1213" s="238"/>
      <c r="F1213" s="239"/>
      <c r="H1213" s="74">
        <f>'12-2017'!H1303</f>
        <v>0</v>
      </c>
      <c r="I1213" s="74">
        <f>'12-2017'!I1303</f>
        <v>0</v>
      </c>
      <c r="J1213" s="74">
        <f>'12-2017'!J1303</f>
        <v>0</v>
      </c>
    </row>
    <row r="1214" spans="1:10" s="58" customFormat="1" ht="17.25" hidden="1">
      <c r="A1214" s="10">
        <f>'12-2017'!A1304</f>
        <v>20</v>
      </c>
      <c r="B1214" s="11" t="str">
        <f>'12-2017'!B1304</f>
        <v xml:space="preserve"> Þ100 (121mm x 6,7mm)</v>
      </c>
      <c r="C1214" s="12" t="str">
        <f>'12-2017'!C1304</f>
        <v>đ/mét</v>
      </c>
      <c r="D1214" s="13">
        <f>'12-2017'!O1304</f>
        <v>151100</v>
      </c>
      <c r="E1214" s="13">
        <f>'12-2017'!P1304</f>
        <v>151100</v>
      </c>
      <c r="F1214" s="130">
        <f t="shared" si="55"/>
        <v>0</v>
      </c>
      <c r="H1214" s="74">
        <f>'12-2017'!H1304</f>
        <v>0</v>
      </c>
      <c r="I1214" s="74">
        <f>'12-2017'!I1304</f>
        <v>0</v>
      </c>
      <c r="J1214" s="74">
        <f>'12-2017'!J1304</f>
        <v>0</v>
      </c>
    </row>
    <row r="1215" spans="1:10" s="58" customFormat="1" ht="17.25" hidden="1">
      <c r="A1215" s="10">
        <f>'12-2017'!A1305</f>
        <v>21</v>
      </c>
      <c r="B1215" s="11" t="str">
        <f>'12-2017'!B1305</f>
        <v xml:space="preserve"> Þ 150 (177mm x 9,7mm)</v>
      </c>
      <c r="C1215" s="12" t="str">
        <f>'12-2017'!C1305</f>
        <v>đ/mét</v>
      </c>
      <c r="D1215" s="13">
        <f>'12-2017'!O1305</f>
        <v>319200</v>
      </c>
      <c r="E1215" s="13">
        <f>'12-2017'!P1305</f>
        <v>319200</v>
      </c>
      <c r="F1215" s="130">
        <f t="shared" si="55"/>
        <v>0</v>
      </c>
      <c r="H1215" s="74">
        <f>'12-2017'!H1305</f>
        <v>0</v>
      </c>
      <c r="I1215" s="74">
        <f>'12-2017'!I1305</f>
        <v>0</v>
      </c>
      <c r="J1215" s="74">
        <f>'12-2017'!J1305</f>
        <v>0</v>
      </c>
    </row>
    <row r="1216" spans="1:10" s="58" customFormat="1" ht="17.25" hidden="1">
      <c r="A1216" s="10">
        <f>'12-2017'!A1306</f>
        <v>22</v>
      </c>
      <c r="B1216" s="11" t="str">
        <f>'12-2017'!B1306</f>
        <v xml:space="preserve"> Þ 150 (177mm x 11,7mm)</v>
      </c>
      <c r="C1216" s="12" t="str">
        <f>'12-2017'!C1306</f>
        <v>đ/mét</v>
      </c>
      <c r="D1216" s="13">
        <f>'12-2017'!O1306</f>
        <v>406300</v>
      </c>
      <c r="E1216" s="13">
        <f>'12-2017'!P1306</f>
        <v>406300</v>
      </c>
      <c r="F1216" s="130">
        <f t="shared" si="55"/>
        <v>0</v>
      </c>
      <c r="H1216" s="74">
        <f>'12-2017'!H1306</f>
        <v>0</v>
      </c>
      <c r="I1216" s="74">
        <f>'12-2017'!I1306</f>
        <v>0</v>
      </c>
      <c r="J1216" s="74">
        <f>'12-2017'!J1306</f>
        <v>0</v>
      </c>
    </row>
    <row r="1217" spans="1:10" s="73" customFormat="1" ht="17.25" hidden="1">
      <c r="A1217" s="17"/>
      <c r="B1217" s="9" t="str">
        <f>'12-2017'!B1307</f>
        <v xml:space="preserve"> - Ống uPVC Tân Tiến - tiêu chuẩn CIOD 2531 (nối với ống gang) </v>
      </c>
      <c r="C1217" s="8"/>
      <c r="D1217" s="22"/>
      <c r="E1217" s="22"/>
      <c r="F1217" s="131"/>
      <c r="H1217" s="74">
        <f>'12-2017'!H1307</f>
        <v>0</v>
      </c>
      <c r="I1217" s="74">
        <f>'12-2017'!I1307</f>
        <v>0</v>
      </c>
      <c r="J1217" s="74">
        <f>'12-2017'!J1307</f>
        <v>0</v>
      </c>
    </row>
    <row r="1218" spans="1:10" s="58" customFormat="1" ht="17.25" hidden="1">
      <c r="A1218" s="10">
        <f>'12-2017'!A1308</f>
        <v>23</v>
      </c>
      <c r="B1218" s="11" t="str">
        <f>'12-2017'!B1308</f>
        <v xml:space="preserve"> Þ 200 (222mm x 9,7mm)</v>
      </c>
      <c r="C1218" s="12" t="str">
        <f>'12-2017'!C1308</f>
        <v>đ/mét</v>
      </c>
      <c r="D1218" s="13">
        <f>'12-2017'!O1308</f>
        <v>407900</v>
      </c>
      <c r="E1218" s="13">
        <f>'12-2017'!P1308</f>
        <v>407900</v>
      </c>
      <c r="F1218" s="130">
        <f t="shared" si="55"/>
        <v>0</v>
      </c>
      <c r="H1218" s="74">
        <f>'12-2017'!H1308</f>
        <v>0</v>
      </c>
      <c r="I1218" s="74">
        <f>'12-2017'!I1308</f>
        <v>0</v>
      </c>
      <c r="J1218" s="74">
        <f>'12-2017'!J1308</f>
        <v>0</v>
      </c>
    </row>
    <row r="1219" spans="1:10" s="58" customFormat="1" ht="17.25" hidden="1">
      <c r="A1219" s="10">
        <f>'12-2017'!A1309</f>
        <v>24</v>
      </c>
      <c r="B1219" s="11" t="str">
        <f>'12-2017'!B1309</f>
        <v xml:space="preserve"> Þ 200 (222mm x 11,4mm)</v>
      </c>
      <c r="C1219" s="12" t="str">
        <f>'12-2017'!C1309</f>
        <v>đ/mét</v>
      </c>
      <c r="D1219" s="13">
        <f>'12-2017'!O1309</f>
        <v>475600</v>
      </c>
      <c r="E1219" s="13">
        <f>'12-2017'!P1309</f>
        <v>475600</v>
      </c>
      <c r="F1219" s="130">
        <f t="shared" si="55"/>
        <v>0</v>
      </c>
      <c r="H1219" s="74">
        <f>'12-2017'!H1309</f>
        <v>0</v>
      </c>
      <c r="I1219" s="74">
        <f>'12-2017'!I1309</f>
        <v>0</v>
      </c>
      <c r="J1219" s="74">
        <f>'12-2017'!J1309</f>
        <v>0</v>
      </c>
    </row>
    <row r="1220" spans="1:10" s="58" customFormat="1" ht="17.25" hidden="1">
      <c r="A1220" s="10">
        <f>'12-2017'!A1310</f>
        <v>25</v>
      </c>
      <c r="B1220" s="11" t="str">
        <f>'12-2017'!B1310</f>
        <v xml:space="preserve"> Þ 200 (222mm x 13,7mm)</v>
      </c>
      <c r="C1220" s="12" t="str">
        <f>'12-2017'!C1310</f>
        <v>đ/mét</v>
      </c>
      <c r="D1220" s="13">
        <f>'12-2017'!O1310</f>
        <v>629900</v>
      </c>
      <c r="E1220" s="13">
        <f>'12-2017'!P1310</f>
        <v>629900</v>
      </c>
      <c r="F1220" s="130">
        <f t="shared" si="55"/>
        <v>0</v>
      </c>
      <c r="H1220" s="74">
        <f>'12-2017'!H1310</f>
        <v>0</v>
      </c>
      <c r="I1220" s="74">
        <f>'12-2017'!I1310</f>
        <v>0</v>
      </c>
      <c r="J1220" s="74">
        <f>'12-2017'!J1310</f>
        <v>0</v>
      </c>
    </row>
    <row r="1221" spans="1:10" s="73" customFormat="1" ht="17.25" hidden="1">
      <c r="A1221" s="17"/>
      <c r="B1221" s="9" t="str">
        <f>'12-2017'!B1311</f>
        <v xml:space="preserve"> - Ống HDPE - PE 100 Tân Tiến - tiêu chuẩn ISO 4427: 2007 hoặc DIN 8074:1999.</v>
      </c>
      <c r="C1221" s="8"/>
      <c r="D1221" s="22"/>
      <c r="E1221" s="22"/>
      <c r="F1221" s="131"/>
      <c r="H1221" s="74">
        <f>'12-2017'!H1311</f>
        <v>0</v>
      </c>
      <c r="I1221" s="74">
        <f>'12-2017'!I1311</f>
        <v>0</v>
      </c>
      <c r="J1221" s="74">
        <f>'12-2017'!J1311</f>
        <v>0</v>
      </c>
    </row>
    <row r="1222" spans="1:10" s="58" customFormat="1" ht="17.25" hidden="1">
      <c r="A1222" s="10">
        <f>'12-2017'!A1312</f>
        <v>26</v>
      </c>
      <c r="B1222" s="11" t="str">
        <f>'12-2017'!B1312</f>
        <v xml:space="preserve"> Þ 20 x 2.0mm, áp lực (PN) 16 bar</v>
      </c>
      <c r="C1222" s="12" t="str">
        <f>'12-2017'!C1312</f>
        <v>đ/mét</v>
      </c>
      <c r="D1222" s="13">
        <f>'12-2017'!O1312</f>
        <v>7700</v>
      </c>
      <c r="E1222" s="13">
        <f>'12-2017'!P1312</f>
        <v>7700</v>
      </c>
      <c r="F1222" s="130">
        <f t="shared" si="55"/>
        <v>0</v>
      </c>
      <c r="H1222" s="74">
        <f>'12-2017'!H1312</f>
        <v>0</v>
      </c>
      <c r="I1222" s="74">
        <f>'12-2017'!I1312</f>
        <v>0</v>
      </c>
      <c r="J1222" s="74">
        <f>'12-2017'!J1312</f>
        <v>0</v>
      </c>
    </row>
    <row r="1223" spans="1:10" s="58" customFormat="1" ht="17.25" hidden="1">
      <c r="A1223" s="10">
        <f>'12-2017'!A1313</f>
        <v>27</v>
      </c>
      <c r="B1223" s="11" t="str">
        <f>'12-2017'!B1313</f>
        <v xml:space="preserve"> Þ 25 x 2.3mm, áp lực (PN) 16 bar</v>
      </c>
      <c r="C1223" s="12" t="str">
        <f>'12-2017'!C1313</f>
        <v>đ/mét</v>
      </c>
      <c r="D1223" s="13">
        <f>'12-2017'!O1313</f>
        <v>11500</v>
      </c>
      <c r="E1223" s="13">
        <f>'12-2017'!P1313</f>
        <v>11500</v>
      </c>
      <c r="F1223" s="130">
        <f t="shared" si="55"/>
        <v>0</v>
      </c>
      <c r="H1223" s="74">
        <f>'12-2017'!H1313</f>
        <v>0</v>
      </c>
      <c r="I1223" s="74">
        <f>'12-2017'!I1313</f>
        <v>0</v>
      </c>
      <c r="J1223" s="74">
        <f>'12-2017'!J1313</f>
        <v>0</v>
      </c>
    </row>
    <row r="1224" spans="1:10" s="58" customFormat="1" ht="17.25" hidden="1">
      <c r="A1224" s="10">
        <f>'12-2017'!A1314</f>
        <v>28</v>
      </c>
      <c r="B1224" s="11" t="str">
        <f>'12-2017'!B1314</f>
        <v xml:space="preserve"> Þ 32 x 3.0mm, áp lực (PN) 16 bar</v>
      </c>
      <c r="C1224" s="12" t="str">
        <f>'12-2017'!C1314</f>
        <v>đ/mét</v>
      </c>
      <c r="D1224" s="13">
        <f>'12-2017'!O1314</f>
        <v>18700</v>
      </c>
      <c r="E1224" s="13">
        <f>'12-2017'!P1314</f>
        <v>18700</v>
      </c>
      <c r="F1224" s="130">
        <f t="shared" si="55"/>
        <v>0</v>
      </c>
      <c r="H1224" s="74">
        <f>'12-2017'!H1314</f>
        <v>0</v>
      </c>
      <c r="I1224" s="74">
        <f>'12-2017'!I1314</f>
        <v>0</v>
      </c>
      <c r="J1224" s="74">
        <f>'12-2017'!J1314</f>
        <v>0</v>
      </c>
    </row>
    <row r="1225" spans="1:10" s="58" customFormat="1" ht="17.25" hidden="1">
      <c r="A1225" s="10">
        <f>'12-2017'!A1315</f>
        <v>29</v>
      </c>
      <c r="B1225" s="11" t="str">
        <f>'12-2017'!B1315</f>
        <v xml:space="preserve"> Þ 40 x 3.7mm, áp lực (PN) 16 bar</v>
      </c>
      <c r="C1225" s="12" t="str">
        <f>'12-2017'!C1315</f>
        <v>đ/mét</v>
      </c>
      <c r="D1225" s="13">
        <f>'12-2017'!O1315</f>
        <v>28900</v>
      </c>
      <c r="E1225" s="13">
        <f>'12-2017'!P1315</f>
        <v>28900</v>
      </c>
      <c r="F1225" s="130">
        <f t="shared" si="55"/>
        <v>0</v>
      </c>
      <c r="H1225" s="74">
        <f>'12-2017'!H1315</f>
        <v>0</v>
      </c>
      <c r="I1225" s="74">
        <f>'12-2017'!I1315</f>
        <v>0</v>
      </c>
      <c r="J1225" s="74">
        <f>'12-2017'!J1315</f>
        <v>0</v>
      </c>
    </row>
    <row r="1226" spans="1:10" s="58" customFormat="1" ht="17.25" hidden="1">
      <c r="A1226" s="10">
        <f>'12-2017'!A1316</f>
        <v>30</v>
      </c>
      <c r="B1226" s="11" t="str">
        <f>'12-2017'!B1316</f>
        <v xml:space="preserve"> Þ 50 x 3.7mm, áp lực (PN) 12,5 bar</v>
      </c>
      <c r="C1226" s="12" t="str">
        <f>'12-2017'!C1316</f>
        <v>đ/mét</v>
      </c>
      <c r="D1226" s="13">
        <f>'12-2017'!O1316</f>
        <v>37000</v>
      </c>
      <c r="E1226" s="13">
        <f>'12-2017'!P1316</f>
        <v>37000</v>
      </c>
      <c r="F1226" s="130">
        <f t="shared" si="55"/>
        <v>0</v>
      </c>
      <c r="H1226" s="74">
        <f>'12-2017'!H1316</f>
        <v>0</v>
      </c>
      <c r="I1226" s="74">
        <f>'12-2017'!I1316</f>
        <v>0</v>
      </c>
      <c r="J1226" s="74">
        <f>'12-2017'!J1316</f>
        <v>0</v>
      </c>
    </row>
    <row r="1227" spans="1:10" s="58" customFormat="1" ht="17.25" hidden="1">
      <c r="A1227" s="10">
        <f>'12-2017'!A1317</f>
        <v>31</v>
      </c>
      <c r="B1227" s="11" t="str">
        <f>'12-2017'!B1317</f>
        <v xml:space="preserve"> Þ 63 x 4.7mm, áp lực (PN) 12,5 bar</v>
      </c>
      <c r="C1227" s="12" t="str">
        <f>'12-2017'!C1317</f>
        <v>đ/mét</v>
      </c>
      <c r="D1227" s="13">
        <f>'12-2017'!O1317</f>
        <v>58900</v>
      </c>
      <c r="E1227" s="13">
        <f>'12-2017'!P1317</f>
        <v>58900</v>
      </c>
      <c r="F1227" s="130">
        <f t="shared" si="55"/>
        <v>0</v>
      </c>
      <c r="H1227" s="74">
        <f>'12-2017'!H1317</f>
        <v>0</v>
      </c>
      <c r="I1227" s="74">
        <f>'12-2017'!I1317</f>
        <v>0</v>
      </c>
      <c r="J1227" s="74">
        <f>'12-2017'!J1317</f>
        <v>0</v>
      </c>
    </row>
    <row r="1228" spans="1:10" s="58" customFormat="1" ht="17.25" hidden="1">
      <c r="A1228" s="10">
        <f>'12-2017'!A1318</f>
        <v>32</v>
      </c>
      <c r="B1228" s="11" t="str">
        <f>'12-2017'!B1318</f>
        <v xml:space="preserve"> Þ 75 x 5.6mm, áp lực (PN) 12,5 bar</v>
      </c>
      <c r="C1228" s="12" t="str">
        <f>'12-2017'!C1318</f>
        <v>đ/mét</v>
      </c>
      <c r="D1228" s="13">
        <f>'12-2017'!O1318</f>
        <v>83400</v>
      </c>
      <c r="E1228" s="13">
        <f>'12-2017'!P1318</f>
        <v>83400</v>
      </c>
      <c r="F1228" s="130">
        <f t="shared" si="55"/>
        <v>0</v>
      </c>
      <c r="H1228" s="74">
        <f>'12-2017'!H1318</f>
        <v>0</v>
      </c>
      <c r="I1228" s="74">
        <f>'12-2017'!I1318</f>
        <v>0</v>
      </c>
      <c r="J1228" s="74">
        <f>'12-2017'!J1318</f>
        <v>0</v>
      </c>
    </row>
    <row r="1229" spans="1:10" s="58" customFormat="1" ht="17.25" hidden="1">
      <c r="A1229" s="10">
        <f>'12-2017'!A1319</f>
        <v>33</v>
      </c>
      <c r="B1229" s="11" t="str">
        <f>'12-2017'!B1319</f>
        <v xml:space="preserve"> Þ 90 x 5.4mm, áp lực (PN) 10 bar</v>
      </c>
      <c r="C1229" s="12" t="str">
        <f>'12-2017'!C1319</f>
        <v>đ/mét</v>
      </c>
      <c r="D1229" s="13">
        <f>'12-2017'!O1319</f>
        <v>98400</v>
      </c>
      <c r="E1229" s="13">
        <f>'12-2017'!P1319</f>
        <v>98400</v>
      </c>
      <c r="F1229" s="130">
        <f t="shared" si="55"/>
        <v>0</v>
      </c>
      <c r="H1229" s="74">
        <f>'12-2017'!H1319</f>
        <v>0</v>
      </c>
      <c r="I1229" s="74">
        <f>'12-2017'!I1319</f>
        <v>0</v>
      </c>
      <c r="J1229" s="74">
        <f>'12-2017'!J1319</f>
        <v>0</v>
      </c>
    </row>
    <row r="1230" spans="1:10" s="58" customFormat="1" ht="17.25" hidden="1">
      <c r="A1230" s="10">
        <f>'12-2017'!A1320</f>
        <v>34</v>
      </c>
      <c r="B1230" s="11" t="str">
        <f>'12-2017'!B1320</f>
        <v xml:space="preserve"> Þ 110 x 6.6mm, áp lực (PN) 10 bar</v>
      </c>
      <c r="C1230" s="12" t="str">
        <f>'12-2017'!C1320</f>
        <v>đ/mét</v>
      </c>
      <c r="D1230" s="13">
        <f>'12-2017'!O1320</f>
        <v>146400</v>
      </c>
      <c r="E1230" s="13">
        <f>'12-2017'!P1320</f>
        <v>146400</v>
      </c>
      <c r="F1230" s="130">
        <f t="shared" si="55"/>
        <v>0</v>
      </c>
      <c r="H1230" s="74">
        <f>'12-2017'!H1320</f>
        <v>0</v>
      </c>
      <c r="I1230" s="74">
        <f>'12-2017'!I1320</f>
        <v>0</v>
      </c>
      <c r="J1230" s="74">
        <f>'12-2017'!J1320</f>
        <v>0</v>
      </c>
    </row>
    <row r="1231" spans="1:10" s="58" customFormat="1" ht="17.25" hidden="1">
      <c r="A1231" s="10">
        <f>'12-2017'!A1321</f>
        <v>35</v>
      </c>
      <c r="B1231" s="11" t="str">
        <f>'12-2017'!B1321</f>
        <v xml:space="preserve"> Þ 125 x 7.4mm, áp lực (PN) 10 bar</v>
      </c>
      <c r="C1231" s="12" t="str">
        <f>'12-2017'!C1321</f>
        <v>đ/mét</v>
      </c>
      <c r="D1231" s="13">
        <f>'12-2017'!O1321</f>
        <v>186800</v>
      </c>
      <c r="E1231" s="13">
        <f>'12-2017'!P1321</f>
        <v>186800</v>
      </c>
      <c r="F1231" s="130">
        <f t="shared" si="55"/>
        <v>0</v>
      </c>
      <c r="H1231" s="74">
        <f>'12-2017'!H1321</f>
        <v>0</v>
      </c>
      <c r="I1231" s="74">
        <f>'12-2017'!I1321</f>
        <v>0</v>
      </c>
      <c r="J1231" s="74">
        <f>'12-2017'!J1321</f>
        <v>0</v>
      </c>
    </row>
    <row r="1232" spans="1:10" s="58" customFormat="1" ht="17.25" hidden="1">
      <c r="A1232" s="10">
        <f>'12-2017'!A1322</f>
        <v>36</v>
      </c>
      <c r="B1232" s="11" t="str">
        <f>'12-2017'!B1322</f>
        <v xml:space="preserve"> Þ 140 x 8.3mm, áp lực (PN) 10 bar</v>
      </c>
      <c r="C1232" s="12" t="str">
        <f>'12-2017'!C1322</f>
        <v>đ/mét</v>
      </c>
      <c r="D1232" s="13">
        <f>'12-2017'!O1322</f>
        <v>234500</v>
      </c>
      <c r="E1232" s="13">
        <f>'12-2017'!P1322</f>
        <v>234500</v>
      </c>
      <c r="F1232" s="130">
        <f t="shared" si="55"/>
        <v>0</v>
      </c>
      <c r="H1232" s="74">
        <f>'12-2017'!H1322</f>
        <v>0</v>
      </c>
      <c r="I1232" s="74">
        <f>'12-2017'!I1322</f>
        <v>0</v>
      </c>
      <c r="J1232" s="74">
        <f>'12-2017'!J1322</f>
        <v>0</v>
      </c>
    </row>
    <row r="1233" spans="1:10" s="58" customFormat="1" ht="17.25" hidden="1">
      <c r="A1233" s="10">
        <f>'12-2017'!A1323</f>
        <v>37</v>
      </c>
      <c r="B1233" s="11" t="str">
        <f>'12-2017'!B1323</f>
        <v xml:space="preserve"> Þ 160 x 9.5mm, áp lực (PN) 10 bar</v>
      </c>
      <c r="C1233" s="12" t="str">
        <f>'12-2017'!C1323</f>
        <v>đ/mét</v>
      </c>
      <c r="D1233" s="13">
        <f>'12-2017'!O1323</f>
        <v>306000</v>
      </c>
      <c r="E1233" s="13">
        <f>'12-2017'!P1323</f>
        <v>306000</v>
      </c>
      <c r="F1233" s="130">
        <f t="shared" si="55"/>
        <v>0</v>
      </c>
      <c r="H1233" s="74">
        <f>'12-2017'!H1323</f>
        <v>0</v>
      </c>
      <c r="I1233" s="74">
        <f>'12-2017'!I1323</f>
        <v>0</v>
      </c>
      <c r="J1233" s="74">
        <f>'12-2017'!J1323</f>
        <v>0</v>
      </c>
    </row>
    <row r="1234" spans="1:10" s="58" customFormat="1" ht="17.25" hidden="1">
      <c r="A1234" s="10">
        <f>'12-2017'!A1324</f>
        <v>38</v>
      </c>
      <c r="B1234" s="11" t="str">
        <f>'12-2017'!B1324</f>
        <v xml:space="preserve"> Þ 180 x 10.7mm, áp lực (PN) 10 bar</v>
      </c>
      <c r="C1234" s="12" t="str">
        <f>'12-2017'!C1324</f>
        <v>đ/mét</v>
      </c>
      <c r="D1234" s="13">
        <f>'12-2017'!O1324</f>
        <v>387100</v>
      </c>
      <c r="E1234" s="13">
        <f>'12-2017'!P1324</f>
        <v>387100</v>
      </c>
      <c r="F1234" s="130">
        <f t="shared" si="55"/>
        <v>0</v>
      </c>
      <c r="H1234" s="74">
        <f>'12-2017'!H1324</f>
        <v>0</v>
      </c>
      <c r="I1234" s="74">
        <f>'12-2017'!I1324</f>
        <v>0</v>
      </c>
      <c r="J1234" s="74">
        <f>'12-2017'!J1324</f>
        <v>0</v>
      </c>
    </row>
    <row r="1235" spans="1:10" s="58" customFormat="1" ht="17.25" hidden="1">
      <c r="A1235" s="10">
        <f>'12-2017'!A1325</f>
        <v>39</v>
      </c>
      <c r="B1235" s="11" t="str">
        <f>'12-2017'!B1325</f>
        <v xml:space="preserve"> Þ 200 x 11.9mm, áp lực (PN) 10 bar</v>
      </c>
      <c r="C1235" s="12" t="str">
        <f>'12-2017'!C1325</f>
        <v>đ/mét</v>
      </c>
      <c r="D1235" s="13">
        <f>'12-2017'!O1325</f>
        <v>477600</v>
      </c>
      <c r="E1235" s="13">
        <f>'12-2017'!P1325</f>
        <v>477600</v>
      </c>
      <c r="F1235" s="130">
        <f t="shared" ref="F1235:F1298" si="56">E1235-D1235</f>
        <v>0</v>
      </c>
      <c r="H1235" s="74">
        <f>'12-2017'!H1325</f>
        <v>0</v>
      </c>
      <c r="I1235" s="74">
        <f>'12-2017'!I1325</f>
        <v>0</v>
      </c>
      <c r="J1235" s="74">
        <f>'12-2017'!J1325</f>
        <v>0</v>
      </c>
    </row>
    <row r="1236" spans="1:10" s="73" customFormat="1" ht="33" customHeight="1">
      <c r="A1236" s="17"/>
      <c r="B1236" s="237" t="str">
        <f>'12-2017'!B1326</f>
        <v>* Công ty Cổ phần Nhựa Thiếu Niên Tiền Phong phía Nam. Theo bảng giá ngày 17/3/2015</v>
      </c>
      <c r="C1236" s="238"/>
      <c r="D1236" s="238"/>
      <c r="E1236" s="238"/>
      <c r="F1236" s="239"/>
      <c r="H1236" s="74">
        <f>'12-2017'!H1326</f>
        <v>0</v>
      </c>
      <c r="I1236" s="74">
        <f>'12-2017'!I1326</f>
        <v>0</v>
      </c>
      <c r="J1236" s="74">
        <f>'12-2017'!J1326</f>
        <v>0</v>
      </c>
    </row>
    <row r="1237" spans="1:10" s="73" customFormat="1" ht="17.25" hidden="1">
      <c r="A1237" s="17"/>
      <c r="B1237" s="9" t="str">
        <f>'12-2017'!B1327</f>
        <v xml:space="preserve"> - Ống uPVC - tiêu chuẩn BS 3505</v>
      </c>
      <c r="C1237" s="8"/>
      <c r="D1237" s="22"/>
      <c r="E1237" s="22"/>
      <c r="F1237" s="131"/>
      <c r="H1237" s="74">
        <f>'12-2017'!H1327</f>
        <v>0</v>
      </c>
      <c r="I1237" s="74">
        <f>'12-2017'!I1327</f>
        <v>0</v>
      </c>
      <c r="J1237" s="74">
        <f>'12-2017'!J1327</f>
        <v>0</v>
      </c>
    </row>
    <row r="1238" spans="1:10" s="58" customFormat="1" ht="17.25" hidden="1">
      <c r="A1238" s="10">
        <f>'12-2017'!A1328</f>
        <v>1</v>
      </c>
      <c r="B1238" s="11" t="str">
        <f>'12-2017'!B1328</f>
        <v xml:space="preserve"> Þ 21mm x 1,6mm</v>
      </c>
      <c r="C1238" s="12" t="str">
        <f>'12-2017'!C1328</f>
        <v>đ/mét</v>
      </c>
      <c r="D1238" s="13">
        <f>'12-2017'!O1328</f>
        <v>6150</v>
      </c>
      <c r="E1238" s="13">
        <f>'12-2017'!P1328</f>
        <v>6150</v>
      </c>
      <c r="F1238" s="130">
        <f t="shared" si="56"/>
        <v>0</v>
      </c>
      <c r="H1238" s="74">
        <f>'12-2017'!H1328</f>
        <v>0</v>
      </c>
      <c r="I1238" s="74">
        <f>'12-2017'!I1328</f>
        <v>0</v>
      </c>
      <c r="J1238" s="74">
        <f>'12-2017'!J1328</f>
        <v>0</v>
      </c>
    </row>
    <row r="1239" spans="1:10" s="58" customFormat="1" ht="17.25" hidden="1">
      <c r="A1239" s="10">
        <f>'12-2017'!A1329</f>
        <v>2</v>
      </c>
      <c r="B1239" s="11" t="str">
        <f>'12-2017'!B1329</f>
        <v xml:space="preserve"> Þ 27mm x 1,8mm</v>
      </c>
      <c r="C1239" s="12" t="str">
        <f>'12-2017'!C1329</f>
        <v>đ/mét</v>
      </c>
      <c r="D1239" s="13">
        <f>'12-2017'!O1329</f>
        <v>8750</v>
      </c>
      <c r="E1239" s="13">
        <f>'12-2017'!P1329</f>
        <v>8750</v>
      </c>
      <c r="F1239" s="130">
        <f t="shared" si="56"/>
        <v>0</v>
      </c>
      <c r="H1239" s="74">
        <f>'12-2017'!H1329</f>
        <v>0</v>
      </c>
      <c r="I1239" s="74">
        <f>'12-2017'!I1329</f>
        <v>0</v>
      </c>
      <c r="J1239" s="74">
        <f>'12-2017'!J1329</f>
        <v>0</v>
      </c>
    </row>
    <row r="1240" spans="1:10" s="58" customFormat="1" ht="17.25" hidden="1">
      <c r="A1240" s="10">
        <f>'12-2017'!A1330</f>
        <v>3</v>
      </c>
      <c r="B1240" s="11" t="str">
        <f>'12-2017'!B1330</f>
        <v xml:space="preserve"> Þ  34mm x 2,0mm</v>
      </c>
      <c r="C1240" s="12" t="str">
        <f>'12-2017'!C1330</f>
        <v>đ/mét</v>
      </c>
      <c r="D1240" s="13">
        <f>'12-2017'!O1330</f>
        <v>12200</v>
      </c>
      <c r="E1240" s="13">
        <f>'12-2017'!P1330</f>
        <v>12200</v>
      </c>
      <c r="F1240" s="130">
        <f t="shared" si="56"/>
        <v>0</v>
      </c>
      <c r="H1240" s="74">
        <f>'12-2017'!H1330</f>
        <v>0</v>
      </c>
      <c r="I1240" s="74">
        <f>'12-2017'!I1330</f>
        <v>0</v>
      </c>
      <c r="J1240" s="74">
        <f>'12-2017'!J1330</f>
        <v>0</v>
      </c>
    </row>
    <row r="1241" spans="1:10" s="58" customFormat="1" ht="17.25" hidden="1">
      <c r="A1241" s="10">
        <f>'12-2017'!A1331</f>
        <v>4</v>
      </c>
      <c r="B1241" s="11" t="str">
        <f>'12-2017'!B1331</f>
        <v xml:space="preserve"> Þ 42mm x 2,1mm</v>
      </c>
      <c r="C1241" s="12" t="str">
        <f>'12-2017'!C1331</f>
        <v>đ/mét</v>
      </c>
      <c r="D1241" s="13">
        <f>'12-2017'!O1331</f>
        <v>16300</v>
      </c>
      <c r="E1241" s="13">
        <f>'12-2017'!P1331</f>
        <v>16300</v>
      </c>
      <c r="F1241" s="130">
        <f t="shared" si="56"/>
        <v>0</v>
      </c>
      <c r="H1241" s="74">
        <f>'12-2017'!H1331</f>
        <v>0</v>
      </c>
      <c r="I1241" s="74">
        <f>'12-2017'!I1331</f>
        <v>0</v>
      </c>
      <c r="J1241" s="74">
        <f>'12-2017'!J1331</f>
        <v>0</v>
      </c>
    </row>
    <row r="1242" spans="1:10" s="58" customFormat="1" ht="17.25" hidden="1">
      <c r="A1242" s="10">
        <f>'12-2017'!A1332</f>
        <v>5</v>
      </c>
      <c r="B1242" s="11" t="str">
        <f>'12-2017'!B1332</f>
        <v xml:space="preserve"> Þ 49mm x 2,4mm</v>
      </c>
      <c r="C1242" s="12" t="str">
        <f>'12-2017'!C1332</f>
        <v>đ/mét</v>
      </c>
      <c r="D1242" s="13">
        <f>'12-2017'!O1332</f>
        <v>21300</v>
      </c>
      <c r="E1242" s="13">
        <f>'12-2017'!P1332</f>
        <v>21300</v>
      </c>
      <c r="F1242" s="130">
        <f t="shared" si="56"/>
        <v>0</v>
      </c>
      <c r="H1242" s="74">
        <f>'12-2017'!H1332</f>
        <v>0</v>
      </c>
      <c r="I1242" s="74">
        <f>'12-2017'!I1332</f>
        <v>0</v>
      </c>
      <c r="J1242" s="74">
        <f>'12-2017'!J1332</f>
        <v>0</v>
      </c>
    </row>
    <row r="1243" spans="1:10" s="58" customFormat="1" ht="17.25" hidden="1">
      <c r="A1243" s="10">
        <f>'12-2017'!A1333</f>
        <v>6</v>
      </c>
      <c r="B1243" s="11" t="str">
        <f>'12-2017'!B1333</f>
        <v xml:space="preserve"> Þ 60mm x 2,0mm</v>
      </c>
      <c r="C1243" s="12" t="str">
        <f>'12-2017'!C1333</f>
        <v>đ/mét</v>
      </c>
      <c r="D1243" s="13">
        <f>'12-2017'!O1333</f>
        <v>22500</v>
      </c>
      <c r="E1243" s="13">
        <f>'12-2017'!P1333</f>
        <v>22500</v>
      </c>
      <c r="F1243" s="130">
        <f t="shared" si="56"/>
        <v>0</v>
      </c>
      <c r="H1243" s="74">
        <f>'12-2017'!H1333</f>
        <v>0</v>
      </c>
      <c r="I1243" s="74">
        <f>'12-2017'!I1333</f>
        <v>0</v>
      </c>
      <c r="J1243" s="74">
        <f>'12-2017'!J1333</f>
        <v>0</v>
      </c>
    </row>
    <row r="1244" spans="1:10" s="58" customFormat="1" ht="17.25" hidden="1">
      <c r="A1244" s="10">
        <f>'12-2017'!A1334</f>
        <v>7</v>
      </c>
      <c r="B1244" s="11" t="str">
        <f>'12-2017'!B1334</f>
        <v xml:space="preserve"> Þ 90mm x 2,9mm</v>
      </c>
      <c r="C1244" s="12" t="str">
        <f>'12-2017'!C1334</f>
        <v>đ/mét</v>
      </c>
      <c r="D1244" s="13">
        <f>'12-2017'!O1334</f>
        <v>48600</v>
      </c>
      <c r="E1244" s="13">
        <f>'12-2017'!P1334</f>
        <v>48600</v>
      </c>
      <c r="F1244" s="130">
        <f t="shared" si="56"/>
        <v>0</v>
      </c>
      <c r="H1244" s="74">
        <f>'12-2017'!H1334</f>
        <v>0</v>
      </c>
      <c r="I1244" s="74">
        <f>'12-2017'!I1334</f>
        <v>0</v>
      </c>
      <c r="J1244" s="74">
        <f>'12-2017'!J1334</f>
        <v>0</v>
      </c>
    </row>
    <row r="1245" spans="1:10" s="58" customFormat="1" ht="17.25" hidden="1">
      <c r="A1245" s="10">
        <f>'12-2017'!A1335</f>
        <v>8</v>
      </c>
      <c r="B1245" s="11" t="str">
        <f>'12-2017'!B1335</f>
        <v xml:space="preserve"> Þ 114mm x 3,2mm</v>
      </c>
      <c r="C1245" s="12" t="str">
        <f>'12-2017'!C1335</f>
        <v>đ/mét</v>
      </c>
      <c r="D1245" s="13">
        <f>'12-2017'!O1335</f>
        <v>68400</v>
      </c>
      <c r="E1245" s="13">
        <f>'12-2017'!P1335</f>
        <v>68400</v>
      </c>
      <c r="F1245" s="130">
        <f t="shared" si="56"/>
        <v>0</v>
      </c>
      <c r="H1245" s="74">
        <f>'12-2017'!H1335</f>
        <v>0</v>
      </c>
      <c r="I1245" s="74">
        <f>'12-2017'!I1335</f>
        <v>0</v>
      </c>
      <c r="J1245" s="74">
        <f>'12-2017'!J1335</f>
        <v>0</v>
      </c>
    </row>
    <row r="1246" spans="1:10" s="58" customFormat="1" ht="17.25" hidden="1">
      <c r="A1246" s="10">
        <f>'12-2017'!A1336</f>
        <v>9</v>
      </c>
      <c r="B1246" s="11" t="str">
        <f>'12-2017'!B1336</f>
        <v xml:space="preserve"> Þ 114mm x 4,9mm</v>
      </c>
      <c r="C1246" s="12" t="str">
        <f>'12-2017'!C1336</f>
        <v>đ/mét</v>
      </c>
      <c r="D1246" s="13">
        <f>'12-2017'!O1336</f>
        <v>103100</v>
      </c>
      <c r="E1246" s="13">
        <f>'12-2017'!P1336</f>
        <v>103100</v>
      </c>
      <c r="F1246" s="130">
        <f t="shared" si="56"/>
        <v>0</v>
      </c>
      <c r="H1246" s="74">
        <f>'12-2017'!H1336</f>
        <v>0</v>
      </c>
      <c r="I1246" s="74">
        <f>'12-2017'!I1336</f>
        <v>0</v>
      </c>
      <c r="J1246" s="74">
        <f>'12-2017'!J1336</f>
        <v>0</v>
      </c>
    </row>
    <row r="1247" spans="1:10" s="58" customFormat="1" ht="17.25" hidden="1">
      <c r="A1247" s="10">
        <f>'12-2017'!A1337</f>
        <v>10</v>
      </c>
      <c r="B1247" s="11" t="str">
        <f>'12-2017'!B1337</f>
        <v xml:space="preserve"> Þ 168mm x 4.3mm</v>
      </c>
      <c r="C1247" s="12" t="str">
        <f>'12-2017'!C1337</f>
        <v>đ/mét</v>
      </c>
      <c r="D1247" s="13">
        <f>'12-2017'!O1337</f>
        <v>134900</v>
      </c>
      <c r="E1247" s="13">
        <f>'12-2017'!P1337</f>
        <v>134900</v>
      </c>
      <c r="F1247" s="130">
        <f t="shared" si="56"/>
        <v>0</v>
      </c>
      <c r="H1247" s="74">
        <f>'12-2017'!H1337</f>
        <v>0</v>
      </c>
      <c r="I1247" s="74">
        <f>'12-2017'!I1337</f>
        <v>0</v>
      </c>
      <c r="J1247" s="74">
        <f>'12-2017'!J1337</f>
        <v>0</v>
      </c>
    </row>
    <row r="1248" spans="1:10" s="58" customFormat="1" ht="17.25" hidden="1">
      <c r="A1248" s="10">
        <f>'12-2017'!A1338</f>
        <v>11</v>
      </c>
      <c r="B1248" s="11" t="str">
        <f>'12-2017'!B1338</f>
        <v xml:space="preserve"> Þ 168mm x 7,3mm</v>
      </c>
      <c r="C1248" s="12" t="str">
        <f>'12-2017'!C1338</f>
        <v>đ/mét</v>
      </c>
      <c r="D1248" s="13">
        <f>'12-2017'!O1338</f>
        <v>225600</v>
      </c>
      <c r="E1248" s="13">
        <f>'12-2017'!P1338</f>
        <v>225600</v>
      </c>
      <c r="F1248" s="130">
        <f t="shared" si="56"/>
        <v>0</v>
      </c>
      <c r="H1248" s="74">
        <f>'12-2017'!H1338</f>
        <v>0</v>
      </c>
      <c r="I1248" s="74">
        <f>'12-2017'!I1338</f>
        <v>0</v>
      </c>
      <c r="J1248" s="74">
        <f>'12-2017'!J1338</f>
        <v>0</v>
      </c>
    </row>
    <row r="1249" spans="1:10" s="58" customFormat="1" ht="17.25" hidden="1">
      <c r="A1249" s="10">
        <f>'12-2017'!A1339</f>
        <v>12</v>
      </c>
      <c r="B1249" s="11" t="str">
        <f>'12-2017'!B1339</f>
        <v xml:space="preserve"> Þ 220mm x 5,1mm</v>
      </c>
      <c r="C1249" s="12" t="str">
        <f>'12-2017'!C1339</f>
        <v>đ/mét</v>
      </c>
      <c r="D1249" s="13">
        <f>'12-2017'!O1339</f>
        <v>208900</v>
      </c>
      <c r="E1249" s="13">
        <f>'12-2017'!P1339</f>
        <v>208900</v>
      </c>
      <c r="F1249" s="130">
        <f t="shared" si="56"/>
        <v>0</v>
      </c>
      <c r="H1249" s="74">
        <f>'12-2017'!H1339</f>
        <v>0</v>
      </c>
      <c r="I1249" s="74">
        <f>'12-2017'!I1339</f>
        <v>0</v>
      </c>
      <c r="J1249" s="74">
        <f>'12-2017'!J1339</f>
        <v>0</v>
      </c>
    </row>
    <row r="1250" spans="1:10" s="58" customFormat="1" ht="17.25" hidden="1">
      <c r="A1250" s="10">
        <f>'12-2017'!A1340</f>
        <v>13</v>
      </c>
      <c r="B1250" s="11" t="str">
        <f>'12-2017'!B1340</f>
        <v xml:space="preserve"> Þ 220mm x8,7mm</v>
      </c>
      <c r="C1250" s="12" t="str">
        <f>'12-2017'!C1340</f>
        <v>đ/mét</v>
      </c>
      <c r="D1250" s="13">
        <f>'12-2017'!O1340</f>
        <v>350500</v>
      </c>
      <c r="E1250" s="13">
        <f>'12-2017'!P1340</f>
        <v>350500</v>
      </c>
      <c r="F1250" s="130">
        <f t="shared" si="56"/>
        <v>0</v>
      </c>
      <c r="H1250" s="74">
        <f>'12-2017'!H1340</f>
        <v>0</v>
      </c>
      <c r="I1250" s="74">
        <f>'12-2017'!I1340</f>
        <v>0</v>
      </c>
      <c r="J1250" s="74">
        <f>'12-2017'!J1340</f>
        <v>0</v>
      </c>
    </row>
    <row r="1251" spans="1:10" s="73" customFormat="1" ht="17.25" hidden="1">
      <c r="A1251" s="17"/>
      <c r="B1251" s="9" t="str">
        <f>'12-2017'!B1341</f>
        <v xml:space="preserve"> - Phụ tùng cho ống uPVC Thiếu Niên Tiền Phong phía Nam:</v>
      </c>
      <c r="C1251" s="8"/>
      <c r="D1251" s="22"/>
      <c r="E1251" s="22"/>
      <c r="F1251" s="131"/>
      <c r="H1251" s="74">
        <f>'12-2017'!H1341</f>
        <v>0</v>
      </c>
      <c r="I1251" s="74">
        <f>'12-2017'!I1341</f>
        <v>0</v>
      </c>
      <c r="J1251" s="74">
        <f>'12-2017'!J1341</f>
        <v>0</v>
      </c>
    </row>
    <row r="1252" spans="1:10" s="58" customFormat="1" ht="17.25" hidden="1">
      <c r="A1252" s="10">
        <f>'12-2017'!A1342</f>
        <v>14</v>
      </c>
      <c r="B1252" s="11" t="str">
        <f>'12-2017'!B1342</f>
        <v xml:space="preserve"> Nối thẳng Þ  21 D</v>
      </c>
      <c r="C1252" s="12" t="str">
        <f>'12-2017'!C1342</f>
        <v>đ/cái</v>
      </c>
      <c r="D1252" s="13">
        <f>'12-2017'!O1342</f>
        <v>1500</v>
      </c>
      <c r="E1252" s="13">
        <f>'12-2017'!P1342</f>
        <v>1500</v>
      </c>
      <c r="F1252" s="130">
        <f t="shared" si="56"/>
        <v>0</v>
      </c>
      <c r="H1252" s="74">
        <f>'12-2017'!H1342</f>
        <v>0</v>
      </c>
      <c r="I1252" s="74">
        <f>'12-2017'!I1342</f>
        <v>0</v>
      </c>
      <c r="J1252" s="74">
        <f>'12-2017'!J1342</f>
        <v>0</v>
      </c>
    </row>
    <row r="1253" spans="1:10" s="58" customFormat="1" ht="17.25" hidden="1">
      <c r="A1253" s="10">
        <f>'12-2017'!A1343</f>
        <v>15</v>
      </c>
      <c r="B1253" s="11" t="str">
        <f>'12-2017'!B1343</f>
        <v xml:space="preserve"> Nối thẳng Þ  27 D</v>
      </c>
      <c r="C1253" s="12" t="str">
        <f>'12-2017'!C1343</f>
        <v>đ/cái</v>
      </c>
      <c r="D1253" s="13">
        <f>'12-2017'!O1343</f>
        <v>2000</v>
      </c>
      <c r="E1253" s="13">
        <f>'12-2017'!P1343</f>
        <v>2000</v>
      </c>
      <c r="F1253" s="130">
        <f t="shared" si="56"/>
        <v>0</v>
      </c>
      <c r="H1253" s="74">
        <f>'12-2017'!H1343</f>
        <v>0</v>
      </c>
      <c r="I1253" s="74">
        <f>'12-2017'!I1343</f>
        <v>0</v>
      </c>
      <c r="J1253" s="74">
        <f>'12-2017'!J1343</f>
        <v>0</v>
      </c>
    </row>
    <row r="1254" spans="1:10" s="58" customFormat="1" ht="17.25" hidden="1">
      <c r="A1254" s="10">
        <f>'12-2017'!A1344</f>
        <v>16</v>
      </c>
      <c r="B1254" s="11" t="str">
        <f>'12-2017'!B1344</f>
        <v xml:space="preserve"> Nối thẳng Þ  34 D</v>
      </c>
      <c r="C1254" s="12" t="str">
        <f>'12-2017'!C1344</f>
        <v>đ/cái</v>
      </c>
      <c r="D1254" s="13">
        <f>'12-2017'!O1344</f>
        <v>3100</v>
      </c>
      <c r="E1254" s="13">
        <f>'12-2017'!P1344</f>
        <v>3100</v>
      </c>
      <c r="F1254" s="130">
        <f t="shared" si="56"/>
        <v>0</v>
      </c>
      <c r="H1254" s="74">
        <f>'12-2017'!H1344</f>
        <v>0</v>
      </c>
      <c r="I1254" s="74">
        <f>'12-2017'!I1344</f>
        <v>0</v>
      </c>
      <c r="J1254" s="74">
        <f>'12-2017'!J1344</f>
        <v>0</v>
      </c>
    </row>
    <row r="1255" spans="1:10" s="58" customFormat="1" ht="17.25" hidden="1">
      <c r="A1255" s="10">
        <f>'12-2017'!A1345</f>
        <v>17</v>
      </c>
      <c r="B1255" s="11" t="str">
        <f>'12-2017'!B1345</f>
        <v xml:space="preserve"> Nối thẳng Þ  42 D</v>
      </c>
      <c r="C1255" s="12" t="str">
        <f>'12-2017'!C1345</f>
        <v>đ/cái</v>
      </c>
      <c r="D1255" s="13">
        <f>'12-2017'!O1345</f>
        <v>4500</v>
      </c>
      <c r="E1255" s="13">
        <f>'12-2017'!P1345</f>
        <v>4500</v>
      </c>
      <c r="F1255" s="130">
        <f t="shared" si="56"/>
        <v>0</v>
      </c>
      <c r="H1255" s="74">
        <f>'12-2017'!H1345</f>
        <v>0</v>
      </c>
      <c r="I1255" s="74">
        <f>'12-2017'!I1345</f>
        <v>0</v>
      </c>
      <c r="J1255" s="74">
        <f>'12-2017'!J1345</f>
        <v>0</v>
      </c>
    </row>
    <row r="1256" spans="1:10" s="58" customFormat="1" ht="17.25" hidden="1">
      <c r="A1256" s="10">
        <f>'12-2017'!A1346</f>
        <v>18</v>
      </c>
      <c r="B1256" s="11" t="str">
        <f>'12-2017'!B1346</f>
        <v xml:space="preserve"> Nối thẳng Þ  60 D</v>
      </c>
      <c r="C1256" s="12" t="str">
        <f>'12-2017'!C1346</f>
        <v>đ/cái</v>
      </c>
      <c r="D1256" s="13">
        <f>'12-2017'!O1346</f>
        <v>10800</v>
      </c>
      <c r="E1256" s="13">
        <f>'12-2017'!P1346</f>
        <v>10800</v>
      </c>
      <c r="F1256" s="130">
        <f t="shared" si="56"/>
        <v>0</v>
      </c>
      <c r="H1256" s="74">
        <f>'12-2017'!H1346</f>
        <v>0</v>
      </c>
      <c r="I1256" s="74">
        <f>'12-2017'!I1346</f>
        <v>0</v>
      </c>
      <c r="J1256" s="74">
        <f>'12-2017'!J1346</f>
        <v>0</v>
      </c>
    </row>
    <row r="1257" spans="1:10" s="58" customFormat="1" ht="17.25" hidden="1">
      <c r="A1257" s="10">
        <f>'12-2017'!A1347</f>
        <v>19</v>
      </c>
      <c r="B1257" s="11" t="str">
        <f>'12-2017'!B1347</f>
        <v xml:space="preserve"> Nối thẳng Þ  90 D</v>
      </c>
      <c r="C1257" s="12" t="str">
        <f>'12-2017'!C1347</f>
        <v>đ/cái</v>
      </c>
      <c r="D1257" s="13">
        <f>'12-2017'!O1347</f>
        <v>23000</v>
      </c>
      <c r="E1257" s="13">
        <f>'12-2017'!P1347</f>
        <v>23000</v>
      </c>
      <c r="F1257" s="130">
        <f t="shared" si="56"/>
        <v>0</v>
      </c>
      <c r="H1257" s="74">
        <f>'12-2017'!H1347</f>
        <v>0</v>
      </c>
      <c r="I1257" s="74">
        <f>'12-2017'!I1347</f>
        <v>0</v>
      </c>
      <c r="J1257" s="74">
        <f>'12-2017'!J1347</f>
        <v>0</v>
      </c>
    </row>
    <row r="1258" spans="1:10" s="58" customFormat="1" ht="17.25" hidden="1">
      <c r="A1258" s="10">
        <f>'12-2017'!A1348</f>
        <v>20</v>
      </c>
      <c r="B1258" s="11" t="str">
        <f>'12-2017'!B1348</f>
        <v xml:space="preserve"> Nối thẳng Þ  114 M</v>
      </c>
      <c r="C1258" s="12" t="str">
        <f>'12-2017'!C1348</f>
        <v>đ/cái</v>
      </c>
      <c r="D1258" s="13">
        <f>'12-2017'!O1348</f>
        <v>15364</v>
      </c>
      <c r="E1258" s="13">
        <f>'12-2017'!P1348</f>
        <v>15364</v>
      </c>
      <c r="F1258" s="130">
        <f t="shared" si="56"/>
        <v>0</v>
      </c>
      <c r="H1258" s="74">
        <f>'12-2017'!H1348</f>
        <v>0</v>
      </c>
      <c r="I1258" s="74">
        <f>'12-2017'!I1348</f>
        <v>0</v>
      </c>
      <c r="J1258" s="74">
        <f>'12-2017'!J1348</f>
        <v>0</v>
      </c>
    </row>
    <row r="1259" spans="1:10" s="58" customFormat="1" ht="17.25" hidden="1">
      <c r="A1259" s="10">
        <f>'12-2017'!A1349</f>
        <v>21</v>
      </c>
      <c r="B1259" s="11" t="str">
        <f>'12-2017'!B1349</f>
        <v xml:space="preserve"> Co 900 Þ 21 D</v>
      </c>
      <c r="C1259" s="12" t="str">
        <f>'12-2017'!C1349</f>
        <v>đ/cái</v>
      </c>
      <c r="D1259" s="13">
        <f>'12-2017'!O1349</f>
        <v>1900</v>
      </c>
      <c r="E1259" s="13">
        <f>'12-2017'!P1349</f>
        <v>1900</v>
      </c>
      <c r="F1259" s="130">
        <f t="shared" si="56"/>
        <v>0</v>
      </c>
      <c r="H1259" s="74">
        <f>'12-2017'!H1349</f>
        <v>0</v>
      </c>
      <c r="I1259" s="74">
        <f>'12-2017'!I1349</f>
        <v>0</v>
      </c>
      <c r="J1259" s="74">
        <f>'12-2017'!J1349</f>
        <v>0</v>
      </c>
    </row>
    <row r="1260" spans="1:10" s="58" customFormat="1" ht="17.25" hidden="1">
      <c r="A1260" s="10">
        <f>'12-2017'!A1350</f>
        <v>22</v>
      </c>
      <c r="B1260" s="11" t="str">
        <f>'12-2017'!B1350</f>
        <v xml:space="preserve"> Co 900 Þ 27 D</v>
      </c>
      <c r="C1260" s="12" t="str">
        <f>'12-2017'!C1350</f>
        <v>đ/cái</v>
      </c>
      <c r="D1260" s="13">
        <f>'12-2017'!O1350</f>
        <v>2500</v>
      </c>
      <c r="E1260" s="13">
        <f>'12-2017'!P1350</f>
        <v>2500</v>
      </c>
      <c r="F1260" s="130">
        <f t="shared" si="56"/>
        <v>0</v>
      </c>
      <c r="H1260" s="74">
        <f>'12-2017'!H1350</f>
        <v>0</v>
      </c>
      <c r="I1260" s="74">
        <f>'12-2017'!I1350</f>
        <v>0</v>
      </c>
      <c r="J1260" s="74">
        <f>'12-2017'!J1350</f>
        <v>0</v>
      </c>
    </row>
    <row r="1261" spans="1:10" s="58" customFormat="1" ht="17.25" hidden="1">
      <c r="A1261" s="10">
        <f>'12-2017'!A1351</f>
        <v>23</v>
      </c>
      <c r="B1261" s="11" t="str">
        <f>'12-2017'!B1351</f>
        <v xml:space="preserve"> Co 900 Þ 34 D</v>
      </c>
      <c r="C1261" s="12" t="str">
        <f>'12-2017'!C1351</f>
        <v>đ/cái</v>
      </c>
      <c r="D1261" s="13">
        <f>'12-2017'!O1351</f>
        <v>4000</v>
      </c>
      <c r="E1261" s="13">
        <f>'12-2017'!P1351</f>
        <v>4000</v>
      </c>
      <c r="F1261" s="130">
        <f t="shared" si="56"/>
        <v>0</v>
      </c>
      <c r="H1261" s="74">
        <f>'12-2017'!H1351</f>
        <v>0</v>
      </c>
      <c r="I1261" s="74">
        <f>'12-2017'!I1351</f>
        <v>0</v>
      </c>
      <c r="J1261" s="74">
        <f>'12-2017'!J1351</f>
        <v>0</v>
      </c>
    </row>
    <row r="1262" spans="1:10" s="58" customFormat="1" ht="17.25" hidden="1">
      <c r="A1262" s="10">
        <f>'12-2017'!A1352</f>
        <v>24</v>
      </c>
      <c r="B1262" s="11" t="str">
        <f>'12-2017'!B1352</f>
        <v xml:space="preserve"> Co 900 Þ 42 D</v>
      </c>
      <c r="C1262" s="12" t="str">
        <f>'12-2017'!C1352</f>
        <v>đ/cái</v>
      </c>
      <c r="D1262" s="13">
        <f>'12-2017'!O1352</f>
        <v>6400</v>
      </c>
      <c r="E1262" s="13">
        <f>'12-2017'!P1352</f>
        <v>6400</v>
      </c>
      <c r="F1262" s="130">
        <f t="shared" si="56"/>
        <v>0</v>
      </c>
      <c r="H1262" s="74">
        <f>'12-2017'!H1352</f>
        <v>0</v>
      </c>
      <c r="I1262" s="74">
        <f>'12-2017'!I1352</f>
        <v>0</v>
      </c>
      <c r="J1262" s="74">
        <f>'12-2017'!J1352</f>
        <v>0</v>
      </c>
    </row>
    <row r="1263" spans="1:10" s="58" customFormat="1" ht="17.25" hidden="1">
      <c r="A1263" s="10">
        <f>'12-2017'!A1353</f>
        <v>25</v>
      </c>
      <c r="B1263" s="11" t="str">
        <f>'12-2017'!B1353</f>
        <v xml:space="preserve"> Co 900 Þ 49 D</v>
      </c>
      <c r="C1263" s="12" t="str">
        <f>'12-2017'!C1353</f>
        <v>đ/cái</v>
      </c>
      <c r="D1263" s="13">
        <f>'12-2017'!O1353</f>
        <v>10091</v>
      </c>
      <c r="E1263" s="13">
        <f>'12-2017'!P1353</f>
        <v>10091</v>
      </c>
      <c r="F1263" s="130">
        <f t="shared" si="56"/>
        <v>0</v>
      </c>
      <c r="H1263" s="74">
        <f>'12-2017'!H1353</f>
        <v>0</v>
      </c>
      <c r="I1263" s="74">
        <f>'12-2017'!I1353</f>
        <v>0</v>
      </c>
      <c r="J1263" s="74">
        <f>'12-2017'!J1353</f>
        <v>0</v>
      </c>
    </row>
    <row r="1264" spans="1:10" s="58" customFormat="1" ht="17.25" hidden="1">
      <c r="A1264" s="10">
        <f>'12-2017'!A1354</f>
        <v>26</v>
      </c>
      <c r="B1264" s="11" t="str">
        <f>'12-2017'!B1354</f>
        <v xml:space="preserve"> Co 900 Þ 60 D</v>
      </c>
      <c r="C1264" s="12" t="str">
        <f>'12-2017'!C1354</f>
        <v>đ/cái</v>
      </c>
      <c r="D1264" s="13">
        <f>'12-2017'!O1354</f>
        <v>14800</v>
      </c>
      <c r="E1264" s="13">
        <f>'12-2017'!P1354</f>
        <v>14800</v>
      </c>
      <c r="F1264" s="130">
        <f t="shared" si="56"/>
        <v>0</v>
      </c>
      <c r="H1264" s="74">
        <f>'12-2017'!H1354</f>
        <v>0</v>
      </c>
      <c r="I1264" s="74">
        <f>'12-2017'!I1354</f>
        <v>0</v>
      </c>
      <c r="J1264" s="74">
        <f>'12-2017'!J1354</f>
        <v>0</v>
      </c>
    </row>
    <row r="1265" spans="1:10" s="58" customFormat="1" ht="17.25" hidden="1">
      <c r="A1265" s="10">
        <f>'12-2017'!A1355</f>
        <v>27</v>
      </c>
      <c r="B1265" s="11" t="str">
        <f>'12-2017'!B1355</f>
        <v xml:space="preserve"> Co 450 Þ 90 M</v>
      </c>
      <c r="C1265" s="12" t="str">
        <f>'12-2017'!C1355</f>
        <v>đ/cái</v>
      </c>
      <c r="D1265" s="13">
        <f>'12-2017'!O1355</f>
        <v>13455</v>
      </c>
      <c r="E1265" s="13">
        <f>'12-2017'!P1355</f>
        <v>13455</v>
      </c>
      <c r="F1265" s="130">
        <f t="shared" si="56"/>
        <v>0</v>
      </c>
      <c r="H1265" s="74">
        <f>'12-2017'!H1355</f>
        <v>0</v>
      </c>
      <c r="I1265" s="74">
        <f>'12-2017'!I1355</f>
        <v>0</v>
      </c>
      <c r="J1265" s="74">
        <f>'12-2017'!J1355</f>
        <v>0</v>
      </c>
    </row>
    <row r="1266" spans="1:10" s="58" customFormat="1" ht="17.25" hidden="1">
      <c r="A1266" s="10">
        <f>'12-2017'!A1356</f>
        <v>28</v>
      </c>
      <c r="B1266" s="11" t="str">
        <f>'12-2017'!B1356</f>
        <v xml:space="preserve"> Co 450 Þ 90 D</v>
      </c>
      <c r="C1266" s="12" t="str">
        <f>'12-2017'!C1356</f>
        <v>đ/cái</v>
      </c>
      <c r="D1266" s="13">
        <f>'12-2017'!O1356</f>
        <v>30000</v>
      </c>
      <c r="E1266" s="13">
        <f>'12-2017'!P1356</f>
        <v>30000</v>
      </c>
      <c r="F1266" s="130">
        <f t="shared" si="56"/>
        <v>0</v>
      </c>
      <c r="H1266" s="74">
        <f>'12-2017'!H1356</f>
        <v>0</v>
      </c>
      <c r="I1266" s="74">
        <f>'12-2017'!I1356</f>
        <v>0</v>
      </c>
      <c r="J1266" s="74">
        <f>'12-2017'!J1356</f>
        <v>0</v>
      </c>
    </row>
    <row r="1267" spans="1:10" s="58" customFormat="1" ht="17.25" hidden="1">
      <c r="A1267" s="10">
        <f>'12-2017'!A1357</f>
        <v>29</v>
      </c>
      <c r="B1267" s="11" t="str">
        <f>'12-2017'!B1357</f>
        <v>T 900 Þ 21 D</v>
      </c>
      <c r="C1267" s="12" t="str">
        <f>'12-2017'!C1357</f>
        <v>đ/cái</v>
      </c>
      <c r="D1267" s="13">
        <f>'12-2017'!O1357</f>
        <v>2500</v>
      </c>
      <c r="E1267" s="13">
        <f>'12-2017'!P1357</f>
        <v>2500</v>
      </c>
      <c r="F1267" s="130">
        <f t="shared" si="56"/>
        <v>0</v>
      </c>
      <c r="H1267" s="74">
        <f>'12-2017'!H1357</f>
        <v>0</v>
      </c>
      <c r="I1267" s="74">
        <f>'12-2017'!I1357</f>
        <v>0</v>
      </c>
      <c r="J1267" s="74">
        <f>'12-2017'!J1357</f>
        <v>0</v>
      </c>
    </row>
    <row r="1268" spans="1:10" s="58" customFormat="1" ht="17.25" hidden="1">
      <c r="A1268" s="10">
        <f>'12-2017'!A1358</f>
        <v>30</v>
      </c>
      <c r="B1268" s="11" t="str">
        <f>'12-2017'!B1358</f>
        <v>T 900 Þ 27 D</v>
      </c>
      <c r="C1268" s="12" t="str">
        <f>'12-2017'!C1358</f>
        <v>đ/cái</v>
      </c>
      <c r="D1268" s="13">
        <f>'12-2017'!O1358</f>
        <v>3800</v>
      </c>
      <c r="E1268" s="13">
        <f>'12-2017'!P1358</f>
        <v>3800</v>
      </c>
      <c r="F1268" s="130">
        <f t="shared" si="56"/>
        <v>0</v>
      </c>
      <c r="H1268" s="74">
        <f>'12-2017'!H1358</f>
        <v>0</v>
      </c>
      <c r="I1268" s="74">
        <f>'12-2017'!I1358</f>
        <v>0</v>
      </c>
      <c r="J1268" s="74">
        <f>'12-2017'!J1358</f>
        <v>0</v>
      </c>
    </row>
    <row r="1269" spans="1:10" s="58" customFormat="1" ht="17.25" hidden="1">
      <c r="A1269" s="10">
        <f>'12-2017'!A1359</f>
        <v>31</v>
      </c>
      <c r="B1269" s="11" t="str">
        <f>'12-2017'!B1359</f>
        <v>T 900 Þ 34 D</v>
      </c>
      <c r="C1269" s="12" t="str">
        <f>'12-2017'!C1359</f>
        <v>đ/cái</v>
      </c>
      <c r="D1269" s="13">
        <f>'12-2017'!O1359</f>
        <v>5300</v>
      </c>
      <c r="E1269" s="13">
        <f>'12-2017'!P1359</f>
        <v>5300</v>
      </c>
      <c r="F1269" s="130">
        <f t="shared" si="56"/>
        <v>0</v>
      </c>
      <c r="H1269" s="74">
        <f>'12-2017'!H1359</f>
        <v>0</v>
      </c>
      <c r="I1269" s="74">
        <f>'12-2017'!I1359</f>
        <v>0</v>
      </c>
      <c r="J1269" s="74">
        <f>'12-2017'!J1359</f>
        <v>0</v>
      </c>
    </row>
    <row r="1270" spans="1:10" s="58" customFormat="1" ht="17.25" hidden="1">
      <c r="A1270" s="10">
        <f>'12-2017'!A1360</f>
        <v>32</v>
      </c>
      <c r="B1270" s="11" t="str">
        <f>'12-2017'!B1360</f>
        <v>T 900 Þ 42 D</v>
      </c>
      <c r="C1270" s="12" t="str">
        <f>'12-2017'!C1360</f>
        <v>đ/cái</v>
      </c>
      <c r="D1270" s="13">
        <f>'12-2017'!O1360</f>
        <v>8500</v>
      </c>
      <c r="E1270" s="13">
        <f>'12-2017'!P1360</f>
        <v>8500</v>
      </c>
      <c r="F1270" s="130">
        <f t="shared" si="56"/>
        <v>0</v>
      </c>
      <c r="H1270" s="74">
        <f>'12-2017'!H1360</f>
        <v>0</v>
      </c>
      <c r="I1270" s="74">
        <f>'12-2017'!I1360</f>
        <v>0</v>
      </c>
      <c r="J1270" s="74">
        <f>'12-2017'!J1360</f>
        <v>0</v>
      </c>
    </row>
    <row r="1271" spans="1:10" s="58" customFormat="1" ht="17.25" hidden="1">
      <c r="A1271" s="10">
        <f>'12-2017'!A1361</f>
        <v>33</v>
      </c>
      <c r="B1271" s="11" t="str">
        <f>'12-2017'!B1361</f>
        <v>T 900 Þ 49 D</v>
      </c>
      <c r="C1271" s="12" t="str">
        <f>'12-2017'!C1361</f>
        <v>đ/cái</v>
      </c>
      <c r="D1271" s="13">
        <f>'12-2017'!O1361</f>
        <v>13727</v>
      </c>
      <c r="E1271" s="13">
        <f>'12-2017'!P1361</f>
        <v>13727</v>
      </c>
      <c r="F1271" s="130">
        <f t="shared" si="56"/>
        <v>0</v>
      </c>
      <c r="H1271" s="74">
        <f>'12-2017'!H1361</f>
        <v>0</v>
      </c>
      <c r="I1271" s="74">
        <f>'12-2017'!I1361</f>
        <v>0</v>
      </c>
      <c r="J1271" s="74">
        <f>'12-2017'!J1361</f>
        <v>0</v>
      </c>
    </row>
    <row r="1272" spans="1:10" s="58" customFormat="1" ht="17.25" hidden="1">
      <c r="A1272" s="10">
        <f>'12-2017'!A1362</f>
        <v>34</v>
      </c>
      <c r="B1272" s="11" t="str">
        <f>'12-2017'!B1362</f>
        <v>T 900 Þ 60 D</v>
      </c>
      <c r="C1272" s="12" t="str">
        <f>'12-2017'!C1362</f>
        <v>đ/cái</v>
      </c>
      <c r="D1272" s="13">
        <f>'12-2017'!O1362</f>
        <v>21000</v>
      </c>
      <c r="E1272" s="13">
        <f>'12-2017'!P1362</f>
        <v>21000</v>
      </c>
      <c r="F1272" s="130">
        <f t="shared" si="56"/>
        <v>0</v>
      </c>
      <c r="H1272" s="74">
        <f>'12-2017'!H1362</f>
        <v>0</v>
      </c>
      <c r="I1272" s="74">
        <f>'12-2017'!I1362</f>
        <v>0</v>
      </c>
      <c r="J1272" s="74">
        <f>'12-2017'!J1362</f>
        <v>0</v>
      </c>
    </row>
    <row r="1273" spans="1:10" s="58" customFormat="1" ht="17.25" hidden="1">
      <c r="A1273" s="10">
        <f>'12-2017'!A1363</f>
        <v>35</v>
      </c>
      <c r="B1273" s="11" t="str">
        <f>'12-2017'!B1363</f>
        <v>T 900 Þ 90 D</v>
      </c>
      <c r="C1273" s="12" t="str">
        <f>'12-2017'!C1363</f>
        <v>đ/cái</v>
      </c>
      <c r="D1273" s="13">
        <f>'12-2017'!O1363</f>
        <v>53000</v>
      </c>
      <c r="E1273" s="13">
        <f>'12-2017'!P1363</f>
        <v>53000</v>
      </c>
      <c r="F1273" s="130">
        <f t="shared" si="56"/>
        <v>0</v>
      </c>
      <c r="H1273" s="74">
        <f>'12-2017'!H1363</f>
        <v>0</v>
      </c>
      <c r="I1273" s="74">
        <f>'12-2017'!I1363</f>
        <v>0</v>
      </c>
      <c r="J1273" s="74">
        <f>'12-2017'!J1363</f>
        <v>0</v>
      </c>
    </row>
    <row r="1274" spans="1:10" s="73" customFormat="1" ht="17.25" hidden="1">
      <c r="A1274" s="17"/>
      <c r="B1274" s="9" t="str">
        <f>'12-2017'!B1364</f>
        <v xml:space="preserve"> - Ống HDPE PE 100 - Tiêu chuẩn ISO 4427-2:2007</v>
      </c>
      <c r="C1274" s="8"/>
      <c r="D1274" s="22"/>
      <c r="E1274" s="22"/>
      <c r="F1274" s="131"/>
      <c r="H1274" s="74">
        <f>'12-2017'!H1364</f>
        <v>0</v>
      </c>
      <c r="I1274" s="74">
        <f>'12-2017'!I1364</f>
        <v>0</v>
      </c>
      <c r="J1274" s="74">
        <f>'12-2017'!J1364</f>
        <v>0</v>
      </c>
    </row>
    <row r="1275" spans="1:10" s="58" customFormat="1" ht="17.25" hidden="1">
      <c r="A1275" s="10">
        <f>'12-2017'!A1365</f>
        <v>36</v>
      </c>
      <c r="B1275" s="11" t="str">
        <f>'12-2017'!B1365</f>
        <v xml:space="preserve"> Þ 32 dày 2,0mm</v>
      </c>
      <c r="C1275" s="12" t="str">
        <f>'12-2017'!C1365</f>
        <v>đ/m</v>
      </c>
      <c r="D1275" s="13">
        <f>'12-2017'!O1365</f>
        <v>13182</v>
      </c>
      <c r="E1275" s="13">
        <f>'12-2017'!P1365</f>
        <v>13182</v>
      </c>
      <c r="F1275" s="130">
        <f t="shared" si="56"/>
        <v>0</v>
      </c>
      <c r="H1275" s="74">
        <f>'12-2017'!H1365</f>
        <v>0</v>
      </c>
      <c r="I1275" s="74">
        <f>'12-2017'!I1365</f>
        <v>0</v>
      </c>
      <c r="J1275" s="74">
        <f>'12-2017'!J1365</f>
        <v>0</v>
      </c>
    </row>
    <row r="1276" spans="1:10" s="58" customFormat="1" ht="17.25" hidden="1">
      <c r="A1276" s="10">
        <f>'12-2017'!A1366</f>
        <v>37</v>
      </c>
      <c r="B1276" s="11" t="str">
        <f>'12-2017'!B1366</f>
        <v xml:space="preserve"> Þ 40 dày 2,4mm</v>
      </c>
      <c r="C1276" s="12" t="str">
        <f>'12-2017'!C1366</f>
        <v>đ/m</v>
      </c>
      <c r="D1276" s="13">
        <f>'12-2017'!O1366</f>
        <v>20091</v>
      </c>
      <c r="E1276" s="13">
        <f>'12-2017'!P1366</f>
        <v>20091</v>
      </c>
      <c r="F1276" s="130">
        <f t="shared" si="56"/>
        <v>0</v>
      </c>
      <c r="H1276" s="74">
        <f>'12-2017'!H1366</f>
        <v>0</v>
      </c>
      <c r="I1276" s="74">
        <f>'12-2017'!I1366</f>
        <v>0</v>
      </c>
      <c r="J1276" s="74">
        <f>'12-2017'!J1366</f>
        <v>0</v>
      </c>
    </row>
    <row r="1277" spans="1:10" s="58" customFormat="1" ht="17.25" hidden="1">
      <c r="A1277" s="10">
        <f>'12-2017'!A1367</f>
        <v>38</v>
      </c>
      <c r="B1277" s="11" t="str">
        <f>'12-2017'!B1367</f>
        <v xml:space="preserve"> Þ 50 dày 3,0mm</v>
      </c>
      <c r="C1277" s="12" t="str">
        <f>'12-2017'!C1367</f>
        <v>đ/m</v>
      </c>
      <c r="D1277" s="13">
        <f>'12-2017'!O1367</f>
        <v>30818</v>
      </c>
      <c r="E1277" s="13">
        <f>'12-2017'!P1367</f>
        <v>30818</v>
      </c>
      <c r="F1277" s="130">
        <f t="shared" si="56"/>
        <v>0</v>
      </c>
      <c r="H1277" s="74">
        <f>'12-2017'!H1367</f>
        <v>0</v>
      </c>
      <c r="I1277" s="74">
        <f>'12-2017'!I1367</f>
        <v>0</v>
      </c>
      <c r="J1277" s="74">
        <f>'12-2017'!J1367</f>
        <v>0</v>
      </c>
    </row>
    <row r="1278" spans="1:10" s="58" customFormat="1" ht="17.25" hidden="1">
      <c r="A1278" s="10">
        <f>'12-2017'!A1368</f>
        <v>39</v>
      </c>
      <c r="B1278" s="11" t="str">
        <f>'12-2017'!B1368</f>
        <v xml:space="preserve"> Þ 75 dày 4,5mm</v>
      </c>
      <c r="C1278" s="12" t="str">
        <f>'12-2017'!C1368</f>
        <v>đ/m</v>
      </c>
      <c r="D1278" s="13">
        <f>'12-2017'!O1368</f>
        <v>70273</v>
      </c>
      <c r="E1278" s="13">
        <f>'12-2017'!P1368</f>
        <v>70273</v>
      </c>
      <c r="F1278" s="130">
        <f t="shared" si="56"/>
        <v>0</v>
      </c>
      <c r="H1278" s="74">
        <f>'12-2017'!H1368</f>
        <v>0</v>
      </c>
      <c r="I1278" s="74">
        <f>'12-2017'!I1368</f>
        <v>0</v>
      </c>
      <c r="J1278" s="74">
        <f>'12-2017'!J1368</f>
        <v>0</v>
      </c>
    </row>
    <row r="1279" spans="1:10" s="58" customFormat="1" ht="17.25" hidden="1">
      <c r="A1279" s="10">
        <f>'12-2017'!A1369</f>
        <v>40</v>
      </c>
      <c r="B1279" s="11" t="str">
        <f>'12-2017'!B1369</f>
        <v xml:space="preserve"> Þ 90 dày 5,4mm</v>
      </c>
      <c r="C1279" s="12" t="str">
        <f>'12-2017'!C1369</f>
        <v>đ/m</v>
      </c>
      <c r="D1279" s="13">
        <f>'12-2017'!O1369</f>
        <v>99727</v>
      </c>
      <c r="E1279" s="13">
        <f>'12-2017'!P1369</f>
        <v>99727</v>
      </c>
      <c r="F1279" s="130">
        <f t="shared" si="56"/>
        <v>0</v>
      </c>
      <c r="H1279" s="74">
        <f>'12-2017'!H1369</f>
        <v>0</v>
      </c>
      <c r="I1279" s="74">
        <f>'12-2017'!I1369</f>
        <v>0</v>
      </c>
      <c r="J1279" s="74">
        <f>'12-2017'!J1369</f>
        <v>0</v>
      </c>
    </row>
    <row r="1280" spans="1:10" s="58" customFormat="1" ht="17.25" hidden="1">
      <c r="A1280" s="10">
        <f>'12-2017'!A1370</f>
        <v>41</v>
      </c>
      <c r="B1280" s="11" t="str">
        <f>'12-2017'!B1370</f>
        <v xml:space="preserve"> Þ 110 dày 4,2mm</v>
      </c>
      <c r="C1280" s="12" t="str">
        <f>'12-2017'!C1370</f>
        <v>đ/m</v>
      </c>
      <c r="D1280" s="13">
        <f>'12-2017'!O1370</f>
        <v>97273</v>
      </c>
      <c r="E1280" s="13">
        <f>'12-2017'!P1370</f>
        <v>97273</v>
      </c>
      <c r="F1280" s="130">
        <f t="shared" si="56"/>
        <v>0</v>
      </c>
      <c r="H1280" s="74">
        <f>'12-2017'!H1370</f>
        <v>0</v>
      </c>
      <c r="I1280" s="74">
        <f>'12-2017'!I1370</f>
        <v>0</v>
      </c>
      <c r="J1280" s="74">
        <f>'12-2017'!J1370</f>
        <v>0</v>
      </c>
    </row>
    <row r="1281" spans="1:10" s="58" customFormat="1" ht="17.25" hidden="1">
      <c r="A1281" s="10">
        <f>'12-2017'!A1371</f>
        <v>42</v>
      </c>
      <c r="B1281" s="11" t="str">
        <f>'12-2017'!B1371</f>
        <v xml:space="preserve"> Þ160 dày 5,4mm</v>
      </c>
      <c r="C1281" s="12" t="str">
        <f>'12-2017'!C1371</f>
        <v>đ/m</v>
      </c>
      <c r="D1281" s="13">
        <f>'12-2017'!O1371</f>
        <v>206909</v>
      </c>
      <c r="E1281" s="13">
        <f>'12-2017'!P1371</f>
        <v>206909</v>
      </c>
      <c r="F1281" s="130">
        <f t="shared" si="56"/>
        <v>0</v>
      </c>
      <c r="H1281" s="74">
        <f>'12-2017'!H1371</f>
        <v>0</v>
      </c>
      <c r="I1281" s="74">
        <f>'12-2017'!I1371</f>
        <v>0</v>
      </c>
      <c r="J1281" s="74">
        <f>'12-2017'!J1371</f>
        <v>0</v>
      </c>
    </row>
    <row r="1282" spans="1:10" s="58" customFormat="1" ht="17.25" hidden="1">
      <c r="A1282" s="10">
        <f>'12-2017'!A1372</f>
        <v>43</v>
      </c>
      <c r="B1282" s="11" t="str">
        <f>'12-2017'!B1372</f>
        <v xml:space="preserve"> Þ 200 dày 7,7mm</v>
      </c>
      <c r="C1282" s="12" t="str">
        <f>'12-2017'!C1372</f>
        <v>đ/m</v>
      </c>
      <c r="D1282" s="13">
        <f>'12-2017'!O1372</f>
        <v>321091</v>
      </c>
      <c r="E1282" s="13">
        <f>'12-2017'!P1372</f>
        <v>321091</v>
      </c>
      <c r="F1282" s="130">
        <f t="shared" si="56"/>
        <v>0</v>
      </c>
      <c r="H1282" s="74">
        <f>'12-2017'!H1372</f>
        <v>0</v>
      </c>
      <c r="I1282" s="74">
        <f>'12-2017'!I1372</f>
        <v>0</v>
      </c>
      <c r="J1282" s="74">
        <f>'12-2017'!J1372</f>
        <v>0</v>
      </c>
    </row>
    <row r="1283" spans="1:10" s="58" customFormat="1" ht="17.25" hidden="1">
      <c r="A1283" s="10">
        <f>'12-2017'!A1373</f>
        <v>44</v>
      </c>
      <c r="B1283" s="11" t="str">
        <f>'12-2017'!B1373</f>
        <v xml:space="preserve"> Þ 250 dày 9,6mm</v>
      </c>
      <c r="C1283" s="12" t="str">
        <f>'12-2017'!C1373</f>
        <v>đ/m</v>
      </c>
      <c r="D1283" s="13">
        <f>'12-2017'!O1373</f>
        <v>499000</v>
      </c>
      <c r="E1283" s="13">
        <f>'12-2017'!P1373</f>
        <v>499000</v>
      </c>
      <c r="F1283" s="130">
        <f t="shared" si="56"/>
        <v>0</v>
      </c>
      <c r="H1283" s="74">
        <f>'12-2017'!H1373</f>
        <v>0</v>
      </c>
      <c r="I1283" s="74">
        <f>'12-2017'!I1373</f>
        <v>0</v>
      </c>
      <c r="J1283" s="74">
        <f>'12-2017'!J1373</f>
        <v>0</v>
      </c>
    </row>
    <row r="1284" spans="1:10" s="58" customFormat="1" ht="17.25" hidden="1">
      <c r="A1284" s="10">
        <f>'12-2017'!A1374</f>
        <v>45</v>
      </c>
      <c r="B1284" s="11" t="str">
        <f>'12-2017'!B1374</f>
        <v xml:space="preserve"> Þ 400 dày 15,3mm</v>
      </c>
      <c r="C1284" s="12" t="str">
        <f>'12-2017'!C1374</f>
        <v>đ/m</v>
      </c>
      <c r="D1284" s="13">
        <f>'12-2017'!O1374</f>
        <v>1264455</v>
      </c>
      <c r="E1284" s="13">
        <f>'12-2017'!P1374</f>
        <v>1264455</v>
      </c>
      <c r="F1284" s="130">
        <f t="shared" si="56"/>
        <v>0</v>
      </c>
      <c r="H1284" s="74">
        <f>'12-2017'!H1374</f>
        <v>0</v>
      </c>
      <c r="I1284" s="74">
        <f>'12-2017'!I1374</f>
        <v>0</v>
      </c>
      <c r="J1284" s="74">
        <f>'12-2017'!J1374</f>
        <v>0</v>
      </c>
    </row>
    <row r="1285" spans="1:10" s="58" customFormat="1" ht="17.25" hidden="1">
      <c r="A1285" s="10">
        <f>'12-2017'!A1375</f>
        <v>46</v>
      </c>
      <c r="B1285" s="11" t="str">
        <f>'12-2017'!B1375</f>
        <v xml:space="preserve"> Þ 450 dày 17,2mm</v>
      </c>
      <c r="C1285" s="12" t="str">
        <f>'12-2017'!C1375</f>
        <v>đ/m</v>
      </c>
      <c r="D1285" s="13">
        <f>'12-2017'!O1375</f>
        <v>1615909</v>
      </c>
      <c r="E1285" s="13">
        <f>'12-2017'!P1375</f>
        <v>1615909</v>
      </c>
      <c r="F1285" s="130">
        <f t="shared" si="56"/>
        <v>0</v>
      </c>
      <c r="H1285" s="74">
        <f>'12-2017'!H1375</f>
        <v>0</v>
      </c>
      <c r="I1285" s="74">
        <f>'12-2017'!I1375</f>
        <v>0</v>
      </c>
      <c r="J1285" s="74">
        <f>'12-2017'!J1375</f>
        <v>0</v>
      </c>
    </row>
    <row r="1286" spans="1:10" s="58" customFormat="1" ht="17.25" hidden="1">
      <c r="A1286" s="10">
        <f>'12-2017'!A1376</f>
        <v>47</v>
      </c>
      <c r="B1286" s="11" t="str">
        <f>'12-2017'!B1376</f>
        <v xml:space="preserve"> Þ 500 dày 19,1mm</v>
      </c>
      <c r="C1286" s="12" t="str">
        <f>'12-2017'!C1376</f>
        <v>đ/m</v>
      </c>
      <c r="D1286" s="13">
        <f>'12-2017'!O1376</f>
        <v>1967909</v>
      </c>
      <c r="E1286" s="13">
        <f>'12-2017'!P1376</f>
        <v>1967909</v>
      </c>
      <c r="F1286" s="130">
        <f t="shared" si="56"/>
        <v>0</v>
      </c>
      <c r="H1286" s="74">
        <f>'12-2017'!H1376</f>
        <v>0</v>
      </c>
      <c r="I1286" s="74">
        <f>'12-2017'!I1376</f>
        <v>0</v>
      </c>
      <c r="J1286" s="74">
        <f>'12-2017'!J1376</f>
        <v>0</v>
      </c>
    </row>
    <row r="1287" spans="1:10" s="73" customFormat="1" ht="17.25">
      <c r="A1287" s="17"/>
      <c r="B1287" s="237" t="str">
        <f>'12-2017'!B1377</f>
        <v>* Chi nhánh Long Xuyên - Công ty CPTĐ Hoa Sen (Tổ 12, K.Bình Đức 5, P.Bình Đức, Tp.LX). Theo bảng giá ngày 15/02/2016</v>
      </c>
      <c r="C1287" s="238"/>
      <c r="D1287" s="238"/>
      <c r="E1287" s="238"/>
      <c r="F1287" s="239"/>
      <c r="H1287" s="74">
        <f>'12-2017'!H1377</f>
        <v>0</v>
      </c>
      <c r="I1287" s="74">
        <f>'12-2017'!I1377</f>
        <v>0</v>
      </c>
      <c r="J1287" s="74">
        <f>'12-2017'!J1377</f>
        <v>0</v>
      </c>
    </row>
    <row r="1288" spans="1:10" s="73" customFormat="1" ht="17.25" hidden="1">
      <c r="A1288" s="17"/>
      <c r="B1288" s="9" t="str">
        <f>'12-2017'!B1378</f>
        <v xml:space="preserve"> - Ống uPVC Hoa Sen - tiêu chuẩn BS 3505: 1968 (hệ In)</v>
      </c>
      <c r="C1288" s="8"/>
      <c r="D1288" s="22"/>
      <c r="E1288" s="22"/>
      <c r="F1288" s="131"/>
      <c r="H1288" s="74">
        <f>'12-2017'!H1378</f>
        <v>0</v>
      </c>
      <c r="I1288" s="74">
        <f>'12-2017'!I1378</f>
        <v>0</v>
      </c>
      <c r="J1288" s="74">
        <f>'12-2017'!J1378</f>
        <v>0</v>
      </c>
    </row>
    <row r="1289" spans="1:10" s="58" customFormat="1" ht="17.25" hidden="1">
      <c r="A1289" s="10">
        <f>'12-2017'!A1379</f>
        <v>1</v>
      </c>
      <c r="B1289" s="11" t="str">
        <f>'12-2017'!B1379</f>
        <v xml:space="preserve"> Þ 21mm x 1,2mm</v>
      </c>
      <c r="C1289" s="12" t="str">
        <f>'12-2017'!C1379</f>
        <v>đ/mét</v>
      </c>
      <c r="D1289" s="13">
        <f>'12-2017'!O1379</f>
        <v>4545.454545454545</v>
      </c>
      <c r="E1289" s="13">
        <f>'12-2017'!P1379</f>
        <v>4545.454545454545</v>
      </c>
      <c r="F1289" s="130">
        <f t="shared" si="56"/>
        <v>0</v>
      </c>
      <c r="H1289" s="74">
        <f>'12-2017'!H1379</f>
        <v>0</v>
      </c>
      <c r="I1289" s="74">
        <f>'12-2017'!I1379</f>
        <v>0</v>
      </c>
      <c r="J1289" s="74">
        <f>'12-2017'!J1379</f>
        <v>0</v>
      </c>
    </row>
    <row r="1290" spans="1:10" s="58" customFormat="1" ht="17.25" hidden="1">
      <c r="A1290" s="10">
        <f>'12-2017'!A1380</f>
        <v>2</v>
      </c>
      <c r="B1290" s="11" t="str">
        <f>'12-2017'!B1380</f>
        <v xml:space="preserve"> Þ 21mm x 1,4mm</v>
      </c>
      <c r="C1290" s="12" t="str">
        <f>'12-2017'!C1380</f>
        <v>đ/mét</v>
      </c>
      <c r="D1290" s="13">
        <f>'12-2017'!O1380</f>
        <v>5363.6363636363631</v>
      </c>
      <c r="E1290" s="13">
        <f>'12-2017'!P1380</f>
        <v>5363.6363636363631</v>
      </c>
      <c r="F1290" s="130">
        <f t="shared" si="56"/>
        <v>0</v>
      </c>
      <c r="H1290" s="74">
        <f>'12-2017'!H1380</f>
        <v>0</v>
      </c>
      <c r="I1290" s="74">
        <f>'12-2017'!I1380</f>
        <v>0</v>
      </c>
      <c r="J1290" s="74">
        <f>'12-2017'!J1380</f>
        <v>0</v>
      </c>
    </row>
    <row r="1291" spans="1:10" s="58" customFormat="1" ht="17.25" hidden="1">
      <c r="A1291" s="10">
        <f>'12-2017'!A1381</f>
        <v>3</v>
      </c>
      <c r="B1291" s="11" t="str">
        <f>'12-2017'!B1381</f>
        <v xml:space="preserve"> Þ 27mm x 1,3mm</v>
      </c>
      <c r="C1291" s="12" t="str">
        <f>'12-2017'!C1381</f>
        <v>đ/mét</v>
      </c>
      <c r="D1291" s="13">
        <f>'12-2017'!O1381</f>
        <v>6409.090909090909</v>
      </c>
      <c r="E1291" s="13">
        <f>'12-2017'!P1381</f>
        <v>6409.090909090909</v>
      </c>
      <c r="F1291" s="130">
        <f t="shared" si="56"/>
        <v>0</v>
      </c>
      <c r="H1291" s="74">
        <f>'12-2017'!H1381</f>
        <v>0</v>
      </c>
      <c r="I1291" s="74">
        <f>'12-2017'!I1381</f>
        <v>0</v>
      </c>
      <c r="J1291" s="74">
        <f>'12-2017'!J1381</f>
        <v>0</v>
      </c>
    </row>
    <row r="1292" spans="1:10" s="58" customFormat="1" ht="17.25" hidden="1">
      <c r="A1292" s="10">
        <f>'12-2017'!A1382</f>
        <v>4</v>
      </c>
      <c r="B1292" s="11" t="str">
        <f>'12-2017'!B1382</f>
        <v xml:space="preserve"> Þ 27mm x 1,6mm</v>
      </c>
      <c r="C1292" s="12" t="str">
        <f>'12-2017'!C1382</f>
        <v>đ/mét</v>
      </c>
      <c r="D1292" s="13">
        <f>'12-2017'!O1382</f>
        <v>7727.272727272727</v>
      </c>
      <c r="E1292" s="13">
        <f>'12-2017'!P1382</f>
        <v>7727.272727272727</v>
      </c>
      <c r="F1292" s="130">
        <f t="shared" si="56"/>
        <v>0</v>
      </c>
      <c r="H1292" s="74">
        <f>'12-2017'!H1382</f>
        <v>0</v>
      </c>
      <c r="I1292" s="74">
        <f>'12-2017'!I1382</f>
        <v>0</v>
      </c>
      <c r="J1292" s="74">
        <f>'12-2017'!J1382</f>
        <v>0</v>
      </c>
    </row>
    <row r="1293" spans="1:10" s="58" customFormat="1" ht="17.25" hidden="1">
      <c r="A1293" s="10">
        <f>'12-2017'!A1383</f>
        <v>5</v>
      </c>
      <c r="B1293" s="11" t="str">
        <f>'12-2017'!B1383</f>
        <v xml:space="preserve"> Þ 34mm x 1,4mm</v>
      </c>
      <c r="C1293" s="12" t="str">
        <f>'12-2017'!C1383</f>
        <v>đ/mét</v>
      </c>
      <c r="D1293" s="13">
        <f>'12-2017'!O1383</f>
        <v>8727.2727272727261</v>
      </c>
      <c r="E1293" s="13">
        <f>'12-2017'!P1383</f>
        <v>8727.2727272727261</v>
      </c>
      <c r="F1293" s="130">
        <f t="shared" si="56"/>
        <v>0</v>
      </c>
      <c r="H1293" s="74">
        <f>'12-2017'!H1383</f>
        <v>0</v>
      </c>
      <c r="I1293" s="74">
        <f>'12-2017'!I1383</f>
        <v>0</v>
      </c>
      <c r="J1293" s="74">
        <f>'12-2017'!J1383</f>
        <v>0</v>
      </c>
    </row>
    <row r="1294" spans="1:10" s="58" customFormat="1" ht="17.25" hidden="1">
      <c r="A1294" s="10">
        <f>'12-2017'!A1384</f>
        <v>6</v>
      </c>
      <c r="B1294" s="11" t="str">
        <f>'12-2017'!B1384</f>
        <v xml:space="preserve"> Þ 34mm x 1,6mm</v>
      </c>
      <c r="C1294" s="12" t="str">
        <f>'12-2017'!C1384</f>
        <v>đ/mét</v>
      </c>
      <c r="D1294" s="13">
        <f>'12-2017'!O1384</f>
        <v>10000</v>
      </c>
      <c r="E1294" s="13">
        <f>'12-2017'!P1384</f>
        <v>10000</v>
      </c>
      <c r="F1294" s="130">
        <f t="shared" si="56"/>
        <v>0</v>
      </c>
      <c r="H1294" s="74">
        <f>'12-2017'!H1384</f>
        <v>0</v>
      </c>
      <c r="I1294" s="74">
        <f>'12-2017'!I1384</f>
        <v>0</v>
      </c>
      <c r="J1294" s="74">
        <f>'12-2017'!J1384</f>
        <v>0</v>
      </c>
    </row>
    <row r="1295" spans="1:10" s="58" customFormat="1" ht="17.25" hidden="1">
      <c r="A1295" s="10">
        <f>'12-2017'!A1385</f>
        <v>7</v>
      </c>
      <c r="B1295" s="11" t="str">
        <f>'12-2017'!B1385</f>
        <v xml:space="preserve"> Þ 34mm x 1,8mm</v>
      </c>
      <c r="C1295" s="12" t="str">
        <f>'12-2017'!C1385</f>
        <v>đ/mét</v>
      </c>
      <c r="D1295" s="13">
        <f>'12-2017'!O1385</f>
        <v>11181.81818181818</v>
      </c>
      <c r="E1295" s="13">
        <f>'12-2017'!P1385</f>
        <v>11181.81818181818</v>
      </c>
      <c r="F1295" s="130">
        <f t="shared" si="56"/>
        <v>0</v>
      </c>
      <c r="H1295" s="74">
        <f>'12-2017'!H1385</f>
        <v>0</v>
      </c>
      <c r="I1295" s="74">
        <f>'12-2017'!I1385</f>
        <v>0</v>
      </c>
      <c r="J1295" s="74">
        <f>'12-2017'!J1385</f>
        <v>0</v>
      </c>
    </row>
    <row r="1296" spans="1:10" s="58" customFormat="1" ht="17.25" hidden="1">
      <c r="A1296" s="10">
        <f>'12-2017'!A1386</f>
        <v>8</v>
      </c>
      <c r="B1296" s="11" t="str">
        <f>'12-2017'!B1386</f>
        <v xml:space="preserve"> Þ 42mm x 1,4mm</v>
      </c>
      <c r="C1296" s="12" t="str">
        <f>'12-2017'!C1386</f>
        <v>đ/mét</v>
      </c>
      <c r="D1296" s="13">
        <f>'12-2017'!O1386</f>
        <v>10772.727272727272</v>
      </c>
      <c r="E1296" s="13">
        <f>'12-2017'!P1386</f>
        <v>10772.727272727272</v>
      </c>
      <c r="F1296" s="130">
        <f t="shared" si="56"/>
        <v>0</v>
      </c>
      <c r="H1296" s="74">
        <f>'12-2017'!H1386</f>
        <v>0</v>
      </c>
      <c r="I1296" s="74">
        <f>'12-2017'!I1386</f>
        <v>0</v>
      </c>
      <c r="J1296" s="74">
        <f>'12-2017'!J1386</f>
        <v>0</v>
      </c>
    </row>
    <row r="1297" spans="1:10" s="58" customFormat="1" ht="17.25" hidden="1">
      <c r="A1297" s="10">
        <f>'12-2017'!A1387</f>
        <v>9</v>
      </c>
      <c r="B1297" s="11" t="str">
        <f>'12-2017'!B1387</f>
        <v xml:space="preserve"> Þ 42mm x 1,6mm</v>
      </c>
      <c r="C1297" s="12" t="str">
        <f>'12-2017'!C1387</f>
        <v>đ/mét</v>
      </c>
      <c r="D1297" s="13">
        <f>'12-2017'!O1387</f>
        <v>12545.454545454544</v>
      </c>
      <c r="E1297" s="13">
        <f>'12-2017'!P1387</f>
        <v>12545.454545454544</v>
      </c>
      <c r="F1297" s="130">
        <f t="shared" si="56"/>
        <v>0</v>
      </c>
      <c r="H1297" s="74">
        <f>'12-2017'!H1387</f>
        <v>0</v>
      </c>
      <c r="I1297" s="74">
        <f>'12-2017'!I1387</f>
        <v>0</v>
      </c>
      <c r="J1297" s="74">
        <f>'12-2017'!J1387</f>
        <v>0</v>
      </c>
    </row>
    <row r="1298" spans="1:10" s="58" customFormat="1" ht="17.25" hidden="1">
      <c r="A1298" s="10">
        <f>'12-2017'!A1388</f>
        <v>10</v>
      </c>
      <c r="B1298" s="11" t="str">
        <f>'12-2017'!B1388</f>
        <v xml:space="preserve"> Þ 42mm x 2,0mm</v>
      </c>
      <c r="C1298" s="12" t="str">
        <f>'12-2017'!C1388</f>
        <v>đ/mét</v>
      </c>
      <c r="D1298" s="13">
        <f>'12-2017'!O1388</f>
        <v>15545.454545454544</v>
      </c>
      <c r="E1298" s="13">
        <f>'12-2017'!P1388</f>
        <v>15545.454545454544</v>
      </c>
      <c r="F1298" s="130">
        <f t="shared" si="56"/>
        <v>0</v>
      </c>
      <c r="H1298" s="74">
        <f>'12-2017'!H1388</f>
        <v>0</v>
      </c>
      <c r="I1298" s="74">
        <f>'12-2017'!I1388</f>
        <v>0</v>
      </c>
      <c r="J1298" s="74">
        <f>'12-2017'!J1388</f>
        <v>0</v>
      </c>
    </row>
    <row r="1299" spans="1:10" s="58" customFormat="1" ht="17.25" hidden="1">
      <c r="A1299" s="10">
        <f>'12-2017'!A1389</f>
        <v>11</v>
      </c>
      <c r="B1299" s="11" t="str">
        <f>'12-2017'!B1389</f>
        <v xml:space="preserve"> Þ 49mm x 1,8mm</v>
      </c>
      <c r="C1299" s="12" t="str">
        <f>'12-2017'!C1389</f>
        <v>đ/mét</v>
      </c>
      <c r="D1299" s="13">
        <f>'12-2017'!O1389</f>
        <v>16181.81818181818</v>
      </c>
      <c r="E1299" s="13">
        <f>'12-2017'!P1389</f>
        <v>16181.81818181818</v>
      </c>
      <c r="F1299" s="130">
        <f t="shared" ref="F1299:F1362" si="57">E1299-D1299</f>
        <v>0</v>
      </c>
      <c r="H1299" s="74">
        <f>'12-2017'!H1389</f>
        <v>0</v>
      </c>
      <c r="I1299" s="74">
        <f>'12-2017'!I1389</f>
        <v>0</v>
      </c>
      <c r="J1299" s="74">
        <f>'12-2017'!J1389</f>
        <v>0</v>
      </c>
    </row>
    <row r="1300" spans="1:10" s="58" customFormat="1" ht="17.25" hidden="1">
      <c r="A1300" s="10">
        <f>'12-2017'!A1390</f>
        <v>12</v>
      </c>
      <c r="B1300" s="11" t="str">
        <f>'12-2017'!B1390</f>
        <v xml:space="preserve"> Þ 49mm x 2,0mm</v>
      </c>
      <c r="C1300" s="12" t="str">
        <f>'12-2017'!C1390</f>
        <v>đ/mét</v>
      </c>
      <c r="D1300" s="13">
        <f>'12-2017'!O1390</f>
        <v>17818.181818181816</v>
      </c>
      <c r="E1300" s="13">
        <f>'12-2017'!P1390</f>
        <v>17818.181818181816</v>
      </c>
      <c r="F1300" s="130">
        <f t="shared" si="57"/>
        <v>0</v>
      </c>
      <c r="H1300" s="74">
        <f>'12-2017'!H1390</f>
        <v>0</v>
      </c>
      <c r="I1300" s="74">
        <f>'12-2017'!I1390</f>
        <v>0</v>
      </c>
      <c r="J1300" s="74">
        <f>'12-2017'!J1390</f>
        <v>0</v>
      </c>
    </row>
    <row r="1301" spans="1:10" s="58" customFormat="1" ht="17.25" hidden="1">
      <c r="A1301" s="10">
        <f>'12-2017'!A1391</f>
        <v>13</v>
      </c>
      <c r="B1301" s="11" t="str">
        <f>'12-2017'!B1391</f>
        <v xml:space="preserve"> Þ 49mm x 2,2mm</v>
      </c>
      <c r="C1301" s="12" t="str">
        <f>'12-2017'!C1391</f>
        <v>đ/mét</v>
      </c>
      <c r="D1301" s="13">
        <f>'12-2017'!O1391</f>
        <v>20000</v>
      </c>
      <c r="E1301" s="13">
        <f>'12-2017'!P1391</f>
        <v>20000</v>
      </c>
      <c r="F1301" s="130">
        <f t="shared" si="57"/>
        <v>0</v>
      </c>
      <c r="H1301" s="74">
        <f>'12-2017'!H1391</f>
        <v>0</v>
      </c>
      <c r="I1301" s="74">
        <f>'12-2017'!I1391</f>
        <v>0</v>
      </c>
      <c r="J1301" s="74">
        <f>'12-2017'!J1391</f>
        <v>0</v>
      </c>
    </row>
    <row r="1302" spans="1:10" s="58" customFormat="1" ht="17.25" hidden="1">
      <c r="A1302" s="10">
        <f>'12-2017'!A1392</f>
        <v>14</v>
      </c>
      <c r="B1302" s="11" t="str">
        <f>'12-2017'!B1392</f>
        <v xml:space="preserve"> Þ 60mm x 1,5mm</v>
      </c>
      <c r="C1302" s="12" t="str">
        <f>'12-2017'!C1392</f>
        <v>đ/mét</v>
      </c>
      <c r="D1302" s="13">
        <f>'12-2017'!O1392</f>
        <v>17000</v>
      </c>
      <c r="E1302" s="13">
        <f>'12-2017'!P1392</f>
        <v>17000</v>
      </c>
      <c r="F1302" s="130">
        <f t="shared" si="57"/>
        <v>0</v>
      </c>
      <c r="H1302" s="74">
        <f>'12-2017'!H1392</f>
        <v>0</v>
      </c>
      <c r="I1302" s="74">
        <f>'12-2017'!I1392</f>
        <v>0</v>
      </c>
      <c r="J1302" s="74">
        <f>'12-2017'!J1392</f>
        <v>0</v>
      </c>
    </row>
    <row r="1303" spans="1:10" s="58" customFormat="1" ht="17.25" hidden="1">
      <c r="A1303" s="10">
        <f>'12-2017'!A1393</f>
        <v>15</v>
      </c>
      <c r="B1303" s="11" t="str">
        <f>'12-2017'!B1393</f>
        <v xml:space="preserve"> Þ 60mm x 1,6mm</v>
      </c>
      <c r="C1303" s="12" t="str">
        <f>'12-2017'!C1393</f>
        <v>đ/mét</v>
      </c>
      <c r="D1303" s="13">
        <f>'12-2017'!O1393</f>
        <v>18090.909090909088</v>
      </c>
      <c r="E1303" s="13">
        <f>'12-2017'!P1393</f>
        <v>18090.909090909088</v>
      </c>
      <c r="F1303" s="130">
        <f t="shared" si="57"/>
        <v>0</v>
      </c>
      <c r="H1303" s="74">
        <f>'12-2017'!H1393</f>
        <v>0</v>
      </c>
      <c r="I1303" s="74">
        <f>'12-2017'!I1393</f>
        <v>0</v>
      </c>
      <c r="J1303" s="74">
        <f>'12-2017'!J1393</f>
        <v>0</v>
      </c>
    </row>
    <row r="1304" spans="1:10" s="58" customFormat="1" ht="17.25" hidden="1">
      <c r="A1304" s="10">
        <f>'12-2017'!A1394</f>
        <v>16</v>
      </c>
      <c r="B1304" s="11" t="str">
        <f>'12-2017'!B1394</f>
        <v xml:space="preserve"> Þ 63mm x 1,6mm</v>
      </c>
      <c r="C1304" s="12" t="str">
        <f>'12-2017'!C1394</f>
        <v>đ/mét</v>
      </c>
      <c r="D1304" s="13">
        <f>'12-2017'!O1394</f>
        <v>21363.63636363636</v>
      </c>
      <c r="E1304" s="13">
        <f>'12-2017'!P1394</f>
        <v>21363.63636363636</v>
      </c>
      <c r="F1304" s="130">
        <f t="shared" si="57"/>
        <v>0</v>
      </c>
      <c r="H1304" s="74">
        <f>'12-2017'!H1394</f>
        <v>0</v>
      </c>
      <c r="I1304" s="74">
        <f>'12-2017'!I1394</f>
        <v>0</v>
      </c>
      <c r="J1304" s="74">
        <f>'12-2017'!J1394</f>
        <v>0</v>
      </c>
    </row>
    <row r="1305" spans="1:10" s="58" customFormat="1" ht="17.25" hidden="1">
      <c r="A1305" s="10">
        <f>'12-2017'!A1395</f>
        <v>17</v>
      </c>
      <c r="B1305" s="11" t="str">
        <f>'12-2017'!B1395</f>
        <v xml:space="preserve"> Þ 76mm x 1,8mm</v>
      </c>
      <c r="C1305" s="12" t="str">
        <f>'12-2017'!C1395</f>
        <v>đ/mét</v>
      </c>
      <c r="D1305" s="13">
        <f>'12-2017'!O1395</f>
        <v>25954.545454545452</v>
      </c>
      <c r="E1305" s="13">
        <f>'12-2017'!P1395</f>
        <v>25954.545454545452</v>
      </c>
      <c r="F1305" s="130">
        <f t="shared" si="57"/>
        <v>0</v>
      </c>
      <c r="H1305" s="74">
        <f>'12-2017'!H1395</f>
        <v>0</v>
      </c>
      <c r="I1305" s="74">
        <f>'12-2017'!I1395</f>
        <v>0</v>
      </c>
      <c r="J1305" s="74">
        <f>'12-2017'!J1395</f>
        <v>0</v>
      </c>
    </row>
    <row r="1306" spans="1:10" s="58" customFormat="1" ht="17.25" hidden="1">
      <c r="A1306" s="10">
        <f>'12-2017'!A1396</f>
        <v>18</v>
      </c>
      <c r="B1306" s="11" t="str">
        <f>'12-2017'!B1396</f>
        <v xml:space="preserve"> Þ 76mm x 2,2mm</v>
      </c>
      <c r="C1306" s="12" t="str">
        <f>'12-2017'!C1396</f>
        <v>đ/mét</v>
      </c>
      <c r="D1306" s="13">
        <f>'12-2017'!O1396</f>
        <v>31590.909090909088</v>
      </c>
      <c r="E1306" s="13">
        <f>'12-2017'!P1396</f>
        <v>31590.909090909088</v>
      </c>
      <c r="F1306" s="130">
        <f t="shared" si="57"/>
        <v>0</v>
      </c>
      <c r="H1306" s="74">
        <f>'12-2017'!H1396</f>
        <v>0</v>
      </c>
      <c r="I1306" s="74">
        <f>'12-2017'!I1396</f>
        <v>0</v>
      </c>
      <c r="J1306" s="74">
        <f>'12-2017'!J1396</f>
        <v>0</v>
      </c>
    </row>
    <row r="1307" spans="1:10" s="58" customFormat="1" ht="17.25" hidden="1">
      <c r="A1307" s="10">
        <f>'12-2017'!A1397</f>
        <v>19</v>
      </c>
      <c r="B1307" s="11" t="str">
        <f>'12-2017'!B1397</f>
        <v xml:space="preserve"> Þ 90mm x 1,7mm</v>
      </c>
      <c r="C1307" s="12" t="str">
        <f>'12-2017'!C1397</f>
        <v>đ/mét</v>
      </c>
      <c r="D1307" s="13">
        <f>'12-2017'!O1397</f>
        <v>27999.999999999996</v>
      </c>
      <c r="E1307" s="13">
        <f>'12-2017'!P1397</f>
        <v>27999.999999999996</v>
      </c>
      <c r="F1307" s="130">
        <f t="shared" si="57"/>
        <v>0</v>
      </c>
      <c r="H1307" s="74">
        <f>'12-2017'!H1397</f>
        <v>0</v>
      </c>
      <c r="I1307" s="74">
        <f>'12-2017'!I1397</f>
        <v>0</v>
      </c>
      <c r="J1307" s="74">
        <f>'12-2017'!J1397</f>
        <v>0</v>
      </c>
    </row>
    <row r="1308" spans="1:10" s="58" customFormat="1" ht="17.25" hidden="1">
      <c r="A1308" s="10">
        <f>'12-2017'!A1398</f>
        <v>20</v>
      </c>
      <c r="B1308" s="11" t="str">
        <f>'12-2017'!B1398</f>
        <v xml:space="preserve"> Þ 90mm x 2,2mm</v>
      </c>
      <c r="C1308" s="12" t="str">
        <f>'12-2017'!C1398</f>
        <v>đ/mét</v>
      </c>
      <c r="D1308" s="13">
        <f>'12-2017'!O1398</f>
        <v>38363.63636363636</v>
      </c>
      <c r="E1308" s="13">
        <f>'12-2017'!P1398</f>
        <v>38363.63636363636</v>
      </c>
      <c r="F1308" s="130">
        <f t="shared" si="57"/>
        <v>0</v>
      </c>
      <c r="H1308" s="74">
        <f>'12-2017'!H1398</f>
        <v>0</v>
      </c>
      <c r="I1308" s="74">
        <f>'12-2017'!I1398</f>
        <v>0</v>
      </c>
      <c r="J1308" s="74">
        <f>'12-2017'!J1398</f>
        <v>0</v>
      </c>
    </row>
    <row r="1309" spans="1:10" s="58" customFormat="1" ht="17.25" hidden="1">
      <c r="A1309" s="10">
        <f>'12-2017'!A1399</f>
        <v>21</v>
      </c>
      <c r="B1309" s="11" t="str">
        <f>'12-2017'!B1399</f>
        <v xml:space="preserve"> Þ 110mm x 1,8mm</v>
      </c>
      <c r="C1309" s="12" t="str">
        <f>'12-2017'!C1399</f>
        <v>đ/mét</v>
      </c>
      <c r="D1309" s="13">
        <f>'12-2017'!O1399</f>
        <v>41727.272727272721</v>
      </c>
      <c r="E1309" s="13">
        <f>'12-2017'!P1399</f>
        <v>41727.272727272721</v>
      </c>
      <c r="F1309" s="130">
        <f t="shared" si="57"/>
        <v>0</v>
      </c>
      <c r="H1309" s="74">
        <f>'12-2017'!H1399</f>
        <v>0</v>
      </c>
      <c r="I1309" s="74">
        <f>'12-2017'!I1399</f>
        <v>0</v>
      </c>
      <c r="J1309" s="74">
        <f>'12-2017'!J1399</f>
        <v>0</v>
      </c>
    </row>
    <row r="1310" spans="1:10" s="58" customFormat="1" ht="17.25" hidden="1">
      <c r="A1310" s="10">
        <f>'12-2017'!A1400</f>
        <v>22</v>
      </c>
      <c r="B1310" s="11" t="str">
        <f>'12-2017'!B1400</f>
        <v xml:space="preserve"> Þ 110mm x 2,7mm</v>
      </c>
      <c r="C1310" s="12" t="str">
        <f>'12-2017'!C1400</f>
        <v>đ/mét</v>
      </c>
      <c r="D1310" s="13">
        <f>'12-2017'!O1400</f>
        <v>60090.909090909088</v>
      </c>
      <c r="E1310" s="13">
        <f>'12-2017'!P1400</f>
        <v>60090.909090909088</v>
      </c>
      <c r="F1310" s="130">
        <f t="shared" si="57"/>
        <v>0</v>
      </c>
      <c r="H1310" s="74">
        <f>'12-2017'!H1400</f>
        <v>0</v>
      </c>
      <c r="I1310" s="74">
        <f>'12-2017'!I1400</f>
        <v>0</v>
      </c>
      <c r="J1310" s="74">
        <f>'12-2017'!J1400</f>
        <v>0</v>
      </c>
    </row>
    <row r="1311" spans="1:10" s="58" customFormat="1" ht="17.25" hidden="1">
      <c r="A1311" s="10">
        <f>'12-2017'!A1401</f>
        <v>23</v>
      </c>
      <c r="B1311" s="11" t="str">
        <f>'12-2017'!B1401</f>
        <v xml:space="preserve"> Þ 114mm x 1,8mm</v>
      </c>
      <c r="C1311" s="12" t="str">
        <f>'12-2017'!C1401</f>
        <v>đ/mét</v>
      </c>
      <c r="D1311" s="13">
        <f>'12-2017'!O1401</f>
        <v>39272.727272727272</v>
      </c>
      <c r="E1311" s="13">
        <f>'12-2017'!P1401</f>
        <v>39272.727272727272</v>
      </c>
      <c r="F1311" s="130">
        <f t="shared" si="57"/>
        <v>0</v>
      </c>
      <c r="H1311" s="74">
        <f>'12-2017'!H1401</f>
        <v>0</v>
      </c>
      <c r="I1311" s="74">
        <f>'12-2017'!I1401</f>
        <v>0</v>
      </c>
      <c r="J1311" s="74">
        <f>'12-2017'!J1401</f>
        <v>0</v>
      </c>
    </row>
    <row r="1312" spans="1:10" s="58" customFormat="1" ht="17.25" hidden="1">
      <c r="A1312" s="10">
        <f>'12-2017'!A1402</f>
        <v>24</v>
      </c>
      <c r="B1312" s="11" t="str">
        <f>'12-2017'!B1402</f>
        <v xml:space="preserve"> Þ 114mm x 2,6mm</v>
      </c>
      <c r="C1312" s="12" t="str">
        <f>'12-2017'!C1402</f>
        <v>đ/mét</v>
      </c>
      <c r="D1312" s="13">
        <f>'12-2017'!O1402</f>
        <v>56454.545454545449</v>
      </c>
      <c r="E1312" s="13">
        <f>'12-2017'!P1402</f>
        <v>56454.545454545449</v>
      </c>
      <c r="F1312" s="130">
        <f t="shared" si="57"/>
        <v>0</v>
      </c>
      <c r="H1312" s="74">
        <f>'12-2017'!H1402</f>
        <v>0</v>
      </c>
      <c r="I1312" s="74">
        <f>'12-2017'!I1402</f>
        <v>0</v>
      </c>
      <c r="J1312" s="74">
        <f>'12-2017'!J1402</f>
        <v>0</v>
      </c>
    </row>
    <row r="1313" spans="1:10" s="58" customFormat="1" ht="17.25" hidden="1">
      <c r="A1313" s="10">
        <f>'12-2017'!A1403</f>
        <v>25</v>
      </c>
      <c r="B1313" s="11" t="str">
        <f>'12-2017'!B1403</f>
        <v xml:space="preserve"> Þ 114mm x 3,0mm</v>
      </c>
      <c r="C1313" s="12" t="str">
        <f>'12-2017'!C1403</f>
        <v>đ/mét</v>
      </c>
      <c r="D1313" s="13">
        <f>'12-2017'!O1403</f>
        <v>64909.090909090904</v>
      </c>
      <c r="E1313" s="13">
        <f>'12-2017'!P1403</f>
        <v>64909.090909090904</v>
      </c>
      <c r="F1313" s="130">
        <f t="shared" si="57"/>
        <v>0</v>
      </c>
      <c r="H1313" s="74">
        <f>'12-2017'!H1403</f>
        <v>0</v>
      </c>
      <c r="I1313" s="74">
        <f>'12-2017'!I1403</f>
        <v>0</v>
      </c>
      <c r="J1313" s="74">
        <f>'12-2017'!J1403</f>
        <v>0</v>
      </c>
    </row>
    <row r="1314" spans="1:10" s="73" customFormat="1" ht="17.25" hidden="1">
      <c r="A1314" s="17"/>
      <c r="B1314" s="237" t="str">
        <f>'12-2017'!B1404</f>
        <v xml:space="preserve"> - Ống uPVC Hoa Sen - tiêu chuẩn TCVN 6151:1996 tương đương tiêu chuẩn ISO 4422:1990 (hệ mét)</v>
      </c>
      <c r="C1314" s="238"/>
      <c r="D1314" s="238"/>
      <c r="E1314" s="238"/>
      <c r="F1314" s="239"/>
      <c r="H1314" s="74">
        <f>'12-2017'!H1404</f>
        <v>0</v>
      </c>
      <c r="I1314" s="74">
        <f>'12-2017'!I1404</f>
        <v>0</v>
      </c>
      <c r="J1314" s="74">
        <f>'12-2017'!J1404</f>
        <v>0</v>
      </c>
    </row>
    <row r="1315" spans="1:10" s="58" customFormat="1" ht="17.25" hidden="1">
      <c r="A1315" s="10">
        <f>'12-2017'!A1405</f>
        <v>26</v>
      </c>
      <c r="B1315" s="11" t="str">
        <f>'12-2017'!B1405</f>
        <v xml:space="preserve"> Þ 125 x 3,0mm</v>
      </c>
      <c r="C1315" s="12" t="str">
        <f>'12-2017'!C1405</f>
        <v>đ/mét</v>
      </c>
      <c r="D1315" s="13">
        <f>'12-2017'!O1405</f>
        <v>86818.181818181809</v>
      </c>
      <c r="E1315" s="13">
        <f>'12-2017'!P1405</f>
        <v>86818.181818181809</v>
      </c>
      <c r="F1315" s="130">
        <f t="shared" si="57"/>
        <v>0</v>
      </c>
      <c r="H1315" s="74">
        <f>'12-2017'!H1405</f>
        <v>0</v>
      </c>
      <c r="I1315" s="74">
        <f>'12-2017'!I1405</f>
        <v>0</v>
      </c>
      <c r="J1315" s="74">
        <f>'12-2017'!J1405</f>
        <v>0</v>
      </c>
    </row>
    <row r="1316" spans="1:10" s="58" customFormat="1" ht="17.25" hidden="1">
      <c r="A1316" s="10">
        <f>'12-2017'!A1406</f>
        <v>27</v>
      </c>
      <c r="B1316" s="11" t="str">
        <f>'12-2017'!B1406</f>
        <v xml:space="preserve"> Þ 130 x 3,2mm</v>
      </c>
      <c r="C1316" s="12" t="str">
        <f>'12-2017'!C1406</f>
        <v>đ/mét</v>
      </c>
      <c r="D1316" s="13">
        <f>'12-2017'!O1406</f>
        <v>77636.363636363632</v>
      </c>
      <c r="E1316" s="13">
        <f>'12-2017'!P1406</f>
        <v>77636.363636363632</v>
      </c>
      <c r="F1316" s="130">
        <f t="shared" si="57"/>
        <v>0</v>
      </c>
      <c r="H1316" s="74">
        <f>'12-2017'!H1406</f>
        <v>0</v>
      </c>
      <c r="I1316" s="74">
        <f>'12-2017'!I1406</f>
        <v>0</v>
      </c>
      <c r="J1316" s="74">
        <f>'12-2017'!J1406</f>
        <v>0</v>
      </c>
    </row>
    <row r="1317" spans="1:10" s="58" customFormat="1" ht="17.25" hidden="1">
      <c r="A1317" s="10">
        <f>'12-2017'!A1407</f>
        <v>28</v>
      </c>
      <c r="B1317" s="11" t="str">
        <f>'12-2017'!B1407</f>
        <v xml:space="preserve"> Þ 130 x 3,5mm</v>
      </c>
      <c r="C1317" s="12" t="str">
        <f>'12-2017'!C1407</f>
        <v>đ/mét</v>
      </c>
      <c r="D1317" s="13">
        <f>'12-2017'!O1407</f>
        <v>85181.818181818177</v>
      </c>
      <c r="E1317" s="13">
        <f>'12-2017'!P1407</f>
        <v>85181.818181818177</v>
      </c>
      <c r="F1317" s="130">
        <f t="shared" si="57"/>
        <v>0</v>
      </c>
      <c r="H1317" s="74">
        <f>'12-2017'!H1407</f>
        <v>0</v>
      </c>
      <c r="I1317" s="74">
        <f>'12-2017'!I1407</f>
        <v>0</v>
      </c>
      <c r="J1317" s="74">
        <f>'12-2017'!J1407</f>
        <v>0</v>
      </c>
    </row>
    <row r="1318" spans="1:10" s="58" customFormat="1" ht="17.25" hidden="1">
      <c r="A1318" s="10">
        <f>'12-2017'!A1408</f>
        <v>29</v>
      </c>
      <c r="B1318" s="11" t="str">
        <f>'12-2017'!B1408</f>
        <v xml:space="preserve"> Þ 140 x 3,5mm</v>
      </c>
      <c r="C1318" s="12" t="str">
        <f>'12-2017'!C1408</f>
        <v>đ/mét</v>
      </c>
      <c r="D1318" s="13">
        <f>'12-2017'!O1408</f>
        <v>95136.363636363632</v>
      </c>
      <c r="E1318" s="13">
        <f>'12-2017'!P1408</f>
        <v>95136.363636363632</v>
      </c>
      <c r="F1318" s="130">
        <f t="shared" si="57"/>
        <v>0</v>
      </c>
      <c r="H1318" s="74">
        <f>'12-2017'!H1408</f>
        <v>0</v>
      </c>
      <c r="I1318" s="74">
        <f>'12-2017'!I1408</f>
        <v>0</v>
      </c>
      <c r="J1318" s="74">
        <f>'12-2017'!J1408</f>
        <v>0</v>
      </c>
    </row>
    <row r="1319" spans="1:10" s="58" customFormat="1" ht="17.25" hidden="1">
      <c r="A1319" s="10">
        <f>'12-2017'!A1409</f>
        <v>30</v>
      </c>
      <c r="B1319" s="11" t="str">
        <f>'12-2017'!B1409</f>
        <v xml:space="preserve"> Þ 160 x 4,0mm</v>
      </c>
      <c r="C1319" s="12" t="str">
        <f>'12-2017'!C1409</f>
        <v>đ/mét</v>
      </c>
      <c r="D1319" s="13">
        <f>'12-2017'!O1409</f>
        <v>128999.99999999999</v>
      </c>
      <c r="E1319" s="13">
        <f>'12-2017'!P1409</f>
        <v>128999.99999999999</v>
      </c>
      <c r="F1319" s="130">
        <f t="shared" si="57"/>
        <v>0</v>
      </c>
      <c r="H1319" s="74">
        <f>'12-2017'!H1409</f>
        <v>0</v>
      </c>
      <c r="I1319" s="74">
        <f>'12-2017'!I1409</f>
        <v>0</v>
      </c>
      <c r="J1319" s="74">
        <f>'12-2017'!J1409</f>
        <v>0</v>
      </c>
    </row>
    <row r="1320" spans="1:10" s="58" customFormat="1" ht="17.25" hidden="1">
      <c r="A1320" s="10">
        <f>'12-2017'!A1410</f>
        <v>31</v>
      </c>
      <c r="B1320" s="11" t="str">
        <f>'12-2017'!B1410</f>
        <v xml:space="preserve"> Þ 168 x 3,5mm</v>
      </c>
      <c r="C1320" s="12" t="str">
        <f>'12-2017'!C1410</f>
        <v>đ/mét</v>
      </c>
      <c r="D1320" s="13">
        <f>'12-2017'!O1410</f>
        <v>116272.72727272726</v>
      </c>
      <c r="E1320" s="13">
        <f>'12-2017'!P1410</f>
        <v>116272.72727272726</v>
      </c>
      <c r="F1320" s="130">
        <f t="shared" si="57"/>
        <v>0</v>
      </c>
      <c r="H1320" s="74">
        <f>'12-2017'!H1410</f>
        <v>0</v>
      </c>
      <c r="I1320" s="74">
        <f>'12-2017'!I1410</f>
        <v>0</v>
      </c>
      <c r="J1320" s="74">
        <f>'12-2017'!J1410</f>
        <v>0</v>
      </c>
    </row>
    <row r="1321" spans="1:10" s="58" customFormat="1" ht="17.25" hidden="1">
      <c r="A1321" s="10">
        <f>'12-2017'!A1411</f>
        <v>32</v>
      </c>
      <c r="B1321" s="11" t="str">
        <f>'12-2017'!B1411</f>
        <v xml:space="preserve"> Þ 168 x 4,3mm</v>
      </c>
      <c r="C1321" s="12" t="str">
        <f>'12-2017'!C1411</f>
        <v>đ/mét</v>
      </c>
      <c r="D1321" s="13">
        <f>'12-2017'!O1411</f>
        <v>135818.18181818179</v>
      </c>
      <c r="E1321" s="13">
        <f>'12-2017'!P1411</f>
        <v>135818.18181818179</v>
      </c>
      <c r="F1321" s="130">
        <f t="shared" si="57"/>
        <v>0</v>
      </c>
      <c r="H1321" s="74">
        <f>'12-2017'!H1411</f>
        <v>0</v>
      </c>
      <c r="I1321" s="74">
        <f>'12-2017'!I1411</f>
        <v>0</v>
      </c>
      <c r="J1321" s="74">
        <f>'12-2017'!J1411</f>
        <v>0</v>
      </c>
    </row>
    <row r="1322" spans="1:10" s="58" customFormat="1" ht="17.25" hidden="1">
      <c r="A1322" s="10">
        <f>'12-2017'!A1412</f>
        <v>33</v>
      </c>
      <c r="B1322" s="11" t="str">
        <f>'12-2017'!B1412</f>
        <v xml:space="preserve"> Þ 200 x 4,0mm</v>
      </c>
      <c r="C1322" s="12" t="str">
        <f>'12-2017'!C1412</f>
        <v>đ/mét</v>
      </c>
      <c r="D1322" s="13">
        <f>'12-2017'!O1412</f>
        <v>161818.18181818179</v>
      </c>
      <c r="E1322" s="13">
        <f>'12-2017'!P1412</f>
        <v>161818.18181818179</v>
      </c>
      <c r="F1322" s="130">
        <f t="shared" si="57"/>
        <v>0</v>
      </c>
      <c r="H1322" s="74">
        <f>'12-2017'!H1412</f>
        <v>0</v>
      </c>
      <c r="I1322" s="74">
        <f>'12-2017'!I1412</f>
        <v>0</v>
      </c>
      <c r="J1322" s="74">
        <f>'12-2017'!J1412</f>
        <v>0</v>
      </c>
    </row>
    <row r="1323" spans="1:10" s="58" customFormat="1" ht="17.25" hidden="1">
      <c r="A1323" s="10">
        <f>'12-2017'!A1413</f>
        <v>34</v>
      </c>
      <c r="B1323" s="11" t="str">
        <f>'12-2017'!B1413</f>
        <v xml:space="preserve"> Þ 200 x 5,0mm</v>
      </c>
      <c r="C1323" s="12" t="str">
        <f>'12-2017'!C1413</f>
        <v>đ/mét</v>
      </c>
      <c r="D1323" s="13">
        <f>'12-2017'!O1413</f>
        <v>198909.09090909088</v>
      </c>
      <c r="E1323" s="13">
        <f>'12-2017'!P1413</f>
        <v>198909.09090909088</v>
      </c>
      <c r="F1323" s="130">
        <f t="shared" si="57"/>
        <v>0</v>
      </c>
      <c r="H1323" s="74">
        <f>'12-2017'!H1413</f>
        <v>0</v>
      </c>
      <c r="I1323" s="74">
        <f>'12-2017'!I1413</f>
        <v>0</v>
      </c>
      <c r="J1323" s="74">
        <f>'12-2017'!J1413</f>
        <v>0</v>
      </c>
    </row>
    <row r="1324" spans="1:10" s="58" customFormat="1" ht="17.25" hidden="1">
      <c r="A1324" s="10">
        <f>'12-2017'!A1414</f>
        <v>35</v>
      </c>
      <c r="B1324" s="11" t="str">
        <f>'12-2017'!B1414</f>
        <v xml:space="preserve"> Þ 220 x 5,1mm</v>
      </c>
      <c r="C1324" s="12" t="str">
        <f>'12-2017'!C1414</f>
        <v>đ/mét</v>
      </c>
      <c r="D1324" s="13">
        <f>'12-2017'!O1414</f>
        <v>210181.81818181818</v>
      </c>
      <c r="E1324" s="13">
        <f>'12-2017'!P1414</f>
        <v>210181.81818181818</v>
      </c>
      <c r="F1324" s="130">
        <f t="shared" si="57"/>
        <v>0</v>
      </c>
      <c r="H1324" s="74">
        <f>'12-2017'!H1414</f>
        <v>0</v>
      </c>
      <c r="I1324" s="74">
        <f>'12-2017'!I1414</f>
        <v>0</v>
      </c>
      <c r="J1324" s="74">
        <f>'12-2017'!J1414</f>
        <v>0</v>
      </c>
    </row>
    <row r="1325" spans="1:10" s="58" customFormat="1" ht="17.25" hidden="1">
      <c r="A1325" s="10">
        <f>'12-2017'!A1415</f>
        <v>36</v>
      </c>
      <c r="B1325" s="11" t="str">
        <f>'12-2017'!B1415</f>
        <v xml:space="preserve"> Þ 225 x 5,5mm</v>
      </c>
      <c r="C1325" s="12" t="str">
        <f>'12-2017'!C1415</f>
        <v>đ/mét</v>
      </c>
      <c r="D1325" s="13">
        <f>'12-2017'!O1415</f>
        <v>245454.54545454544</v>
      </c>
      <c r="E1325" s="13">
        <f>'12-2017'!P1415</f>
        <v>245454.54545454544</v>
      </c>
      <c r="F1325" s="130">
        <f t="shared" si="57"/>
        <v>0</v>
      </c>
      <c r="H1325" s="74">
        <f>'12-2017'!H1415</f>
        <v>0</v>
      </c>
      <c r="I1325" s="74">
        <f>'12-2017'!I1415</f>
        <v>0</v>
      </c>
      <c r="J1325" s="74">
        <f>'12-2017'!J1415</f>
        <v>0</v>
      </c>
    </row>
    <row r="1326" spans="1:10" s="58" customFormat="1" ht="17.25" hidden="1">
      <c r="A1326" s="10">
        <f>'12-2017'!A1416</f>
        <v>37</v>
      </c>
      <c r="B1326" s="11" t="str">
        <f>'12-2017'!B1416</f>
        <v xml:space="preserve"> Þ 250 x 6,2mm</v>
      </c>
      <c r="C1326" s="12" t="str">
        <f>'12-2017'!C1416</f>
        <v>đ/mét</v>
      </c>
      <c r="D1326" s="13">
        <f>'12-2017'!O1416</f>
        <v>310000</v>
      </c>
      <c r="E1326" s="13">
        <f>'12-2017'!P1416</f>
        <v>310000</v>
      </c>
      <c r="F1326" s="130">
        <f t="shared" si="57"/>
        <v>0</v>
      </c>
      <c r="H1326" s="74">
        <f>'12-2017'!H1416</f>
        <v>0</v>
      </c>
      <c r="I1326" s="74">
        <f>'12-2017'!I1416</f>
        <v>0</v>
      </c>
      <c r="J1326" s="74">
        <f>'12-2017'!J1416</f>
        <v>0</v>
      </c>
    </row>
    <row r="1327" spans="1:10" s="58" customFormat="1" ht="17.25" hidden="1">
      <c r="A1327" s="10">
        <f>'12-2017'!A1417</f>
        <v>38</v>
      </c>
      <c r="B1327" s="11" t="str">
        <f>'12-2017'!B1417</f>
        <v xml:space="preserve"> Þ 250 x 6,5mm</v>
      </c>
      <c r="C1327" s="12" t="str">
        <f>'12-2017'!C1417</f>
        <v>đ/mét</v>
      </c>
      <c r="D1327" s="13">
        <f>'12-2017'!O1417</f>
        <v>322818.18181818177</v>
      </c>
      <c r="E1327" s="13">
        <f>'12-2017'!P1417</f>
        <v>322818.18181818177</v>
      </c>
      <c r="F1327" s="130">
        <f t="shared" si="57"/>
        <v>0</v>
      </c>
      <c r="H1327" s="74">
        <f>'12-2017'!H1417</f>
        <v>0</v>
      </c>
      <c r="I1327" s="74">
        <f>'12-2017'!I1417</f>
        <v>0</v>
      </c>
      <c r="J1327" s="74">
        <f>'12-2017'!J1417</f>
        <v>0</v>
      </c>
    </row>
    <row r="1328" spans="1:10" s="58" customFormat="1" ht="17.25" hidden="1">
      <c r="A1328" s="10">
        <f>'12-2017'!A1418</f>
        <v>39</v>
      </c>
      <c r="B1328" s="11" t="str">
        <f>'12-2017'!B1418</f>
        <v xml:space="preserve"> Þ 280 x 6,9mm</v>
      </c>
      <c r="C1328" s="12" t="str">
        <f>'12-2017'!C1418</f>
        <v>đ/mét</v>
      </c>
      <c r="D1328" s="13">
        <f>'12-2017'!O1418</f>
        <v>386090.90909090906</v>
      </c>
      <c r="E1328" s="13">
        <f>'12-2017'!P1418</f>
        <v>386090.90909090906</v>
      </c>
      <c r="F1328" s="130">
        <f t="shared" si="57"/>
        <v>0</v>
      </c>
      <c r="H1328" s="74">
        <f>'12-2017'!H1418</f>
        <v>0</v>
      </c>
      <c r="I1328" s="74">
        <f>'12-2017'!I1418</f>
        <v>0</v>
      </c>
      <c r="J1328" s="74">
        <f>'12-2017'!J1418</f>
        <v>0</v>
      </c>
    </row>
    <row r="1329" spans="1:10" s="58" customFormat="1" ht="17.25" hidden="1">
      <c r="A1329" s="10">
        <f>'12-2017'!A1419</f>
        <v>40</v>
      </c>
      <c r="B1329" s="11" t="str">
        <f>'12-2017'!B1419</f>
        <v xml:space="preserve"> Þ 315 x 6,2mm</v>
      </c>
      <c r="C1329" s="12" t="str">
        <f>'12-2017'!C1419</f>
        <v>đ/mét</v>
      </c>
      <c r="D1329" s="13">
        <f>'12-2017'!O1419</f>
        <v>390999.99999999994</v>
      </c>
      <c r="E1329" s="13">
        <f>'12-2017'!P1419</f>
        <v>390999.99999999994</v>
      </c>
      <c r="F1329" s="130">
        <f t="shared" si="57"/>
        <v>0</v>
      </c>
      <c r="H1329" s="74">
        <f>'12-2017'!H1419</f>
        <v>0</v>
      </c>
      <c r="I1329" s="74">
        <f>'12-2017'!I1419</f>
        <v>0</v>
      </c>
      <c r="J1329" s="74">
        <f>'12-2017'!J1419</f>
        <v>0</v>
      </c>
    </row>
    <row r="1330" spans="1:10" s="58" customFormat="1" ht="17.25" hidden="1">
      <c r="A1330" s="10">
        <f>'12-2017'!A1420</f>
        <v>41</v>
      </c>
      <c r="B1330" s="11" t="str">
        <f>'12-2017'!B1420</f>
        <v xml:space="preserve"> Þ 315 x 8,0mm</v>
      </c>
      <c r="C1330" s="12" t="str">
        <f>'12-2017'!C1420</f>
        <v>đ/mét</v>
      </c>
      <c r="D1330" s="13">
        <f>'12-2017'!O1420</f>
        <v>501636.36363636359</v>
      </c>
      <c r="E1330" s="13">
        <f>'12-2017'!P1420</f>
        <v>501636.36363636359</v>
      </c>
      <c r="F1330" s="130">
        <f t="shared" si="57"/>
        <v>0</v>
      </c>
      <c r="H1330" s="74">
        <f>'12-2017'!H1420</f>
        <v>0</v>
      </c>
      <c r="I1330" s="74">
        <f>'12-2017'!I1420</f>
        <v>0</v>
      </c>
      <c r="J1330" s="74">
        <f>'12-2017'!J1420</f>
        <v>0</v>
      </c>
    </row>
    <row r="1331" spans="1:10" s="58" customFormat="1" ht="17.25" hidden="1">
      <c r="A1331" s="10">
        <f>'12-2017'!A1421</f>
        <v>42</v>
      </c>
      <c r="B1331" s="11" t="str">
        <f>'12-2017'!B1421</f>
        <v xml:space="preserve"> Þ 400 x 8,0mm</v>
      </c>
      <c r="C1331" s="12" t="str">
        <f>'12-2017'!C1421</f>
        <v>đ/mét</v>
      </c>
      <c r="D1331" s="13">
        <f>'12-2017'!O1421</f>
        <v>640272.72727272718</v>
      </c>
      <c r="E1331" s="13">
        <f>'12-2017'!P1421</f>
        <v>640272.72727272718</v>
      </c>
      <c r="F1331" s="130">
        <f t="shared" si="57"/>
        <v>0</v>
      </c>
      <c r="H1331" s="74">
        <f>'12-2017'!H1421</f>
        <v>0</v>
      </c>
      <c r="I1331" s="74">
        <f>'12-2017'!I1421</f>
        <v>0</v>
      </c>
      <c r="J1331" s="74">
        <f>'12-2017'!J1421</f>
        <v>0</v>
      </c>
    </row>
    <row r="1332" spans="1:10" s="58" customFormat="1" ht="17.25" hidden="1">
      <c r="A1332" s="10">
        <f>'12-2017'!A1422</f>
        <v>43</v>
      </c>
      <c r="B1332" s="11" t="str">
        <f>'12-2017'!B1422</f>
        <v xml:space="preserve"> Þ 450 x 11,0mm</v>
      </c>
      <c r="C1332" s="12" t="str">
        <f>'12-2017'!C1422</f>
        <v>đ/mét</v>
      </c>
      <c r="D1332" s="13">
        <f>'12-2017'!O1422</f>
        <v>988181.81818181812</v>
      </c>
      <c r="E1332" s="13">
        <f>'12-2017'!P1422</f>
        <v>988181.81818181812</v>
      </c>
      <c r="F1332" s="130">
        <f t="shared" si="57"/>
        <v>0</v>
      </c>
      <c r="H1332" s="74">
        <f>'12-2017'!H1422</f>
        <v>0</v>
      </c>
      <c r="I1332" s="74">
        <f>'12-2017'!I1422</f>
        <v>0</v>
      </c>
      <c r="J1332" s="74">
        <f>'12-2017'!J1422</f>
        <v>0</v>
      </c>
    </row>
    <row r="1333" spans="1:10" s="58" customFormat="1" ht="17.25" hidden="1">
      <c r="A1333" s="10">
        <f>'12-2017'!A1423</f>
        <v>44</v>
      </c>
      <c r="B1333" s="11" t="str">
        <f>'12-2017'!B1423</f>
        <v xml:space="preserve"> Þ 500 x 9,8mm</v>
      </c>
      <c r="C1333" s="12" t="str">
        <f>'12-2017'!C1423</f>
        <v>đ/mét</v>
      </c>
      <c r="D1333" s="13">
        <f>'12-2017'!O1423</f>
        <v>982999.99999999988</v>
      </c>
      <c r="E1333" s="13">
        <f>'12-2017'!P1423</f>
        <v>982999.99999999988</v>
      </c>
      <c r="F1333" s="130">
        <f t="shared" si="57"/>
        <v>0</v>
      </c>
      <c r="H1333" s="74">
        <f>'12-2017'!H1423</f>
        <v>0</v>
      </c>
      <c r="I1333" s="74">
        <f>'12-2017'!I1423</f>
        <v>0</v>
      </c>
      <c r="J1333" s="74">
        <f>'12-2017'!J1423</f>
        <v>0</v>
      </c>
    </row>
    <row r="1334" spans="1:10" s="58" customFormat="1" ht="17.25" hidden="1">
      <c r="A1334" s="10">
        <f>'12-2017'!A1424</f>
        <v>45</v>
      </c>
      <c r="B1334" s="11" t="str">
        <f>'12-2017'!B1424</f>
        <v xml:space="preserve"> Þ 560 x 13,7mm</v>
      </c>
      <c r="C1334" s="12" t="str">
        <f>'12-2017'!C1424</f>
        <v>đ/mét</v>
      </c>
      <c r="D1334" s="13">
        <f>'12-2017'!O1424</f>
        <v>1531909.0909090908</v>
      </c>
      <c r="E1334" s="13">
        <f>'12-2017'!P1424</f>
        <v>1531909.0909090908</v>
      </c>
      <c r="F1334" s="130">
        <f t="shared" si="57"/>
        <v>0</v>
      </c>
      <c r="H1334" s="74">
        <f>'12-2017'!H1424</f>
        <v>0</v>
      </c>
      <c r="I1334" s="74">
        <f>'12-2017'!I1424</f>
        <v>0</v>
      </c>
      <c r="J1334" s="74">
        <f>'12-2017'!J1424</f>
        <v>0</v>
      </c>
    </row>
    <row r="1335" spans="1:10" s="58" customFormat="1" ht="17.25" hidden="1">
      <c r="A1335" s="10">
        <f>'12-2017'!A1425</f>
        <v>46</v>
      </c>
      <c r="B1335" s="11" t="str">
        <f>'12-2017'!B1425</f>
        <v xml:space="preserve"> Þ 630 x 15,4mm</v>
      </c>
      <c r="C1335" s="12" t="str">
        <f>'12-2017'!C1425</f>
        <v>đ/mét</v>
      </c>
      <c r="D1335" s="13">
        <f>'12-2017'!O1425</f>
        <v>1937454.5454545454</v>
      </c>
      <c r="E1335" s="13">
        <f>'12-2017'!P1425</f>
        <v>1937454.5454545454</v>
      </c>
      <c r="F1335" s="130">
        <f t="shared" si="57"/>
        <v>0</v>
      </c>
      <c r="H1335" s="74">
        <f>'12-2017'!H1425</f>
        <v>0</v>
      </c>
      <c r="I1335" s="74">
        <f>'12-2017'!I1425</f>
        <v>0</v>
      </c>
      <c r="J1335" s="74">
        <f>'12-2017'!J1425</f>
        <v>0</v>
      </c>
    </row>
    <row r="1336" spans="1:10" s="73" customFormat="1" ht="17.25" hidden="1">
      <c r="A1336" s="17"/>
      <c r="B1336" s="9" t="str">
        <f>'12-2017'!B1426</f>
        <v xml:space="preserve"> - Phụ tùng cho Ống - Keo dán Hoa Sen.</v>
      </c>
      <c r="C1336" s="8"/>
      <c r="D1336" s="22"/>
      <c r="E1336" s="22"/>
      <c r="F1336" s="131"/>
      <c r="H1336" s="74">
        <f>'12-2017'!H1426</f>
        <v>0</v>
      </c>
      <c r="I1336" s="74">
        <f>'12-2017'!I1426</f>
        <v>0</v>
      </c>
      <c r="J1336" s="74">
        <f>'12-2017'!J1426</f>
        <v>0</v>
      </c>
    </row>
    <row r="1337" spans="1:10" s="58" customFormat="1" ht="17.25" hidden="1">
      <c r="A1337" s="10">
        <f>'12-2017'!A1427</f>
        <v>47</v>
      </c>
      <c r="B1337" s="11" t="str">
        <f>'12-2017'!B1427</f>
        <v xml:space="preserve"> Co 900 Þ 21 dày</v>
      </c>
      <c r="C1337" s="12" t="str">
        <f>'12-2017'!C1427</f>
        <v>đ/cái</v>
      </c>
      <c r="D1337" s="13">
        <f>'12-2017'!O1427</f>
        <v>2100</v>
      </c>
      <c r="E1337" s="13">
        <f>'12-2017'!P1427</f>
        <v>2100</v>
      </c>
      <c r="F1337" s="130">
        <f t="shared" si="57"/>
        <v>0</v>
      </c>
      <c r="H1337" s="74">
        <f>'12-2017'!H1427</f>
        <v>0</v>
      </c>
      <c r="I1337" s="74">
        <f>'12-2017'!I1427</f>
        <v>0</v>
      </c>
      <c r="J1337" s="74">
        <f>'12-2017'!J1427</f>
        <v>0</v>
      </c>
    </row>
    <row r="1338" spans="1:10" s="58" customFormat="1" ht="17.25" hidden="1">
      <c r="A1338" s="10">
        <f>'12-2017'!A1428</f>
        <v>48</v>
      </c>
      <c r="B1338" s="11" t="str">
        <f>'12-2017'!B1428</f>
        <v xml:space="preserve"> Co 900 Þ 27 dày</v>
      </c>
      <c r="C1338" s="12" t="str">
        <f>'12-2017'!C1428</f>
        <v>đ/cái</v>
      </c>
      <c r="D1338" s="13">
        <f>'12-2017'!O1428</f>
        <v>3400</v>
      </c>
      <c r="E1338" s="13">
        <f>'12-2017'!P1428</f>
        <v>3400</v>
      </c>
      <c r="F1338" s="130">
        <f t="shared" si="57"/>
        <v>0</v>
      </c>
      <c r="H1338" s="74">
        <f>'12-2017'!H1428</f>
        <v>0</v>
      </c>
      <c r="I1338" s="74">
        <f>'12-2017'!I1428</f>
        <v>0</v>
      </c>
      <c r="J1338" s="74">
        <f>'12-2017'!J1428</f>
        <v>0</v>
      </c>
    </row>
    <row r="1339" spans="1:10" s="58" customFormat="1" ht="17.25" hidden="1">
      <c r="A1339" s="10">
        <f>'12-2017'!A1429</f>
        <v>49</v>
      </c>
      <c r="B1339" s="11" t="str">
        <f>'12-2017'!B1429</f>
        <v xml:space="preserve"> Co 900 Þ 34 dày</v>
      </c>
      <c r="C1339" s="12" t="str">
        <f>'12-2017'!C1429</f>
        <v>đ/cái</v>
      </c>
      <c r="D1339" s="13">
        <f>'12-2017'!O1429</f>
        <v>4800</v>
      </c>
      <c r="E1339" s="13">
        <f>'12-2017'!P1429</f>
        <v>4800</v>
      </c>
      <c r="F1339" s="130">
        <f t="shared" si="57"/>
        <v>0</v>
      </c>
      <c r="H1339" s="74">
        <f>'12-2017'!H1429</f>
        <v>0</v>
      </c>
      <c r="I1339" s="74">
        <f>'12-2017'!I1429</f>
        <v>0</v>
      </c>
      <c r="J1339" s="74">
        <f>'12-2017'!J1429</f>
        <v>0</v>
      </c>
    </row>
    <row r="1340" spans="1:10" s="58" customFormat="1" ht="17.25" hidden="1">
      <c r="A1340" s="10">
        <f>'12-2017'!A1430</f>
        <v>50</v>
      </c>
      <c r="B1340" s="11" t="str">
        <f>'12-2017'!B1430</f>
        <v xml:space="preserve"> Co 900 Þ 42 dày</v>
      </c>
      <c r="C1340" s="12" t="str">
        <f>'12-2017'!C1430</f>
        <v>đ/cái</v>
      </c>
      <c r="D1340" s="13">
        <f>'12-2017'!O1430</f>
        <v>7300</v>
      </c>
      <c r="E1340" s="13">
        <f>'12-2017'!P1430</f>
        <v>7300</v>
      </c>
      <c r="F1340" s="130">
        <f t="shared" si="57"/>
        <v>0</v>
      </c>
      <c r="H1340" s="74">
        <f>'12-2017'!H1430</f>
        <v>0</v>
      </c>
      <c r="I1340" s="74">
        <f>'12-2017'!I1430</f>
        <v>0</v>
      </c>
      <c r="J1340" s="74">
        <f>'12-2017'!J1430</f>
        <v>0</v>
      </c>
    </row>
    <row r="1341" spans="1:10" s="58" customFormat="1" ht="17.25" hidden="1">
      <c r="A1341" s="10">
        <f>'12-2017'!A1431</f>
        <v>51</v>
      </c>
      <c r="B1341" s="11" t="str">
        <f>'12-2017'!B1431</f>
        <v xml:space="preserve"> Co 900 Þ 49 dày</v>
      </c>
      <c r="C1341" s="12" t="str">
        <f>'12-2017'!C1431</f>
        <v>đ/cái</v>
      </c>
      <c r="D1341" s="13">
        <f>'12-2017'!O1431</f>
        <v>11400</v>
      </c>
      <c r="E1341" s="13">
        <f>'12-2017'!P1431</f>
        <v>11400</v>
      </c>
      <c r="F1341" s="130">
        <f t="shared" si="57"/>
        <v>0</v>
      </c>
      <c r="H1341" s="74">
        <f>'12-2017'!H1431</f>
        <v>0</v>
      </c>
      <c r="I1341" s="74">
        <f>'12-2017'!I1431</f>
        <v>0</v>
      </c>
      <c r="J1341" s="74">
        <f>'12-2017'!J1431</f>
        <v>0</v>
      </c>
    </row>
    <row r="1342" spans="1:10" s="58" customFormat="1" ht="17.25" hidden="1">
      <c r="A1342" s="10">
        <f>'12-2017'!A1432</f>
        <v>52</v>
      </c>
      <c r="B1342" s="11" t="str">
        <f>'12-2017'!B1432</f>
        <v xml:space="preserve"> Co 900 Þ 60 dày</v>
      </c>
      <c r="C1342" s="12" t="str">
        <f>'12-2017'!C1432</f>
        <v>đ/cái</v>
      </c>
      <c r="D1342" s="13">
        <f>'12-2017'!O1432</f>
        <v>18200</v>
      </c>
      <c r="E1342" s="13">
        <f>'12-2017'!P1432</f>
        <v>18200</v>
      </c>
      <c r="F1342" s="130">
        <f t="shared" si="57"/>
        <v>0</v>
      </c>
      <c r="H1342" s="74">
        <f>'12-2017'!H1432</f>
        <v>0</v>
      </c>
      <c r="I1342" s="74">
        <f>'12-2017'!I1432</f>
        <v>0</v>
      </c>
      <c r="J1342" s="74">
        <f>'12-2017'!J1432</f>
        <v>0</v>
      </c>
    </row>
    <row r="1343" spans="1:10" s="58" customFormat="1" ht="17.25" hidden="1">
      <c r="A1343" s="10">
        <f>'12-2017'!A1433</f>
        <v>53</v>
      </c>
      <c r="B1343" s="11" t="str">
        <f>'12-2017'!B1433</f>
        <v>T 900 Þ 21 dày</v>
      </c>
      <c r="C1343" s="12" t="str">
        <f>'12-2017'!C1433</f>
        <v>đ/cái</v>
      </c>
      <c r="D1343" s="13">
        <f>'12-2017'!O1433</f>
        <v>2800</v>
      </c>
      <c r="E1343" s="13">
        <f>'12-2017'!P1433</f>
        <v>2800</v>
      </c>
      <c r="F1343" s="130">
        <f t="shared" si="57"/>
        <v>0</v>
      </c>
      <c r="H1343" s="74">
        <f>'12-2017'!H1433</f>
        <v>0</v>
      </c>
      <c r="I1343" s="74">
        <f>'12-2017'!I1433</f>
        <v>0</v>
      </c>
      <c r="J1343" s="74">
        <f>'12-2017'!J1433</f>
        <v>0</v>
      </c>
    </row>
    <row r="1344" spans="1:10" s="58" customFormat="1" ht="17.25" hidden="1">
      <c r="A1344" s="10">
        <f>'12-2017'!A1434</f>
        <v>54</v>
      </c>
      <c r="B1344" s="11" t="str">
        <f>'12-2017'!B1434</f>
        <v>T 900 Þ 27 dày</v>
      </c>
      <c r="C1344" s="12" t="str">
        <f>'12-2017'!C1434</f>
        <v>đ/cái</v>
      </c>
      <c r="D1344" s="13">
        <f>'12-2017'!O1434</f>
        <v>4600</v>
      </c>
      <c r="E1344" s="13">
        <f>'12-2017'!P1434</f>
        <v>4600</v>
      </c>
      <c r="F1344" s="130">
        <f t="shared" si="57"/>
        <v>0</v>
      </c>
      <c r="H1344" s="74">
        <f>'12-2017'!H1434</f>
        <v>0</v>
      </c>
      <c r="I1344" s="74">
        <f>'12-2017'!I1434</f>
        <v>0</v>
      </c>
      <c r="J1344" s="74">
        <f>'12-2017'!J1434</f>
        <v>0</v>
      </c>
    </row>
    <row r="1345" spans="1:10" s="58" customFormat="1" ht="17.25" hidden="1">
      <c r="A1345" s="10">
        <f>'12-2017'!A1435</f>
        <v>55</v>
      </c>
      <c r="B1345" s="11" t="str">
        <f>'12-2017'!B1435</f>
        <v>T 900 Þ 34 dày</v>
      </c>
      <c r="C1345" s="12" t="str">
        <f>'12-2017'!C1435</f>
        <v>đ/cái</v>
      </c>
      <c r="D1345" s="13">
        <f>'12-2017'!O1435</f>
        <v>7400</v>
      </c>
      <c r="E1345" s="13">
        <f>'12-2017'!P1435</f>
        <v>7400</v>
      </c>
      <c r="F1345" s="130">
        <f t="shared" si="57"/>
        <v>0</v>
      </c>
      <c r="H1345" s="74">
        <f>'12-2017'!H1435</f>
        <v>0</v>
      </c>
      <c r="I1345" s="74">
        <f>'12-2017'!I1435</f>
        <v>0</v>
      </c>
      <c r="J1345" s="74">
        <f>'12-2017'!J1435</f>
        <v>0</v>
      </c>
    </row>
    <row r="1346" spans="1:10" s="58" customFormat="1" ht="17.25" hidden="1">
      <c r="A1346" s="10">
        <f>'12-2017'!A1436</f>
        <v>56</v>
      </c>
      <c r="B1346" s="11" t="str">
        <f>'12-2017'!B1436</f>
        <v>T 900 Þ 42 dày</v>
      </c>
      <c r="C1346" s="12" t="str">
        <f>'12-2017'!C1436</f>
        <v>đ/cái</v>
      </c>
      <c r="D1346" s="13">
        <f>'12-2017'!O1436</f>
        <v>9800</v>
      </c>
      <c r="E1346" s="13">
        <f>'12-2017'!P1436</f>
        <v>9800</v>
      </c>
      <c r="F1346" s="130">
        <f t="shared" si="57"/>
        <v>0</v>
      </c>
      <c r="H1346" s="74">
        <f>'12-2017'!H1436</f>
        <v>0</v>
      </c>
      <c r="I1346" s="74">
        <f>'12-2017'!I1436</f>
        <v>0</v>
      </c>
      <c r="J1346" s="74">
        <f>'12-2017'!J1436</f>
        <v>0</v>
      </c>
    </row>
    <row r="1347" spans="1:10" s="58" customFormat="1" ht="17.25" hidden="1">
      <c r="A1347" s="10">
        <f>'12-2017'!A1437</f>
        <v>57</v>
      </c>
      <c r="B1347" s="11" t="str">
        <f>'12-2017'!B1437</f>
        <v>T 900 Þ 49 dày</v>
      </c>
      <c r="C1347" s="12" t="str">
        <f>'12-2017'!C1437</f>
        <v>đ/cái</v>
      </c>
      <c r="D1347" s="13">
        <f>'12-2017'!O1437</f>
        <v>14500</v>
      </c>
      <c r="E1347" s="13">
        <f>'12-2017'!P1437</f>
        <v>14500</v>
      </c>
      <c r="F1347" s="130">
        <f t="shared" si="57"/>
        <v>0</v>
      </c>
      <c r="H1347" s="74">
        <f>'12-2017'!H1437</f>
        <v>0</v>
      </c>
      <c r="I1347" s="74">
        <f>'12-2017'!I1437</f>
        <v>0</v>
      </c>
      <c r="J1347" s="74">
        <f>'12-2017'!J1437</f>
        <v>0</v>
      </c>
    </row>
    <row r="1348" spans="1:10" s="58" customFormat="1" ht="17.25" hidden="1">
      <c r="A1348" s="10">
        <f>'12-2017'!A1438</f>
        <v>58</v>
      </c>
      <c r="B1348" s="11" t="str">
        <f>'12-2017'!B1438</f>
        <v>T 900 Þ 60 dày</v>
      </c>
      <c r="C1348" s="12" t="str">
        <f>'12-2017'!C1438</f>
        <v>đ/cái</v>
      </c>
      <c r="D1348" s="13">
        <f>'12-2017'!O1438</f>
        <v>24900</v>
      </c>
      <c r="E1348" s="13">
        <f>'12-2017'!P1438</f>
        <v>24900</v>
      </c>
      <c r="F1348" s="130">
        <f t="shared" si="57"/>
        <v>0</v>
      </c>
      <c r="H1348" s="74">
        <f>'12-2017'!H1438</f>
        <v>0</v>
      </c>
      <c r="I1348" s="74">
        <f>'12-2017'!I1438</f>
        <v>0</v>
      </c>
      <c r="J1348" s="74">
        <f>'12-2017'!J1438</f>
        <v>0</v>
      </c>
    </row>
    <row r="1349" spans="1:10" s="58" customFormat="1" ht="17.25" hidden="1">
      <c r="A1349" s="10">
        <f>'12-2017'!A1439</f>
        <v>59</v>
      </c>
      <c r="B1349" s="11" t="str">
        <f>'12-2017'!B1439</f>
        <v xml:space="preserve"> Nối trơn Þ  21 dày</v>
      </c>
      <c r="C1349" s="12" t="str">
        <f>'12-2017'!C1439</f>
        <v>đ/cái</v>
      </c>
      <c r="D1349" s="13">
        <f>'12-2017'!O1439</f>
        <v>1600</v>
      </c>
      <c r="E1349" s="13">
        <f>'12-2017'!P1439</f>
        <v>1600</v>
      </c>
      <c r="F1349" s="130">
        <f t="shared" si="57"/>
        <v>0</v>
      </c>
      <c r="H1349" s="74">
        <f>'12-2017'!H1439</f>
        <v>0</v>
      </c>
      <c r="I1349" s="74">
        <f>'12-2017'!I1439</f>
        <v>0</v>
      </c>
      <c r="J1349" s="74">
        <f>'12-2017'!J1439</f>
        <v>0</v>
      </c>
    </row>
    <row r="1350" spans="1:10" s="58" customFormat="1" ht="17.25" hidden="1">
      <c r="A1350" s="10">
        <f>'12-2017'!A1440</f>
        <v>60</v>
      </c>
      <c r="B1350" s="11" t="str">
        <f>'12-2017'!B1440</f>
        <v xml:space="preserve"> Nối trơn Þ  27 dày</v>
      </c>
      <c r="C1350" s="12" t="str">
        <f>'12-2017'!C1440</f>
        <v>đ/cái</v>
      </c>
      <c r="D1350" s="13">
        <f>'12-2017'!O1440</f>
        <v>2200</v>
      </c>
      <c r="E1350" s="13">
        <f>'12-2017'!P1440</f>
        <v>2200</v>
      </c>
      <c r="F1350" s="130">
        <f t="shared" si="57"/>
        <v>0</v>
      </c>
      <c r="H1350" s="74">
        <f>'12-2017'!H1440</f>
        <v>0</v>
      </c>
      <c r="I1350" s="74">
        <f>'12-2017'!I1440</f>
        <v>0</v>
      </c>
      <c r="J1350" s="74">
        <f>'12-2017'!J1440</f>
        <v>0</v>
      </c>
    </row>
    <row r="1351" spans="1:10" s="58" customFormat="1" ht="17.25" hidden="1">
      <c r="A1351" s="10">
        <f>'12-2017'!A1441</f>
        <v>61</v>
      </c>
      <c r="B1351" s="11" t="str">
        <f>'12-2017'!B1441</f>
        <v xml:space="preserve"> Nối trơn Þ  34 dày</v>
      </c>
      <c r="C1351" s="12" t="str">
        <f>'12-2017'!C1441</f>
        <v>đ/cái</v>
      </c>
      <c r="D1351" s="13">
        <f>'12-2017'!O1441</f>
        <v>3700</v>
      </c>
      <c r="E1351" s="13">
        <f>'12-2017'!P1441</f>
        <v>3700</v>
      </c>
      <c r="F1351" s="130">
        <f t="shared" si="57"/>
        <v>0</v>
      </c>
      <c r="H1351" s="74">
        <f>'12-2017'!H1441</f>
        <v>0</v>
      </c>
      <c r="I1351" s="74">
        <f>'12-2017'!I1441</f>
        <v>0</v>
      </c>
      <c r="J1351" s="74">
        <f>'12-2017'!J1441</f>
        <v>0</v>
      </c>
    </row>
    <row r="1352" spans="1:10" s="58" customFormat="1" ht="17.25" hidden="1">
      <c r="A1352" s="10">
        <f>'12-2017'!A1442</f>
        <v>62</v>
      </c>
      <c r="B1352" s="11" t="str">
        <f>'12-2017'!B1442</f>
        <v xml:space="preserve"> Nối trơn Þ  42 dày</v>
      </c>
      <c r="C1352" s="12" t="str">
        <f>'12-2017'!C1442</f>
        <v>đ/cái</v>
      </c>
      <c r="D1352" s="13">
        <f>'12-2017'!O1442</f>
        <v>5100</v>
      </c>
      <c r="E1352" s="13">
        <f>'12-2017'!P1442</f>
        <v>5100</v>
      </c>
      <c r="F1352" s="130">
        <f t="shared" si="57"/>
        <v>0</v>
      </c>
      <c r="H1352" s="74">
        <f>'12-2017'!H1442</f>
        <v>0</v>
      </c>
      <c r="I1352" s="74">
        <f>'12-2017'!I1442</f>
        <v>0</v>
      </c>
      <c r="J1352" s="74">
        <f>'12-2017'!J1442</f>
        <v>0</v>
      </c>
    </row>
    <row r="1353" spans="1:10" s="58" customFormat="1" ht="17.25" hidden="1">
      <c r="A1353" s="10">
        <f>'12-2017'!A1443</f>
        <v>63</v>
      </c>
      <c r="B1353" s="11" t="str">
        <f>'12-2017'!B1443</f>
        <v xml:space="preserve"> Nối trơn Þ  49 dày</v>
      </c>
      <c r="C1353" s="12" t="str">
        <f>'12-2017'!C1443</f>
        <v>đ/cái</v>
      </c>
      <c r="D1353" s="13">
        <f>'12-2017'!O1443</f>
        <v>7900</v>
      </c>
      <c r="E1353" s="13">
        <f>'12-2017'!P1443</f>
        <v>7900</v>
      </c>
      <c r="F1353" s="130">
        <f t="shared" si="57"/>
        <v>0</v>
      </c>
      <c r="H1353" s="74">
        <f>'12-2017'!H1443</f>
        <v>0</v>
      </c>
      <c r="I1353" s="74">
        <f>'12-2017'!I1443</f>
        <v>0</v>
      </c>
      <c r="J1353" s="74">
        <f>'12-2017'!J1443</f>
        <v>0</v>
      </c>
    </row>
    <row r="1354" spans="1:10" s="58" customFormat="1" ht="17.25" hidden="1">
      <c r="A1354" s="10">
        <f>'12-2017'!A1444</f>
        <v>64</v>
      </c>
      <c r="B1354" s="11" t="str">
        <f>'12-2017'!B1444</f>
        <v xml:space="preserve"> Nối trơn Þ  60 dày</v>
      </c>
      <c r="C1354" s="12" t="str">
        <f>'12-2017'!C1444</f>
        <v>đ/cái</v>
      </c>
      <c r="D1354" s="13">
        <f>'12-2017'!O1444</f>
        <v>12200</v>
      </c>
      <c r="E1354" s="13">
        <f>'12-2017'!P1444</f>
        <v>12200</v>
      </c>
      <c r="F1354" s="130">
        <f t="shared" si="57"/>
        <v>0</v>
      </c>
      <c r="H1354" s="74">
        <f>'12-2017'!H1444</f>
        <v>0</v>
      </c>
      <c r="I1354" s="74">
        <f>'12-2017'!I1444</f>
        <v>0</v>
      </c>
      <c r="J1354" s="74">
        <f>'12-2017'!J1444</f>
        <v>0</v>
      </c>
    </row>
    <row r="1355" spans="1:10" s="58" customFormat="1" ht="17.25" hidden="1">
      <c r="A1355" s="10">
        <f>'12-2017'!A1445</f>
        <v>65</v>
      </c>
      <c r="B1355" s="11" t="str">
        <f>'12-2017'!B1445</f>
        <v>Keo dán (1 kg)</v>
      </c>
      <c r="C1355" s="12" t="str">
        <f>'12-2017'!C1445</f>
        <v>đ/tuýp</v>
      </c>
      <c r="D1355" s="13">
        <f>'12-2017'!O1445</f>
        <v>100900</v>
      </c>
      <c r="E1355" s="13">
        <f>'12-2017'!P1445</f>
        <v>100900</v>
      </c>
      <c r="F1355" s="130">
        <f t="shared" si="57"/>
        <v>0</v>
      </c>
      <c r="H1355" s="74">
        <f>'12-2017'!H1445</f>
        <v>0</v>
      </c>
      <c r="I1355" s="74">
        <f>'12-2017'!I1445</f>
        <v>0</v>
      </c>
      <c r="J1355" s="74">
        <f>'12-2017'!J1445</f>
        <v>0</v>
      </c>
    </row>
    <row r="1356" spans="1:10" s="73" customFormat="1" ht="17.25" hidden="1">
      <c r="A1356" s="17"/>
      <c r="B1356" s="9" t="str">
        <f>'12-2017'!B1446</f>
        <v xml:space="preserve"> - Ống HDPE Hoa Sen - tiêu chuẩn TCVN 4427:2007 </v>
      </c>
      <c r="C1356" s="8"/>
      <c r="D1356" s="22"/>
      <c r="E1356" s="22"/>
      <c r="F1356" s="131"/>
      <c r="H1356" s="74">
        <f>'12-2017'!H1446</f>
        <v>0</v>
      </c>
      <c r="I1356" s="74">
        <f>'12-2017'!I1446</f>
        <v>0</v>
      </c>
      <c r="J1356" s="74">
        <f>'12-2017'!J1446</f>
        <v>0</v>
      </c>
    </row>
    <row r="1357" spans="1:10" s="58" customFormat="1" ht="17.25" hidden="1">
      <c r="A1357" s="10">
        <f>'12-2017'!A1447</f>
        <v>66</v>
      </c>
      <c r="B1357" s="11" t="str">
        <f>'12-2017'!B1447</f>
        <v xml:space="preserve"> Þ 16 x 2,0mm</v>
      </c>
      <c r="C1357" s="12" t="str">
        <f>'12-2017'!C1447</f>
        <v>đ/mét</v>
      </c>
      <c r="D1357" s="13">
        <f>'12-2017'!O1447</f>
        <v>6099.9999999999991</v>
      </c>
      <c r="E1357" s="13">
        <f>'12-2017'!P1447</f>
        <v>6099.9999999999991</v>
      </c>
      <c r="F1357" s="130">
        <f t="shared" si="57"/>
        <v>0</v>
      </c>
      <c r="H1357" s="74">
        <f>'12-2017'!H1447</f>
        <v>0</v>
      </c>
      <c r="I1357" s="74">
        <f>'12-2017'!I1447</f>
        <v>0</v>
      </c>
      <c r="J1357" s="74">
        <f>'12-2017'!J1447</f>
        <v>0</v>
      </c>
    </row>
    <row r="1358" spans="1:10" s="58" customFormat="1" ht="17.25" hidden="1">
      <c r="A1358" s="10">
        <f>'12-2017'!A1448</f>
        <v>67</v>
      </c>
      <c r="B1358" s="11" t="str">
        <f>'12-2017'!B1448</f>
        <v xml:space="preserve"> Þ 20 x 2,0mm</v>
      </c>
      <c r="C1358" s="12" t="str">
        <f>'12-2017'!C1448</f>
        <v>đ/mét</v>
      </c>
      <c r="D1358" s="13">
        <f>'12-2017'!O1448</f>
        <v>8099.9999999999991</v>
      </c>
      <c r="E1358" s="13">
        <f>'12-2017'!P1448</f>
        <v>8099.9999999999991</v>
      </c>
      <c r="F1358" s="130">
        <f t="shared" si="57"/>
        <v>0</v>
      </c>
      <c r="H1358" s="74">
        <f>'12-2017'!H1448</f>
        <v>0</v>
      </c>
      <c r="I1358" s="74">
        <f>'12-2017'!I1448</f>
        <v>0</v>
      </c>
      <c r="J1358" s="74">
        <f>'12-2017'!J1448</f>
        <v>0</v>
      </c>
    </row>
    <row r="1359" spans="1:10" s="58" customFormat="1" ht="17.25" hidden="1">
      <c r="A1359" s="10">
        <f>'12-2017'!A1449</f>
        <v>68</v>
      </c>
      <c r="B1359" s="11" t="str">
        <f>'12-2017'!B1449</f>
        <v xml:space="preserve"> Þ 25 x 3,0mm</v>
      </c>
      <c r="C1359" s="12" t="str">
        <f>'12-2017'!C1449</f>
        <v>đ/mét</v>
      </c>
      <c r="D1359" s="13">
        <f>'12-2017'!O1449</f>
        <v>14899.999999999998</v>
      </c>
      <c r="E1359" s="13">
        <f>'12-2017'!P1449</f>
        <v>14899.999999999998</v>
      </c>
      <c r="F1359" s="130">
        <f t="shared" si="57"/>
        <v>0</v>
      </c>
      <c r="H1359" s="74">
        <f>'12-2017'!H1449</f>
        <v>0</v>
      </c>
      <c r="I1359" s="74">
        <f>'12-2017'!I1449</f>
        <v>0</v>
      </c>
      <c r="J1359" s="74">
        <f>'12-2017'!J1449</f>
        <v>0</v>
      </c>
    </row>
    <row r="1360" spans="1:10" s="58" customFormat="1" ht="17.25" hidden="1">
      <c r="A1360" s="10">
        <f>'12-2017'!A1450</f>
        <v>69</v>
      </c>
      <c r="B1360" s="11" t="str">
        <f>'12-2017'!B1450</f>
        <v xml:space="preserve"> Þ 32 x 3,6mm</v>
      </c>
      <c r="C1360" s="12" t="str">
        <f>'12-2017'!C1450</f>
        <v>đ/mét</v>
      </c>
      <c r="D1360" s="13">
        <f>'12-2017'!O1450</f>
        <v>22999.999999999996</v>
      </c>
      <c r="E1360" s="13">
        <f>'12-2017'!P1450</f>
        <v>22999.999999999996</v>
      </c>
      <c r="F1360" s="130">
        <f t="shared" si="57"/>
        <v>0</v>
      </c>
      <c r="H1360" s="74">
        <f>'12-2017'!H1450</f>
        <v>0</v>
      </c>
      <c r="I1360" s="74">
        <f>'12-2017'!I1450</f>
        <v>0</v>
      </c>
      <c r="J1360" s="74">
        <f>'12-2017'!J1450</f>
        <v>0</v>
      </c>
    </row>
    <row r="1361" spans="1:10" s="58" customFormat="1" ht="17.25" hidden="1">
      <c r="A1361" s="10">
        <f>'12-2017'!A1451</f>
        <v>70</v>
      </c>
      <c r="B1361" s="11" t="str">
        <f>'12-2017'!B1451</f>
        <v xml:space="preserve"> Þ 40 x 4,5mm</v>
      </c>
      <c r="C1361" s="12" t="str">
        <f>'12-2017'!C1451</f>
        <v>đ/mét</v>
      </c>
      <c r="D1361" s="13">
        <f>'12-2017'!O1451</f>
        <v>35900</v>
      </c>
      <c r="E1361" s="13">
        <f>'12-2017'!P1451</f>
        <v>35900</v>
      </c>
      <c r="F1361" s="130">
        <f t="shared" si="57"/>
        <v>0</v>
      </c>
      <c r="H1361" s="74">
        <f>'12-2017'!H1451</f>
        <v>0</v>
      </c>
      <c r="I1361" s="74">
        <f>'12-2017'!I1451</f>
        <v>0</v>
      </c>
      <c r="J1361" s="74">
        <f>'12-2017'!J1451</f>
        <v>0</v>
      </c>
    </row>
    <row r="1362" spans="1:10" s="58" customFormat="1" ht="17.25" hidden="1">
      <c r="A1362" s="10">
        <f>'12-2017'!A1452</f>
        <v>71</v>
      </c>
      <c r="B1362" s="11" t="str">
        <f>'12-2017'!B1452</f>
        <v xml:space="preserve"> Þ 50 x 5,6mm</v>
      </c>
      <c r="C1362" s="12" t="str">
        <f>'12-2017'!C1452</f>
        <v>đ/mét</v>
      </c>
      <c r="D1362" s="13">
        <f>'12-2017'!O1452</f>
        <v>55599.999999999993</v>
      </c>
      <c r="E1362" s="13">
        <f>'12-2017'!P1452</f>
        <v>55599.999999999993</v>
      </c>
      <c r="F1362" s="130">
        <f t="shared" si="57"/>
        <v>0</v>
      </c>
      <c r="H1362" s="74">
        <f>'12-2017'!H1452</f>
        <v>0</v>
      </c>
      <c r="I1362" s="74">
        <f>'12-2017'!I1452</f>
        <v>0</v>
      </c>
      <c r="J1362" s="74">
        <f>'12-2017'!J1452</f>
        <v>0</v>
      </c>
    </row>
    <row r="1363" spans="1:10" s="58" customFormat="1" ht="17.25" hidden="1">
      <c r="A1363" s="10">
        <f>'12-2017'!A1453</f>
        <v>72</v>
      </c>
      <c r="B1363" s="11" t="str">
        <f>'12-2017'!B1453</f>
        <v xml:space="preserve"> Þ 63 x 7,1mm</v>
      </c>
      <c r="C1363" s="12" t="str">
        <f>'12-2017'!C1453</f>
        <v>đ/mét</v>
      </c>
      <c r="D1363" s="13">
        <f>'12-2017'!O1453</f>
        <v>88700</v>
      </c>
      <c r="E1363" s="13">
        <f>'12-2017'!P1453</f>
        <v>88700</v>
      </c>
      <c r="F1363" s="130">
        <f t="shared" ref="F1363:F1426" si="58">E1363-D1363</f>
        <v>0</v>
      </c>
      <c r="H1363" s="74">
        <f>'12-2017'!H1453</f>
        <v>0</v>
      </c>
      <c r="I1363" s="74">
        <f>'12-2017'!I1453</f>
        <v>0</v>
      </c>
      <c r="J1363" s="74">
        <f>'12-2017'!J1453</f>
        <v>0</v>
      </c>
    </row>
    <row r="1364" spans="1:10" s="58" customFormat="1" ht="17.25" hidden="1">
      <c r="A1364" s="10">
        <f>'12-2017'!A1454</f>
        <v>73</v>
      </c>
      <c r="B1364" s="11" t="str">
        <f>'12-2017'!B1454</f>
        <v xml:space="preserve"> Þ 75 x 8,4mm</v>
      </c>
      <c r="C1364" s="12" t="str">
        <f>'12-2017'!C1454</f>
        <v>đ/mét</v>
      </c>
      <c r="D1364" s="13">
        <f>'12-2017'!O1454</f>
        <v>124699.99999999999</v>
      </c>
      <c r="E1364" s="13">
        <f>'12-2017'!P1454</f>
        <v>124699.99999999999</v>
      </c>
      <c r="F1364" s="130">
        <f t="shared" si="58"/>
        <v>0</v>
      </c>
      <c r="H1364" s="74">
        <f>'12-2017'!H1454</f>
        <v>0</v>
      </c>
      <c r="I1364" s="74">
        <f>'12-2017'!I1454</f>
        <v>0</v>
      </c>
      <c r="J1364" s="74">
        <f>'12-2017'!J1454</f>
        <v>0</v>
      </c>
    </row>
    <row r="1365" spans="1:10" s="58" customFormat="1" ht="17.25" hidden="1">
      <c r="A1365" s="10">
        <f>'12-2017'!A1455</f>
        <v>74</v>
      </c>
      <c r="B1365" s="11" t="str">
        <f>'12-2017'!B1455</f>
        <v xml:space="preserve"> Þ 90 x 10,1mm</v>
      </c>
      <c r="C1365" s="12" t="str">
        <f>'12-2017'!C1455</f>
        <v>đ/mét</v>
      </c>
      <c r="D1365" s="13">
        <f>'12-2017'!O1455</f>
        <v>179800</v>
      </c>
      <c r="E1365" s="13">
        <f>'12-2017'!P1455</f>
        <v>179800</v>
      </c>
      <c r="F1365" s="130">
        <f t="shared" si="58"/>
        <v>0</v>
      </c>
      <c r="H1365" s="74">
        <f>'12-2017'!H1455</f>
        <v>0</v>
      </c>
      <c r="I1365" s="74">
        <f>'12-2017'!I1455</f>
        <v>0</v>
      </c>
      <c r="J1365" s="74">
        <f>'12-2017'!J1455</f>
        <v>0</v>
      </c>
    </row>
    <row r="1366" spans="1:10" s="58" customFormat="1" ht="17.25" hidden="1">
      <c r="A1366" s="10">
        <f>'12-2017'!A1456</f>
        <v>75</v>
      </c>
      <c r="B1366" s="11" t="str">
        <f>'12-2017'!B1456</f>
        <v xml:space="preserve"> Þ 110 x 12,3mm</v>
      </c>
      <c r="C1366" s="12" t="str">
        <f>'12-2017'!C1456</f>
        <v>đ/mét</v>
      </c>
      <c r="D1366" s="13">
        <f>'12-2017'!O1456</f>
        <v>268400</v>
      </c>
      <c r="E1366" s="13">
        <f>'12-2017'!P1456</f>
        <v>268400</v>
      </c>
      <c r="F1366" s="130">
        <f t="shared" si="58"/>
        <v>0</v>
      </c>
      <c r="H1366" s="74">
        <f>'12-2017'!H1456</f>
        <v>0</v>
      </c>
      <c r="I1366" s="74">
        <f>'12-2017'!I1456</f>
        <v>0</v>
      </c>
      <c r="J1366" s="74">
        <f>'12-2017'!J1456</f>
        <v>0</v>
      </c>
    </row>
    <row r="1367" spans="1:10" s="58" customFormat="1" ht="17.25" hidden="1">
      <c r="A1367" s="10">
        <f>'12-2017'!A1457</f>
        <v>76</v>
      </c>
      <c r="B1367" s="11" t="str">
        <f>'12-2017'!B1457</f>
        <v xml:space="preserve"> Þ 125 x 14,0mm</v>
      </c>
      <c r="C1367" s="12" t="str">
        <f>'12-2017'!C1457</f>
        <v>đ/mét</v>
      </c>
      <c r="D1367" s="13">
        <f>'12-2017'!O1457</f>
        <v>338200</v>
      </c>
      <c r="E1367" s="13">
        <f>'12-2017'!P1457</f>
        <v>338200</v>
      </c>
      <c r="F1367" s="130">
        <f t="shared" si="58"/>
        <v>0</v>
      </c>
      <c r="H1367" s="74">
        <f>'12-2017'!H1457</f>
        <v>0</v>
      </c>
      <c r="I1367" s="74">
        <f>'12-2017'!I1457</f>
        <v>0</v>
      </c>
      <c r="J1367" s="74">
        <f>'12-2017'!J1457</f>
        <v>0</v>
      </c>
    </row>
    <row r="1368" spans="1:10" s="58" customFormat="1" ht="17.25" hidden="1">
      <c r="A1368" s="10">
        <f>'12-2017'!A1458</f>
        <v>77</v>
      </c>
      <c r="B1368" s="11" t="str">
        <f>'12-2017'!B1458</f>
        <v xml:space="preserve"> Þ 140 x 15,7mm</v>
      </c>
      <c r="C1368" s="12" t="str">
        <f>'12-2017'!C1458</f>
        <v>đ/mét</v>
      </c>
      <c r="D1368" s="13">
        <f>'12-2017'!O1458</f>
        <v>435499.99999999994</v>
      </c>
      <c r="E1368" s="13">
        <f>'12-2017'!P1458</f>
        <v>435499.99999999994</v>
      </c>
      <c r="F1368" s="130">
        <f t="shared" si="58"/>
        <v>0</v>
      </c>
      <c r="H1368" s="74">
        <f>'12-2017'!H1458</f>
        <v>0</v>
      </c>
      <c r="I1368" s="74">
        <f>'12-2017'!I1458</f>
        <v>0</v>
      </c>
      <c r="J1368" s="74">
        <f>'12-2017'!J1458</f>
        <v>0</v>
      </c>
    </row>
    <row r="1369" spans="1:10" s="58" customFormat="1" ht="17.25" hidden="1">
      <c r="A1369" s="10">
        <f>'12-2017'!A1459</f>
        <v>78</v>
      </c>
      <c r="B1369" s="11" t="str">
        <f>'12-2017'!B1459</f>
        <v xml:space="preserve"> Þ 160 x 17,9mm</v>
      </c>
      <c r="C1369" s="12" t="str">
        <f>'12-2017'!C1459</f>
        <v>đ/mét</v>
      </c>
      <c r="D1369" s="13">
        <f>'12-2017'!O1459</f>
        <v>567600</v>
      </c>
      <c r="E1369" s="13">
        <f>'12-2017'!P1459</f>
        <v>567600</v>
      </c>
      <c r="F1369" s="130">
        <f t="shared" si="58"/>
        <v>0</v>
      </c>
      <c r="H1369" s="74">
        <f>'12-2017'!H1459</f>
        <v>0</v>
      </c>
      <c r="I1369" s="74">
        <f>'12-2017'!I1459</f>
        <v>0</v>
      </c>
      <c r="J1369" s="74">
        <f>'12-2017'!J1459</f>
        <v>0</v>
      </c>
    </row>
    <row r="1370" spans="1:10" s="73" customFormat="1" ht="17.25" hidden="1">
      <c r="A1370" s="17"/>
      <c r="B1370" s="9" t="str">
        <f>'12-2017'!B1460</f>
        <v xml:space="preserve"> - Ống PPR Hoa Sen - tiêu chuẩn DIN 8077:2008 / DIN 8077:2008</v>
      </c>
      <c r="C1370" s="8"/>
      <c r="D1370" s="22"/>
      <c r="E1370" s="22"/>
      <c r="F1370" s="131"/>
      <c r="H1370" s="74">
        <f>'12-2017'!H1460</f>
        <v>0</v>
      </c>
      <c r="I1370" s="74">
        <f>'12-2017'!I1460</f>
        <v>0</v>
      </c>
      <c r="J1370" s="74">
        <f>'12-2017'!J1460</f>
        <v>0</v>
      </c>
    </row>
    <row r="1371" spans="1:10" s="58" customFormat="1" ht="17.25" hidden="1">
      <c r="A1371" s="10">
        <f>'12-2017'!A1461</f>
        <v>79</v>
      </c>
      <c r="B1371" s="11" t="str">
        <f>'12-2017'!B1461</f>
        <v xml:space="preserve"> Þ 20 x 2,1mm</v>
      </c>
      <c r="C1371" s="12" t="str">
        <f>'12-2017'!C1461</f>
        <v>đ/mét</v>
      </c>
      <c r="D1371" s="13">
        <f>'12-2017'!O1461</f>
        <v>29099.999999999996</v>
      </c>
      <c r="E1371" s="13">
        <f>'12-2017'!P1461</f>
        <v>29099.999999999996</v>
      </c>
      <c r="F1371" s="130">
        <f t="shared" si="58"/>
        <v>0</v>
      </c>
      <c r="H1371" s="74">
        <f>'12-2017'!H1461</f>
        <v>0</v>
      </c>
      <c r="I1371" s="74">
        <f>'12-2017'!I1461</f>
        <v>0</v>
      </c>
      <c r="J1371" s="74">
        <f>'12-2017'!J1461</f>
        <v>0</v>
      </c>
    </row>
    <row r="1372" spans="1:10" s="58" customFormat="1" ht="17.25" hidden="1">
      <c r="A1372" s="10">
        <f>'12-2017'!A1462</f>
        <v>80</v>
      </c>
      <c r="B1372" s="11" t="str">
        <f>'12-2017'!B1462</f>
        <v xml:space="preserve"> Þ 25 x 5,1mm</v>
      </c>
      <c r="C1372" s="12" t="str">
        <f>'12-2017'!C1462</f>
        <v>đ/mét</v>
      </c>
      <c r="D1372" s="13">
        <f>'12-2017'!O1462</f>
        <v>48199.999999999993</v>
      </c>
      <c r="E1372" s="13">
        <f>'12-2017'!P1462</f>
        <v>48199.999999999993</v>
      </c>
      <c r="F1372" s="130">
        <f t="shared" si="58"/>
        <v>0</v>
      </c>
      <c r="H1372" s="74">
        <f>'12-2017'!H1462</f>
        <v>0</v>
      </c>
      <c r="I1372" s="74">
        <f>'12-2017'!I1462</f>
        <v>0</v>
      </c>
      <c r="J1372" s="74">
        <f>'12-2017'!J1462</f>
        <v>0</v>
      </c>
    </row>
    <row r="1373" spans="1:10" s="58" customFormat="1" ht="17.25" hidden="1">
      <c r="A1373" s="10">
        <f>'12-2017'!A1463</f>
        <v>81</v>
      </c>
      <c r="B1373" s="11" t="str">
        <f>'12-2017'!B1463</f>
        <v xml:space="preserve"> Þ 32 x 6,5mm</v>
      </c>
      <c r="C1373" s="12" t="str">
        <f>'12-2017'!C1463</f>
        <v>đ/mét</v>
      </c>
      <c r="D1373" s="13">
        <f>'12-2017'!O1463</f>
        <v>74600</v>
      </c>
      <c r="E1373" s="13">
        <f>'12-2017'!P1463</f>
        <v>74600</v>
      </c>
      <c r="F1373" s="130">
        <f t="shared" si="58"/>
        <v>0</v>
      </c>
      <c r="H1373" s="74">
        <f>'12-2017'!H1463</f>
        <v>0</v>
      </c>
      <c r="I1373" s="74">
        <f>'12-2017'!I1463</f>
        <v>0</v>
      </c>
      <c r="J1373" s="74">
        <f>'12-2017'!J1463</f>
        <v>0</v>
      </c>
    </row>
    <row r="1374" spans="1:10" s="58" customFormat="1" ht="17.25" hidden="1">
      <c r="A1374" s="10">
        <f>'12-2017'!A1464</f>
        <v>82</v>
      </c>
      <c r="B1374" s="11" t="str">
        <f>'12-2017'!B1464</f>
        <v xml:space="preserve"> Þ 40 x 8,1mm</v>
      </c>
      <c r="C1374" s="12" t="str">
        <f>'12-2017'!C1464</f>
        <v>đ/mét</v>
      </c>
      <c r="D1374" s="13">
        <f>'12-2017'!O1464</f>
        <v>113999.99999999999</v>
      </c>
      <c r="E1374" s="13">
        <f>'12-2017'!P1464</f>
        <v>113999.99999999999</v>
      </c>
      <c r="F1374" s="130">
        <f t="shared" si="58"/>
        <v>0</v>
      </c>
      <c r="H1374" s="74">
        <f>'12-2017'!H1464</f>
        <v>0</v>
      </c>
      <c r="I1374" s="74">
        <f>'12-2017'!I1464</f>
        <v>0</v>
      </c>
      <c r="J1374" s="74">
        <f>'12-2017'!J1464</f>
        <v>0</v>
      </c>
    </row>
    <row r="1375" spans="1:10" s="58" customFormat="1" ht="17.25" hidden="1">
      <c r="A1375" s="10">
        <f>'12-2017'!A1465</f>
        <v>83</v>
      </c>
      <c r="B1375" s="11" t="str">
        <f>'12-2017'!B1465</f>
        <v xml:space="preserve"> Þ 50 x 10,1mm</v>
      </c>
      <c r="C1375" s="12" t="str">
        <f>'12-2017'!C1465</f>
        <v>đ/mét</v>
      </c>
      <c r="D1375" s="13">
        <f>'12-2017'!O1465</f>
        <v>181899.99999999997</v>
      </c>
      <c r="E1375" s="13">
        <f>'12-2017'!P1465</f>
        <v>181899.99999999997</v>
      </c>
      <c r="F1375" s="130">
        <f t="shared" si="58"/>
        <v>0</v>
      </c>
      <c r="H1375" s="74">
        <f>'12-2017'!H1465</f>
        <v>0</v>
      </c>
      <c r="I1375" s="74">
        <f>'12-2017'!I1465</f>
        <v>0</v>
      </c>
      <c r="J1375" s="74">
        <f>'12-2017'!J1465</f>
        <v>0</v>
      </c>
    </row>
    <row r="1376" spans="1:10" s="58" customFormat="1" ht="17.25" hidden="1">
      <c r="A1376" s="10">
        <f>'12-2017'!A1466</f>
        <v>84</v>
      </c>
      <c r="B1376" s="11" t="str">
        <f>'12-2017'!B1466</f>
        <v xml:space="preserve"> Þ 63 x 12,7mm</v>
      </c>
      <c r="C1376" s="12" t="str">
        <f>'12-2017'!C1466</f>
        <v>đ/mét</v>
      </c>
      <c r="D1376" s="13">
        <f>'12-2017'!O1466</f>
        <v>286400</v>
      </c>
      <c r="E1376" s="13">
        <f>'12-2017'!P1466</f>
        <v>286400</v>
      </c>
      <c r="F1376" s="130">
        <f t="shared" si="58"/>
        <v>0</v>
      </c>
      <c r="H1376" s="74">
        <f>'12-2017'!H1466</f>
        <v>0</v>
      </c>
      <c r="I1376" s="74">
        <f>'12-2017'!I1466</f>
        <v>0</v>
      </c>
      <c r="J1376" s="74">
        <f>'12-2017'!J1466</f>
        <v>0</v>
      </c>
    </row>
    <row r="1377" spans="1:10" s="58" customFormat="1" ht="17.25" hidden="1">
      <c r="A1377" s="10">
        <f>'12-2017'!A1467</f>
        <v>85</v>
      </c>
      <c r="B1377" s="11" t="str">
        <f>'12-2017'!B1467</f>
        <v xml:space="preserve"> Þ 75 x 15,1mm</v>
      </c>
      <c r="C1377" s="12" t="str">
        <f>'12-2017'!C1467</f>
        <v>đ/mét</v>
      </c>
      <c r="D1377" s="13">
        <f>'12-2017'!O1467</f>
        <v>404599.99999999994</v>
      </c>
      <c r="E1377" s="13">
        <f>'12-2017'!P1467</f>
        <v>404599.99999999994</v>
      </c>
      <c r="F1377" s="130">
        <f t="shared" si="58"/>
        <v>0</v>
      </c>
      <c r="H1377" s="74">
        <f>'12-2017'!H1467</f>
        <v>0</v>
      </c>
      <c r="I1377" s="74">
        <f>'12-2017'!I1467</f>
        <v>0</v>
      </c>
      <c r="J1377" s="74">
        <f>'12-2017'!J1467</f>
        <v>0</v>
      </c>
    </row>
    <row r="1378" spans="1:10" s="58" customFormat="1" ht="17.25" hidden="1">
      <c r="A1378" s="10">
        <f>'12-2017'!A1468</f>
        <v>86</v>
      </c>
      <c r="B1378" s="11" t="str">
        <f>'12-2017'!B1468</f>
        <v xml:space="preserve"> Þ 90 x 18,1mm</v>
      </c>
      <c r="C1378" s="12" t="str">
        <f>'12-2017'!C1468</f>
        <v>đ/mét</v>
      </c>
      <c r="D1378" s="13">
        <f>'12-2017'!O1468</f>
        <v>581900</v>
      </c>
      <c r="E1378" s="13">
        <f>'12-2017'!P1468</f>
        <v>581900</v>
      </c>
      <c r="F1378" s="130">
        <f t="shared" si="58"/>
        <v>0</v>
      </c>
      <c r="H1378" s="74">
        <f>'12-2017'!H1468</f>
        <v>0</v>
      </c>
      <c r="I1378" s="74">
        <f>'12-2017'!I1468</f>
        <v>0</v>
      </c>
      <c r="J1378" s="74">
        <f>'12-2017'!J1468</f>
        <v>0</v>
      </c>
    </row>
    <row r="1379" spans="1:10" s="58" customFormat="1" ht="17.25" hidden="1">
      <c r="A1379" s="10">
        <f>'12-2017'!A1469</f>
        <v>87</v>
      </c>
      <c r="B1379" s="11" t="str">
        <f>'12-2017'!B1469</f>
        <v xml:space="preserve"> Þ 110 x 22,1mm</v>
      </c>
      <c r="C1379" s="12" t="str">
        <f>'12-2017'!C1469</f>
        <v>đ/mét</v>
      </c>
      <c r="D1379" s="13">
        <f>'12-2017'!O1469</f>
        <v>863699.99999999988</v>
      </c>
      <c r="E1379" s="13">
        <f>'12-2017'!P1469</f>
        <v>863699.99999999988</v>
      </c>
      <c r="F1379" s="130">
        <f t="shared" si="58"/>
        <v>0</v>
      </c>
      <c r="H1379" s="74">
        <f>'12-2017'!H1469</f>
        <v>0</v>
      </c>
      <c r="I1379" s="74">
        <f>'12-2017'!I1469</f>
        <v>0</v>
      </c>
      <c r="J1379" s="74">
        <f>'12-2017'!J1469</f>
        <v>0</v>
      </c>
    </row>
    <row r="1380" spans="1:10" s="58" customFormat="1" ht="17.25" hidden="1">
      <c r="A1380" s="10">
        <f>'12-2017'!A1470</f>
        <v>88</v>
      </c>
      <c r="B1380" s="11" t="str">
        <f>'12-2017'!B1470</f>
        <v xml:space="preserve"> Þ 125 x 25,1mm</v>
      </c>
      <c r="C1380" s="12" t="str">
        <f>'12-2017'!C1470</f>
        <v>đ/mét</v>
      </c>
      <c r="D1380" s="13">
        <f>'12-2017'!O1470</f>
        <v>1159100</v>
      </c>
      <c r="E1380" s="13">
        <f>'12-2017'!P1470</f>
        <v>1159100</v>
      </c>
      <c r="F1380" s="130">
        <f t="shared" si="58"/>
        <v>0</v>
      </c>
      <c r="H1380" s="74">
        <f>'12-2017'!H1470</f>
        <v>0</v>
      </c>
      <c r="I1380" s="74">
        <f>'12-2017'!I1470</f>
        <v>0</v>
      </c>
      <c r="J1380" s="74">
        <f>'12-2017'!J1470</f>
        <v>0</v>
      </c>
    </row>
    <row r="1381" spans="1:10" s="58" customFormat="1" ht="17.25" hidden="1">
      <c r="A1381" s="10">
        <f>'12-2017'!A1471</f>
        <v>89</v>
      </c>
      <c r="B1381" s="11" t="str">
        <f>'12-2017'!B1471</f>
        <v xml:space="preserve"> Þ 140 x 28,1mm</v>
      </c>
      <c r="C1381" s="12" t="str">
        <f>'12-2017'!C1471</f>
        <v>đ/mét</v>
      </c>
      <c r="D1381" s="13">
        <f>'12-2017'!O1471</f>
        <v>1527299.9999999998</v>
      </c>
      <c r="E1381" s="13">
        <f>'12-2017'!P1471</f>
        <v>1527299.9999999998</v>
      </c>
      <c r="F1381" s="130">
        <f t="shared" si="58"/>
        <v>0</v>
      </c>
      <c r="H1381" s="74">
        <f>'12-2017'!H1471</f>
        <v>0</v>
      </c>
      <c r="I1381" s="74">
        <f>'12-2017'!I1471</f>
        <v>0</v>
      </c>
      <c r="J1381" s="74">
        <f>'12-2017'!J1471</f>
        <v>0</v>
      </c>
    </row>
    <row r="1382" spans="1:10" s="58" customFormat="1" ht="17.25" hidden="1">
      <c r="A1382" s="10">
        <f>'12-2017'!A1472</f>
        <v>90</v>
      </c>
      <c r="B1382" s="11" t="str">
        <f>'12-2017'!B1472</f>
        <v xml:space="preserve"> Þ 160 x 32,1mm</v>
      </c>
      <c r="C1382" s="12" t="str">
        <f>'12-2017'!C1472</f>
        <v>đ/mét</v>
      </c>
      <c r="D1382" s="13">
        <f>'12-2017'!O1472</f>
        <v>1978199.9999999998</v>
      </c>
      <c r="E1382" s="13">
        <f>'12-2017'!P1472</f>
        <v>1978199.9999999998</v>
      </c>
      <c r="F1382" s="130">
        <f t="shared" si="58"/>
        <v>0</v>
      </c>
      <c r="H1382" s="74">
        <f>'12-2017'!H1472</f>
        <v>0</v>
      </c>
      <c r="I1382" s="74">
        <f>'12-2017'!I1472</f>
        <v>0</v>
      </c>
      <c r="J1382" s="74">
        <f>'12-2017'!J1472</f>
        <v>0</v>
      </c>
    </row>
    <row r="1383" spans="1:10" s="73" customFormat="1" ht="49.5" customHeight="1">
      <c r="A1383" s="17"/>
      <c r="B1383" s="237" t="str">
        <f>'12-2017'!B1473</f>
        <v>* Ống uPVC TCVN 8491-2:2011. Công ty TNHH nhựa Giang Hiệp Thăng (Địa chỉ: Lô C1 Cụm CN Nhựa Đức Hòa, Đức Hòa Hạ, Đức Hòa, Long An. Giá bán tại nơi sản xuất, theo bảng giá ngày 01/6/2017</v>
      </c>
      <c r="C1383" s="238"/>
      <c r="D1383" s="238"/>
      <c r="E1383" s="238"/>
      <c r="F1383" s="239"/>
      <c r="H1383" s="74">
        <f>'12-2017'!H1473</f>
        <v>0</v>
      </c>
      <c r="I1383" s="74">
        <f>'12-2017'!I1473</f>
        <v>0</v>
      </c>
      <c r="J1383" s="74">
        <f>'12-2017'!J1473</f>
        <v>0</v>
      </c>
    </row>
    <row r="1384" spans="1:10" s="58" customFormat="1" ht="17.25" hidden="1">
      <c r="A1384" s="10">
        <f>'12-2017'!A1474</f>
        <v>1</v>
      </c>
      <c r="B1384" s="11" t="str">
        <f>'12-2017'!B1474</f>
        <v>Ống uPVC 16: 21 x 1.7 mm</v>
      </c>
      <c r="C1384" s="12" t="str">
        <f>'12-2017'!C1474</f>
        <v>đ/mét</v>
      </c>
      <c r="D1384" s="13">
        <f>'12-2017'!O1474</f>
        <v>5526</v>
      </c>
      <c r="E1384" s="13">
        <f>'12-2017'!P1474</f>
        <v>5526</v>
      </c>
      <c r="F1384" s="130">
        <f t="shared" si="58"/>
        <v>0</v>
      </c>
      <c r="H1384" s="74">
        <f>'12-2017'!H1474</f>
        <v>0</v>
      </c>
      <c r="I1384" s="74">
        <f>'12-2017'!I1474</f>
        <v>0</v>
      </c>
      <c r="J1384" s="74">
        <f>'12-2017'!J1474</f>
        <v>0</v>
      </c>
    </row>
    <row r="1385" spans="1:10" s="58" customFormat="1" ht="17.25" hidden="1">
      <c r="A1385" s="10">
        <f>'12-2017'!A1475</f>
        <v>2</v>
      </c>
      <c r="B1385" s="11" t="str">
        <f>'12-2017'!B1475</f>
        <v>Ống uPVC 20: 27 x 1.6 mm</v>
      </c>
      <c r="C1385" s="12" t="str">
        <f>'12-2017'!C1475</f>
        <v>đ/mét</v>
      </c>
      <c r="D1385" s="13">
        <f>'12-2017'!O1475</f>
        <v>7020</v>
      </c>
      <c r="E1385" s="13">
        <f>'12-2017'!P1475</f>
        <v>7020</v>
      </c>
      <c r="F1385" s="130">
        <f t="shared" si="58"/>
        <v>0</v>
      </c>
      <c r="H1385" s="74">
        <f>'12-2017'!H1475</f>
        <v>0</v>
      </c>
      <c r="I1385" s="74">
        <f>'12-2017'!I1475</f>
        <v>0</v>
      </c>
      <c r="J1385" s="74">
        <f>'12-2017'!J1475</f>
        <v>0</v>
      </c>
    </row>
    <row r="1386" spans="1:10" s="58" customFormat="1" ht="17.25" hidden="1">
      <c r="A1386" s="10">
        <f>'12-2017'!A1476</f>
        <v>3</v>
      </c>
      <c r="B1386" s="11" t="str">
        <f>'12-2017'!B1476</f>
        <v>Ống uPVC 25: 34 x 2.0 mm</v>
      </c>
      <c r="C1386" s="12" t="str">
        <f>'12-2017'!C1476</f>
        <v>đ/mét</v>
      </c>
      <c r="D1386" s="13">
        <f>'12-2017'!O1476</f>
        <v>10800</v>
      </c>
      <c r="E1386" s="13">
        <f>'12-2017'!P1476</f>
        <v>10800</v>
      </c>
      <c r="F1386" s="130">
        <f t="shared" si="58"/>
        <v>0</v>
      </c>
      <c r="H1386" s="74">
        <f>'12-2017'!H1476</f>
        <v>0</v>
      </c>
      <c r="I1386" s="74">
        <f>'12-2017'!I1476</f>
        <v>0</v>
      </c>
      <c r="J1386" s="74">
        <f>'12-2017'!J1476</f>
        <v>0</v>
      </c>
    </row>
    <row r="1387" spans="1:10" s="58" customFormat="1" ht="17.25" hidden="1">
      <c r="A1387" s="10">
        <f>'12-2017'!A1477</f>
        <v>4</v>
      </c>
      <c r="B1387" s="11" t="str">
        <f>'12-2017'!B1477</f>
        <v>Ống uPVC 25: 34 x 3.0 mm</v>
      </c>
      <c r="C1387" s="12" t="str">
        <f>'12-2017'!C1477</f>
        <v>đ/mét</v>
      </c>
      <c r="D1387" s="13">
        <f>'12-2017'!O1477</f>
        <v>15750</v>
      </c>
      <c r="E1387" s="13">
        <f>'12-2017'!P1477</f>
        <v>15750</v>
      </c>
      <c r="F1387" s="130">
        <f t="shared" si="58"/>
        <v>0</v>
      </c>
      <c r="H1387" s="74">
        <f>'12-2017'!H1477</f>
        <v>0</v>
      </c>
      <c r="I1387" s="74">
        <f>'12-2017'!I1477</f>
        <v>0</v>
      </c>
      <c r="J1387" s="74">
        <f>'12-2017'!J1477</f>
        <v>0</v>
      </c>
    </row>
    <row r="1388" spans="1:10" s="58" customFormat="1" ht="17.25" hidden="1">
      <c r="A1388" s="10">
        <f>'12-2017'!A1478</f>
        <v>5</v>
      </c>
      <c r="B1388" s="11" t="str">
        <f>'12-2017'!B1478</f>
        <v>Ống uPVC 32: 42 x 2.0 mm</v>
      </c>
      <c r="C1388" s="12" t="str">
        <f>'12-2017'!C1478</f>
        <v>đ/mét</v>
      </c>
      <c r="D1388" s="13">
        <f>'12-2017'!O1478</f>
        <v>14040</v>
      </c>
      <c r="E1388" s="13">
        <f>'12-2017'!P1478</f>
        <v>14040</v>
      </c>
      <c r="F1388" s="130">
        <f t="shared" si="58"/>
        <v>0</v>
      </c>
      <c r="H1388" s="74">
        <f>'12-2017'!H1478</f>
        <v>0</v>
      </c>
      <c r="I1388" s="74">
        <f>'12-2017'!I1478</f>
        <v>0</v>
      </c>
      <c r="J1388" s="74">
        <f>'12-2017'!J1478</f>
        <v>0</v>
      </c>
    </row>
    <row r="1389" spans="1:10" s="58" customFormat="1" ht="17.25" hidden="1">
      <c r="A1389" s="10">
        <f>'12-2017'!A1479</f>
        <v>6</v>
      </c>
      <c r="B1389" s="11" t="str">
        <f>'12-2017'!B1479</f>
        <v>Ống uPVC 32: 42 x 3.0 mm</v>
      </c>
      <c r="C1389" s="12" t="str">
        <f>'12-2017'!C1479</f>
        <v>đ/mét</v>
      </c>
      <c r="D1389" s="13">
        <f>'12-2017'!O1479</f>
        <v>20700</v>
      </c>
      <c r="E1389" s="13">
        <f>'12-2017'!P1479</f>
        <v>20700</v>
      </c>
      <c r="F1389" s="130">
        <f t="shared" si="58"/>
        <v>0</v>
      </c>
      <c r="H1389" s="74">
        <f>'12-2017'!H1479</f>
        <v>0</v>
      </c>
      <c r="I1389" s="74">
        <f>'12-2017'!I1479</f>
        <v>0</v>
      </c>
      <c r="J1389" s="74">
        <f>'12-2017'!J1479</f>
        <v>0</v>
      </c>
    </row>
    <row r="1390" spans="1:10" s="58" customFormat="1" ht="17.25" hidden="1">
      <c r="A1390" s="10">
        <f>'12-2017'!A1480</f>
        <v>7</v>
      </c>
      <c r="B1390" s="11" t="str">
        <f>'12-2017'!B1480</f>
        <v>Ống uPVC 40: 49 x 2.0 mm</v>
      </c>
      <c r="C1390" s="12" t="str">
        <f>'12-2017'!C1480</f>
        <v>đ/mét</v>
      </c>
      <c r="D1390" s="13">
        <f>'12-2017'!O1480</f>
        <v>16200</v>
      </c>
      <c r="E1390" s="13">
        <f>'12-2017'!P1480</f>
        <v>16200</v>
      </c>
      <c r="F1390" s="130">
        <f t="shared" si="58"/>
        <v>0</v>
      </c>
      <c r="H1390" s="74">
        <f>'12-2017'!H1480</f>
        <v>0</v>
      </c>
      <c r="I1390" s="74">
        <f>'12-2017'!I1480</f>
        <v>0</v>
      </c>
      <c r="J1390" s="74">
        <f>'12-2017'!J1480</f>
        <v>0</v>
      </c>
    </row>
    <row r="1391" spans="1:10" s="58" customFormat="1" ht="17.25" hidden="1">
      <c r="A1391" s="10">
        <f>'12-2017'!A1481</f>
        <v>8</v>
      </c>
      <c r="B1391" s="11" t="str">
        <f>'12-2017'!B1481</f>
        <v>Ống uPVC 50: 60 x 1.8 mm</v>
      </c>
      <c r="C1391" s="12" t="str">
        <f>'12-2017'!C1481</f>
        <v>đ/mét</v>
      </c>
      <c r="D1391" s="13">
        <f>'12-2017'!O1481</f>
        <v>18720</v>
      </c>
      <c r="E1391" s="13">
        <f>'12-2017'!P1481</f>
        <v>18720</v>
      </c>
      <c r="F1391" s="130">
        <f t="shared" si="58"/>
        <v>0</v>
      </c>
      <c r="H1391" s="74">
        <f>'12-2017'!H1481</f>
        <v>0</v>
      </c>
      <c r="I1391" s="74">
        <f>'12-2017'!I1481</f>
        <v>0</v>
      </c>
      <c r="J1391" s="74">
        <f>'12-2017'!J1481</f>
        <v>0</v>
      </c>
    </row>
    <row r="1392" spans="1:10" s="58" customFormat="1" ht="17.25" hidden="1">
      <c r="A1392" s="10">
        <f>'12-2017'!A1482</f>
        <v>9</v>
      </c>
      <c r="B1392" s="11" t="str">
        <f>'12-2017'!B1482</f>
        <v>Ống uPVC 50: 60 x 2.3 mm</v>
      </c>
      <c r="C1392" s="12" t="str">
        <f>'12-2017'!C1482</f>
        <v>đ/mét</v>
      </c>
      <c r="D1392" s="13">
        <f>'12-2017'!O1482</f>
        <v>39150</v>
      </c>
      <c r="E1392" s="13">
        <f>'12-2017'!P1482</f>
        <v>39150</v>
      </c>
      <c r="F1392" s="130">
        <f t="shared" si="58"/>
        <v>0</v>
      </c>
      <c r="H1392" s="74">
        <f>'12-2017'!H1482</f>
        <v>0</v>
      </c>
      <c r="I1392" s="74">
        <f>'12-2017'!I1482</f>
        <v>0</v>
      </c>
      <c r="J1392" s="74">
        <f>'12-2017'!J1482</f>
        <v>0</v>
      </c>
    </row>
    <row r="1393" spans="1:10" s="58" customFormat="1" ht="17.25" hidden="1">
      <c r="A1393" s="10">
        <f>'12-2017'!A1483</f>
        <v>10</v>
      </c>
      <c r="B1393" s="11" t="str">
        <f>'12-2017'!B1483</f>
        <v>Ống uPVC 65: 76 x 3.0 mm</v>
      </c>
      <c r="C1393" s="12" t="str">
        <f>'12-2017'!C1483</f>
        <v>đ/mét</v>
      </c>
      <c r="D1393" s="13">
        <f>'12-2017'!O1483</f>
        <v>37800</v>
      </c>
      <c r="E1393" s="13">
        <f>'12-2017'!P1483</f>
        <v>37800</v>
      </c>
      <c r="F1393" s="130">
        <f t="shared" si="58"/>
        <v>0</v>
      </c>
      <c r="H1393" s="74">
        <f>'12-2017'!H1483</f>
        <v>0</v>
      </c>
      <c r="I1393" s="74">
        <f>'12-2017'!I1483</f>
        <v>0</v>
      </c>
      <c r="J1393" s="74">
        <f>'12-2017'!J1483</f>
        <v>0</v>
      </c>
    </row>
    <row r="1394" spans="1:10" s="58" customFormat="1" ht="17.25" hidden="1">
      <c r="A1394" s="10">
        <f>'12-2017'!A1484</f>
        <v>11</v>
      </c>
      <c r="B1394" s="11" t="str">
        <f>'12-2017'!B1484</f>
        <v>Ống uPVC 80: 90 x 4.0 mm</v>
      </c>
      <c r="C1394" s="12" t="str">
        <f>'12-2017'!C1484</f>
        <v>đ/mét</v>
      </c>
      <c r="D1394" s="13">
        <f>'12-2017'!O1484</f>
        <v>59400</v>
      </c>
      <c r="E1394" s="13">
        <f>'12-2017'!P1484</f>
        <v>59400</v>
      </c>
      <c r="F1394" s="130">
        <f t="shared" si="58"/>
        <v>0</v>
      </c>
      <c r="H1394" s="74">
        <f>'12-2017'!H1484</f>
        <v>0</v>
      </c>
      <c r="I1394" s="74">
        <f>'12-2017'!I1484</f>
        <v>0</v>
      </c>
      <c r="J1394" s="74">
        <f>'12-2017'!J1484</f>
        <v>0</v>
      </c>
    </row>
    <row r="1395" spans="1:10" s="58" customFormat="1" ht="17.25" hidden="1">
      <c r="A1395" s="10">
        <f>'12-2017'!A1485</f>
        <v>12</v>
      </c>
      <c r="B1395" s="11" t="str">
        <f>'12-2017'!B1485</f>
        <v>Ống uPVC 80: 90 x 5.0 mm</v>
      </c>
      <c r="C1395" s="12" t="str">
        <f>'12-2017'!C1485</f>
        <v>đ/mét</v>
      </c>
      <c r="D1395" s="13">
        <f>'12-2017'!O1485</f>
        <v>74700</v>
      </c>
      <c r="E1395" s="13">
        <f>'12-2017'!P1485</f>
        <v>74700</v>
      </c>
      <c r="F1395" s="130">
        <f t="shared" si="58"/>
        <v>0</v>
      </c>
      <c r="H1395" s="74">
        <f>'12-2017'!H1485</f>
        <v>0</v>
      </c>
      <c r="I1395" s="74">
        <f>'12-2017'!I1485</f>
        <v>0</v>
      </c>
      <c r="J1395" s="74">
        <f>'12-2017'!J1485</f>
        <v>0</v>
      </c>
    </row>
    <row r="1396" spans="1:10" s="58" customFormat="1" ht="17.25" hidden="1">
      <c r="A1396" s="10">
        <f>'12-2017'!A1486</f>
        <v>13</v>
      </c>
      <c r="B1396" s="11" t="str">
        <f>'12-2017'!B1486</f>
        <v>Ống uPVC 100: 114 x 5.0 mm</v>
      </c>
      <c r="C1396" s="12" t="str">
        <f>'12-2017'!C1486</f>
        <v>đ/mét</v>
      </c>
      <c r="D1396" s="13">
        <f>'12-2017'!O1486</f>
        <v>97200</v>
      </c>
      <c r="E1396" s="13">
        <f>'12-2017'!P1486</f>
        <v>97200</v>
      </c>
      <c r="F1396" s="130">
        <f t="shared" si="58"/>
        <v>0</v>
      </c>
      <c r="H1396" s="74">
        <f>'12-2017'!H1486</f>
        <v>0</v>
      </c>
      <c r="I1396" s="74">
        <f>'12-2017'!I1486</f>
        <v>0</v>
      </c>
      <c r="J1396" s="74">
        <f>'12-2017'!J1486</f>
        <v>0</v>
      </c>
    </row>
    <row r="1397" spans="1:10" s="58" customFormat="1" ht="17.25" hidden="1">
      <c r="A1397" s="10">
        <f>'12-2017'!A1487</f>
        <v>14</v>
      </c>
      <c r="B1397" s="11" t="str">
        <f>'12-2017'!B1487</f>
        <v>Ống uPVC 125: 140 x 7.0 mm</v>
      </c>
      <c r="C1397" s="12" t="str">
        <f>'12-2017'!C1487</f>
        <v>đ/mét</v>
      </c>
      <c r="D1397" s="13">
        <f>'12-2017'!O1487</f>
        <v>166500</v>
      </c>
      <c r="E1397" s="13">
        <f>'12-2017'!P1487</f>
        <v>166500</v>
      </c>
      <c r="F1397" s="130">
        <f t="shared" si="58"/>
        <v>0</v>
      </c>
      <c r="H1397" s="74">
        <f>'12-2017'!H1487</f>
        <v>0</v>
      </c>
      <c r="I1397" s="74">
        <f>'12-2017'!I1487</f>
        <v>0</v>
      </c>
      <c r="J1397" s="74">
        <f>'12-2017'!J1487</f>
        <v>0</v>
      </c>
    </row>
    <row r="1398" spans="1:10" s="58" customFormat="1" ht="17.25" hidden="1">
      <c r="A1398" s="10">
        <f>'12-2017'!A1488</f>
        <v>15</v>
      </c>
      <c r="B1398" s="11" t="str">
        <f>'12-2017'!B1488</f>
        <v>Ống uPVC 150: 168 x 7.0 mm</v>
      </c>
      <c r="C1398" s="12" t="str">
        <f>'12-2017'!C1488</f>
        <v>đ/mét</v>
      </c>
      <c r="D1398" s="13">
        <f>'12-2017'!O1488</f>
        <v>202500</v>
      </c>
      <c r="E1398" s="13">
        <f>'12-2017'!P1488</f>
        <v>202500</v>
      </c>
      <c r="F1398" s="130">
        <f t="shared" si="58"/>
        <v>0</v>
      </c>
      <c r="H1398" s="74">
        <f>'12-2017'!H1488</f>
        <v>0</v>
      </c>
      <c r="I1398" s="74">
        <f>'12-2017'!I1488</f>
        <v>0</v>
      </c>
      <c r="J1398" s="74">
        <f>'12-2017'!J1488</f>
        <v>0</v>
      </c>
    </row>
    <row r="1399" spans="1:10" s="58" customFormat="1" ht="17.25" hidden="1">
      <c r="A1399" s="10">
        <f>'12-2017'!A1489</f>
        <v>16</v>
      </c>
      <c r="B1399" s="11" t="str">
        <f>'12-2017'!B1489</f>
        <v>Ống uPVC 200: 200 x 4.5 mm</v>
      </c>
      <c r="C1399" s="12" t="str">
        <f>'12-2017'!C1489</f>
        <v>đ/mét</v>
      </c>
      <c r="D1399" s="13">
        <f>'12-2017'!O1489</f>
        <v>161100</v>
      </c>
      <c r="E1399" s="13">
        <f>'12-2017'!P1489</f>
        <v>161100</v>
      </c>
      <c r="F1399" s="130">
        <f t="shared" si="58"/>
        <v>0</v>
      </c>
      <c r="H1399" s="74">
        <f>'12-2017'!H1489</f>
        <v>0</v>
      </c>
      <c r="I1399" s="74">
        <f>'12-2017'!I1489</f>
        <v>0</v>
      </c>
      <c r="J1399" s="74">
        <f>'12-2017'!J1489</f>
        <v>0</v>
      </c>
    </row>
    <row r="1400" spans="1:10" s="58" customFormat="1" ht="17.25" hidden="1">
      <c r="A1400" s="10">
        <f>'12-2017'!A1490</f>
        <v>17</v>
      </c>
      <c r="B1400" s="11" t="str">
        <f>'12-2017'!B1490</f>
        <v>Ống uPVC 200: 200 x 5.9 mm</v>
      </c>
      <c r="C1400" s="12" t="str">
        <f>'12-2017'!C1490</f>
        <v>đ/mét</v>
      </c>
      <c r="D1400" s="13">
        <f>'12-2017'!O1490</f>
        <v>210330</v>
      </c>
      <c r="E1400" s="13">
        <f>'12-2017'!P1490</f>
        <v>210330</v>
      </c>
      <c r="F1400" s="130">
        <f t="shared" si="58"/>
        <v>0</v>
      </c>
      <c r="H1400" s="74">
        <f>'12-2017'!H1490</f>
        <v>0</v>
      </c>
      <c r="I1400" s="74">
        <f>'12-2017'!I1490</f>
        <v>0</v>
      </c>
      <c r="J1400" s="74">
        <f>'12-2017'!J1490</f>
        <v>0</v>
      </c>
    </row>
    <row r="1401" spans="1:10" s="73" customFormat="1" ht="17.25">
      <c r="A1401" s="17" t="str">
        <f>'12-2017'!A1491</f>
        <v>XIX</v>
      </c>
      <c r="B1401" s="9" t="str">
        <f>'12-2017'!B1491</f>
        <v>BỒN NƯỚC CÁC LOẠI:</v>
      </c>
      <c r="C1401" s="8"/>
      <c r="D1401" s="22"/>
      <c r="E1401" s="22"/>
      <c r="F1401" s="131"/>
      <c r="H1401" s="74">
        <f>'12-2017'!H1491</f>
        <v>0</v>
      </c>
      <c r="I1401" s="74">
        <f>'12-2017'!I1491</f>
        <v>0</v>
      </c>
      <c r="J1401" s="74">
        <f>'12-2017'!J1491</f>
        <v>0</v>
      </c>
    </row>
    <row r="1402" spans="1:10" s="73" customFormat="1" ht="17.25">
      <c r="A1402" s="17"/>
      <c r="B1402" s="237" t="str">
        <f>'12-2017'!B1492</f>
        <v xml:space="preserve"> * Bồn Inox Đại Sơn (kể cả chân bồn): Cty TNHH Thuận Phát Long Xuyên - Theo bảng giá ngày 06/5/2015</v>
      </c>
      <c r="C1402" s="238"/>
      <c r="D1402" s="238"/>
      <c r="E1402" s="238"/>
      <c r="F1402" s="239"/>
      <c r="H1402" s="74">
        <f>'12-2017'!H1492</f>
        <v>0</v>
      </c>
      <c r="I1402" s="74">
        <f>'12-2017'!I1492</f>
        <v>0</v>
      </c>
      <c r="J1402" s="74">
        <f>'12-2017'!J1492</f>
        <v>0</v>
      </c>
    </row>
    <row r="1403" spans="1:10" s="58" customFormat="1" ht="17.25" hidden="1">
      <c r="A1403" s="10">
        <f>'12-2017'!A1493</f>
        <v>1</v>
      </c>
      <c r="B1403" s="11" t="str">
        <f>'12-2017'!B1493</f>
        <v>Loại 1000 lít (bồn đứng) Inox dày 0,5mm</v>
      </c>
      <c r="C1403" s="12" t="str">
        <f>'12-2017'!C1493</f>
        <v>đ/cái</v>
      </c>
      <c r="D1403" s="13">
        <f>'12-2017'!O1493</f>
        <v>2709090.9090909087</v>
      </c>
      <c r="E1403" s="13">
        <f>'12-2017'!P1493</f>
        <v>2709090.9090909087</v>
      </c>
      <c r="F1403" s="130">
        <f t="shared" si="58"/>
        <v>0</v>
      </c>
      <c r="H1403" s="74">
        <f>'12-2017'!H1493</f>
        <v>0</v>
      </c>
      <c r="I1403" s="74">
        <f>'12-2017'!I1493</f>
        <v>0</v>
      </c>
      <c r="J1403" s="74">
        <f>'12-2017'!J1493</f>
        <v>0</v>
      </c>
    </row>
    <row r="1404" spans="1:10" s="58" customFormat="1" ht="17.25" hidden="1">
      <c r="A1404" s="10">
        <f>'12-2017'!A1494</f>
        <v>2</v>
      </c>
      <c r="B1404" s="11" t="str">
        <f>'12-2017'!B1494</f>
        <v>Loại 1500 lít (bồn đứng) Inox dày 0,5mm</v>
      </c>
      <c r="C1404" s="12" t="str">
        <f>'12-2017'!C1494</f>
        <v>đ/cái</v>
      </c>
      <c r="D1404" s="13">
        <f>'12-2017'!O1494</f>
        <v>4250000</v>
      </c>
      <c r="E1404" s="13">
        <f>'12-2017'!P1494</f>
        <v>4250000</v>
      </c>
      <c r="F1404" s="130">
        <f t="shared" si="58"/>
        <v>0</v>
      </c>
      <c r="H1404" s="74">
        <f>'12-2017'!H1494</f>
        <v>0</v>
      </c>
      <c r="I1404" s="74">
        <f>'12-2017'!I1494</f>
        <v>0</v>
      </c>
      <c r="J1404" s="74">
        <f>'12-2017'!J1494</f>
        <v>0</v>
      </c>
    </row>
    <row r="1405" spans="1:10" s="58" customFormat="1" ht="17.25" hidden="1">
      <c r="A1405" s="10">
        <f>'12-2017'!A1495</f>
        <v>3</v>
      </c>
      <c r="B1405" s="11" t="str">
        <f>'12-2017'!B1495</f>
        <v>Loại 2000 lít (bồn đứng) Inox dày 0,5mm</v>
      </c>
      <c r="C1405" s="12" t="str">
        <f>'12-2017'!C1495</f>
        <v>đ/cái</v>
      </c>
      <c r="D1405" s="13">
        <f>'12-2017'!O1495</f>
        <v>5700000</v>
      </c>
      <c r="E1405" s="13">
        <f>'12-2017'!P1495</f>
        <v>5700000</v>
      </c>
      <c r="F1405" s="130">
        <f t="shared" si="58"/>
        <v>0</v>
      </c>
      <c r="H1405" s="74">
        <f>'12-2017'!H1495</f>
        <v>0</v>
      </c>
      <c r="I1405" s="74">
        <f>'12-2017'!I1495</f>
        <v>0</v>
      </c>
      <c r="J1405" s="74">
        <f>'12-2017'!J1495</f>
        <v>0</v>
      </c>
    </row>
    <row r="1406" spans="1:10" s="73" customFormat="1" ht="17.25">
      <c r="A1406" s="17"/>
      <c r="B1406" s="237" t="str">
        <f>'12-2017'!B1496</f>
        <v xml:space="preserve"> * Bồn Inox HWATA VINA: giao hàng tại Cty TNHH TM Hiển Nga - Tổng đại lý phân phối tại AG . Theo bảng giá ngày 01/5/2016</v>
      </c>
      <c r="C1406" s="238"/>
      <c r="D1406" s="238"/>
      <c r="E1406" s="238"/>
      <c r="F1406" s="239"/>
      <c r="H1406" s="74">
        <f>'12-2017'!H1496</f>
        <v>0</v>
      </c>
      <c r="I1406" s="74">
        <f>'12-2017'!I1496</f>
        <v>0</v>
      </c>
      <c r="J1406" s="74">
        <f>'12-2017'!J1496</f>
        <v>0</v>
      </c>
    </row>
    <row r="1407" spans="1:10" s="58" customFormat="1" ht="17.25" hidden="1">
      <c r="A1407" s="10">
        <f>'12-2017'!A1497</f>
        <v>1</v>
      </c>
      <c r="B1407" s="11" t="str">
        <f>'12-2017'!B1497</f>
        <v>Loại 1000 lít (bồn đứng) Inox dày 0,6mm</v>
      </c>
      <c r="C1407" s="12" t="str">
        <f>'12-2017'!C1497</f>
        <v>đ/cái</v>
      </c>
      <c r="D1407" s="13">
        <f>'12-2017'!O1497</f>
        <v>2409090.9090909087</v>
      </c>
      <c r="E1407" s="13">
        <f>'12-2017'!P1497</f>
        <v>2409090.9090909087</v>
      </c>
      <c r="F1407" s="130">
        <f t="shared" si="58"/>
        <v>0</v>
      </c>
      <c r="H1407" s="74">
        <f>'12-2017'!H1497</f>
        <v>0</v>
      </c>
      <c r="I1407" s="74">
        <f>'12-2017'!I1497</f>
        <v>0</v>
      </c>
      <c r="J1407" s="74">
        <f>'12-2017'!J1497</f>
        <v>0</v>
      </c>
    </row>
    <row r="1408" spans="1:10" s="58" customFormat="1" ht="17.25" hidden="1">
      <c r="A1408" s="10">
        <f>'12-2017'!A1498</f>
        <v>2</v>
      </c>
      <c r="B1408" s="11" t="str">
        <f>'12-2017'!B1498</f>
        <v>Loại 1500 lít (bồn đứng) Inox dày 0,7mm</v>
      </c>
      <c r="C1408" s="12" t="str">
        <f>'12-2017'!C1498</f>
        <v>đ/cái</v>
      </c>
      <c r="D1408" s="13">
        <f>'12-2017'!O1498</f>
        <v>3454545.4545454541</v>
      </c>
      <c r="E1408" s="13">
        <f>'12-2017'!P1498</f>
        <v>3454545.4545454541</v>
      </c>
      <c r="F1408" s="130">
        <f t="shared" si="58"/>
        <v>0</v>
      </c>
      <c r="H1408" s="74">
        <f>'12-2017'!H1498</f>
        <v>0</v>
      </c>
      <c r="I1408" s="74">
        <f>'12-2017'!I1498</f>
        <v>0</v>
      </c>
      <c r="J1408" s="74">
        <f>'12-2017'!J1498</f>
        <v>0</v>
      </c>
    </row>
    <row r="1409" spans="1:10" s="58" customFormat="1" ht="17.25" hidden="1">
      <c r="A1409" s="10">
        <f>'12-2017'!A1499</f>
        <v>3</v>
      </c>
      <c r="B1409" s="11" t="str">
        <f>'12-2017'!B1499</f>
        <v>Loại 2000 lít (bồn đứng) Inox dày 0,9mm</v>
      </c>
      <c r="C1409" s="12" t="str">
        <f>'12-2017'!C1499</f>
        <v>đ/cái</v>
      </c>
      <c r="D1409" s="13">
        <f>'12-2017'!O1499</f>
        <v>4536363.6363636358</v>
      </c>
      <c r="E1409" s="13">
        <f>'12-2017'!P1499</f>
        <v>4536363.6363636358</v>
      </c>
      <c r="F1409" s="130">
        <f t="shared" si="58"/>
        <v>0</v>
      </c>
      <c r="H1409" s="74">
        <f>'12-2017'!H1499</f>
        <v>0</v>
      </c>
      <c r="I1409" s="74">
        <f>'12-2017'!I1499</f>
        <v>0</v>
      </c>
      <c r="J1409" s="74">
        <f>'12-2017'!J1499</f>
        <v>0</v>
      </c>
    </row>
    <row r="1410" spans="1:10" s="58" customFormat="1" ht="17.25" hidden="1">
      <c r="A1410" s="10">
        <f>'12-2017'!A1500</f>
        <v>4</v>
      </c>
      <c r="B1410" s="11" t="str">
        <f>'12-2017'!B1500</f>
        <v>Loại 3000 lít (bồn đứng) Inox dày 0,9mm</v>
      </c>
      <c r="C1410" s="12" t="str">
        <f>'12-2017'!C1500</f>
        <v>đ/cái</v>
      </c>
      <c r="D1410" s="13">
        <f>'12-2017'!O1500</f>
        <v>7045454.5454545449</v>
      </c>
      <c r="E1410" s="13">
        <f>'12-2017'!P1500</f>
        <v>7045454.5454545449</v>
      </c>
      <c r="F1410" s="130">
        <f t="shared" si="58"/>
        <v>0</v>
      </c>
      <c r="H1410" s="74">
        <f>'12-2017'!H1500</f>
        <v>0</v>
      </c>
      <c r="I1410" s="74">
        <f>'12-2017'!I1500</f>
        <v>0</v>
      </c>
      <c r="J1410" s="74">
        <f>'12-2017'!J1500</f>
        <v>0</v>
      </c>
    </row>
    <row r="1411" spans="1:10" s="58" customFormat="1" ht="17.25" hidden="1">
      <c r="A1411" s="10">
        <f>'12-2017'!A1501</f>
        <v>5</v>
      </c>
      <c r="B1411" s="11" t="str">
        <f>'12-2017'!B1501</f>
        <v>Loại 4000 lít (bồn đứng) Inox dày 0,9mm</v>
      </c>
      <c r="C1411" s="12" t="str">
        <f>'12-2017'!C1501</f>
        <v>đ/cái</v>
      </c>
      <c r="D1411" s="13">
        <f>'12-2017'!O1501</f>
        <v>9081818.1818181816</v>
      </c>
      <c r="E1411" s="13">
        <f>'12-2017'!P1501</f>
        <v>9081818.1818181816</v>
      </c>
      <c r="F1411" s="130">
        <f t="shared" si="58"/>
        <v>0</v>
      </c>
      <c r="H1411" s="74">
        <f>'12-2017'!H1501</f>
        <v>0</v>
      </c>
      <c r="I1411" s="74">
        <f>'12-2017'!I1501</f>
        <v>0</v>
      </c>
      <c r="J1411" s="74">
        <f>'12-2017'!J1501</f>
        <v>0</v>
      </c>
    </row>
    <row r="1412" spans="1:10" s="58" customFormat="1" ht="17.25" hidden="1">
      <c r="A1412" s="10">
        <f>'12-2017'!A1502</f>
        <v>6</v>
      </c>
      <c r="B1412" s="11" t="str">
        <f>'12-2017'!B1502</f>
        <v>Loại 5000 lít (bồn đứng) Inox dày 0,9mm</v>
      </c>
      <c r="C1412" s="12" t="str">
        <f>'12-2017'!C1502</f>
        <v>đ/cái</v>
      </c>
      <c r="D1412" s="13">
        <f>'12-2017'!O1502</f>
        <v>10900000</v>
      </c>
      <c r="E1412" s="13">
        <f>'12-2017'!P1502</f>
        <v>10900000</v>
      </c>
      <c r="F1412" s="130">
        <f t="shared" si="58"/>
        <v>0</v>
      </c>
      <c r="H1412" s="74">
        <f>'12-2017'!H1502</f>
        <v>0</v>
      </c>
      <c r="I1412" s="74">
        <f>'12-2017'!I1502</f>
        <v>0</v>
      </c>
      <c r="J1412" s="74">
        <f>'12-2017'!J1502</f>
        <v>0</v>
      </c>
    </row>
    <row r="1413" spans="1:10" s="58" customFormat="1" ht="17.25" hidden="1">
      <c r="A1413" s="10">
        <f>'12-2017'!A1503</f>
        <v>7</v>
      </c>
      <c r="B1413" s="11" t="str">
        <f>'12-2017'!B1503</f>
        <v>Loại 1000 lít (bồn nằm) Inox dày 0,6mm</v>
      </c>
      <c r="C1413" s="12" t="str">
        <f>'12-2017'!C1503</f>
        <v>đ/cái</v>
      </c>
      <c r="D1413" s="13">
        <f>'12-2017'!O1503</f>
        <v>2536363.6363636362</v>
      </c>
      <c r="E1413" s="13">
        <f>'12-2017'!P1503</f>
        <v>2536363.6363636362</v>
      </c>
      <c r="F1413" s="130">
        <f t="shared" si="58"/>
        <v>0</v>
      </c>
      <c r="H1413" s="74">
        <f>'12-2017'!H1503</f>
        <v>0</v>
      </c>
      <c r="I1413" s="74">
        <f>'12-2017'!I1503</f>
        <v>0</v>
      </c>
      <c r="J1413" s="74">
        <f>'12-2017'!J1503</f>
        <v>0</v>
      </c>
    </row>
    <row r="1414" spans="1:10" s="58" customFormat="1" ht="17.25" hidden="1">
      <c r="A1414" s="10">
        <f>'12-2017'!A1504</f>
        <v>8</v>
      </c>
      <c r="B1414" s="11" t="str">
        <f>'12-2017'!B1504</f>
        <v>Loại 1500 lít (bồn nằm)  Inox dày 0,7mm</v>
      </c>
      <c r="C1414" s="12" t="str">
        <f>'12-2017'!C1504</f>
        <v>đ/cái</v>
      </c>
      <c r="D1414" s="13">
        <f>'12-2017'!O1504</f>
        <v>3727272.7272727271</v>
      </c>
      <c r="E1414" s="13">
        <f>'12-2017'!P1504</f>
        <v>3727272.7272727271</v>
      </c>
      <c r="F1414" s="130">
        <f t="shared" si="58"/>
        <v>0</v>
      </c>
      <c r="H1414" s="74">
        <f>'12-2017'!H1504</f>
        <v>0</v>
      </c>
      <c r="I1414" s="74">
        <f>'12-2017'!I1504</f>
        <v>0</v>
      </c>
      <c r="J1414" s="74">
        <f>'12-2017'!J1504</f>
        <v>0</v>
      </c>
    </row>
    <row r="1415" spans="1:10" s="58" customFormat="1" ht="17.25" hidden="1">
      <c r="A1415" s="10">
        <f>'12-2017'!A1505</f>
        <v>9</v>
      </c>
      <c r="B1415" s="11" t="str">
        <f>'12-2017'!B1505</f>
        <v>Loại 2000 lít (bồn nằm)  Inox dày 0,9mm</v>
      </c>
      <c r="C1415" s="12" t="str">
        <f>'12-2017'!C1505</f>
        <v>đ/cái</v>
      </c>
      <c r="D1415" s="13">
        <f>'12-2017'!O1505</f>
        <v>4863636.3636363633</v>
      </c>
      <c r="E1415" s="13">
        <f>'12-2017'!P1505</f>
        <v>4863636.3636363633</v>
      </c>
      <c r="F1415" s="130">
        <f t="shared" si="58"/>
        <v>0</v>
      </c>
      <c r="H1415" s="74">
        <f>'12-2017'!H1505</f>
        <v>0</v>
      </c>
      <c r="I1415" s="74">
        <f>'12-2017'!I1505</f>
        <v>0</v>
      </c>
      <c r="J1415" s="74">
        <f>'12-2017'!J1505</f>
        <v>0</v>
      </c>
    </row>
    <row r="1416" spans="1:10" s="73" customFormat="1" ht="17.25">
      <c r="A1416" s="17" t="str">
        <f>'12-2017'!A1506</f>
        <v>XX</v>
      </c>
      <c r="B1416" s="237" t="str">
        <f>'12-2017'!B1506</f>
        <v xml:space="preserve">CÁC LOẠI VẬT TƯ ĐIỆN </v>
      </c>
      <c r="C1416" s="238"/>
      <c r="D1416" s="238"/>
      <c r="E1416" s="238"/>
      <c r="F1416" s="239"/>
      <c r="H1416" s="74">
        <f>'12-2017'!H1506</f>
        <v>0</v>
      </c>
      <c r="I1416" s="74">
        <f>'12-2017'!I1506</f>
        <v>0</v>
      </c>
      <c r="J1416" s="74">
        <f>'12-2017'!J1506</f>
        <v>0</v>
      </c>
    </row>
    <row r="1417" spans="1:10" s="73" customFormat="1" ht="33" customHeight="1">
      <c r="A1417" s="17"/>
      <c r="B1417" s="237" t="str">
        <f>'12-2017'!B1507</f>
        <v xml:space="preserve"> * DÂY VÀ CÁP ĐIỆN DAPHACO : Cty TNHH Cơ điện lạnh và Xây dựng An Phát (giao hàng tại kho Cty An Phát). Theo bảng giá ngày 12/6/2016</v>
      </c>
      <c r="C1417" s="238"/>
      <c r="D1417" s="238"/>
      <c r="E1417" s="238"/>
      <c r="F1417" s="239"/>
      <c r="H1417" s="74">
        <f>'12-2017'!H1507</f>
        <v>0</v>
      </c>
      <c r="I1417" s="74">
        <f>'12-2017'!I1507</f>
        <v>0</v>
      </c>
      <c r="J1417" s="74">
        <f>'12-2017'!J1507</f>
        <v>0</v>
      </c>
    </row>
    <row r="1418" spans="1:10" s="58" customFormat="1" ht="17.25" hidden="1">
      <c r="A1418" s="10">
        <f>'12-2017'!A1508</f>
        <v>1</v>
      </c>
      <c r="B1418" s="11" t="str">
        <f>'12-2017'!B1508</f>
        <v>Dây điện đơn 12/10</v>
      </c>
      <c r="C1418" s="12" t="str">
        <f>'12-2017'!C1508</f>
        <v>đ/mét</v>
      </c>
      <c r="D1418" s="13">
        <f>'12-2017'!O1508</f>
        <v>2600</v>
      </c>
      <c r="E1418" s="13">
        <f>'12-2017'!P1508</f>
        <v>2600</v>
      </c>
      <c r="F1418" s="130">
        <f t="shared" si="58"/>
        <v>0</v>
      </c>
      <c r="H1418" s="74">
        <f>'12-2017'!H1508</f>
        <v>0</v>
      </c>
      <c r="I1418" s="74">
        <f>'12-2017'!I1508</f>
        <v>0</v>
      </c>
      <c r="J1418" s="74">
        <f>'12-2017'!J1508</f>
        <v>0</v>
      </c>
    </row>
    <row r="1419" spans="1:10" s="58" customFormat="1" ht="17.25" hidden="1">
      <c r="A1419" s="10">
        <f>'12-2017'!A1509</f>
        <v>2</v>
      </c>
      <c r="B1419" s="11" t="str">
        <f>'12-2017'!B1509</f>
        <v>Dây điện đơn 16/10</v>
      </c>
      <c r="C1419" s="12" t="str">
        <f>'12-2017'!C1509</f>
        <v>đ/mét</v>
      </c>
      <c r="D1419" s="13">
        <f>'12-2017'!O1509</f>
        <v>4880</v>
      </c>
      <c r="E1419" s="13">
        <f>'12-2017'!P1509</f>
        <v>4880</v>
      </c>
      <c r="F1419" s="130">
        <f t="shared" si="58"/>
        <v>0</v>
      </c>
      <c r="H1419" s="74">
        <f>'12-2017'!H1509</f>
        <v>0</v>
      </c>
      <c r="I1419" s="74">
        <f>'12-2017'!I1509</f>
        <v>0</v>
      </c>
      <c r="J1419" s="74">
        <f>'12-2017'!J1509</f>
        <v>0</v>
      </c>
    </row>
    <row r="1420" spans="1:10" s="58" customFormat="1" ht="17.25" hidden="1">
      <c r="A1420" s="10">
        <f>'12-2017'!A1510</f>
        <v>3</v>
      </c>
      <c r="B1420" s="11" t="str">
        <f>'12-2017'!B1510</f>
        <v>Dây điện đơn 20/10</v>
      </c>
      <c r="C1420" s="12" t="str">
        <f>'12-2017'!C1510</f>
        <v>đ/mét</v>
      </c>
      <c r="D1420" s="13">
        <f>'12-2017'!O1510</f>
        <v>7100</v>
      </c>
      <c r="E1420" s="13">
        <f>'12-2017'!P1510</f>
        <v>7100</v>
      </c>
      <c r="F1420" s="130">
        <f t="shared" si="58"/>
        <v>0</v>
      </c>
      <c r="H1420" s="74">
        <f>'12-2017'!H1510</f>
        <v>0</v>
      </c>
      <c r="I1420" s="74">
        <f>'12-2017'!I1510</f>
        <v>0</v>
      </c>
      <c r="J1420" s="74">
        <f>'12-2017'!J1510</f>
        <v>0</v>
      </c>
    </row>
    <row r="1421" spans="1:10" s="58" customFormat="1" ht="17.25" hidden="1">
      <c r="A1421" s="10">
        <f>'12-2017'!A1511</f>
        <v>4</v>
      </c>
      <c r="B1421" s="11" t="str">
        <f>'12-2017'!B1511</f>
        <v>Dây điện đơn 30/10</v>
      </c>
      <c r="C1421" s="12" t="str">
        <f>'12-2017'!C1511</f>
        <v>đ/mét</v>
      </c>
      <c r="D1421" s="13">
        <f>'12-2017'!O1511</f>
        <v>16300</v>
      </c>
      <c r="E1421" s="13">
        <f>'12-2017'!P1511</f>
        <v>16300</v>
      </c>
      <c r="F1421" s="130">
        <f t="shared" si="58"/>
        <v>0</v>
      </c>
      <c r="H1421" s="74">
        <f>'12-2017'!H1511</f>
        <v>0</v>
      </c>
      <c r="I1421" s="74">
        <f>'12-2017'!I1511</f>
        <v>0</v>
      </c>
      <c r="J1421" s="74">
        <f>'12-2017'!J1511</f>
        <v>0</v>
      </c>
    </row>
    <row r="1422" spans="1:10" s="58" customFormat="1" ht="17.25" hidden="1">
      <c r="A1422" s="10">
        <f>'12-2017'!A1512</f>
        <v>5</v>
      </c>
      <c r="B1422" s="11" t="str">
        <f>'12-2017'!B1512</f>
        <v>Dây điện đôi 2x16</v>
      </c>
      <c r="C1422" s="12" t="str">
        <f>'12-2017'!C1512</f>
        <v>đ/mét</v>
      </c>
      <c r="D1422" s="13">
        <f>'12-2017'!O1512</f>
        <v>2900</v>
      </c>
      <c r="E1422" s="13">
        <f>'12-2017'!P1512</f>
        <v>2900</v>
      </c>
      <c r="F1422" s="130">
        <f t="shared" si="58"/>
        <v>0</v>
      </c>
      <c r="H1422" s="74">
        <f>'12-2017'!H1512</f>
        <v>0</v>
      </c>
      <c r="I1422" s="74">
        <f>'12-2017'!I1512</f>
        <v>0</v>
      </c>
      <c r="J1422" s="74">
        <f>'12-2017'!J1512</f>
        <v>0</v>
      </c>
    </row>
    <row r="1423" spans="1:10" s="58" customFormat="1" ht="17.25" hidden="1">
      <c r="A1423" s="10">
        <f>'12-2017'!A1513</f>
        <v>6</v>
      </c>
      <c r="B1423" s="11" t="str">
        <f>'12-2017'!B1513</f>
        <v>Dây điện đôi 2x24</v>
      </c>
      <c r="C1423" s="12" t="str">
        <f>'12-2017'!C1513</f>
        <v>đ/mét</v>
      </c>
      <c r="D1423" s="13">
        <f>'12-2017'!O1513</f>
        <v>4100</v>
      </c>
      <c r="E1423" s="13">
        <f>'12-2017'!P1513</f>
        <v>4100</v>
      </c>
      <c r="F1423" s="130">
        <f t="shared" si="58"/>
        <v>0</v>
      </c>
      <c r="H1423" s="74">
        <f>'12-2017'!H1513</f>
        <v>0</v>
      </c>
      <c r="I1423" s="74">
        <f>'12-2017'!I1513</f>
        <v>0</v>
      </c>
      <c r="J1423" s="74">
        <f>'12-2017'!J1513</f>
        <v>0</v>
      </c>
    </row>
    <row r="1424" spans="1:10" s="58" customFormat="1" ht="17.25" hidden="1">
      <c r="A1424" s="10">
        <f>'12-2017'!A1514</f>
        <v>7</v>
      </c>
      <c r="B1424" s="11" t="str">
        <f>'12-2017'!B1514</f>
        <v>Dây điện đôi 2x32</v>
      </c>
      <c r="C1424" s="12" t="str">
        <f>'12-2017'!C1514</f>
        <v>đ/mét</v>
      </c>
      <c r="D1424" s="13">
        <f>'12-2017'!O1514</f>
        <v>5300</v>
      </c>
      <c r="E1424" s="13">
        <f>'12-2017'!P1514</f>
        <v>5300</v>
      </c>
      <c r="F1424" s="130">
        <f t="shared" si="58"/>
        <v>0</v>
      </c>
      <c r="H1424" s="74">
        <f>'12-2017'!H1514</f>
        <v>0</v>
      </c>
      <c r="I1424" s="74">
        <f>'12-2017'!I1514</f>
        <v>0</v>
      </c>
      <c r="J1424" s="74">
        <f>'12-2017'!J1514</f>
        <v>0</v>
      </c>
    </row>
    <row r="1425" spans="1:10" s="58" customFormat="1" ht="17.25" hidden="1">
      <c r="A1425" s="10">
        <f>'12-2017'!A1515</f>
        <v>8</v>
      </c>
      <c r="B1425" s="11" t="str">
        <f>'12-2017'!B1515</f>
        <v>Dây điện đôi 2x30</v>
      </c>
      <c r="C1425" s="12" t="str">
        <f>'12-2017'!C1515</f>
        <v>đ/mét</v>
      </c>
      <c r="D1425" s="13">
        <f>'12-2017'!O1515</f>
        <v>7800</v>
      </c>
      <c r="E1425" s="13">
        <f>'12-2017'!P1515</f>
        <v>7800</v>
      </c>
      <c r="F1425" s="130">
        <f t="shared" si="58"/>
        <v>0</v>
      </c>
      <c r="H1425" s="74">
        <f>'12-2017'!H1515</f>
        <v>0</v>
      </c>
      <c r="I1425" s="74">
        <f>'12-2017'!I1515</f>
        <v>0</v>
      </c>
      <c r="J1425" s="74">
        <f>'12-2017'!J1515</f>
        <v>0</v>
      </c>
    </row>
    <row r="1426" spans="1:10" s="58" customFormat="1" ht="17.25" hidden="1">
      <c r="A1426" s="10">
        <f>'12-2017'!A1516</f>
        <v>9</v>
      </c>
      <c r="B1426" s="11" t="str">
        <f>'12-2017'!B1516</f>
        <v xml:space="preserve">Cáp CV 1.0    </v>
      </c>
      <c r="C1426" s="12" t="str">
        <f>'12-2017'!C1516</f>
        <v>đ/mét</v>
      </c>
      <c r="D1426" s="13">
        <f>'12-2017'!O1516</f>
        <v>2700</v>
      </c>
      <c r="E1426" s="13">
        <f>'12-2017'!P1516</f>
        <v>2700</v>
      </c>
      <c r="F1426" s="130">
        <f t="shared" si="58"/>
        <v>0</v>
      </c>
      <c r="H1426" s="74">
        <f>'12-2017'!H1516</f>
        <v>0</v>
      </c>
      <c r="I1426" s="74">
        <f>'12-2017'!I1516</f>
        <v>0</v>
      </c>
      <c r="J1426" s="74">
        <f>'12-2017'!J1516</f>
        <v>0</v>
      </c>
    </row>
    <row r="1427" spans="1:10" s="58" customFormat="1" ht="17.25" hidden="1">
      <c r="A1427" s="10">
        <f>'12-2017'!A1517</f>
        <v>10</v>
      </c>
      <c r="B1427" s="11" t="str">
        <f>'12-2017'!B1517</f>
        <v>Cáp CV 1.5</v>
      </c>
      <c r="C1427" s="12" t="str">
        <f>'12-2017'!C1517</f>
        <v>đ/mét</v>
      </c>
      <c r="D1427" s="13">
        <f>'12-2017'!O1517</f>
        <v>3500</v>
      </c>
      <c r="E1427" s="13">
        <f>'12-2017'!P1517</f>
        <v>3500</v>
      </c>
      <c r="F1427" s="130">
        <f t="shared" ref="F1427:F1490" si="59">E1427-D1427</f>
        <v>0</v>
      </c>
      <c r="H1427" s="74">
        <f>'12-2017'!H1517</f>
        <v>0</v>
      </c>
      <c r="I1427" s="74">
        <f>'12-2017'!I1517</f>
        <v>0</v>
      </c>
      <c r="J1427" s="74">
        <f>'12-2017'!J1517</f>
        <v>0</v>
      </c>
    </row>
    <row r="1428" spans="1:10" s="58" customFormat="1" ht="17.25" hidden="1">
      <c r="A1428" s="10">
        <f>'12-2017'!A1518</f>
        <v>11</v>
      </c>
      <c r="B1428" s="11" t="str">
        <f>'12-2017'!B1518</f>
        <v>Cáp CV 2.0</v>
      </c>
      <c r="C1428" s="12" t="str">
        <f>'12-2017'!C1518</f>
        <v>đ/mét</v>
      </c>
      <c r="D1428" s="13">
        <f>'12-2017'!O1518</f>
        <v>5000</v>
      </c>
      <c r="E1428" s="13">
        <f>'12-2017'!P1518</f>
        <v>5000</v>
      </c>
      <c r="F1428" s="130">
        <f t="shared" si="59"/>
        <v>0</v>
      </c>
      <c r="H1428" s="74">
        <f>'12-2017'!H1518</f>
        <v>0</v>
      </c>
      <c r="I1428" s="74">
        <f>'12-2017'!I1518</f>
        <v>0</v>
      </c>
      <c r="J1428" s="74">
        <f>'12-2017'!J1518</f>
        <v>0</v>
      </c>
    </row>
    <row r="1429" spans="1:10" s="58" customFormat="1" ht="17.25" hidden="1">
      <c r="A1429" s="10">
        <f>'12-2017'!A1519</f>
        <v>12</v>
      </c>
      <c r="B1429" s="11" t="str">
        <f>'12-2017'!B1519</f>
        <v>Cáp CV 2.5</v>
      </c>
      <c r="C1429" s="12" t="str">
        <f>'12-2017'!C1519</f>
        <v>đ/mét</v>
      </c>
      <c r="D1429" s="13">
        <f>'12-2017'!O1519</f>
        <v>6000</v>
      </c>
      <c r="E1429" s="13">
        <f>'12-2017'!P1519</f>
        <v>6000</v>
      </c>
      <c r="F1429" s="130">
        <f t="shared" si="59"/>
        <v>0</v>
      </c>
      <c r="H1429" s="74">
        <f>'12-2017'!H1519</f>
        <v>0</v>
      </c>
      <c r="I1429" s="74">
        <f>'12-2017'!I1519</f>
        <v>0</v>
      </c>
      <c r="J1429" s="74">
        <f>'12-2017'!J1519</f>
        <v>0</v>
      </c>
    </row>
    <row r="1430" spans="1:10" s="58" customFormat="1" ht="17.25" hidden="1">
      <c r="A1430" s="10">
        <f>'12-2017'!A1520</f>
        <v>13</v>
      </c>
      <c r="B1430" s="11" t="str">
        <f>'12-2017'!B1520</f>
        <v>Cáp CV 3.0</v>
      </c>
      <c r="C1430" s="12" t="str">
        <f>'12-2017'!C1520</f>
        <v>đ/mét</v>
      </c>
      <c r="D1430" s="13">
        <f>'12-2017'!O1520</f>
        <v>7600</v>
      </c>
      <c r="E1430" s="13">
        <f>'12-2017'!P1520</f>
        <v>7600</v>
      </c>
      <c r="F1430" s="130">
        <f t="shared" si="59"/>
        <v>0</v>
      </c>
      <c r="H1430" s="74">
        <f>'12-2017'!H1520</f>
        <v>0</v>
      </c>
      <c r="I1430" s="74">
        <f>'12-2017'!I1520</f>
        <v>0</v>
      </c>
      <c r="J1430" s="74">
        <f>'12-2017'!J1520</f>
        <v>0</v>
      </c>
    </row>
    <row r="1431" spans="1:10" s="58" customFormat="1" ht="17.25" hidden="1">
      <c r="A1431" s="10">
        <f>'12-2017'!A1521</f>
        <v>14</v>
      </c>
      <c r="B1431" s="11" t="str">
        <f>'12-2017'!B1521</f>
        <v>Cáp CV 4.0</v>
      </c>
      <c r="C1431" s="12" t="str">
        <f>'12-2017'!C1521</f>
        <v>đ/mét</v>
      </c>
      <c r="D1431" s="13">
        <f>'12-2017'!O1521</f>
        <v>9500</v>
      </c>
      <c r="E1431" s="13">
        <f>'12-2017'!P1521</f>
        <v>9500</v>
      </c>
      <c r="F1431" s="130">
        <f t="shared" si="59"/>
        <v>0</v>
      </c>
      <c r="H1431" s="74">
        <f>'12-2017'!H1521</f>
        <v>0</v>
      </c>
      <c r="I1431" s="74">
        <f>'12-2017'!I1521</f>
        <v>0</v>
      </c>
      <c r="J1431" s="74">
        <f>'12-2017'!J1521</f>
        <v>0</v>
      </c>
    </row>
    <row r="1432" spans="1:10" s="58" customFormat="1" ht="17.25" hidden="1">
      <c r="A1432" s="10">
        <f>'12-2017'!A1522</f>
        <v>15</v>
      </c>
      <c r="B1432" s="11" t="str">
        <f>'12-2017'!B1522</f>
        <v>Cáp CV 5.0</v>
      </c>
      <c r="C1432" s="12" t="str">
        <f>'12-2017'!C1522</f>
        <v>đ/mét</v>
      </c>
      <c r="D1432" s="13">
        <f>'12-2017'!O1522</f>
        <v>12000</v>
      </c>
      <c r="E1432" s="13">
        <f>'12-2017'!P1522</f>
        <v>12000</v>
      </c>
      <c r="F1432" s="130">
        <f t="shared" si="59"/>
        <v>0</v>
      </c>
      <c r="H1432" s="74">
        <f>'12-2017'!H1522</f>
        <v>0</v>
      </c>
      <c r="I1432" s="74">
        <f>'12-2017'!I1522</f>
        <v>0</v>
      </c>
      <c r="J1432" s="74">
        <f>'12-2017'!J1522</f>
        <v>0</v>
      </c>
    </row>
    <row r="1433" spans="1:10" s="58" customFormat="1" ht="17.25" hidden="1">
      <c r="A1433" s="10">
        <f>'12-2017'!A1523</f>
        <v>16</v>
      </c>
      <c r="B1433" s="11" t="str">
        <f>'12-2017'!B1523</f>
        <v>Cáp CV 6.0</v>
      </c>
      <c r="C1433" s="12" t="str">
        <f>'12-2017'!C1523</f>
        <v>đ/mét</v>
      </c>
      <c r="D1433" s="13">
        <f>'12-2017'!O1523</f>
        <v>14000</v>
      </c>
      <c r="E1433" s="13">
        <f>'12-2017'!P1523</f>
        <v>14000</v>
      </c>
      <c r="F1433" s="130">
        <f t="shared" si="59"/>
        <v>0</v>
      </c>
      <c r="H1433" s="74">
        <f>'12-2017'!H1523</f>
        <v>0</v>
      </c>
      <c r="I1433" s="74">
        <f>'12-2017'!I1523</f>
        <v>0</v>
      </c>
      <c r="J1433" s="74">
        <f>'12-2017'!J1523</f>
        <v>0</v>
      </c>
    </row>
    <row r="1434" spans="1:10" s="73" customFormat="1" ht="44.25" hidden="1" customHeight="1">
      <c r="A1434" s="17"/>
      <c r="B1434" s="237" t="str">
        <f>'12-2017'!B1524</f>
        <v>* ĐÈN SIÊU TIẾT KIỆM ĐIỆN T5 - GREENLIGHT (gồm: máng+ bóng T5+ tăng phô điện tử) - Cty TNHH Cơ điện lạnh và Xây dựng An Phát (giao hàng tại kho Cty An Phát). Theo bảng giá ngày 12/6/2016</v>
      </c>
      <c r="C1434" s="238"/>
      <c r="D1434" s="238"/>
      <c r="E1434" s="238"/>
      <c r="F1434" s="239"/>
      <c r="H1434" s="74">
        <f>'12-2017'!H1524</f>
        <v>0</v>
      </c>
      <c r="I1434" s="74">
        <f>'12-2017'!I1524</f>
        <v>0</v>
      </c>
      <c r="J1434" s="74">
        <f>'12-2017'!J1524</f>
        <v>0</v>
      </c>
    </row>
    <row r="1435" spans="1:10" s="58" customFormat="1" ht="17.25" hidden="1">
      <c r="A1435" s="10">
        <f>'12-2017'!A1525</f>
        <v>1</v>
      </c>
      <c r="B1435" s="11" t="str">
        <f>'12-2017'!B1525</f>
        <v xml:space="preserve">Máng đèn néon đơn 0,6m - 1 x 14W </v>
      </c>
      <c r="C1435" s="12" t="str">
        <f>'12-2017'!C1525</f>
        <v>đ/bộ</v>
      </c>
      <c r="D1435" s="13">
        <f>'12-2017'!O1525</f>
        <v>199000</v>
      </c>
      <c r="E1435" s="13">
        <f>'12-2017'!P1525</f>
        <v>199000</v>
      </c>
      <c r="F1435" s="130">
        <f t="shared" si="59"/>
        <v>0</v>
      </c>
      <c r="H1435" s="74">
        <f>'12-2017'!H1525</f>
        <v>0</v>
      </c>
      <c r="I1435" s="74">
        <f>'12-2017'!I1525</f>
        <v>0</v>
      </c>
      <c r="J1435" s="74">
        <f>'12-2017'!J1525</f>
        <v>0</v>
      </c>
    </row>
    <row r="1436" spans="1:10" s="58" customFormat="1" ht="17.25" hidden="1">
      <c r="A1436" s="10">
        <f>'12-2017'!A1526</f>
        <v>2</v>
      </c>
      <c r="B1436" s="11" t="str">
        <f>'12-2017'!B1526</f>
        <v xml:space="preserve">Máng đèn néon đôi 0,6m - 2 x 14W </v>
      </c>
      <c r="C1436" s="12" t="str">
        <f>'12-2017'!C1526</f>
        <v>đ/bộ</v>
      </c>
      <c r="D1436" s="13">
        <f>'12-2017'!O1526</f>
        <v>261000</v>
      </c>
      <c r="E1436" s="13">
        <f>'12-2017'!P1526</f>
        <v>261000</v>
      </c>
      <c r="F1436" s="130">
        <f t="shared" si="59"/>
        <v>0</v>
      </c>
      <c r="H1436" s="74">
        <f>'12-2017'!H1526</f>
        <v>0</v>
      </c>
      <c r="I1436" s="74">
        <f>'12-2017'!I1526</f>
        <v>0</v>
      </c>
      <c r="J1436" s="74">
        <f>'12-2017'!J1526</f>
        <v>0</v>
      </c>
    </row>
    <row r="1437" spans="1:10" s="58" customFormat="1" ht="17.25" hidden="1">
      <c r="A1437" s="10">
        <f>'12-2017'!A1527</f>
        <v>3</v>
      </c>
      <c r="B1437" s="11" t="str">
        <f>'12-2017'!B1527</f>
        <v xml:space="preserve">Máng đèn néon đơn 1,2m - 1 x 28W </v>
      </c>
      <c r="C1437" s="12" t="str">
        <f>'12-2017'!C1527</f>
        <v>đ/bộ</v>
      </c>
      <c r="D1437" s="13">
        <f>'12-2017'!O1527</f>
        <v>219000</v>
      </c>
      <c r="E1437" s="13">
        <f>'12-2017'!P1527</f>
        <v>219000</v>
      </c>
      <c r="F1437" s="130">
        <f t="shared" si="59"/>
        <v>0</v>
      </c>
      <c r="H1437" s="74">
        <f>'12-2017'!H1527</f>
        <v>0</v>
      </c>
      <c r="I1437" s="74">
        <f>'12-2017'!I1527</f>
        <v>0</v>
      </c>
      <c r="J1437" s="74">
        <f>'12-2017'!J1527</f>
        <v>0</v>
      </c>
    </row>
    <row r="1438" spans="1:10" s="58" customFormat="1" ht="17.25" hidden="1">
      <c r="A1438" s="10">
        <f>'12-2017'!A1528</f>
        <v>4</v>
      </c>
      <c r="B1438" s="11" t="str">
        <f>'12-2017'!B1528</f>
        <v xml:space="preserve">Máng đèn néon đôi 1,2m - 2 x 28W </v>
      </c>
      <c r="C1438" s="12" t="str">
        <f>'12-2017'!C1528</f>
        <v>đ/bộ</v>
      </c>
      <c r="D1438" s="13">
        <f>'12-2017'!O1528</f>
        <v>348000</v>
      </c>
      <c r="E1438" s="13">
        <f>'12-2017'!P1528</f>
        <v>348000</v>
      </c>
      <c r="F1438" s="130">
        <f t="shared" si="59"/>
        <v>0</v>
      </c>
      <c r="H1438" s="74">
        <f>'12-2017'!H1528</f>
        <v>0</v>
      </c>
      <c r="I1438" s="74">
        <f>'12-2017'!I1528</f>
        <v>0</v>
      </c>
      <c r="J1438" s="74">
        <f>'12-2017'!J1528</f>
        <v>0</v>
      </c>
    </row>
    <row r="1439" spans="1:10" s="73" customFormat="1" ht="33" hidden="1" customHeight="1">
      <c r="A1439" s="17"/>
      <c r="B1439" s="237" t="str">
        <f>'12-2017'!B1529</f>
        <v xml:space="preserve"> * BÓNG ĐÈN HUỲNH QUANG TIẾT KIỆM ĐIỆN T5 : Cty TNHH Cơ điện lạnh và Xây dựng An Phát (giao hàng tại kho Cty An Phát). Theo bảng giá ngày 12/6/2016</v>
      </c>
      <c r="C1439" s="238"/>
      <c r="D1439" s="238"/>
      <c r="E1439" s="238"/>
      <c r="F1439" s="239"/>
      <c r="H1439" s="74">
        <f>'12-2017'!H1529</f>
        <v>0</v>
      </c>
      <c r="I1439" s="74">
        <f>'12-2017'!I1529</f>
        <v>0</v>
      </c>
      <c r="J1439" s="74">
        <f>'12-2017'!J1529</f>
        <v>0</v>
      </c>
    </row>
    <row r="1440" spans="1:10" s="58" customFormat="1" ht="17.25" hidden="1">
      <c r="A1440" s="10">
        <f>'12-2017'!A1530</f>
        <v>1</v>
      </c>
      <c r="B1440" s="11" t="str">
        <f>'12-2017'!B1530</f>
        <v>Bóng đèn màu trắng &amp; màu vàng 0,6m</v>
      </c>
      <c r="C1440" s="12" t="str">
        <f>'12-2017'!C1530</f>
        <v>đ/bóng</v>
      </c>
      <c r="D1440" s="13">
        <f>'12-2017'!O1530</f>
        <v>55000</v>
      </c>
      <c r="E1440" s="13">
        <f>'12-2017'!P1530</f>
        <v>55000</v>
      </c>
      <c r="F1440" s="130">
        <f t="shared" si="59"/>
        <v>0</v>
      </c>
      <c r="H1440" s="74">
        <f>'12-2017'!H1530</f>
        <v>0</v>
      </c>
      <c r="I1440" s="74">
        <f>'12-2017'!I1530</f>
        <v>0</v>
      </c>
      <c r="J1440" s="74">
        <f>'12-2017'!J1530</f>
        <v>0</v>
      </c>
    </row>
    <row r="1441" spans="1:10" s="58" customFormat="1" ht="17.25" hidden="1">
      <c r="A1441" s="10">
        <f>'12-2017'!A1531</f>
        <v>2</v>
      </c>
      <c r="B1441" s="11" t="str">
        <f>'12-2017'!B1531</f>
        <v>Bóng đèn màu trắng &amp; màu vàng 1,2m</v>
      </c>
      <c r="C1441" s="12" t="str">
        <f>'12-2017'!C1531</f>
        <v>đ/bóng</v>
      </c>
      <c r="D1441" s="13">
        <f>'12-2017'!O1531</f>
        <v>63000</v>
      </c>
      <c r="E1441" s="13">
        <f>'12-2017'!P1531</f>
        <v>63000</v>
      </c>
      <c r="F1441" s="130">
        <f t="shared" si="59"/>
        <v>0</v>
      </c>
      <c r="H1441" s="74">
        <f>'12-2017'!H1531</f>
        <v>0</v>
      </c>
      <c r="I1441" s="74">
        <f>'12-2017'!I1531</f>
        <v>0</v>
      </c>
      <c r="J1441" s="74">
        <f>'12-2017'!J1531</f>
        <v>0</v>
      </c>
    </row>
    <row r="1442" spans="1:10" s="58" customFormat="1" ht="17.25" hidden="1">
      <c r="A1442" s="10">
        <f>'12-2017'!A1532</f>
        <v>3</v>
      </c>
      <c r="B1442" s="11" t="str">
        <f>'12-2017'!B1532</f>
        <v xml:space="preserve">Bóng đèn màu xanh &amp; màu đỏ 1,2m </v>
      </c>
      <c r="C1442" s="12" t="str">
        <f>'12-2017'!C1532</f>
        <v>đ/bóng</v>
      </c>
      <c r="D1442" s="13">
        <f>'12-2017'!O1532</f>
        <v>89000</v>
      </c>
      <c r="E1442" s="13">
        <f>'12-2017'!P1532</f>
        <v>89000</v>
      </c>
      <c r="F1442" s="130">
        <f t="shared" si="59"/>
        <v>0</v>
      </c>
      <c r="H1442" s="74">
        <f>'12-2017'!H1532</f>
        <v>0</v>
      </c>
      <c r="I1442" s="74">
        <f>'12-2017'!I1532</f>
        <v>0</v>
      </c>
      <c r="J1442" s="74">
        <f>'12-2017'!J1532</f>
        <v>0</v>
      </c>
    </row>
    <row r="1443" spans="1:10" s="73" customFormat="1" ht="17.25" hidden="1">
      <c r="A1443" s="17"/>
      <c r="B1443" s="237" t="str">
        <f>'12-2017'!B1533</f>
        <v xml:space="preserve"> * THIẾT BỊ ĐIỆN PANASONIC: Cty TNHH Cơ điện lạnh và Xây dựng An Phát (giao hàng tại Cty). Theo bảng giá ngày 12/6/2016</v>
      </c>
      <c r="C1443" s="238"/>
      <c r="D1443" s="238"/>
      <c r="E1443" s="238"/>
      <c r="F1443" s="239"/>
      <c r="H1443" s="74">
        <f>'12-2017'!H1533</f>
        <v>0</v>
      </c>
      <c r="I1443" s="74">
        <f>'12-2017'!I1533</f>
        <v>0</v>
      </c>
      <c r="J1443" s="74">
        <f>'12-2017'!J1533</f>
        <v>0</v>
      </c>
    </row>
    <row r="1444" spans="1:10" s="58" customFormat="1" ht="17.25" hidden="1">
      <c r="A1444" s="10">
        <f>'12-2017'!A1534</f>
        <v>1</v>
      </c>
      <c r="B1444" s="11" t="str">
        <f>'12-2017'!B1534</f>
        <v>Công tắc đơn WNG50017 (1 way)</v>
      </c>
      <c r="C1444" s="12" t="str">
        <f>'12-2017'!C1534</f>
        <v>đ/cái</v>
      </c>
      <c r="D1444" s="13">
        <f>'12-2017'!O1534</f>
        <v>17000</v>
      </c>
      <c r="E1444" s="13">
        <f>'12-2017'!P1534</f>
        <v>17000</v>
      </c>
      <c r="F1444" s="130">
        <f t="shared" si="59"/>
        <v>0</v>
      </c>
      <c r="H1444" s="74">
        <f>'12-2017'!H1534</f>
        <v>0</v>
      </c>
      <c r="I1444" s="74">
        <f>'12-2017'!I1534</f>
        <v>0</v>
      </c>
      <c r="J1444" s="74">
        <f>'12-2017'!J1534</f>
        <v>0</v>
      </c>
    </row>
    <row r="1445" spans="1:10" s="58" customFormat="1" ht="17.25" hidden="1">
      <c r="A1445" s="10">
        <f>'12-2017'!A1535</f>
        <v>2</v>
      </c>
      <c r="B1445" s="11" t="str">
        <f>'12-2017'!B1535</f>
        <v>Công tắc đôi WEV5002</v>
      </c>
      <c r="C1445" s="12" t="str">
        <f>'12-2017'!C1535</f>
        <v>đ/cái</v>
      </c>
      <c r="D1445" s="13">
        <f>'12-2017'!O1535</f>
        <v>38000</v>
      </c>
      <c r="E1445" s="13">
        <f>'12-2017'!P1535</f>
        <v>38000</v>
      </c>
      <c r="F1445" s="130">
        <f t="shared" si="59"/>
        <v>0</v>
      </c>
      <c r="H1445" s="74">
        <f>'12-2017'!H1535</f>
        <v>0</v>
      </c>
      <c r="I1445" s="74">
        <f>'12-2017'!I1535</f>
        <v>0</v>
      </c>
      <c r="J1445" s="74">
        <f>'12-2017'!J1535</f>
        <v>0</v>
      </c>
    </row>
    <row r="1446" spans="1:10" s="58" customFormat="1" ht="17.25" hidden="1">
      <c r="A1446" s="10">
        <f>'12-2017'!A1536</f>
        <v>3</v>
      </c>
      <c r="B1446" s="11" t="str">
        <f>'12-2017'!B1536</f>
        <v>Công tắc E WEG5004K (4 way)</v>
      </c>
      <c r="C1446" s="12" t="str">
        <f>'12-2017'!C1536</f>
        <v>đ/cái</v>
      </c>
      <c r="D1446" s="13">
        <f>'12-2017'!O1536</f>
        <v>215000</v>
      </c>
      <c r="E1446" s="13">
        <f>'12-2017'!P1536</f>
        <v>215000</v>
      </c>
      <c r="F1446" s="130">
        <f t="shared" si="59"/>
        <v>0</v>
      </c>
      <c r="H1446" s="74">
        <f>'12-2017'!H1536</f>
        <v>0</v>
      </c>
      <c r="I1446" s="74">
        <f>'12-2017'!I1536</f>
        <v>0</v>
      </c>
      <c r="J1446" s="74">
        <f>'12-2017'!J1536</f>
        <v>0</v>
      </c>
    </row>
    <row r="1447" spans="1:10" s="58" customFormat="1" ht="17.25" hidden="1">
      <c r="A1447" s="10">
        <f>'12-2017'!A1537</f>
        <v>4</v>
      </c>
      <c r="B1447" s="11" t="str">
        <f>'12-2017'!B1537</f>
        <v>Ổ cắm đơn có màn che WEV1081</v>
      </c>
      <c r="C1447" s="12" t="str">
        <f>'12-2017'!C1537</f>
        <v>đ/cái</v>
      </c>
      <c r="D1447" s="13">
        <f>'12-2017'!O1537</f>
        <v>25000</v>
      </c>
      <c r="E1447" s="13">
        <f>'12-2017'!P1537</f>
        <v>25000</v>
      </c>
      <c r="F1447" s="130">
        <f t="shared" si="59"/>
        <v>0</v>
      </c>
      <c r="H1447" s="74">
        <f>'12-2017'!H1537</f>
        <v>0</v>
      </c>
      <c r="I1447" s="74">
        <f>'12-2017'!I1537</f>
        <v>0</v>
      </c>
      <c r="J1447" s="74">
        <f>'12-2017'!J1537</f>
        <v>0</v>
      </c>
    </row>
    <row r="1448" spans="1:10" s="58" customFormat="1" ht="17.25" hidden="1">
      <c r="A1448" s="10">
        <f>'12-2017'!A1538</f>
        <v>5</v>
      </c>
      <c r="B1448" s="11" t="str">
        <f>'12-2017'!B1538</f>
        <v>Ổ cắm anten TV WZ1201W</v>
      </c>
      <c r="C1448" s="12" t="str">
        <f>'12-2017'!C1538</f>
        <v>đ/cái</v>
      </c>
      <c r="D1448" s="13">
        <f>'12-2017'!O1538</f>
        <v>59000</v>
      </c>
      <c r="E1448" s="13">
        <f>'12-2017'!P1538</f>
        <v>59000</v>
      </c>
      <c r="F1448" s="130">
        <f t="shared" si="59"/>
        <v>0</v>
      </c>
      <c r="H1448" s="74">
        <f>'12-2017'!H1538</f>
        <v>0</v>
      </c>
      <c r="I1448" s="74">
        <f>'12-2017'!I1538</f>
        <v>0</v>
      </c>
      <c r="J1448" s="74">
        <f>'12-2017'!J1538</f>
        <v>0</v>
      </c>
    </row>
    <row r="1449" spans="1:10" s="58" customFormat="1" ht="17.25" hidden="1">
      <c r="A1449" s="10">
        <f>'12-2017'!A1539</f>
        <v>6</v>
      </c>
      <c r="B1449" s="11" t="str">
        <f>'12-2017'!B1539</f>
        <v>Ổ cắm điện thoại 4 cực WNTG15649W</v>
      </c>
      <c r="C1449" s="12" t="str">
        <f>'12-2017'!C1539</f>
        <v>đ/cái</v>
      </c>
      <c r="D1449" s="13">
        <f>'12-2017'!O1539</f>
        <v>74000</v>
      </c>
      <c r="E1449" s="13">
        <f>'12-2017'!P1539</f>
        <v>74000</v>
      </c>
      <c r="F1449" s="130">
        <f t="shared" si="59"/>
        <v>0</v>
      </c>
      <c r="H1449" s="74">
        <f>'12-2017'!H1539</f>
        <v>0</v>
      </c>
      <c r="I1449" s="74">
        <f>'12-2017'!I1539</f>
        <v>0</v>
      </c>
      <c r="J1449" s="74">
        <f>'12-2017'!J1539</f>
        <v>0</v>
      </c>
    </row>
    <row r="1450" spans="1:10" s="58" customFormat="1" ht="17.25" hidden="1">
      <c r="A1450" s="10">
        <f>'12-2017'!A1540</f>
        <v>7</v>
      </c>
      <c r="B1450" s="11" t="str">
        <f>'12-2017'!B1540</f>
        <v>Cầu dao tự động MCB 01P 10A, 16A, 20A</v>
      </c>
      <c r="C1450" s="12" t="str">
        <f>'12-2017'!C1540</f>
        <v>đ/cái</v>
      </c>
      <c r="D1450" s="13">
        <f>'12-2017'!O1540</f>
        <v>80000</v>
      </c>
      <c r="E1450" s="13">
        <f>'12-2017'!P1540</f>
        <v>80000</v>
      </c>
      <c r="F1450" s="130">
        <f t="shared" si="59"/>
        <v>0</v>
      </c>
      <c r="H1450" s="74">
        <f>'12-2017'!H1540</f>
        <v>0</v>
      </c>
      <c r="I1450" s="74">
        <f>'12-2017'!I1540</f>
        <v>0</v>
      </c>
      <c r="J1450" s="74">
        <f>'12-2017'!J1540</f>
        <v>0</v>
      </c>
    </row>
    <row r="1451" spans="1:10" s="58" customFormat="1" ht="17.25" hidden="1">
      <c r="A1451" s="10">
        <f>'12-2017'!A1541</f>
        <v>8</v>
      </c>
      <c r="B1451" s="11" t="str">
        <f>'12-2017'!B1541</f>
        <v>Cầu dao tự động MCB 02P 10A, 16A, 20A</v>
      </c>
      <c r="C1451" s="12" t="str">
        <f>'12-2017'!C1541</f>
        <v>đ/cái</v>
      </c>
      <c r="D1451" s="13">
        <f>'12-2017'!O1541</f>
        <v>233000</v>
      </c>
      <c r="E1451" s="13">
        <f>'12-2017'!P1541</f>
        <v>233000</v>
      </c>
      <c r="F1451" s="130">
        <f t="shared" si="59"/>
        <v>0</v>
      </c>
      <c r="H1451" s="74">
        <f>'12-2017'!H1541</f>
        <v>0</v>
      </c>
      <c r="I1451" s="74">
        <f>'12-2017'!I1541</f>
        <v>0</v>
      </c>
      <c r="J1451" s="74">
        <f>'12-2017'!J1541</f>
        <v>0</v>
      </c>
    </row>
    <row r="1452" spans="1:10" s="58" customFormat="1" ht="17.25" hidden="1">
      <c r="A1452" s="10">
        <f>'12-2017'!A1542</f>
        <v>9</v>
      </c>
      <c r="B1452" s="11" t="str">
        <f>'12-2017'!B1542</f>
        <v>Cầu dao tự động MCB 03P 10A, 16A, 20A</v>
      </c>
      <c r="C1452" s="12" t="str">
        <f>'12-2017'!C1542</f>
        <v>đ/cái</v>
      </c>
      <c r="D1452" s="13">
        <f>'12-2017'!O1542</f>
        <v>412000</v>
      </c>
      <c r="E1452" s="13">
        <f>'12-2017'!P1542</f>
        <v>412000</v>
      </c>
      <c r="F1452" s="130">
        <f t="shared" si="59"/>
        <v>0</v>
      </c>
      <c r="H1452" s="74">
        <f>'12-2017'!H1542</f>
        <v>0</v>
      </c>
      <c r="I1452" s="74">
        <f>'12-2017'!I1542</f>
        <v>0</v>
      </c>
      <c r="J1452" s="74">
        <f>'12-2017'!J1542</f>
        <v>0</v>
      </c>
    </row>
    <row r="1453" spans="1:10" s="58" customFormat="1" ht="17.25" hidden="1">
      <c r="A1453" s="10">
        <f>'12-2017'!A1543</f>
        <v>10</v>
      </c>
      <c r="B1453" s="11" t="str">
        <f>'12-2017'!B1543</f>
        <v>Cầu dao tự động MCB 04P 10A, 16A, 20A</v>
      </c>
      <c r="C1453" s="12" t="str">
        <f>'12-2017'!C1543</f>
        <v>đ/cái</v>
      </c>
      <c r="D1453" s="13">
        <f>'12-2017'!O1543</f>
        <v>580000</v>
      </c>
      <c r="E1453" s="13">
        <f>'12-2017'!P1543</f>
        <v>580000</v>
      </c>
      <c r="F1453" s="130">
        <f t="shared" si="59"/>
        <v>0</v>
      </c>
      <c r="H1453" s="74">
        <f>'12-2017'!H1543</f>
        <v>0</v>
      </c>
      <c r="I1453" s="74">
        <f>'12-2017'!I1543</f>
        <v>0</v>
      </c>
      <c r="J1453" s="74">
        <f>'12-2017'!J1543</f>
        <v>0</v>
      </c>
    </row>
    <row r="1454" spans="1:10" s="73" customFormat="1" ht="49.5" hidden="1" customHeight="1">
      <c r="A1454" s="17"/>
      <c r="B1454" s="237" t="str">
        <f>'12-2017'!B1544</f>
        <v xml:space="preserve"> * DÂY CÁP ĐIỆN CADIVI: Cty CP Dây cáp điện Việt Nam (số 70-72 Nam Kỳ Khởi Nghĩa, Q.1, Tp.HCM). Theo bảng giá ngày 05/9/2017 và có hiệu lực đến hết Quí IV/2017  (báo giá được cập nhật khi công ty có thay đổi giá)</v>
      </c>
      <c r="C1454" s="238"/>
      <c r="D1454" s="238"/>
      <c r="E1454" s="238"/>
      <c r="F1454" s="239"/>
      <c r="H1454" s="74">
        <f>'12-2017'!H1544</f>
        <v>0</v>
      </c>
      <c r="I1454" s="74">
        <f>'12-2017'!I1544</f>
        <v>0</v>
      </c>
      <c r="J1454" s="74">
        <f>'12-2017'!J1544</f>
        <v>0</v>
      </c>
    </row>
    <row r="1455" spans="1:10" s="73" customFormat="1" ht="50.25" hidden="1" customHeight="1">
      <c r="A1455" s="17">
        <f>'12-2017'!A1545</f>
        <v>0</v>
      </c>
      <c r="B1455" s="9" t="str">
        <f>'12-2017'!B1545</f>
        <v>Dây đồng đơn cứng bọc PVC</v>
      </c>
      <c r="C1455" s="8"/>
      <c r="D1455" s="22"/>
      <c r="E1455" s="22"/>
      <c r="F1455" s="131"/>
      <c r="H1455" s="74">
        <f>'12-2017'!H1545</f>
        <v>0</v>
      </c>
      <c r="I1455" s="74">
        <f>'12-2017'!I1545</f>
        <v>0</v>
      </c>
      <c r="J1455" s="74">
        <f>'12-2017'!J1545</f>
        <v>0</v>
      </c>
    </row>
    <row r="1456" spans="1:10" s="58" customFormat="1" ht="17.25" hidden="1">
      <c r="A1456" s="10">
        <f>'12-2017'!A1546</f>
        <v>1</v>
      </c>
      <c r="B1456" s="11" t="str">
        <f>'12-2017'!B1546</f>
        <v>VC-0.50 (Φ 0.80) - 300/500V</v>
      </c>
      <c r="C1456" s="12" t="str">
        <f>'12-2017'!C1546</f>
        <v>đ/mét</v>
      </c>
      <c r="D1456" s="13">
        <f>'12-2017'!O1546</f>
        <v>1310</v>
      </c>
      <c r="E1456" s="13">
        <f>'12-2017'!P1546</f>
        <v>1310</v>
      </c>
      <c r="F1456" s="130">
        <f t="shared" si="59"/>
        <v>0</v>
      </c>
      <c r="H1456" s="74">
        <f>'12-2017'!H1546</f>
        <v>0</v>
      </c>
      <c r="I1456" s="74">
        <f>'12-2017'!I1546</f>
        <v>0</v>
      </c>
      <c r="J1456" s="74">
        <f>'12-2017'!J1546</f>
        <v>0</v>
      </c>
    </row>
    <row r="1457" spans="1:10" s="58" customFormat="1" ht="17.25" hidden="1">
      <c r="A1457" s="10">
        <f>'12-2017'!A1547</f>
        <v>2</v>
      </c>
      <c r="B1457" s="11" t="str">
        <f>'12-2017'!B1547</f>
        <v>VC-1.00 (Φ 1.13) - 300/500V</v>
      </c>
      <c r="C1457" s="12" t="str">
        <f>'12-2017'!C1547</f>
        <v>đ/mét</v>
      </c>
      <c r="D1457" s="13">
        <f>'12-2017'!O1547</f>
        <v>2220</v>
      </c>
      <c r="E1457" s="13">
        <f>'12-2017'!P1547</f>
        <v>2220</v>
      </c>
      <c r="F1457" s="130">
        <f t="shared" si="59"/>
        <v>0</v>
      </c>
      <c r="H1457" s="74">
        <f>'12-2017'!H1547</f>
        <v>0</v>
      </c>
      <c r="I1457" s="74">
        <f>'12-2017'!I1547</f>
        <v>0</v>
      </c>
      <c r="J1457" s="74">
        <f>'12-2017'!J1547</f>
        <v>0</v>
      </c>
    </row>
    <row r="1458" spans="1:10" s="73" customFormat="1" ht="17.25" hidden="1">
      <c r="A1458" s="17"/>
      <c r="B1458" s="9" t="str">
        <f>'12-2017'!B1548</f>
        <v>Dây điện bọc nhựa PVC</v>
      </c>
      <c r="C1458" s="8"/>
      <c r="D1458" s="22"/>
      <c r="E1458" s="22"/>
      <c r="F1458" s="131"/>
      <c r="H1458" s="74">
        <f>'12-2017'!H1548</f>
        <v>0</v>
      </c>
      <c r="I1458" s="74">
        <f>'12-2017'!I1548</f>
        <v>0</v>
      </c>
      <c r="J1458" s="74">
        <f>'12-2017'!J1548</f>
        <v>0</v>
      </c>
    </row>
    <row r="1459" spans="1:10" s="58" customFormat="1" ht="17.25" hidden="1">
      <c r="A1459" s="10">
        <f>'12-2017'!A1549</f>
        <v>3</v>
      </c>
      <c r="B1459" s="11" t="str">
        <f>'12-2017'!B1549</f>
        <v>VCmd-2x1-(2x32/0.2) - 0,6/1kV</v>
      </c>
      <c r="C1459" s="12" t="str">
        <f>'12-2017'!C1549</f>
        <v>đ/mét</v>
      </c>
      <c r="D1459" s="13">
        <f>'12-2017'!O1549</f>
        <v>4550</v>
      </c>
      <c r="E1459" s="13">
        <f>'12-2017'!P1549</f>
        <v>4550</v>
      </c>
      <c r="F1459" s="130">
        <f t="shared" si="59"/>
        <v>0</v>
      </c>
      <c r="H1459" s="74">
        <f>'12-2017'!H1549</f>
        <v>0</v>
      </c>
      <c r="I1459" s="74">
        <f>'12-2017'!I1549</f>
        <v>0</v>
      </c>
      <c r="J1459" s="74">
        <f>'12-2017'!J1549</f>
        <v>0</v>
      </c>
    </row>
    <row r="1460" spans="1:10" s="58" customFormat="1" ht="17.25" hidden="1">
      <c r="A1460" s="10">
        <f>'12-2017'!A1550</f>
        <v>4</v>
      </c>
      <c r="B1460" s="11" t="str">
        <f>'12-2017'!B1550</f>
        <v>VCmd-2x1,5-(2x30/0.25) - 0,6/1kV</v>
      </c>
      <c r="C1460" s="12" t="str">
        <f>'12-2017'!C1550</f>
        <v>đ/mét</v>
      </c>
      <c r="D1460" s="13">
        <f>'12-2017'!O1550</f>
        <v>6410</v>
      </c>
      <c r="E1460" s="13">
        <f>'12-2017'!P1550</f>
        <v>6410</v>
      </c>
      <c r="F1460" s="130">
        <f t="shared" si="59"/>
        <v>0</v>
      </c>
      <c r="H1460" s="74">
        <f>'12-2017'!H1550</f>
        <v>0</v>
      </c>
      <c r="I1460" s="74">
        <f>'12-2017'!I1550</f>
        <v>0</v>
      </c>
      <c r="J1460" s="74">
        <f>'12-2017'!J1550</f>
        <v>0</v>
      </c>
    </row>
    <row r="1461" spans="1:10" s="58" customFormat="1" ht="17.25" hidden="1">
      <c r="A1461" s="10">
        <f>'12-2017'!A1551</f>
        <v>5</v>
      </c>
      <c r="B1461" s="11" t="str">
        <f>'12-2017'!B1551</f>
        <v>VCmd-2x2,5-(2x50/0.25) - 0,6/1kV</v>
      </c>
      <c r="C1461" s="12" t="str">
        <f>'12-2017'!C1551</f>
        <v>đ/mét</v>
      </c>
      <c r="D1461" s="13">
        <f>'12-2017'!O1551</f>
        <v>0</v>
      </c>
      <c r="E1461" s="13">
        <f>'12-2017'!P1551</f>
        <v>0</v>
      </c>
      <c r="F1461" s="130">
        <f t="shared" si="59"/>
        <v>0</v>
      </c>
      <c r="H1461" s="74">
        <f>'12-2017'!H1551</f>
        <v>0</v>
      </c>
      <c r="I1461" s="74">
        <f>'12-2017'!I1551</f>
        <v>0</v>
      </c>
      <c r="J1461" s="74">
        <f>'12-2017'!J1551</f>
        <v>0</v>
      </c>
    </row>
    <row r="1462" spans="1:10" s="73" customFormat="1" ht="17.25" hidden="1">
      <c r="A1462" s="17"/>
      <c r="B1462" s="9" t="str">
        <f>'12-2017'!B1552</f>
        <v>Dây điện mềm bọc nhựa PVC</v>
      </c>
      <c r="C1462" s="8"/>
      <c r="D1462" s="22"/>
      <c r="E1462" s="22"/>
      <c r="F1462" s="131"/>
      <c r="H1462" s="74">
        <f>'12-2017'!H1552</f>
        <v>0</v>
      </c>
      <c r="I1462" s="74">
        <f>'12-2017'!I1552</f>
        <v>0</v>
      </c>
      <c r="J1462" s="74">
        <f>'12-2017'!J1552</f>
        <v>0</v>
      </c>
    </row>
    <row r="1463" spans="1:10" s="58" customFormat="1" ht="17.25" hidden="1">
      <c r="A1463" s="10">
        <f>'12-2017'!A1553</f>
        <v>6</v>
      </c>
      <c r="B1463" s="11" t="str">
        <f>'12-2017'!B1553</f>
        <v>VCmo-2x1-(2x32/0.2) - 300/500 V</v>
      </c>
      <c r="C1463" s="12" t="str">
        <f>'12-2017'!C1553</f>
        <v>đ/mét</v>
      </c>
      <c r="D1463" s="13">
        <f>'12-2017'!O1553</f>
        <v>5370</v>
      </c>
      <c r="E1463" s="13">
        <f>'12-2017'!P1553</f>
        <v>5370</v>
      </c>
      <c r="F1463" s="130">
        <f t="shared" si="59"/>
        <v>0</v>
      </c>
      <c r="H1463" s="74">
        <f>'12-2017'!H1553</f>
        <v>0</v>
      </c>
      <c r="I1463" s="74">
        <f>'12-2017'!I1553</f>
        <v>0</v>
      </c>
      <c r="J1463" s="74">
        <f>'12-2017'!J1553</f>
        <v>0</v>
      </c>
    </row>
    <row r="1464" spans="1:10" s="58" customFormat="1" ht="17.25" hidden="1">
      <c r="A1464" s="10">
        <f>'12-2017'!A1554</f>
        <v>7</v>
      </c>
      <c r="B1464" s="11" t="str">
        <f>'12-2017'!B1554</f>
        <v>VCmo-2x1,5-(2x30/0.25) - 300/500 V</v>
      </c>
      <c r="C1464" s="12" t="str">
        <f>'12-2017'!C1554</f>
        <v>đ/mét</v>
      </c>
      <c r="D1464" s="13">
        <f>'12-2017'!O1554</f>
        <v>7470</v>
      </c>
      <c r="E1464" s="13">
        <f>'12-2017'!P1554</f>
        <v>7470</v>
      </c>
      <c r="F1464" s="130">
        <f t="shared" si="59"/>
        <v>0</v>
      </c>
      <c r="H1464" s="74">
        <f>'12-2017'!H1554</f>
        <v>0</v>
      </c>
      <c r="I1464" s="74">
        <f>'12-2017'!I1554</f>
        <v>0</v>
      </c>
      <c r="J1464" s="74">
        <f>'12-2017'!J1554</f>
        <v>0</v>
      </c>
    </row>
    <row r="1465" spans="1:10" s="58" customFormat="1" ht="17.25" hidden="1">
      <c r="A1465" s="10">
        <f>'12-2017'!A1555</f>
        <v>8</v>
      </c>
      <c r="B1465" s="11" t="str">
        <f>'12-2017'!B1555</f>
        <v>VCmo-2x6-(2x7x12/0.30) - 300/500 V</v>
      </c>
      <c r="C1465" s="12" t="str">
        <f>'12-2017'!C1555</f>
        <v>đ/mét</v>
      </c>
      <c r="D1465" s="13">
        <f>'12-2017'!O1555</f>
        <v>27000</v>
      </c>
      <c r="E1465" s="13">
        <f>'12-2017'!P1555</f>
        <v>27000</v>
      </c>
      <c r="F1465" s="130">
        <f t="shared" si="59"/>
        <v>0</v>
      </c>
      <c r="H1465" s="74">
        <f>'12-2017'!H1555</f>
        <v>0</v>
      </c>
      <c r="I1465" s="74">
        <f>'12-2017'!I1555</f>
        <v>0</v>
      </c>
      <c r="J1465" s="74">
        <f>'12-2017'!J1555</f>
        <v>0</v>
      </c>
    </row>
    <row r="1466" spans="1:10" s="73" customFormat="1" ht="17.25" hidden="1">
      <c r="A1466" s="17"/>
      <c r="B1466" s="9" t="str">
        <f>'12-2017'!B1556</f>
        <v>Cáp điện lực hạ thế</v>
      </c>
      <c r="C1466" s="8"/>
      <c r="D1466" s="22"/>
      <c r="E1466" s="22"/>
      <c r="F1466" s="131"/>
      <c r="H1466" s="74">
        <f>'12-2017'!H1556</f>
        <v>0</v>
      </c>
      <c r="I1466" s="74">
        <f>'12-2017'!I1556</f>
        <v>0</v>
      </c>
      <c r="J1466" s="74">
        <f>'12-2017'!J1556</f>
        <v>0</v>
      </c>
    </row>
    <row r="1467" spans="1:10" s="58" customFormat="1" ht="17.25" hidden="1">
      <c r="A1467" s="10">
        <f>'12-2017'!A1557</f>
        <v>9</v>
      </c>
      <c r="B1467" s="11" t="str">
        <f>'12-2017'!B1557</f>
        <v>CV-1.5 (7/0.52) -450/750V</v>
      </c>
      <c r="C1467" s="12" t="str">
        <f>'12-2017'!C1557</f>
        <v>đ/mét</v>
      </c>
      <c r="D1467" s="13">
        <f>'12-2017'!O1557</f>
        <v>3390</v>
      </c>
      <c r="E1467" s="13">
        <f>'12-2017'!P1557</f>
        <v>3390</v>
      </c>
      <c r="F1467" s="130">
        <f t="shared" si="59"/>
        <v>0</v>
      </c>
      <c r="H1467" s="74">
        <f>'12-2017'!H1557</f>
        <v>0</v>
      </c>
      <c r="I1467" s="74">
        <f>'12-2017'!I1557</f>
        <v>0</v>
      </c>
      <c r="J1467" s="74">
        <f>'12-2017'!J1557</f>
        <v>0</v>
      </c>
    </row>
    <row r="1468" spans="1:10" s="58" customFormat="1" ht="17.25" hidden="1">
      <c r="A1468" s="10">
        <f>'12-2017'!A1558</f>
        <v>10</v>
      </c>
      <c r="B1468" s="11" t="str">
        <f>'12-2017'!B1558</f>
        <v>CV-2.5 (7/0.67) -450/750V</v>
      </c>
      <c r="C1468" s="12" t="str">
        <f>'12-2017'!C1558</f>
        <v>đ/mét</v>
      </c>
      <c r="D1468" s="13">
        <f>'12-2017'!O1558</f>
        <v>5600</v>
      </c>
      <c r="E1468" s="13">
        <f>'12-2017'!P1558</f>
        <v>5600</v>
      </c>
      <c r="F1468" s="130">
        <f t="shared" si="59"/>
        <v>0</v>
      </c>
      <c r="H1468" s="74">
        <f>'12-2017'!H1558</f>
        <v>0</v>
      </c>
      <c r="I1468" s="74">
        <f>'12-2017'!I1558</f>
        <v>0</v>
      </c>
      <c r="J1468" s="74">
        <f>'12-2017'!J1558</f>
        <v>0</v>
      </c>
    </row>
    <row r="1469" spans="1:10" s="58" customFormat="1" ht="17.25" hidden="1">
      <c r="A1469" s="10">
        <f>'12-2017'!A1559</f>
        <v>11</v>
      </c>
      <c r="B1469" s="11" t="str">
        <f>'12-2017'!B1559</f>
        <v>CV-10 (7/1.35) -450/750V</v>
      </c>
      <c r="C1469" s="12" t="str">
        <f>'12-2017'!C1559</f>
        <v>đ/mét</v>
      </c>
      <c r="D1469" s="13">
        <f>'12-2017'!O1559</f>
        <v>20500</v>
      </c>
      <c r="E1469" s="13">
        <f>'12-2017'!P1559</f>
        <v>20500</v>
      </c>
      <c r="F1469" s="130">
        <f t="shared" si="59"/>
        <v>0</v>
      </c>
      <c r="H1469" s="74">
        <f>'12-2017'!H1559</f>
        <v>0</v>
      </c>
      <c r="I1469" s="74">
        <f>'12-2017'!I1559</f>
        <v>0</v>
      </c>
      <c r="J1469" s="74">
        <f>'12-2017'!J1559</f>
        <v>0</v>
      </c>
    </row>
    <row r="1470" spans="1:10" s="58" customFormat="1" ht="17.25" hidden="1">
      <c r="A1470" s="10">
        <f>'12-2017'!A1560</f>
        <v>12</v>
      </c>
      <c r="B1470" s="11" t="str">
        <f>'12-2017'!B1560</f>
        <v>CV-50 - 750V</v>
      </c>
      <c r="C1470" s="12" t="str">
        <f>'12-2017'!C1560</f>
        <v>đ/mét</v>
      </c>
      <c r="D1470" s="13">
        <f>'12-2017'!O1560</f>
        <v>91800</v>
      </c>
      <c r="E1470" s="13">
        <f>'12-2017'!P1560</f>
        <v>91800</v>
      </c>
      <c r="F1470" s="130">
        <f t="shared" si="59"/>
        <v>0</v>
      </c>
      <c r="H1470" s="74">
        <f>'12-2017'!H1560</f>
        <v>0</v>
      </c>
      <c r="I1470" s="74">
        <f>'12-2017'!I1560</f>
        <v>0</v>
      </c>
      <c r="J1470" s="74">
        <f>'12-2017'!J1560</f>
        <v>0</v>
      </c>
    </row>
    <row r="1471" spans="1:10" s="58" customFormat="1" ht="17.25" hidden="1">
      <c r="A1471" s="10">
        <f>'12-2017'!A1561</f>
        <v>13</v>
      </c>
      <c r="B1471" s="11" t="str">
        <f>'12-2017'!B1561</f>
        <v>CV-240 - 750V</v>
      </c>
      <c r="C1471" s="12" t="str">
        <f>'12-2017'!C1561</f>
        <v>đ/mét</v>
      </c>
      <c r="D1471" s="13">
        <f>'12-2017'!O1561</f>
        <v>461800</v>
      </c>
      <c r="E1471" s="13">
        <f>'12-2017'!P1561</f>
        <v>461800</v>
      </c>
      <c r="F1471" s="130">
        <f t="shared" si="59"/>
        <v>0</v>
      </c>
      <c r="H1471" s="74">
        <f>'12-2017'!H1561</f>
        <v>0</v>
      </c>
      <c r="I1471" s="74">
        <f>'12-2017'!I1561</f>
        <v>0</v>
      </c>
      <c r="J1471" s="74">
        <f>'12-2017'!J1561</f>
        <v>0</v>
      </c>
    </row>
    <row r="1472" spans="1:10" s="58" customFormat="1" ht="17.25" hidden="1">
      <c r="A1472" s="10">
        <f>'12-2017'!A1562</f>
        <v>14</v>
      </c>
      <c r="B1472" s="11" t="str">
        <f>'12-2017'!B1562</f>
        <v>CV-300 - 750V</v>
      </c>
      <c r="C1472" s="12" t="str">
        <f>'12-2017'!C1562</f>
        <v>đ/mét</v>
      </c>
      <c r="D1472" s="13">
        <f>'12-2017'!O1562</f>
        <v>579200</v>
      </c>
      <c r="E1472" s="13">
        <f>'12-2017'!P1562</f>
        <v>579200</v>
      </c>
      <c r="F1472" s="130">
        <f t="shared" si="59"/>
        <v>0</v>
      </c>
      <c r="H1472" s="74">
        <f>'12-2017'!H1562</f>
        <v>0</v>
      </c>
      <c r="I1472" s="74">
        <f>'12-2017'!I1562</f>
        <v>0</v>
      </c>
      <c r="J1472" s="74">
        <f>'12-2017'!J1562</f>
        <v>0</v>
      </c>
    </row>
    <row r="1473" spans="1:10" s="73" customFormat="1" ht="17.25" hidden="1">
      <c r="A1473" s="17"/>
      <c r="B1473" s="9" t="str">
        <f>'12-2017'!B1563</f>
        <v>Dây nhôm lõi thép các loại</v>
      </c>
      <c r="C1473" s="8"/>
      <c r="D1473" s="22"/>
      <c r="E1473" s="22"/>
      <c r="F1473" s="131"/>
      <c r="H1473" s="74">
        <f>'12-2017'!H1563</f>
        <v>0</v>
      </c>
      <c r="I1473" s="74">
        <f>'12-2017'!I1563</f>
        <v>0</v>
      </c>
      <c r="J1473" s="74">
        <f>'12-2017'!J1563</f>
        <v>0</v>
      </c>
    </row>
    <row r="1474" spans="1:10" s="58" customFormat="1" ht="17.25" hidden="1">
      <c r="A1474" s="10">
        <f>'12-2017'!A1564</f>
        <v>15</v>
      </c>
      <c r="B1474" s="11" t="str">
        <f>'12-2017'!B1564</f>
        <v>Dây nhôm lõi thép các loại &lt;= 50mm2</v>
      </c>
      <c r="C1474" s="12" t="str">
        <f>'12-2017'!C1564</f>
        <v>đ/kg</v>
      </c>
      <c r="D1474" s="13">
        <f>'12-2017'!O1564</f>
        <v>60400</v>
      </c>
      <c r="E1474" s="13">
        <f>'12-2017'!P1564</f>
        <v>60400</v>
      </c>
      <c r="F1474" s="130">
        <f t="shared" si="59"/>
        <v>0</v>
      </c>
      <c r="H1474" s="74">
        <f>'12-2017'!H1564</f>
        <v>0</v>
      </c>
      <c r="I1474" s="74">
        <f>'12-2017'!I1564</f>
        <v>0</v>
      </c>
      <c r="J1474" s="74">
        <f>'12-2017'!J1564</f>
        <v>0</v>
      </c>
    </row>
    <row r="1475" spans="1:10" s="58" customFormat="1" ht="17.25" hidden="1">
      <c r="A1475" s="10">
        <f>'12-2017'!A1565</f>
        <v>16</v>
      </c>
      <c r="B1475" s="11" t="str">
        <f>'12-2017'!B1565</f>
        <v>Dây nhôm lõi thép các loại &gt;50 đến = 95mm2</v>
      </c>
      <c r="C1475" s="12" t="str">
        <f>'12-2017'!C1565</f>
        <v>đ/kg</v>
      </c>
      <c r="D1475" s="13">
        <f>'12-2017'!O1565</f>
        <v>60000</v>
      </c>
      <c r="E1475" s="13">
        <f>'12-2017'!P1565</f>
        <v>60000</v>
      </c>
      <c r="F1475" s="130">
        <f t="shared" si="59"/>
        <v>0</v>
      </c>
      <c r="H1475" s="74">
        <f>'12-2017'!H1565</f>
        <v>0</v>
      </c>
      <c r="I1475" s="74">
        <f>'12-2017'!I1565</f>
        <v>0</v>
      </c>
      <c r="J1475" s="74">
        <f>'12-2017'!J1565</f>
        <v>0</v>
      </c>
    </row>
    <row r="1476" spans="1:10" s="58" customFormat="1" ht="17.25" hidden="1">
      <c r="A1476" s="10">
        <f>'12-2017'!A1566</f>
        <v>17</v>
      </c>
      <c r="B1476" s="11" t="str">
        <f>'12-2017'!B1566</f>
        <v>Dây nhôm lõi thép các loại &gt;95 đến = 240mm2</v>
      </c>
      <c r="C1476" s="12" t="str">
        <f>'12-2017'!C1566</f>
        <v>đ/kg</v>
      </c>
      <c r="D1476" s="13">
        <f>'12-2017'!O1566</f>
        <v>61900</v>
      </c>
      <c r="E1476" s="13">
        <f>'12-2017'!P1566</f>
        <v>61900</v>
      </c>
      <c r="F1476" s="130">
        <f t="shared" si="59"/>
        <v>0</v>
      </c>
      <c r="H1476" s="74">
        <f>'12-2017'!H1566</f>
        <v>0</v>
      </c>
      <c r="I1476" s="74">
        <f>'12-2017'!I1566</f>
        <v>0</v>
      </c>
      <c r="J1476" s="74">
        <f>'12-2017'!J1566</f>
        <v>0</v>
      </c>
    </row>
    <row r="1477" spans="1:10" s="73" customFormat="1" ht="49.5" customHeight="1">
      <c r="A1477" s="17"/>
      <c r="B1477" s="237" t="str">
        <f>'12-2017'!B1567</f>
        <v>* THIẾT BỊ ĐIỆN JUNSUN: Công ty TNHH JUNSUN Viện Nam (số 49/40/20-2 Trịnh Đình Trọng, P. Phú Trung, Q. Tân Phú, Tp HCM. Theo bảng giá ngày 01/01/2016</v>
      </c>
      <c r="C1477" s="238"/>
      <c r="D1477" s="238"/>
      <c r="E1477" s="238"/>
      <c r="F1477" s="239"/>
      <c r="H1477" s="74">
        <f>'12-2017'!H1567</f>
        <v>0</v>
      </c>
      <c r="I1477" s="74">
        <f>'12-2017'!I1567</f>
        <v>0</v>
      </c>
      <c r="J1477" s="74">
        <f>'12-2017'!J1567</f>
        <v>0</v>
      </c>
    </row>
    <row r="1478" spans="1:10" s="73" customFormat="1" ht="17.25">
      <c r="A1478" s="17"/>
      <c r="B1478" s="9" t="str">
        <f>'12-2017'!B1568</f>
        <v>CÁC SẲN PHẨM ÂM TƯỜNG HẠT LỚN JUNSUN</v>
      </c>
      <c r="C1478" s="8"/>
      <c r="D1478" s="22"/>
      <c r="E1478" s="22"/>
      <c r="F1478" s="131"/>
      <c r="H1478" s="74">
        <f>'12-2017'!H1568</f>
        <v>0</v>
      </c>
      <c r="I1478" s="74">
        <f>'12-2017'!I1568</f>
        <v>0</v>
      </c>
      <c r="J1478" s="74">
        <f>'12-2017'!J1568</f>
        <v>0</v>
      </c>
    </row>
    <row r="1479" spans="1:10" s="58" customFormat="1" ht="49.5" hidden="1">
      <c r="A1479" s="10">
        <f>'12-2017'!A1569</f>
        <v>1</v>
      </c>
      <c r="B1479" s="11" t="str">
        <f>'12-2017'!B1569</f>
        <v>PK-M01 -Mặt 1 lỗ (cỡ nhỏ)
PK-M02-Mặt 2 lỗ (cỡ nhỏ)
PK-M03-Mặt 3 lỗ (cỡ nhỏ)</v>
      </c>
      <c r="C1479" s="12" t="str">
        <f>'12-2017'!C1569</f>
        <v>đ/cái</v>
      </c>
      <c r="D1479" s="13">
        <f>'12-2017'!O1569</f>
        <v>14400</v>
      </c>
      <c r="E1479" s="13">
        <f>'12-2017'!P1569</f>
        <v>14400</v>
      </c>
      <c r="F1479" s="130">
        <f t="shared" si="59"/>
        <v>0</v>
      </c>
      <c r="H1479" s="74">
        <f>'12-2017'!H1569</f>
        <v>0</v>
      </c>
      <c r="I1479" s="74">
        <f>'12-2017'!I1569</f>
        <v>0</v>
      </c>
      <c r="J1479" s="74">
        <f>'12-2017'!J1569</f>
        <v>0</v>
      </c>
    </row>
    <row r="1480" spans="1:10" s="58" customFormat="1" ht="49.5" hidden="1">
      <c r="A1480" s="10">
        <f>'12-2017'!A1570</f>
        <v>2</v>
      </c>
      <c r="B1480" s="11" t="str">
        <f>'12-2017'!B1570</f>
        <v>PK-M04Mặt 4 lỗ (cỡ nhỏ)
PK-M05-Mặt 5 lỗ (cỡ nhỏ)
PK-M06-Mặt 6 lỗ (cỡ nhỏ)</v>
      </c>
      <c r="C1480" s="12" t="str">
        <f>'12-2017'!C1570</f>
        <v>đ/cái</v>
      </c>
      <c r="D1480" s="13">
        <f>'12-2017'!O1570</f>
        <v>23400</v>
      </c>
      <c r="E1480" s="13">
        <f>'12-2017'!P1570</f>
        <v>23400</v>
      </c>
      <c r="F1480" s="130">
        <f t="shared" si="59"/>
        <v>0</v>
      </c>
      <c r="H1480" s="74">
        <f>'12-2017'!H1570</f>
        <v>0</v>
      </c>
      <c r="I1480" s="74">
        <f>'12-2017'!I1570</f>
        <v>0</v>
      </c>
      <c r="J1480" s="74">
        <f>'12-2017'!J1570</f>
        <v>0</v>
      </c>
    </row>
    <row r="1481" spans="1:10" s="58" customFormat="1" ht="17.25" hidden="1">
      <c r="A1481" s="10">
        <f>'12-2017'!A1571</f>
        <v>3</v>
      </c>
      <c r="B1481" s="11" t="str">
        <f>'12-2017'!B1571</f>
        <v>PK-O11-Ổ cắm đơn có màng che (cỡ nhỏ)</v>
      </c>
      <c r="C1481" s="12" t="str">
        <f>'12-2017'!C1571</f>
        <v>đ/cái</v>
      </c>
      <c r="D1481" s="13">
        <f>'12-2017'!O1571</f>
        <v>20700</v>
      </c>
      <c r="E1481" s="13">
        <f>'12-2017'!P1571</f>
        <v>20700</v>
      </c>
      <c r="F1481" s="130">
        <f t="shared" si="59"/>
        <v>0</v>
      </c>
      <c r="H1481" s="74">
        <f>'12-2017'!H1571</f>
        <v>0</v>
      </c>
      <c r="I1481" s="74">
        <f>'12-2017'!I1571</f>
        <v>0</v>
      </c>
      <c r="J1481" s="74">
        <f>'12-2017'!J1571</f>
        <v>0</v>
      </c>
    </row>
    <row r="1482" spans="1:10" s="58" customFormat="1" ht="17.25" hidden="1">
      <c r="A1482" s="10">
        <f>'12-2017'!A1572</f>
        <v>4</v>
      </c>
      <c r="B1482" s="11" t="str">
        <f>'12-2017'!B1572</f>
        <v>PK-O12-Ổ cắm đôi 2 chấu có màng che (cỡ nhỏ)</v>
      </c>
      <c r="C1482" s="12" t="str">
        <f>'12-2017'!C1572</f>
        <v>đ/cái</v>
      </c>
      <c r="D1482" s="13">
        <f>'12-2017'!O1572</f>
        <v>33100</v>
      </c>
      <c r="E1482" s="13">
        <f>'12-2017'!P1572</f>
        <v>33100</v>
      </c>
      <c r="F1482" s="130">
        <f t="shared" si="59"/>
        <v>0</v>
      </c>
      <c r="H1482" s="74">
        <f>'12-2017'!H1572</f>
        <v>0</v>
      </c>
      <c r="I1482" s="74">
        <f>'12-2017'!I1572</f>
        <v>0</v>
      </c>
      <c r="J1482" s="74">
        <f>'12-2017'!J1572</f>
        <v>0</v>
      </c>
    </row>
    <row r="1483" spans="1:10" s="58" customFormat="1" ht="17.25" hidden="1">
      <c r="A1483" s="10">
        <f>'12-2017'!A1573</f>
        <v>5</v>
      </c>
      <c r="B1483" s="11" t="str">
        <f>'12-2017'!B1573</f>
        <v>PK-O13-Ổ cắm ba 2chấu có màng che (cỡ trung)</v>
      </c>
      <c r="C1483" s="12" t="str">
        <f>'12-2017'!C1573</f>
        <v>đ/cái</v>
      </c>
      <c r="D1483" s="13">
        <f>'12-2017'!O1573</f>
        <v>46800</v>
      </c>
      <c r="E1483" s="13">
        <f>'12-2017'!P1573</f>
        <v>46800</v>
      </c>
      <c r="F1483" s="130">
        <f t="shared" si="59"/>
        <v>0</v>
      </c>
      <c r="H1483" s="74">
        <f>'12-2017'!H1573</f>
        <v>0</v>
      </c>
      <c r="I1483" s="74">
        <f>'12-2017'!I1573</f>
        <v>0</v>
      </c>
      <c r="J1483" s="74">
        <f>'12-2017'!J1573</f>
        <v>0</v>
      </c>
    </row>
    <row r="1484" spans="1:10" s="58" customFormat="1" ht="17.25" hidden="1">
      <c r="A1484" s="10">
        <f>'12-2017'!A1574</f>
        <v>6</v>
      </c>
      <c r="B1484" s="11" t="str">
        <f>'12-2017'!B1574</f>
        <v>PK-CT 17-Công tắc1 chiều (cỡ nhỏ)</v>
      </c>
      <c r="C1484" s="12" t="str">
        <f>'12-2017'!C1574</f>
        <v>đ/cái</v>
      </c>
      <c r="D1484" s="13">
        <f>'12-2017'!O1574</f>
        <v>20700</v>
      </c>
      <c r="E1484" s="13">
        <f>'12-2017'!P1574</f>
        <v>20700</v>
      </c>
      <c r="F1484" s="130">
        <f t="shared" si="59"/>
        <v>0</v>
      </c>
      <c r="H1484" s="74">
        <f>'12-2017'!H1574</f>
        <v>0</v>
      </c>
      <c r="I1484" s="74">
        <f>'12-2017'!I1574</f>
        <v>0</v>
      </c>
      <c r="J1484" s="74">
        <f>'12-2017'!J1574</f>
        <v>0</v>
      </c>
    </row>
    <row r="1485" spans="1:10" s="58" customFormat="1" ht="17.25" hidden="1">
      <c r="A1485" s="10">
        <f>'12-2017'!A1575</f>
        <v>7</v>
      </c>
      <c r="B1485" s="11" t="str">
        <f>'12-2017'!B1575</f>
        <v>PK-CT 18-Công tắc 2 chiều (cỡ nhỏ)</v>
      </c>
      <c r="C1485" s="12" t="str">
        <f>'12-2017'!C1575</f>
        <v>đ/cái</v>
      </c>
      <c r="D1485" s="13">
        <f>'12-2017'!O1575</f>
        <v>26600</v>
      </c>
      <c r="E1485" s="13">
        <f>'12-2017'!P1575</f>
        <v>26600</v>
      </c>
      <c r="F1485" s="130">
        <f t="shared" si="59"/>
        <v>0</v>
      </c>
      <c r="H1485" s="74">
        <f>'12-2017'!H1575</f>
        <v>0</v>
      </c>
      <c r="I1485" s="74">
        <f>'12-2017'!I1575</f>
        <v>0</v>
      </c>
      <c r="J1485" s="74">
        <f>'12-2017'!J1575</f>
        <v>0</v>
      </c>
    </row>
    <row r="1486" spans="1:10" s="58" customFormat="1" ht="17.25" hidden="1">
      <c r="A1486" s="10">
        <f>'12-2017'!A1576</f>
        <v>8</v>
      </c>
      <c r="B1486" s="11" t="str">
        <f>'12-2017'!B1576</f>
        <v>PK-TV 23-Ổ tivi</v>
      </c>
      <c r="C1486" s="12" t="str">
        <f>'12-2017'!C1576</f>
        <v>đ/cái</v>
      </c>
      <c r="D1486" s="13">
        <f>'12-2017'!O1576</f>
        <v>43600</v>
      </c>
      <c r="E1486" s="13">
        <f>'12-2017'!P1576</f>
        <v>43600</v>
      </c>
      <c r="F1486" s="130">
        <f t="shared" si="59"/>
        <v>0</v>
      </c>
      <c r="H1486" s="74">
        <f>'12-2017'!H1576</f>
        <v>0</v>
      </c>
      <c r="I1486" s="74">
        <f>'12-2017'!I1576</f>
        <v>0</v>
      </c>
      <c r="J1486" s="74">
        <f>'12-2017'!J1576</f>
        <v>0</v>
      </c>
    </row>
    <row r="1487" spans="1:10" s="58" customFormat="1" ht="17.25" hidden="1">
      <c r="A1487" s="10">
        <f>'12-2017'!A1577</f>
        <v>9</v>
      </c>
      <c r="B1487" s="11" t="str">
        <f>'12-2017'!B1577</f>
        <v>PK-ĐT 24-Ổ điện thoại</v>
      </c>
      <c r="C1487" s="12" t="str">
        <f>'12-2017'!C1577</f>
        <v>đ/cái</v>
      </c>
      <c r="D1487" s="13">
        <f>'12-2017'!O1577</f>
        <v>52200</v>
      </c>
      <c r="E1487" s="13">
        <f>'12-2017'!P1577</f>
        <v>52200</v>
      </c>
      <c r="F1487" s="130">
        <f t="shared" si="59"/>
        <v>0</v>
      </c>
      <c r="H1487" s="74">
        <f>'12-2017'!H1577</f>
        <v>0</v>
      </c>
      <c r="I1487" s="74">
        <f>'12-2017'!I1577</f>
        <v>0</v>
      </c>
      <c r="J1487" s="74">
        <f>'12-2017'!J1577</f>
        <v>0</v>
      </c>
    </row>
    <row r="1488" spans="1:10" s="58" customFormat="1" ht="17.25" hidden="1">
      <c r="A1488" s="10">
        <f>'12-2017'!A1578</f>
        <v>10</v>
      </c>
      <c r="B1488" s="11" t="str">
        <f>'12-2017'!B1578</f>
        <v>PK-VT 25- Ổ vi tính</v>
      </c>
      <c r="C1488" s="12" t="str">
        <f>'12-2017'!C1578</f>
        <v>đ/cái</v>
      </c>
      <c r="D1488" s="13">
        <f>'12-2017'!O1578</f>
        <v>106200</v>
      </c>
      <c r="E1488" s="13">
        <f>'12-2017'!P1578</f>
        <v>106200</v>
      </c>
      <c r="F1488" s="130">
        <f t="shared" si="59"/>
        <v>0</v>
      </c>
      <c r="H1488" s="74">
        <f>'12-2017'!H1578</f>
        <v>0</v>
      </c>
      <c r="I1488" s="74">
        <f>'12-2017'!I1578</f>
        <v>0</v>
      </c>
      <c r="J1488" s="74">
        <f>'12-2017'!J1578</f>
        <v>0</v>
      </c>
    </row>
    <row r="1489" spans="1:10" s="58" customFormat="1" ht="17.25" hidden="1">
      <c r="A1489" s="10">
        <f>'12-2017'!A1579</f>
        <v>11</v>
      </c>
      <c r="B1489" s="11" t="str">
        <f>'12-2017'!B1579</f>
        <v>PK-DMD27-Bộ điều tốc đèn</v>
      </c>
      <c r="C1489" s="12" t="str">
        <f>'12-2017'!C1579</f>
        <v>đ/cái</v>
      </c>
      <c r="D1489" s="13">
        <f>'12-2017'!O1579</f>
        <v>84200</v>
      </c>
      <c r="E1489" s="13">
        <f>'12-2017'!P1579</f>
        <v>84200</v>
      </c>
      <c r="F1489" s="130">
        <f t="shared" si="59"/>
        <v>0</v>
      </c>
      <c r="H1489" s="74">
        <f>'12-2017'!H1579</f>
        <v>0</v>
      </c>
      <c r="I1489" s="74">
        <f>'12-2017'!I1579</f>
        <v>0</v>
      </c>
      <c r="J1489" s="74">
        <f>'12-2017'!J1579</f>
        <v>0</v>
      </c>
    </row>
    <row r="1490" spans="1:10" s="58" customFormat="1" ht="17.25" hidden="1">
      <c r="A1490" s="10">
        <f>'12-2017'!A1580</f>
        <v>12</v>
      </c>
      <c r="B1490" s="11" t="str">
        <f>'12-2017'!B1580</f>
        <v>PK-DMQ28-Bộ điều tốc quạt</v>
      </c>
      <c r="C1490" s="12" t="str">
        <f>'12-2017'!C1580</f>
        <v>đ/cái</v>
      </c>
      <c r="D1490" s="13">
        <f>'12-2017'!O1580</f>
        <v>84200</v>
      </c>
      <c r="E1490" s="13">
        <f>'12-2017'!P1580</f>
        <v>84200</v>
      </c>
      <c r="F1490" s="130">
        <f t="shared" si="59"/>
        <v>0</v>
      </c>
      <c r="H1490" s="74">
        <f>'12-2017'!H1580</f>
        <v>0</v>
      </c>
      <c r="I1490" s="74">
        <f>'12-2017'!I1580</f>
        <v>0</v>
      </c>
      <c r="J1490" s="74">
        <f>'12-2017'!J1580</f>
        <v>0</v>
      </c>
    </row>
    <row r="1491" spans="1:10" s="58" customFormat="1" ht="17.25" hidden="1">
      <c r="A1491" s="10">
        <f>'12-2017'!A1581</f>
        <v>13</v>
      </c>
      <c r="B1491" s="11" t="str">
        <f>'12-2017'!B1581</f>
        <v>PK-DX29-Đèn báo xanh</v>
      </c>
      <c r="C1491" s="12" t="str">
        <f>'12-2017'!C1581</f>
        <v>đ/cái</v>
      </c>
      <c r="D1491" s="13">
        <f>'12-2017'!O1581</f>
        <v>14400</v>
      </c>
      <c r="E1491" s="13">
        <f>'12-2017'!P1581</f>
        <v>14400</v>
      </c>
      <c r="F1491" s="130">
        <f t="shared" ref="F1491:F1553" si="60">E1491-D1491</f>
        <v>0</v>
      </c>
      <c r="H1491" s="74">
        <f>'12-2017'!H1581</f>
        <v>0</v>
      </c>
      <c r="I1491" s="74">
        <f>'12-2017'!I1581</f>
        <v>0</v>
      </c>
      <c r="J1491" s="74">
        <f>'12-2017'!J1581</f>
        <v>0</v>
      </c>
    </row>
    <row r="1492" spans="1:10" s="58" customFormat="1" ht="17.25" hidden="1">
      <c r="A1492" s="10">
        <f>'12-2017'!A1582</f>
        <v>14</v>
      </c>
      <c r="B1492" s="11" t="str">
        <f>'12-2017'!B1582</f>
        <v>PK-DD30-Đèn báo đỏ</v>
      </c>
      <c r="C1492" s="12" t="str">
        <f>'12-2017'!C1582</f>
        <v>đ/cái</v>
      </c>
      <c r="D1492" s="13">
        <f>'12-2017'!O1582</f>
        <v>14400</v>
      </c>
      <c r="E1492" s="13">
        <f>'12-2017'!P1582</f>
        <v>14400</v>
      </c>
      <c r="F1492" s="130">
        <f t="shared" si="60"/>
        <v>0</v>
      </c>
      <c r="H1492" s="74">
        <f>'12-2017'!H1582</f>
        <v>0</v>
      </c>
      <c r="I1492" s="74">
        <f>'12-2017'!I1582</f>
        <v>0</v>
      </c>
      <c r="J1492" s="74">
        <f>'12-2017'!J1582</f>
        <v>0</v>
      </c>
    </row>
    <row r="1493" spans="1:10" s="58" customFormat="1" ht="17.25" hidden="1">
      <c r="A1493" s="10">
        <f>'12-2017'!A1583</f>
        <v>15</v>
      </c>
      <c r="B1493" s="11" t="str">
        <f>'12-2017'!B1583</f>
        <v>PK-CC31-Hạt cầu chì</v>
      </c>
      <c r="C1493" s="12" t="str">
        <f>'12-2017'!C1583</f>
        <v>đ/cái</v>
      </c>
      <c r="D1493" s="13">
        <f>'12-2017'!O1583</f>
        <v>19400</v>
      </c>
      <c r="E1493" s="13">
        <f>'12-2017'!P1583</f>
        <v>19400</v>
      </c>
      <c r="F1493" s="130">
        <f t="shared" si="60"/>
        <v>0</v>
      </c>
      <c r="H1493" s="74">
        <f>'12-2017'!H1583</f>
        <v>0</v>
      </c>
      <c r="I1493" s="74">
        <f>'12-2017'!I1583</f>
        <v>0</v>
      </c>
      <c r="J1493" s="74">
        <f>'12-2017'!J1583</f>
        <v>0</v>
      </c>
    </row>
    <row r="1494" spans="1:10" s="58" customFormat="1" ht="17.25" hidden="1">
      <c r="A1494" s="10">
        <f>'12-2017'!A1584</f>
        <v>16</v>
      </c>
      <c r="B1494" s="11" t="str">
        <f>'12-2017'!B1584</f>
        <v>PK-DND32-Đế nổi đôi nhựa chống cháy</v>
      </c>
      <c r="C1494" s="12" t="str">
        <f>'12-2017'!C1584</f>
        <v>đ/cái</v>
      </c>
      <c r="D1494" s="13">
        <f>'12-2017'!O1584</f>
        <v>16900</v>
      </c>
      <c r="E1494" s="13">
        <f>'12-2017'!P1584</f>
        <v>16900</v>
      </c>
      <c r="F1494" s="130">
        <f t="shared" si="60"/>
        <v>0</v>
      </c>
      <c r="H1494" s="74">
        <f>'12-2017'!H1584</f>
        <v>0</v>
      </c>
      <c r="I1494" s="74">
        <f>'12-2017'!I1584</f>
        <v>0</v>
      </c>
      <c r="J1494" s="74">
        <f>'12-2017'!J1584</f>
        <v>0</v>
      </c>
    </row>
    <row r="1495" spans="1:10" s="58" customFormat="1" ht="17.25" hidden="1">
      <c r="A1495" s="10">
        <f>'12-2017'!A1585</f>
        <v>17</v>
      </c>
      <c r="B1495" s="11" t="str">
        <f>'12-2017'!B1585</f>
        <v>PK-DN33-Đế nổi đơn nhựa chống cháy</v>
      </c>
      <c r="C1495" s="12" t="str">
        <f>'12-2017'!C1585</f>
        <v>đ/cái</v>
      </c>
      <c r="D1495" s="13">
        <f>'12-2017'!O1585</f>
        <v>8100</v>
      </c>
      <c r="E1495" s="13">
        <f>'12-2017'!P1585</f>
        <v>8100</v>
      </c>
      <c r="F1495" s="130">
        <f t="shared" si="60"/>
        <v>0</v>
      </c>
      <c r="H1495" s="74">
        <f>'12-2017'!H1585</f>
        <v>0</v>
      </c>
      <c r="I1495" s="74">
        <f>'12-2017'!I1585</f>
        <v>0</v>
      </c>
      <c r="J1495" s="74">
        <f>'12-2017'!J1585</f>
        <v>0</v>
      </c>
    </row>
    <row r="1496" spans="1:10" s="58" customFormat="1" ht="17.25" hidden="1">
      <c r="A1496" s="10">
        <f>'12-2017'!A1586</f>
        <v>18</v>
      </c>
      <c r="B1496" s="11" t="str">
        <f>'12-2017'!B1586</f>
        <v>PK-AD34-Đế âm đôi nhựa chống cháy</v>
      </c>
      <c r="C1496" s="12" t="str">
        <f>'12-2017'!C1586</f>
        <v>đ/cái</v>
      </c>
      <c r="D1496" s="13">
        <f>'12-2017'!O1586</f>
        <v>13200</v>
      </c>
      <c r="E1496" s="13">
        <f>'12-2017'!P1586</f>
        <v>13200</v>
      </c>
      <c r="F1496" s="130">
        <f t="shared" si="60"/>
        <v>0</v>
      </c>
      <c r="H1496" s="74">
        <f>'12-2017'!H1586</f>
        <v>0</v>
      </c>
      <c r="I1496" s="74">
        <f>'12-2017'!I1586</f>
        <v>0</v>
      </c>
      <c r="J1496" s="74">
        <f>'12-2017'!J1586</f>
        <v>0</v>
      </c>
    </row>
    <row r="1497" spans="1:10" s="73" customFormat="1" ht="17.25">
      <c r="A1497" s="17"/>
      <c r="B1497" s="9" t="str">
        <f>'12-2017'!B1587</f>
        <v>CÁC SẢN PHẨM TỦ ĐIỆN JUNSUN</v>
      </c>
      <c r="C1497" s="8"/>
      <c r="D1497" s="22"/>
      <c r="E1497" s="22"/>
      <c r="F1497" s="131"/>
      <c r="H1497" s="74">
        <f>'12-2017'!H1587</f>
        <v>0</v>
      </c>
      <c r="I1497" s="74">
        <f>'12-2017'!I1587</f>
        <v>0</v>
      </c>
      <c r="J1497" s="74">
        <f>'12-2017'!J1587</f>
        <v>0</v>
      </c>
    </row>
    <row r="1498" spans="1:10" s="58" customFormat="1" ht="17.25" hidden="1">
      <c r="A1498" s="10">
        <f>'12-2017'!A1588</f>
        <v>1</v>
      </c>
      <c r="B1498" s="11" t="str">
        <f>'12-2017'!B1588</f>
        <v>JS-TD-2-4-Tủ điện nhựa cao cấp chịu nhiệt, đế nhựa 2-4</v>
      </c>
      <c r="C1498" s="12" t="str">
        <f>'12-2017'!C1588</f>
        <v>đ/bộ</v>
      </c>
      <c r="D1498" s="13">
        <f>'12-2017'!O1588</f>
        <v>94300</v>
      </c>
      <c r="E1498" s="13">
        <f>'12-2017'!P1588</f>
        <v>94300</v>
      </c>
      <c r="F1498" s="130">
        <f t="shared" si="60"/>
        <v>0</v>
      </c>
      <c r="H1498" s="74">
        <f>'12-2017'!H1588</f>
        <v>0</v>
      </c>
      <c r="I1498" s="74">
        <f>'12-2017'!I1588</f>
        <v>0</v>
      </c>
      <c r="J1498" s="74">
        <f>'12-2017'!J1588</f>
        <v>0</v>
      </c>
    </row>
    <row r="1499" spans="1:10" s="58" customFormat="1" ht="17.25" hidden="1">
      <c r="A1499" s="10">
        <f>'12-2017'!A1589</f>
        <v>2</v>
      </c>
      <c r="B1499" s="11" t="str">
        <f>'12-2017'!B1589</f>
        <v>JS-TD 5-8-Tủ điện nhựa cao cấp chịu nhiệt, đế nhựa 5-8</v>
      </c>
      <c r="C1499" s="12" t="str">
        <f>'12-2017'!C1589</f>
        <v>đ/bộ</v>
      </c>
      <c r="D1499" s="13">
        <f>'12-2017'!O1589</f>
        <v>115200</v>
      </c>
      <c r="E1499" s="13">
        <f>'12-2017'!P1589</f>
        <v>115200</v>
      </c>
      <c r="F1499" s="130">
        <f t="shared" si="60"/>
        <v>0</v>
      </c>
      <c r="H1499" s="74">
        <f>'12-2017'!H1589</f>
        <v>0</v>
      </c>
      <c r="I1499" s="74">
        <f>'12-2017'!I1589</f>
        <v>0</v>
      </c>
      <c r="J1499" s="74">
        <f>'12-2017'!J1589</f>
        <v>0</v>
      </c>
    </row>
    <row r="1500" spans="1:10" s="58" customFormat="1" ht="17.25" hidden="1">
      <c r="A1500" s="10">
        <f>'12-2017'!A1590</f>
        <v>3</v>
      </c>
      <c r="B1500" s="11" t="str">
        <f>'12-2017'!B1590</f>
        <v>JS-TD 9-12-Tủ điện nhựa cao cấp chịu nhiệt, đế nhựa 9-12</v>
      </c>
      <c r="C1500" s="12" t="str">
        <f>'12-2017'!C1590</f>
        <v>đ/bộ</v>
      </c>
      <c r="D1500" s="13">
        <f>'12-2017'!O1590</f>
        <v>135700</v>
      </c>
      <c r="E1500" s="13">
        <f>'12-2017'!P1590</f>
        <v>135700</v>
      </c>
      <c r="F1500" s="130">
        <f t="shared" si="60"/>
        <v>0</v>
      </c>
      <c r="H1500" s="74">
        <f>'12-2017'!H1590</f>
        <v>0</v>
      </c>
      <c r="I1500" s="74">
        <f>'12-2017'!I1590</f>
        <v>0</v>
      </c>
      <c r="J1500" s="74">
        <f>'12-2017'!J1590</f>
        <v>0</v>
      </c>
    </row>
    <row r="1501" spans="1:10" s="73" customFormat="1" ht="17.25">
      <c r="A1501" s="17"/>
      <c r="B1501" s="9" t="str">
        <f>'12-2017'!B1591</f>
        <v>SẢN PHẨM ĐÈN SLIM LED JUNSUN</v>
      </c>
      <c r="C1501" s="8"/>
      <c r="D1501" s="22"/>
      <c r="E1501" s="22"/>
      <c r="F1501" s="131"/>
      <c r="H1501" s="74">
        <f>'12-2017'!H1591</f>
        <v>0</v>
      </c>
      <c r="I1501" s="74">
        <f>'12-2017'!I1591</f>
        <v>0</v>
      </c>
      <c r="J1501" s="74">
        <f>'12-2017'!J1591</f>
        <v>0</v>
      </c>
    </row>
    <row r="1502" spans="1:10" s="58" customFormat="1" ht="17.25" hidden="1">
      <c r="A1502" s="10">
        <f>'12-2017'!A1592</f>
        <v>1</v>
      </c>
      <c r="B1502" s="11" t="str">
        <f>'12-2017'!B1592</f>
        <v>SLIMLED-003-Đèn SLIM LED 60x60cm, 42W</v>
      </c>
      <c r="C1502" s="12" t="str">
        <f>'12-2017'!C1592</f>
        <v>đ/bộ</v>
      </c>
      <c r="D1502" s="13">
        <f>'12-2017'!O1592</f>
        <v>1938000</v>
      </c>
      <c r="E1502" s="13">
        <f>'12-2017'!P1592</f>
        <v>1938000</v>
      </c>
      <c r="F1502" s="130">
        <f t="shared" si="60"/>
        <v>0</v>
      </c>
      <c r="H1502" s="74">
        <f>'12-2017'!H1592</f>
        <v>0</v>
      </c>
      <c r="I1502" s="74">
        <f>'12-2017'!I1592</f>
        <v>0</v>
      </c>
      <c r="J1502" s="74">
        <f>'12-2017'!J1592</f>
        <v>0</v>
      </c>
    </row>
    <row r="1503" spans="1:10" s="73" customFormat="1" ht="17.25">
      <c r="A1503" s="17"/>
      <c r="B1503" s="9" t="str">
        <f>'12-2017'!B1593</f>
        <v>CÁC SẢN PHẨM MÁNG ĐÈN JUNSUN</v>
      </c>
      <c r="C1503" s="8"/>
      <c r="D1503" s="22"/>
      <c r="E1503" s="22"/>
      <c r="F1503" s="131"/>
      <c r="H1503" s="74">
        <f>'12-2017'!H1593</f>
        <v>0</v>
      </c>
      <c r="I1503" s="74">
        <f>'12-2017'!I1593</f>
        <v>0</v>
      </c>
      <c r="J1503" s="74">
        <f>'12-2017'!J1593</f>
        <v>0</v>
      </c>
    </row>
    <row r="1504" spans="1:10" s="58" customFormat="1" ht="17.25" hidden="1">
      <c r="A1504" s="10">
        <f>'12-2017'!A1594</f>
        <v>1</v>
      </c>
      <c r="B1504" s="11" t="str">
        <f>'12-2017'!B1594</f>
        <v>JXC-5240-Máng đèn huỳnh quang xương cá đôi 2x1.2m (Không bóng)</v>
      </c>
      <c r="C1504" s="12" t="str">
        <f>'12-2017'!C1594</f>
        <v>đ/bộ</v>
      </c>
      <c r="D1504" s="13">
        <f>'12-2017'!O1594</f>
        <v>506000</v>
      </c>
      <c r="E1504" s="13">
        <f>'12-2017'!P1594</f>
        <v>506000</v>
      </c>
      <c r="F1504" s="130">
        <f t="shared" si="60"/>
        <v>0</v>
      </c>
      <c r="H1504" s="74">
        <f>'12-2017'!H1594</f>
        <v>0</v>
      </c>
      <c r="I1504" s="74">
        <f>'12-2017'!I1594</f>
        <v>0</v>
      </c>
      <c r="J1504" s="74">
        <f>'12-2017'!J1594</f>
        <v>0</v>
      </c>
    </row>
    <row r="1505" spans="1:10" s="58" customFormat="1" ht="17.25" hidden="1">
      <c r="A1505" s="10">
        <f>'12-2017'!A1595</f>
        <v>2</v>
      </c>
      <c r="B1505" s="11" t="str">
        <f>'12-2017'!B1595</f>
        <v>JMX-2340-Máng đèn tán quang âm trần 3x1.2m (Không bóng)</v>
      </c>
      <c r="C1505" s="12" t="str">
        <f>'12-2017'!C1595</f>
        <v>đ/bộ</v>
      </c>
      <c r="D1505" s="13">
        <f>'12-2017'!O1595</f>
        <v>1758000</v>
      </c>
      <c r="E1505" s="13">
        <f>'12-2017'!P1595</f>
        <v>1758000</v>
      </c>
      <c r="F1505" s="130">
        <f t="shared" si="60"/>
        <v>0</v>
      </c>
      <c r="H1505" s="74">
        <f>'12-2017'!H1595</f>
        <v>0</v>
      </c>
      <c r="I1505" s="74">
        <f>'12-2017'!I1595</f>
        <v>0</v>
      </c>
      <c r="J1505" s="74">
        <f>'12-2017'!J1595</f>
        <v>0</v>
      </c>
    </row>
    <row r="1506" spans="1:10" s="58" customFormat="1" ht="17.25" hidden="1">
      <c r="A1506" s="10">
        <f>'12-2017'!A1596</f>
        <v>3</v>
      </c>
      <c r="B1506" s="11" t="str">
        <f>'12-2017'!B1596</f>
        <v>JM-B1-T140-Máng đèn huỳnh quang siêu mỏng đơn 1x1.2m (Không bóng)</v>
      </c>
      <c r="C1506" s="12" t="str">
        <f>'12-2017'!C1596</f>
        <v>đ/bộ</v>
      </c>
      <c r="D1506" s="13">
        <f>'12-2017'!O1596</f>
        <v>120000</v>
      </c>
      <c r="E1506" s="13">
        <f>'12-2017'!P1596</f>
        <v>120000</v>
      </c>
      <c r="F1506" s="130">
        <f t="shared" si="60"/>
        <v>0</v>
      </c>
      <c r="H1506" s="74">
        <f>'12-2017'!H1596</f>
        <v>0</v>
      </c>
      <c r="I1506" s="74">
        <f>'12-2017'!I1596</f>
        <v>0</v>
      </c>
      <c r="J1506" s="74">
        <f>'12-2017'!J1596</f>
        <v>0</v>
      </c>
    </row>
    <row r="1507" spans="1:10" s="58" customFormat="1" ht="17.25" hidden="1">
      <c r="A1507" s="10">
        <f>'12-2017'!A1597</f>
        <v>4</v>
      </c>
      <c r="B1507" s="11" t="str">
        <f>'12-2017'!B1597</f>
        <v>JCH-12220-Máng đèn huỳnh quang chống thấm  đôi 2x0.6m (Không bóng)</v>
      </c>
      <c r="C1507" s="12" t="str">
        <f>'12-2017'!C1597</f>
        <v>đ/bộ</v>
      </c>
      <c r="D1507" s="13">
        <f>'12-2017'!O1597</f>
        <v>440000</v>
      </c>
      <c r="E1507" s="13">
        <f>'12-2017'!P1597</f>
        <v>440000</v>
      </c>
      <c r="F1507" s="130">
        <f t="shared" si="60"/>
        <v>0</v>
      </c>
      <c r="H1507" s="74">
        <f>'12-2017'!H1597</f>
        <v>0</v>
      </c>
      <c r="I1507" s="74">
        <f>'12-2017'!I1597</f>
        <v>0</v>
      </c>
      <c r="J1507" s="74">
        <f>'12-2017'!J1597</f>
        <v>0</v>
      </c>
    </row>
    <row r="1508" spans="1:10" s="58" customFormat="1" ht="33" hidden="1">
      <c r="A1508" s="10">
        <f>'12-2017'!A1598</f>
        <v>5</v>
      </c>
      <c r="B1508" s="11" t="str">
        <f>'12-2017'!B1598</f>
        <v>JMN-12120-Máng đèn huỳnh quang công nghiệp chóa phản quang  đơn 1x0.6m (Không bóng)</v>
      </c>
      <c r="C1508" s="12" t="str">
        <f>'12-2017'!C1598</f>
        <v>đ/bộ</v>
      </c>
      <c r="D1508" s="13">
        <f>'12-2017'!O1598</f>
        <v>260000</v>
      </c>
      <c r="E1508" s="13">
        <f>'12-2017'!P1598</f>
        <v>260000</v>
      </c>
      <c r="F1508" s="130">
        <f t="shared" si="60"/>
        <v>0</v>
      </c>
      <c r="H1508" s="74">
        <f>'12-2017'!H1598</f>
        <v>0</v>
      </c>
      <c r="I1508" s="74">
        <f>'12-2017'!I1598</f>
        <v>0</v>
      </c>
      <c r="J1508" s="74">
        <f>'12-2017'!J1598</f>
        <v>0</v>
      </c>
    </row>
    <row r="1509" spans="1:10" s="73" customFormat="1" ht="17.25">
      <c r="A1509" s="17"/>
      <c r="B1509" s="9" t="str">
        <f>'12-2017'!B1599</f>
        <v>SẢN PHẨM BỘ MÁNG ĐÈN BÓNG LED JUNSUN</v>
      </c>
      <c r="C1509" s="8"/>
      <c r="D1509" s="22"/>
      <c r="E1509" s="22"/>
      <c r="F1509" s="131"/>
      <c r="H1509" s="74">
        <f>'12-2017'!H1599</f>
        <v>0</v>
      </c>
      <c r="I1509" s="74">
        <f>'12-2017'!I1599</f>
        <v>0</v>
      </c>
      <c r="J1509" s="74">
        <f>'12-2017'!J1599</f>
        <v>0</v>
      </c>
    </row>
    <row r="1510" spans="1:10" s="58" customFormat="1" ht="17.25" hidden="1">
      <c r="A1510" s="10">
        <f>'12-2017'!A1600</f>
        <v>1</v>
      </c>
      <c r="B1510" s="11" t="str">
        <f>'12-2017'!B1600</f>
        <v>JMT8-12- Bộ máng đèn  bóng Led siêu mỏng-T8 1x1.2m</v>
      </c>
      <c r="C1510" s="12" t="str">
        <f>'12-2017'!C1600</f>
        <v>đ/bộ</v>
      </c>
      <c r="D1510" s="13">
        <f>'12-2017'!O1600</f>
        <v>378000</v>
      </c>
      <c r="E1510" s="13">
        <f>'12-2017'!P1600</f>
        <v>378000</v>
      </c>
      <c r="F1510" s="130">
        <f t="shared" si="60"/>
        <v>0</v>
      </c>
      <c r="H1510" s="74">
        <f>'12-2017'!H1600</f>
        <v>0</v>
      </c>
      <c r="I1510" s="74">
        <f>'12-2017'!I1600</f>
        <v>0</v>
      </c>
      <c r="J1510" s="74">
        <f>'12-2017'!J1600</f>
        <v>0</v>
      </c>
    </row>
    <row r="1511" spans="1:10" s="73" customFormat="1" ht="17.25">
      <c r="A1511" s="17"/>
      <c r="B1511" s="9" t="str">
        <f>'12-2017'!B1601</f>
        <v>SẢN PHẨM QUẠT THÔNG GIÓ JUNSUN</v>
      </c>
      <c r="C1511" s="8"/>
      <c r="D1511" s="22"/>
      <c r="E1511" s="22"/>
      <c r="F1511" s="131"/>
      <c r="H1511" s="74">
        <f>'12-2017'!H1601</f>
        <v>0</v>
      </c>
      <c r="I1511" s="74">
        <f>'12-2017'!I1601</f>
        <v>0</v>
      </c>
      <c r="J1511" s="74">
        <f>'12-2017'!J1601</f>
        <v>0</v>
      </c>
    </row>
    <row r="1512" spans="1:10" s="58" customFormat="1" ht="17.25" hidden="1">
      <c r="A1512" s="10">
        <f>'12-2017'!A1602</f>
        <v>1</v>
      </c>
      <c r="B1512" s="11" t="str">
        <f>'12-2017'!B1602</f>
        <v>JQT-15B- Quạt thông gió âm tường có đèn báo 150x150</v>
      </c>
      <c r="C1512" s="12" t="str">
        <f>'12-2017'!C1602</f>
        <v>đ/bộ</v>
      </c>
      <c r="D1512" s="13">
        <f>'12-2017'!O1602</f>
        <v>416000</v>
      </c>
      <c r="E1512" s="13">
        <f>'12-2017'!P1602</f>
        <v>416000</v>
      </c>
      <c r="F1512" s="130">
        <f t="shared" si="60"/>
        <v>0</v>
      </c>
      <c r="H1512" s="74">
        <f>'12-2017'!H1602</f>
        <v>0</v>
      </c>
      <c r="I1512" s="74">
        <f>'12-2017'!I1602</f>
        <v>0</v>
      </c>
      <c r="J1512" s="74">
        <f>'12-2017'!J1602</f>
        <v>0</v>
      </c>
    </row>
    <row r="1513" spans="1:10" s="73" customFormat="1" ht="49.5" customHeight="1">
      <c r="A1513" s="17"/>
      <c r="B1513" s="237" t="str">
        <f>'12-2017'!B1603</f>
        <v>* Bộ tủ điện. Cty Cơ điện lạnh và Xây dựng An Phát (số 327/2 Hùng Vương, phường Mỹ Long, Tp. Long Xuyên, An Giang), giao hàng tại Cty. Theo bảng giá ngày 12/6/2016</v>
      </c>
      <c r="C1513" s="238"/>
      <c r="D1513" s="238"/>
      <c r="E1513" s="238"/>
      <c r="F1513" s="239"/>
      <c r="H1513" s="74">
        <f>'12-2017'!H1603</f>
        <v>0</v>
      </c>
      <c r="I1513" s="74">
        <f>'12-2017'!I1603</f>
        <v>0</v>
      </c>
      <c r="J1513" s="74">
        <f>'12-2017'!J1603</f>
        <v>0</v>
      </c>
    </row>
    <row r="1514" spans="1:10" s="58" customFormat="1" ht="148.5" hidden="1">
      <c r="A1514" s="10">
        <f>'12-2017'!A1604</f>
        <v>1</v>
      </c>
      <c r="B1514" s="11" t="str">
        <f>'12-2017'!B1604</f>
        <v>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v>
      </c>
      <c r="C1514" s="12" t="str">
        <f>'12-2017'!C1604</f>
        <v>đ/bộ</v>
      </c>
      <c r="D1514" s="13">
        <f>'12-2017'!O1604</f>
        <v>44285714</v>
      </c>
      <c r="E1514" s="13">
        <f>'12-2017'!P1604</f>
        <v>44285714</v>
      </c>
      <c r="F1514" s="130">
        <f t="shared" si="60"/>
        <v>0</v>
      </c>
      <c r="H1514" s="74">
        <f>'12-2017'!H1604</f>
        <v>0</v>
      </c>
      <c r="I1514" s="74">
        <f>'12-2017'!I1604</f>
        <v>0</v>
      </c>
      <c r="J1514" s="74">
        <f>'12-2017'!J1604</f>
        <v>0</v>
      </c>
    </row>
    <row r="1515" spans="1:10" s="73" customFormat="1" ht="49.5" customHeight="1">
      <c r="A1515" s="17"/>
      <c r="B1515" s="237" t="str">
        <f>'12-2017'!B1605</f>
        <v>* Thiết bị điện. Công ty Cổ phần đầu tư ROBOT. (ĐC Công ty: 308 - 308C Điện Biên Phủ, P.4, Q.3, TP.HCM). Giá giao hàng áp dụng tại Công ty ROBOT, cùng tất cả các cửa hàng, đại lý của ROBOT trên toàn quốc. Theo bảng giá ngày 14/6/2016</v>
      </c>
      <c r="C1515" s="238"/>
      <c r="D1515" s="238"/>
      <c r="E1515" s="238"/>
      <c r="F1515" s="239"/>
      <c r="H1515" s="74">
        <f>'12-2017'!H1605</f>
        <v>0</v>
      </c>
      <c r="I1515" s="74">
        <f>'12-2017'!I1605</f>
        <v>0</v>
      </c>
      <c r="J1515" s="74">
        <f>'12-2017'!J1605</f>
        <v>0</v>
      </c>
    </row>
    <row r="1516" spans="1:10" s="73" customFormat="1" ht="17.25" hidden="1">
      <c r="A1516" s="17"/>
      <c r="B1516" s="9" t="str">
        <f>'12-2017'!B1606</f>
        <v>* Ổn áp</v>
      </c>
      <c r="C1516" s="8"/>
      <c r="D1516" s="22"/>
      <c r="E1516" s="22"/>
      <c r="F1516" s="131"/>
      <c r="H1516" s="74">
        <f>'12-2017'!H1606</f>
        <v>0</v>
      </c>
      <c r="I1516" s="74">
        <f>'12-2017'!I1606</f>
        <v>0</v>
      </c>
      <c r="J1516" s="74">
        <f>'12-2017'!J1606</f>
        <v>0</v>
      </c>
    </row>
    <row r="1517" spans="1:10" s="58" customFormat="1" ht="17.25" hidden="1">
      <c r="A1517" s="10">
        <f>'12-2017'!A1607</f>
        <v>1</v>
      </c>
      <c r="B1517" s="11" t="str">
        <f>'12-2017'!B1607</f>
        <v>Ổn áp 1 pha CLASSY: 3 KVA (130V - 270V)</v>
      </c>
      <c r="C1517" s="12" t="str">
        <f>'12-2017'!C1607</f>
        <v>đ/cái</v>
      </c>
      <c r="D1517" s="13">
        <f>'12-2017'!O1607</f>
        <v>2500000</v>
      </c>
      <c r="E1517" s="13">
        <f>'12-2017'!P1607</f>
        <v>2500000</v>
      </c>
      <c r="F1517" s="130">
        <f t="shared" si="60"/>
        <v>0</v>
      </c>
      <c r="H1517" s="74">
        <f>'12-2017'!H1607</f>
        <v>0</v>
      </c>
      <c r="I1517" s="74">
        <f>'12-2017'!I1607</f>
        <v>0</v>
      </c>
      <c r="J1517" s="74">
        <f>'12-2017'!J1607</f>
        <v>0</v>
      </c>
    </row>
    <row r="1518" spans="1:10" s="58" customFormat="1" ht="17.25" hidden="1">
      <c r="A1518" s="10">
        <f>'12-2017'!A1608</f>
        <v>2</v>
      </c>
      <c r="B1518" s="11" t="str">
        <f>'12-2017'!B1608</f>
        <v>Ổn áp 1 pha CLASSY: 5 KVA (130V - 270V)</v>
      </c>
      <c r="C1518" s="12" t="str">
        <f>'12-2017'!C1608</f>
        <v>đ/cái</v>
      </c>
      <c r="D1518" s="13">
        <f>'12-2017'!O1608</f>
        <v>3272727.2727272725</v>
      </c>
      <c r="E1518" s="13">
        <f>'12-2017'!P1608</f>
        <v>3272727.2727272725</v>
      </c>
      <c r="F1518" s="130">
        <f t="shared" si="60"/>
        <v>0</v>
      </c>
      <c r="H1518" s="74">
        <f>'12-2017'!H1608</f>
        <v>0</v>
      </c>
      <c r="I1518" s="74">
        <f>'12-2017'!I1608</f>
        <v>0</v>
      </c>
      <c r="J1518" s="74">
        <f>'12-2017'!J1608</f>
        <v>0</v>
      </c>
    </row>
    <row r="1519" spans="1:10" s="73" customFormat="1" ht="17.25" hidden="1">
      <c r="A1519" s="17"/>
      <c r="B1519" s="9" t="str">
        <f>'12-2017'!B1609</f>
        <v>* Ổn áp</v>
      </c>
      <c r="C1519" s="8"/>
      <c r="D1519" s="22"/>
      <c r="E1519" s="22"/>
      <c r="F1519" s="131"/>
      <c r="H1519" s="74">
        <f>'12-2017'!H1609</f>
        <v>0</v>
      </c>
      <c r="I1519" s="74">
        <f>'12-2017'!I1609</f>
        <v>0</v>
      </c>
      <c r="J1519" s="74">
        <f>'12-2017'!J1609</f>
        <v>0</v>
      </c>
    </row>
    <row r="1520" spans="1:10" s="58" customFormat="1" ht="17.25" hidden="1">
      <c r="A1520" s="10">
        <f>'12-2017'!A1610</f>
        <v>1</v>
      </c>
      <c r="B1520" s="11" t="str">
        <f>'12-2017'!B1610</f>
        <v xml:space="preserve">Ổn áp 3 pha: 3 KVA (260V - 415V) </v>
      </c>
      <c r="C1520" s="12" t="str">
        <f>'12-2017'!C1610</f>
        <v>đ/cái</v>
      </c>
      <c r="D1520" s="13">
        <f>'12-2017'!O1610</f>
        <v>4800000</v>
      </c>
      <c r="E1520" s="13">
        <f>'12-2017'!P1610</f>
        <v>4800000</v>
      </c>
      <c r="F1520" s="130">
        <f t="shared" si="60"/>
        <v>0</v>
      </c>
      <c r="H1520" s="74">
        <f>'12-2017'!H1610</f>
        <v>0</v>
      </c>
      <c r="I1520" s="74">
        <f>'12-2017'!I1610</f>
        <v>0</v>
      </c>
      <c r="J1520" s="74">
        <f>'12-2017'!J1610</f>
        <v>0</v>
      </c>
    </row>
    <row r="1521" spans="1:10" s="58" customFormat="1" ht="17.25" hidden="1">
      <c r="A1521" s="10">
        <f>'12-2017'!A1611</f>
        <v>2</v>
      </c>
      <c r="B1521" s="11" t="str">
        <f>'12-2017'!B1611</f>
        <v xml:space="preserve">Ổn áp 3 pha: 10 KVA (260V - 415V)  </v>
      </c>
      <c r="C1521" s="12" t="str">
        <f>'12-2017'!C1611</f>
        <v>đ/cái</v>
      </c>
      <c r="D1521" s="13">
        <f>'12-2017'!O1611</f>
        <v>8400000</v>
      </c>
      <c r="E1521" s="13">
        <f>'12-2017'!P1611</f>
        <v>8400000</v>
      </c>
      <c r="F1521" s="130">
        <f t="shared" si="60"/>
        <v>0</v>
      </c>
      <c r="H1521" s="74">
        <f>'12-2017'!H1611</f>
        <v>0</v>
      </c>
      <c r="I1521" s="74">
        <f>'12-2017'!I1611</f>
        <v>0</v>
      </c>
      <c r="J1521" s="74">
        <f>'12-2017'!J1611</f>
        <v>0</v>
      </c>
    </row>
    <row r="1522" spans="1:10" s="73" customFormat="1" ht="17.25" hidden="1">
      <c r="A1522" s="17"/>
      <c r="B1522" s="9" t="str">
        <f>'12-2017'!B1612</f>
        <v>Thiết bị điện</v>
      </c>
      <c r="C1522" s="8"/>
      <c r="D1522" s="22"/>
      <c r="E1522" s="22"/>
      <c r="F1522" s="131"/>
      <c r="H1522" s="74">
        <f>'12-2017'!H1612</f>
        <v>0</v>
      </c>
      <c r="I1522" s="74">
        <f>'12-2017'!I1612</f>
        <v>0</v>
      </c>
      <c r="J1522" s="74">
        <f>'12-2017'!J1612</f>
        <v>0</v>
      </c>
    </row>
    <row r="1523" spans="1:10" s="58" customFormat="1" ht="17.25" hidden="1">
      <c r="A1523" s="10">
        <f>'12-2017'!A1613</f>
        <v>1</v>
      </c>
      <c r="B1523" s="11" t="str">
        <f>'12-2017'!B1613</f>
        <v>Biến thế đổi điện 1 pha: Biến thế 400VA (dây Nhôm)</v>
      </c>
      <c r="C1523" s="12" t="str">
        <f>'12-2017'!C1613</f>
        <v>đ/cái</v>
      </c>
      <c r="D1523" s="13">
        <f>'12-2017'!O1613</f>
        <v>285000</v>
      </c>
      <c r="E1523" s="13">
        <f>'12-2017'!P1613</f>
        <v>285000</v>
      </c>
      <c r="F1523" s="130">
        <f t="shared" si="60"/>
        <v>0</v>
      </c>
      <c r="H1523" s="74">
        <f>'12-2017'!H1613</f>
        <v>0</v>
      </c>
      <c r="I1523" s="74">
        <f>'12-2017'!I1613</f>
        <v>0</v>
      </c>
      <c r="J1523" s="74">
        <f>'12-2017'!J1613</f>
        <v>0</v>
      </c>
    </row>
    <row r="1524" spans="1:10" s="58" customFormat="1" ht="17.25" hidden="1">
      <c r="A1524" s="10">
        <f>'12-2017'!A1614</f>
        <v>2</v>
      </c>
      <c r="B1524" s="11" t="str">
        <f>'12-2017'!B1614</f>
        <v>Biến thế đổi điện 1 pha: Biến thế 600VA (dây Nhôm)</v>
      </c>
      <c r="C1524" s="12" t="str">
        <f>'12-2017'!C1614</f>
        <v>đ/cái</v>
      </c>
      <c r="D1524" s="13">
        <f>'12-2017'!O1614</f>
        <v>370000</v>
      </c>
      <c r="E1524" s="13">
        <f>'12-2017'!P1614</f>
        <v>370000</v>
      </c>
      <c r="F1524" s="130">
        <f t="shared" si="60"/>
        <v>0</v>
      </c>
      <c r="H1524" s="74">
        <f>'12-2017'!H1614</f>
        <v>0</v>
      </c>
      <c r="I1524" s="74">
        <f>'12-2017'!I1614</f>
        <v>0</v>
      </c>
      <c r="J1524" s="74">
        <f>'12-2017'!J1614</f>
        <v>0</v>
      </c>
    </row>
    <row r="1525" spans="1:10" s="58" customFormat="1" ht="17.25" hidden="1">
      <c r="A1525" s="10">
        <f>'12-2017'!A1615</f>
        <v>3</v>
      </c>
      <c r="B1525" s="11" t="str">
        <f>'12-2017'!B1615</f>
        <v>Biến thế đổi điện 1 pha: Biến thế 1KVA (dây Nhôm)</v>
      </c>
      <c r="C1525" s="12" t="str">
        <f>'12-2017'!C1615</f>
        <v>đ/cái</v>
      </c>
      <c r="D1525" s="13">
        <f>'12-2017'!O1615</f>
        <v>530000</v>
      </c>
      <c r="E1525" s="13">
        <f>'12-2017'!P1615</f>
        <v>530000</v>
      </c>
      <c r="F1525" s="130">
        <f t="shared" si="60"/>
        <v>0</v>
      </c>
      <c r="H1525" s="74">
        <f>'12-2017'!H1615</f>
        <v>0</v>
      </c>
      <c r="I1525" s="74">
        <f>'12-2017'!I1615</f>
        <v>0</v>
      </c>
      <c r="J1525" s="74">
        <f>'12-2017'!J1615</f>
        <v>0</v>
      </c>
    </row>
    <row r="1526" spans="1:10" s="73" customFormat="1" ht="17.25" hidden="1">
      <c r="A1526" s="17"/>
      <c r="B1526" s="9" t="str">
        <f>'12-2017'!B1616</f>
        <v>Dây và cáp điện</v>
      </c>
      <c r="C1526" s="8"/>
      <c r="D1526" s="22"/>
      <c r="E1526" s="22"/>
      <c r="F1526" s="131"/>
      <c r="H1526" s="74">
        <f>'12-2017'!H1616</f>
        <v>0</v>
      </c>
      <c r="I1526" s="74">
        <f>'12-2017'!I1616</f>
        <v>0</v>
      </c>
      <c r="J1526" s="74">
        <f>'12-2017'!J1616</f>
        <v>0</v>
      </c>
    </row>
    <row r="1527" spans="1:10" s="58" customFormat="1" ht="17.25" hidden="1">
      <c r="A1527" s="10">
        <f>'12-2017'!A1617</f>
        <v>1</v>
      </c>
      <c r="B1527" s="11" t="str">
        <f>'12-2017'!B1617</f>
        <v>Dây đơn cứng VC: VCm 0.25</v>
      </c>
      <c r="C1527" s="12" t="str">
        <f>'12-2017'!C1617</f>
        <v>đ/m</v>
      </c>
      <c r="D1527" s="13">
        <f>'12-2017'!O1617</f>
        <v>2010</v>
      </c>
      <c r="E1527" s="13">
        <f>'12-2017'!P1617</f>
        <v>2010</v>
      </c>
      <c r="F1527" s="130">
        <f t="shared" si="60"/>
        <v>0</v>
      </c>
      <c r="H1527" s="74">
        <f>'12-2017'!H1617</f>
        <v>0</v>
      </c>
      <c r="I1527" s="74">
        <f>'12-2017'!I1617</f>
        <v>0</v>
      </c>
      <c r="J1527" s="74">
        <f>'12-2017'!J1617</f>
        <v>0</v>
      </c>
    </row>
    <row r="1528" spans="1:10" s="58" customFormat="1" ht="17.25" hidden="1">
      <c r="A1528" s="10">
        <f>'12-2017'!A1618</f>
        <v>2</v>
      </c>
      <c r="B1528" s="11" t="str">
        <f>'12-2017'!B1618</f>
        <v>Dây đơn cứng VC: VCm 0.5</v>
      </c>
      <c r="C1528" s="12" t="str">
        <f>'12-2017'!C1618</f>
        <v>đ/m</v>
      </c>
      <c r="D1528" s="13">
        <f>'12-2017'!O1618</f>
        <v>4070</v>
      </c>
      <c r="E1528" s="13">
        <f>'12-2017'!P1618</f>
        <v>4070</v>
      </c>
      <c r="F1528" s="130">
        <f t="shared" si="60"/>
        <v>0</v>
      </c>
      <c r="H1528" s="74">
        <f>'12-2017'!H1618</f>
        <v>0</v>
      </c>
      <c r="I1528" s="74">
        <f>'12-2017'!I1618</f>
        <v>0</v>
      </c>
      <c r="J1528" s="74">
        <f>'12-2017'!J1618</f>
        <v>0</v>
      </c>
    </row>
    <row r="1529" spans="1:10" s="58" customFormat="1" ht="17.25" hidden="1">
      <c r="A1529" s="10">
        <f>'12-2017'!A1619</f>
        <v>3</v>
      </c>
      <c r="B1529" s="11" t="str">
        <f>'12-2017'!B1619</f>
        <v>Dây đơn cứng VC: VCm 0.75</v>
      </c>
      <c r="C1529" s="12" t="str">
        <f>'12-2017'!C1619</f>
        <v>đ/m</v>
      </c>
      <c r="D1529" s="13">
        <f>'12-2017'!O1619</f>
        <v>5820</v>
      </c>
      <c r="E1529" s="13">
        <f>'12-2017'!P1619</f>
        <v>5820</v>
      </c>
      <c r="F1529" s="130">
        <f t="shared" si="60"/>
        <v>0</v>
      </c>
      <c r="H1529" s="74">
        <f>'12-2017'!H1619</f>
        <v>0</v>
      </c>
      <c r="I1529" s="74">
        <f>'12-2017'!I1619</f>
        <v>0</v>
      </c>
      <c r="J1529" s="74">
        <f>'12-2017'!J1619</f>
        <v>0</v>
      </c>
    </row>
    <row r="1530" spans="1:10" s="58" customFormat="1" ht="17.25" hidden="1">
      <c r="A1530" s="10">
        <f>'12-2017'!A1620</f>
        <v>4</v>
      </c>
      <c r="B1530" s="11" t="str">
        <f>'12-2017'!B1620</f>
        <v>Dây đơn cứng VC: VCm 1.0</v>
      </c>
      <c r="C1530" s="12" t="str">
        <f>'12-2017'!C1620</f>
        <v>đ/m</v>
      </c>
      <c r="D1530" s="13">
        <f>'12-2017'!O1620</f>
        <v>9940</v>
      </c>
      <c r="E1530" s="13">
        <f>'12-2017'!P1620</f>
        <v>9940</v>
      </c>
      <c r="F1530" s="130">
        <f t="shared" si="60"/>
        <v>0</v>
      </c>
      <c r="H1530" s="74">
        <f>'12-2017'!H1620</f>
        <v>0</v>
      </c>
      <c r="I1530" s="74">
        <f>'12-2017'!I1620</f>
        <v>0</v>
      </c>
      <c r="J1530" s="74">
        <f>'12-2017'!J1620</f>
        <v>0</v>
      </c>
    </row>
    <row r="1531" spans="1:10" s="58" customFormat="1" ht="17.25" hidden="1">
      <c r="A1531" s="10">
        <f>'12-2017'!A1621</f>
        <v>5</v>
      </c>
      <c r="B1531" s="11" t="str">
        <f>'12-2017'!B1621</f>
        <v>Dây đơn mềm VCm: VCm 0.25</v>
      </c>
      <c r="C1531" s="12" t="str">
        <f>'12-2017'!C1621</f>
        <v>đ/m</v>
      </c>
      <c r="D1531" s="13">
        <f>'12-2017'!O1621</f>
        <v>700</v>
      </c>
      <c r="E1531" s="13">
        <f>'12-2017'!P1621</f>
        <v>700</v>
      </c>
      <c r="F1531" s="130">
        <f t="shared" si="60"/>
        <v>0</v>
      </c>
      <c r="H1531" s="74">
        <f>'12-2017'!H1621</f>
        <v>0</v>
      </c>
      <c r="I1531" s="74">
        <f>'12-2017'!I1621</f>
        <v>0</v>
      </c>
      <c r="J1531" s="74">
        <f>'12-2017'!J1621</f>
        <v>0</v>
      </c>
    </row>
    <row r="1532" spans="1:10" s="58" customFormat="1" ht="17.25" hidden="1">
      <c r="A1532" s="10">
        <f>'12-2017'!A1622</f>
        <v>6</v>
      </c>
      <c r="B1532" s="11" t="str">
        <f>'12-2017'!B1622</f>
        <v>Dây đơn mềm VCm: VCm 0.5</v>
      </c>
      <c r="C1532" s="12" t="str">
        <f>'12-2017'!C1622</f>
        <v>đ/m</v>
      </c>
      <c r="D1532" s="13">
        <f>'12-2017'!O1622</f>
        <v>1240</v>
      </c>
      <c r="E1532" s="13">
        <f>'12-2017'!P1622</f>
        <v>1240</v>
      </c>
      <c r="F1532" s="130">
        <f t="shared" si="60"/>
        <v>0</v>
      </c>
      <c r="H1532" s="74">
        <f>'12-2017'!H1622</f>
        <v>0</v>
      </c>
      <c r="I1532" s="74">
        <f>'12-2017'!I1622</f>
        <v>0</v>
      </c>
      <c r="J1532" s="74">
        <f>'12-2017'!J1622</f>
        <v>0</v>
      </c>
    </row>
    <row r="1533" spans="1:10" s="58" customFormat="1" ht="17.25" hidden="1">
      <c r="A1533" s="10">
        <f>'12-2017'!A1623</f>
        <v>7</v>
      </c>
      <c r="B1533" s="11" t="str">
        <f>'12-2017'!B1623</f>
        <v>Dây đơn mềm VCm: VCm 0.75</v>
      </c>
      <c r="C1533" s="12" t="str">
        <f>'12-2017'!C1623</f>
        <v>đ/m</v>
      </c>
      <c r="D1533" s="13">
        <f>'12-2017'!O1623</f>
        <v>1640</v>
      </c>
      <c r="E1533" s="13">
        <f>'12-2017'!P1623</f>
        <v>1640</v>
      </c>
      <c r="F1533" s="130">
        <f t="shared" si="60"/>
        <v>0</v>
      </c>
      <c r="H1533" s="74">
        <f>'12-2017'!H1623</f>
        <v>0</v>
      </c>
      <c r="I1533" s="74">
        <f>'12-2017'!I1623</f>
        <v>0</v>
      </c>
      <c r="J1533" s="74">
        <f>'12-2017'!J1623</f>
        <v>0</v>
      </c>
    </row>
    <row r="1534" spans="1:10" s="58" customFormat="1" ht="17.25" hidden="1">
      <c r="A1534" s="10">
        <f>'12-2017'!A1624</f>
        <v>8</v>
      </c>
      <c r="B1534" s="11" t="str">
        <f>'12-2017'!B1624</f>
        <v>Dây đơn mềm VCm: VCm 1.0</v>
      </c>
      <c r="C1534" s="12" t="str">
        <f>'12-2017'!C1624</f>
        <v>đ/m</v>
      </c>
      <c r="D1534" s="13">
        <f>'12-2017'!O1624</f>
        <v>2090</v>
      </c>
      <c r="E1534" s="13">
        <f>'12-2017'!P1624</f>
        <v>2090</v>
      </c>
      <c r="F1534" s="130">
        <f t="shared" si="60"/>
        <v>0</v>
      </c>
      <c r="H1534" s="74">
        <f>'12-2017'!H1624</f>
        <v>0</v>
      </c>
      <c r="I1534" s="74">
        <f>'12-2017'!I1624</f>
        <v>0</v>
      </c>
      <c r="J1534" s="74">
        <f>'12-2017'!J1624</f>
        <v>0</v>
      </c>
    </row>
    <row r="1535" spans="1:10" s="58" customFormat="1" ht="17.25" hidden="1">
      <c r="A1535" s="10">
        <f>'12-2017'!A1625</f>
        <v>9</v>
      </c>
      <c r="B1535" s="11" t="str">
        <f>'12-2017'!B1625</f>
        <v>Dây đôi mềm VCm 2x: VCm 2x0.25</v>
      </c>
      <c r="C1535" s="12" t="str">
        <f>'12-2017'!C1625</f>
        <v>đ/m</v>
      </c>
      <c r="D1535" s="13">
        <f>'12-2017'!O1625</f>
        <v>1480</v>
      </c>
      <c r="E1535" s="13">
        <f>'12-2017'!P1625</f>
        <v>1480</v>
      </c>
      <c r="F1535" s="130">
        <f t="shared" si="60"/>
        <v>0</v>
      </c>
      <c r="H1535" s="74">
        <f>'12-2017'!H1625</f>
        <v>0</v>
      </c>
      <c r="I1535" s="74">
        <f>'12-2017'!I1625</f>
        <v>0</v>
      </c>
      <c r="J1535" s="74">
        <f>'12-2017'!J1625</f>
        <v>0</v>
      </c>
    </row>
    <row r="1536" spans="1:10" s="58" customFormat="1" ht="17.25" hidden="1">
      <c r="A1536" s="10">
        <f>'12-2017'!A1626</f>
        <v>10</v>
      </c>
      <c r="B1536" s="11" t="str">
        <f>'12-2017'!B1626</f>
        <v>Dây đôi mềm VCm 2x: VCm 2x0.5</v>
      </c>
      <c r="C1536" s="12" t="str">
        <f>'12-2017'!C1626</f>
        <v>đ/m</v>
      </c>
      <c r="D1536" s="13">
        <f>'12-2017'!O1626</f>
        <v>2330</v>
      </c>
      <c r="E1536" s="13">
        <f>'12-2017'!P1626</f>
        <v>2330</v>
      </c>
      <c r="F1536" s="130">
        <f t="shared" si="60"/>
        <v>0</v>
      </c>
      <c r="H1536" s="74">
        <f>'12-2017'!H1626</f>
        <v>0</v>
      </c>
      <c r="I1536" s="74">
        <f>'12-2017'!I1626</f>
        <v>0</v>
      </c>
      <c r="J1536" s="74">
        <f>'12-2017'!J1626</f>
        <v>0</v>
      </c>
    </row>
    <row r="1537" spans="1:10" s="58" customFormat="1" ht="17.25" hidden="1">
      <c r="A1537" s="10">
        <f>'12-2017'!A1627</f>
        <v>11</v>
      </c>
      <c r="B1537" s="11" t="str">
        <f>'12-2017'!B1627</f>
        <v>Dây đôi mềm VCm 2x: VCm 2x0.75</v>
      </c>
      <c r="C1537" s="12" t="str">
        <f>'12-2017'!C1627</f>
        <v>đ/m</v>
      </c>
      <c r="D1537" s="13">
        <f>'12-2017'!O1627</f>
        <v>3290</v>
      </c>
      <c r="E1537" s="13">
        <f>'12-2017'!P1627</f>
        <v>3290</v>
      </c>
      <c r="F1537" s="130">
        <f t="shared" si="60"/>
        <v>0</v>
      </c>
      <c r="H1537" s="74">
        <f>'12-2017'!H1627</f>
        <v>0</v>
      </c>
      <c r="I1537" s="74">
        <f>'12-2017'!I1627</f>
        <v>0</v>
      </c>
      <c r="J1537" s="74">
        <f>'12-2017'!J1627</f>
        <v>0</v>
      </c>
    </row>
    <row r="1538" spans="1:10" s="58" customFormat="1" ht="17.25" hidden="1">
      <c r="A1538" s="10">
        <f>'12-2017'!A1628</f>
        <v>12</v>
      </c>
      <c r="B1538" s="11" t="str">
        <f>'12-2017'!B1628</f>
        <v>Dây đôi mềm VCm 2x: VCm 2x1.0</v>
      </c>
      <c r="C1538" s="12" t="str">
        <f>'12-2017'!C1628</f>
        <v>đ/m</v>
      </c>
      <c r="D1538" s="13">
        <f>'12-2017'!O1628</f>
        <v>4220</v>
      </c>
      <c r="E1538" s="13">
        <f>'12-2017'!P1628</f>
        <v>4220</v>
      </c>
      <c r="F1538" s="130">
        <f t="shared" si="60"/>
        <v>0</v>
      </c>
      <c r="H1538" s="74">
        <f>'12-2017'!H1628</f>
        <v>0</v>
      </c>
      <c r="I1538" s="74">
        <f>'12-2017'!I1628</f>
        <v>0</v>
      </c>
      <c r="J1538" s="74">
        <f>'12-2017'!J1628</f>
        <v>0</v>
      </c>
    </row>
    <row r="1539" spans="1:10" s="73" customFormat="1" ht="17.25" hidden="1">
      <c r="A1539" s="17"/>
      <c r="B1539" s="9" t="str">
        <f>'12-2017'!B1629</f>
        <v>Bóng đèn Compact ROBOT</v>
      </c>
      <c r="C1539" s="8"/>
      <c r="D1539" s="22"/>
      <c r="E1539" s="22"/>
      <c r="F1539" s="131"/>
      <c r="H1539" s="74">
        <f>'12-2017'!H1629</f>
        <v>0</v>
      </c>
      <c r="I1539" s="74">
        <f>'12-2017'!I1629</f>
        <v>0</v>
      </c>
      <c r="J1539" s="74">
        <f>'12-2017'!J1629</f>
        <v>0</v>
      </c>
    </row>
    <row r="1540" spans="1:10" s="58" customFormat="1" ht="17.25" hidden="1">
      <c r="A1540" s="10">
        <f>'12-2017'!A1630</f>
        <v>1</v>
      </c>
      <c r="B1540" s="11" t="str">
        <f>'12-2017'!B1630</f>
        <v>COMPACT 2U: 11W đến 13 W</v>
      </c>
      <c r="C1540" s="12" t="str">
        <f>'12-2017'!C1630</f>
        <v>đ/cái</v>
      </c>
      <c r="D1540" s="13">
        <f>'12-2017'!O1630</f>
        <v>31000</v>
      </c>
      <c r="E1540" s="13">
        <f>'12-2017'!P1630</f>
        <v>31000</v>
      </c>
      <c r="F1540" s="130">
        <f t="shared" si="60"/>
        <v>0</v>
      </c>
      <c r="H1540" s="74">
        <f>'12-2017'!H1630</f>
        <v>0</v>
      </c>
      <c r="I1540" s="74">
        <f>'12-2017'!I1630</f>
        <v>0</v>
      </c>
      <c r="J1540" s="74">
        <f>'12-2017'!J1630</f>
        <v>0</v>
      </c>
    </row>
    <row r="1541" spans="1:10" s="58" customFormat="1" ht="17.25" hidden="1">
      <c r="A1541" s="10">
        <f>'12-2017'!A1631</f>
        <v>2</v>
      </c>
      <c r="B1541" s="11" t="str">
        <f>'12-2017'!B1631</f>
        <v>COMPACT 3U: 14W</v>
      </c>
      <c r="C1541" s="12" t="str">
        <f>'12-2017'!C1631</f>
        <v>đ/cái</v>
      </c>
      <c r="D1541" s="13">
        <f>'12-2017'!O1631</f>
        <v>35500</v>
      </c>
      <c r="E1541" s="13">
        <f>'12-2017'!P1631</f>
        <v>35500</v>
      </c>
      <c r="F1541" s="130">
        <f t="shared" si="60"/>
        <v>0</v>
      </c>
      <c r="H1541" s="74">
        <f>'12-2017'!H1631</f>
        <v>0</v>
      </c>
      <c r="I1541" s="74">
        <f>'12-2017'!I1631</f>
        <v>0</v>
      </c>
      <c r="J1541" s="74">
        <f>'12-2017'!J1631</f>
        <v>0</v>
      </c>
    </row>
    <row r="1542" spans="1:10" s="58" customFormat="1" ht="17.25" hidden="1">
      <c r="A1542" s="10">
        <f>'12-2017'!A1632</f>
        <v>3</v>
      </c>
      <c r="B1542" s="11" t="str">
        <f>'12-2017'!B1632</f>
        <v>COMPACT 3U: 18W</v>
      </c>
      <c r="C1542" s="12" t="str">
        <f>'12-2017'!C1632</f>
        <v>đ/cái</v>
      </c>
      <c r="D1542" s="13">
        <f>'12-2017'!O1632</f>
        <v>40500</v>
      </c>
      <c r="E1542" s="13">
        <f>'12-2017'!P1632</f>
        <v>40500</v>
      </c>
      <c r="F1542" s="130">
        <f t="shared" si="60"/>
        <v>0</v>
      </c>
      <c r="H1542" s="74">
        <f>'12-2017'!H1632</f>
        <v>0</v>
      </c>
      <c r="I1542" s="74">
        <f>'12-2017'!I1632</f>
        <v>0</v>
      </c>
      <c r="J1542" s="74">
        <f>'12-2017'!J1632</f>
        <v>0</v>
      </c>
    </row>
    <row r="1543" spans="1:10" s="58" customFormat="1" ht="17.25" hidden="1">
      <c r="A1543" s="10">
        <f>'12-2017'!A1633</f>
        <v>4</v>
      </c>
      <c r="B1543" s="11" t="str">
        <f>'12-2017'!B1633</f>
        <v>COMPACT 3U: 20W</v>
      </c>
      <c r="C1543" s="12" t="str">
        <f>'12-2017'!C1633</f>
        <v>đ/cái</v>
      </c>
      <c r="D1543" s="13">
        <f>'12-2017'!O1633</f>
        <v>41000</v>
      </c>
      <c r="E1543" s="13">
        <f>'12-2017'!P1633</f>
        <v>41000</v>
      </c>
      <c r="F1543" s="130">
        <f t="shared" si="60"/>
        <v>0</v>
      </c>
      <c r="H1543" s="74">
        <f>'12-2017'!H1633</f>
        <v>0</v>
      </c>
      <c r="I1543" s="74">
        <f>'12-2017'!I1633</f>
        <v>0</v>
      </c>
      <c r="J1543" s="74">
        <f>'12-2017'!J1633</f>
        <v>0</v>
      </c>
    </row>
    <row r="1544" spans="1:10" s="58" customFormat="1" ht="17.25" hidden="1">
      <c r="A1544" s="10">
        <f>'12-2017'!A1634</f>
        <v>5</v>
      </c>
      <c r="B1544" s="11" t="str">
        <f>'12-2017'!B1634</f>
        <v>COMPACT XOẮN: X-7W</v>
      </c>
      <c r="C1544" s="12" t="str">
        <f>'12-2017'!C1634</f>
        <v>đ/cái</v>
      </c>
      <c r="D1544" s="13">
        <f>'12-2017'!O1634</f>
        <v>36500</v>
      </c>
      <c r="E1544" s="13">
        <f>'12-2017'!P1634</f>
        <v>36500</v>
      </c>
      <c r="F1544" s="130">
        <f t="shared" si="60"/>
        <v>0</v>
      </c>
      <c r="H1544" s="74">
        <f>'12-2017'!H1634</f>
        <v>0</v>
      </c>
      <c r="I1544" s="74">
        <f>'12-2017'!I1634</f>
        <v>0</v>
      </c>
      <c r="J1544" s="74">
        <f>'12-2017'!J1634</f>
        <v>0</v>
      </c>
    </row>
    <row r="1545" spans="1:10" s="58" customFormat="1" ht="17.25" hidden="1">
      <c r="A1545" s="10">
        <f>'12-2017'!A1635</f>
        <v>6</v>
      </c>
      <c r="B1545" s="11" t="str">
        <f>'12-2017'!B1635</f>
        <v>COMPACT XOẮN: X-11W</v>
      </c>
      <c r="C1545" s="12" t="str">
        <f>'12-2017'!C1635</f>
        <v>đ/cái</v>
      </c>
      <c r="D1545" s="13">
        <f>'12-2017'!O1635</f>
        <v>37000</v>
      </c>
      <c r="E1545" s="13">
        <f>'12-2017'!P1635</f>
        <v>37000</v>
      </c>
      <c r="F1545" s="130">
        <f t="shared" si="60"/>
        <v>0</v>
      </c>
      <c r="H1545" s="74">
        <f>'12-2017'!H1635</f>
        <v>0</v>
      </c>
      <c r="I1545" s="74">
        <f>'12-2017'!I1635</f>
        <v>0</v>
      </c>
      <c r="J1545" s="74">
        <f>'12-2017'!J1635</f>
        <v>0</v>
      </c>
    </row>
    <row r="1546" spans="1:10" s="58" customFormat="1" ht="17.25" hidden="1">
      <c r="A1546" s="10">
        <f>'12-2017'!A1636</f>
        <v>7</v>
      </c>
      <c r="B1546" s="11" t="str">
        <f>'12-2017'!B1636</f>
        <v>Bóng chống ẩm ROBOT: 20W</v>
      </c>
      <c r="C1546" s="12" t="str">
        <f>'12-2017'!C1636</f>
        <v>đ/cái</v>
      </c>
      <c r="D1546" s="13">
        <f>'12-2017'!O1636</f>
        <v>45500</v>
      </c>
      <c r="E1546" s="13">
        <f>'12-2017'!P1636</f>
        <v>45500</v>
      </c>
      <c r="F1546" s="130">
        <f t="shared" si="60"/>
        <v>0</v>
      </c>
      <c r="H1546" s="74">
        <f>'12-2017'!H1636</f>
        <v>0</v>
      </c>
      <c r="I1546" s="74">
        <f>'12-2017'!I1636</f>
        <v>0</v>
      </c>
      <c r="J1546" s="74">
        <f>'12-2017'!J1636</f>
        <v>0</v>
      </c>
    </row>
    <row r="1547" spans="1:10" s="58" customFormat="1" ht="17.25" hidden="1">
      <c r="A1547" s="10">
        <f>'12-2017'!A1637</f>
        <v>0</v>
      </c>
      <c r="B1547" s="11" t="str">
        <f>'12-2017'!B1637</f>
        <v>Ổ cắm công tắc âm tường</v>
      </c>
      <c r="C1547" s="12">
        <f>'12-2017'!C1637</f>
        <v>0</v>
      </c>
      <c r="D1547" s="13">
        <f>'12-2017'!O1637</f>
        <v>0</v>
      </c>
      <c r="E1547" s="13">
        <f>'12-2017'!P1637</f>
        <v>0</v>
      </c>
      <c r="F1547" s="130">
        <f t="shared" si="60"/>
        <v>0</v>
      </c>
      <c r="H1547" s="74">
        <f>'12-2017'!H1637</f>
        <v>0</v>
      </c>
      <c r="I1547" s="74">
        <f>'12-2017'!I1637</f>
        <v>0</v>
      </c>
      <c r="J1547" s="74">
        <f>'12-2017'!J1637</f>
        <v>0</v>
      </c>
    </row>
    <row r="1548" spans="1:10" s="58" customFormat="1" ht="17.25" hidden="1">
      <c r="A1548" s="10">
        <f>'12-2017'!A1638</f>
        <v>1</v>
      </c>
      <c r="B1548" s="11" t="str">
        <f>'12-2017'!B1638</f>
        <v>Sản phẩm nguyên bộ: GS1</v>
      </c>
      <c r="C1548" s="12" t="str">
        <f>'12-2017'!C1638</f>
        <v>đ/bộ</v>
      </c>
      <c r="D1548" s="13">
        <f>'12-2017'!O1638</f>
        <v>37000</v>
      </c>
      <c r="E1548" s="13">
        <f>'12-2017'!P1638</f>
        <v>37000</v>
      </c>
      <c r="F1548" s="130">
        <f t="shared" si="60"/>
        <v>0</v>
      </c>
      <c r="H1548" s="74">
        <f>'12-2017'!H1638</f>
        <v>0</v>
      </c>
      <c r="I1548" s="74">
        <f>'12-2017'!I1638</f>
        <v>0</v>
      </c>
      <c r="J1548" s="74">
        <f>'12-2017'!J1638</f>
        <v>0</v>
      </c>
    </row>
    <row r="1549" spans="1:10" s="58" customFormat="1" ht="17.25" hidden="1">
      <c r="A1549" s="10">
        <f>'12-2017'!A1639</f>
        <v>2</v>
      </c>
      <c r="B1549" s="11" t="str">
        <f>'12-2017'!B1639</f>
        <v>Sản phẩm nguyên bộ: GS2</v>
      </c>
      <c r="C1549" s="12" t="str">
        <f>'12-2017'!C1639</f>
        <v>đ/bộ</v>
      </c>
      <c r="D1549" s="13">
        <f>'12-2017'!O1639</f>
        <v>36000</v>
      </c>
      <c r="E1549" s="13">
        <f>'12-2017'!P1639</f>
        <v>36000</v>
      </c>
      <c r="F1549" s="130">
        <f t="shared" si="60"/>
        <v>0</v>
      </c>
      <c r="H1549" s="74">
        <f>'12-2017'!H1639</f>
        <v>0</v>
      </c>
      <c r="I1549" s="74">
        <f>'12-2017'!I1639</f>
        <v>0</v>
      </c>
      <c r="J1549" s="74">
        <f>'12-2017'!J1639</f>
        <v>0</v>
      </c>
    </row>
    <row r="1550" spans="1:10" s="58" customFormat="1" ht="17.25" hidden="1">
      <c r="A1550" s="10">
        <f>'12-2017'!A1640</f>
        <v>3</v>
      </c>
      <c r="B1550" s="11" t="str">
        <f>'12-2017'!B1640</f>
        <v>Sản phẩm nguyên bộ: GS3-1</v>
      </c>
      <c r="C1550" s="12" t="str">
        <f>'12-2017'!C1640</f>
        <v>đ/bộ</v>
      </c>
      <c r="D1550" s="13">
        <f>'12-2017'!O1640</f>
        <v>33000</v>
      </c>
      <c r="E1550" s="13">
        <f>'12-2017'!P1640</f>
        <v>33000</v>
      </c>
      <c r="F1550" s="130">
        <f t="shared" si="60"/>
        <v>0</v>
      </c>
      <c r="H1550" s="74">
        <f>'12-2017'!H1640</f>
        <v>0</v>
      </c>
      <c r="I1550" s="74">
        <f>'12-2017'!I1640</f>
        <v>0</v>
      </c>
      <c r="J1550" s="74">
        <f>'12-2017'!J1640</f>
        <v>0</v>
      </c>
    </row>
    <row r="1551" spans="1:10" s="58" customFormat="1" ht="17.25" hidden="1">
      <c r="A1551" s="10">
        <f>'12-2017'!A1641</f>
        <v>4</v>
      </c>
      <c r="B1551" s="11" t="str">
        <f>'12-2017'!B1641</f>
        <v xml:space="preserve">Sản phẩm linh kiện rời: GP1 </v>
      </c>
      <c r="C1551" s="12" t="str">
        <f>'12-2017'!C1641</f>
        <v>đ/bộ</v>
      </c>
      <c r="D1551" s="13">
        <f>'12-2017'!O1641</f>
        <v>12000</v>
      </c>
      <c r="E1551" s="13">
        <f>'12-2017'!P1641</f>
        <v>12000</v>
      </c>
      <c r="F1551" s="130">
        <f t="shared" si="60"/>
        <v>0</v>
      </c>
      <c r="H1551" s="74">
        <f>'12-2017'!H1641</f>
        <v>0</v>
      </c>
      <c r="I1551" s="74">
        <f>'12-2017'!I1641</f>
        <v>0</v>
      </c>
      <c r="J1551" s="74">
        <f>'12-2017'!J1641</f>
        <v>0</v>
      </c>
    </row>
    <row r="1552" spans="1:10" s="58" customFormat="1" ht="17.25" hidden="1">
      <c r="A1552" s="10">
        <f>'12-2017'!A1642</f>
        <v>5</v>
      </c>
      <c r="B1552" s="11" t="str">
        <f>'12-2017'!B1642</f>
        <v>Sản phẩm linh kiện rời: GP3</v>
      </c>
      <c r="C1552" s="12" t="str">
        <f>'12-2017'!C1642</f>
        <v>đ/bộ</v>
      </c>
      <c r="D1552" s="13">
        <f>'12-2017'!O1642</f>
        <v>12000</v>
      </c>
      <c r="E1552" s="13">
        <f>'12-2017'!P1642</f>
        <v>12000</v>
      </c>
      <c r="F1552" s="130">
        <f t="shared" si="60"/>
        <v>0</v>
      </c>
      <c r="H1552" s="74">
        <f>'12-2017'!H1642</f>
        <v>0</v>
      </c>
      <c r="I1552" s="74">
        <f>'12-2017'!I1642</f>
        <v>0</v>
      </c>
      <c r="J1552" s="74">
        <f>'12-2017'!J1642</f>
        <v>0</v>
      </c>
    </row>
    <row r="1553" spans="1:10" s="58" customFormat="1" ht="17.25" hidden="1">
      <c r="A1553" s="10">
        <f>'12-2017'!A1643</f>
        <v>6</v>
      </c>
      <c r="B1553" s="11" t="str">
        <f>'12-2017'!B1643</f>
        <v>Sản phẩm linh kiện rời: GP6</v>
      </c>
      <c r="C1553" s="12" t="str">
        <f>'12-2017'!C1643</f>
        <v>đ/bộ</v>
      </c>
      <c r="D1553" s="13">
        <f>'12-2017'!O1643</f>
        <v>14000</v>
      </c>
      <c r="E1553" s="13">
        <f>'12-2017'!P1643</f>
        <v>14000</v>
      </c>
      <c r="F1553" s="130">
        <f t="shared" si="60"/>
        <v>0</v>
      </c>
      <c r="H1553" s="74">
        <f>'12-2017'!H1643</f>
        <v>0</v>
      </c>
      <c r="I1553" s="74">
        <f>'12-2017'!I1643</f>
        <v>0</v>
      </c>
      <c r="J1553" s="74">
        <f>'12-2017'!J1643</f>
        <v>0</v>
      </c>
    </row>
    <row r="1554" spans="1:10" s="73" customFormat="1" ht="17.25" hidden="1">
      <c r="A1554" s="17"/>
      <c r="B1554" s="9" t="str">
        <f>'12-2017'!B1644</f>
        <v>Ổ cắm nối dài</v>
      </c>
      <c r="C1554" s="8"/>
      <c r="D1554" s="22"/>
      <c r="E1554" s="22"/>
      <c r="F1554" s="131"/>
      <c r="H1554" s="74">
        <f>'12-2017'!H1644</f>
        <v>0</v>
      </c>
      <c r="I1554" s="74">
        <f>'12-2017'!I1644</f>
        <v>0</v>
      </c>
      <c r="J1554" s="74">
        <f>'12-2017'!J1644</f>
        <v>0</v>
      </c>
    </row>
    <row r="1555" spans="1:10" s="58" customFormat="1" ht="17.25" hidden="1">
      <c r="A1555" s="10">
        <f>'12-2017'!A1645</f>
        <v>1</v>
      </c>
      <c r="B1555" s="11" t="str">
        <f>'12-2017'!B1645</f>
        <v>Model Special 2S5: 2S5D3</v>
      </c>
      <c r="C1555" s="12" t="str">
        <f>'12-2017'!C1645</f>
        <v xml:space="preserve">đ/cái </v>
      </c>
      <c r="D1555" s="13">
        <f>'12-2017'!O1645</f>
        <v>81000</v>
      </c>
      <c r="E1555" s="13">
        <f>'12-2017'!P1645</f>
        <v>81000</v>
      </c>
      <c r="F1555" s="130">
        <f>E1555-D1555</f>
        <v>0</v>
      </c>
      <c r="H1555" s="74">
        <f>'12-2017'!H1645</f>
        <v>0</v>
      </c>
      <c r="I1555" s="74">
        <f>'12-2017'!I1645</f>
        <v>0</v>
      </c>
      <c r="J1555" s="74">
        <f>'12-2017'!J1645</f>
        <v>0</v>
      </c>
    </row>
    <row r="1556" spans="1:10" s="58" customFormat="1" ht="17.25" hidden="1">
      <c r="A1556" s="10">
        <f>'12-2017'!A1646</f>
        <v>2</v>
      </c>
      <c r="B1556" s="11" t="str">
        <f>'12-2017'!B1646</f>
        <v>Model Special 2S5: 2S5D5</v>
      </c>
      <c r="C1556" s="12" t="str">
        <f>'12-2017'!C1646</f>
        <v xml:space="preserve">đ/cái </v>
      </c>
      <c r="D1556" s="13">
        <f>'12-2017'!O1646</f>
        <v>100000</v>
      </c>
      <c r="E1556" s="13">
        <f>'12-2017'!P1646</f>
        <v>100000</v>
      </c>
      <c r="F1556" s="130">
        <f>E1556-D1556</f>
        <v>0</v>
      </c>
      <c r="H1556" s="74">
        <f>'12-2017'!H1646</f>
        <v>0</v>
      </c>
      <c r="I1556" s="74">
        <f>'12-2017'!I1646</f>
        <v>0</v>
      </c>
      <c r="J1556" s="74">
        <f>'12-2017'!J1646</f>
        <v>0</v>
      </c>
    </row>
    <row r="1557" spans="1:10" s="58" customFormat="1" ht="17.25" hidden="1">
      <c r="A1557" s="10">
        <f>'12-2017'!A1647</f>
        <v>3</v>
      </c>
      <c r="B1557" s="11" t="str">
        <f>'12-2017'!B1647</f>
        <v>Model Special 2S5: 2S5T3</v>
      </c>
      <c r="C1557" s="12" t="str">
        <f>'12-2017'!C1647</f>
        <v xml:space="preserve">đ/cái </v>
      </c>
      <c r="D1557" s="13">
        <f>'12-2017'!O1647</f>
        <v>83000</v>
      </c>
      <c r="E1557" s="13">
        <f>'12-2017'!P1647</f>
        <v>83000</v>
      </c>
      <c r="F1557" s="130">
        <f>E1557-D1557</f>
        <v>0</v>
      </c>
      <c r="H1557" s="74">
        <f>'12-2017'!H1647</f>
        <v>0</v>
      </c>
      <c r="I1557" s="74">
        <f>'12-2017'!I1647</f>
        <v>0</v>
      </c>
      <c r="J1557" s="74">
        <f>'12-2017'!J1647</f>
        <v>0</v>
      </c>
    </row>
    <row r="1558" spans="1:10" s="73" customFormat="1" ht="17.25" hidden="1">
      <c r="A1558" s="17"/>
      <c r="B1558" s="9" t="str">
        <f>'12-2017'!B1648</f>
        <v xml:space="preserve"> Máy bơm nước</v>
      </c>
      <c r="C1558" s="8"/>
      <c r="D1558" s="22"/>
      <c r="E1558" s="22"/>
      <c r="F1558" s="131"/>
      <c r="H1558" s="74">
        <f>'12-2017'!H1648</f>
        <v>0</v>
      </c>
      <c r="I1558" s="74">
        <f>'12-2017'!I1648</f>
        <v>0</v>
      </c>
      <c r="J1558" s="74">
        <f>'12-2017'!J1648</f>
        <v>0</v>
      </c>
    </row>
    <row r="1559" spans="1:10" s="58" customFormat="1" ht="17.25" hidden="1">
      <c r="A1559" s="10">
        <f>'12-2017'!A1649</f>
        <v>1</v>
      </c>
      <c r="B1559" s="11" t="str">
        <f>'12-2017'!B1649</f>
        <v>Bơm đẩy cao: RB - 125A (Công suất: 125W)</v>
      </c>
      <c r="C1559" s="12" t="str">
        <f>'12-2017'!C1649</f>
        <v xml:space="preserve">đ/cái </v>
      </c>
      <c r="D1559" s="13">
        <f>'12-2017'!O1649</f>
        <v>1250000</v>
      </c>
      <c r="E1559" s="13">
        <f>'12-2017'!P1649</f>
        <v>1250000</v>
      </c>
      <c r="F1559" s="130">
        <f>E1559-D1559</f>
        <v>0</v>
      </c>
      <c r="H1559" s="74">
        <f>'12-2017'!H1649</f>
        <v>0</v>
      </c>
      <c r="I1559" s="74">
        <f>'12-2017'!I1649</f>
        <v>0</v>
      </c>
      <c r="J1559" s="74">
        <f>'12-2017'!J1649</f>
        <v>0</v>
      </c>
    </row>
    <row r="1560" spans="1:10" s="58" customFormat="1" ht="17.25" hidden="1">
      <c r="A1560" s="10">
        <f>'12-2017'!A1650</f>
        <v>2</v>
      </c>
      <c r="B1560" s="11" t="str">
        <f>'12-2017'!B1650</f>
        <v>Bơm tăng áp tự động: RB - 130 Auto (Công suất: 130w)</v>
      </c>
      <c r="C1560" s="12" t="str">
        <f>'12-2017'!C1650</f>
        <v xml:space="preserve">đ/cái </v>
      </c>
      <c r="D1560" s="13">
        <f>'12-2017'!O1650</f>
        <v>1580000</v>
      </c>
      <c r="E1560" s="13">
        <f>'12-2017'!P1650</f>
        <v>1580000</v>
      </c>
      <c r="F1560" s="130">
        <f>E1560-D1560</f>
        <v>0</v>
      </c>
      <c r="H1560" s="74">
        <f>'12-2017'!H1650</f>
        <v>0</v>
      </c>
      <c r="I1560" s="74">
        <f>'12-2017'!I1650</f>
        <v>0</v>
      </c>
      <c r="J1560" s="74">
        <f>'12-2017'!J1650</f>
        <v>0</v>
      </c>
    </row>
    <row r="1561" spans="1:10" s="58" customFormat="1" ht="17.25" hidden="1">
      <c r="A1561" s="10">
        <f>'12-2017'!A1651</f>
        <v>3</v>
      </c>
      <c r="B1561" s="11" t="str">
        <f>'12-2017'!B1651</f>
        <v>Bơm ly tâm: 1DK-16</v>
      </c>
      <c r="C1561" s="12" t="str">
        <f>'12-2017'!C1651</f>
        <v xml:space="preserve">đ/cái </v>
      </c>
      <c r="D1561" s="13">
        <f>'12-2017'!O1651</f>
        <v>1080000</v>
      </c>
      <c r="E1561" s="13">
        <f>'12-2017'!P1651</f>
        <v>1080000</v>
      </c>
      <c r="F1561" s="130">
        <f>E1561-D1561</f>
        <v>0</v>
      </c>
      <c r="H1561" s="74">
        <f>'12-2017'!H1651</f>
        <v>0</v>
      </c>
      <c r="I1561" s="74">
        <f>'12-2017'!I1651</f>
        <v>0</v>
      </c>
      <c r="J1561" s="74">
        <f>'12-2017'!J1651</f>
        <v>0</v>
      </c>
    </row>
    <row r="1562" spans="1:10" s="58" customFormat="1" ht="37.5" customHeight="1">
      <c r="A1562" s="10"/>
      <c r="B1562" s="237" t="str">
        <f>'12-2017'!B1652</f>
        <v>SẢN PHẨM CHIẾU SÁNG CÔNG TY CỔ PHẦN SLIGHTINH VIỆT NAM, số 168, đường K2, phường Cầu Diễn, quận Nam Từ Liêm, Hà Nội áp dụng từ ngày 01/12/2017, giá đến chân công trình.</v>
      </c>
      <c r="C1562" s="238"/>
      <c r="D1562" s="238"/>
      <c r="E1562" s="238"/>
      <c r="F1562" s="239"/>
      <c r="H1562" s="74">
        <f>'12-2017'!H1652</f>
        <v>0</v>
      </c>
      <c r="I1562" s="74">
        <f>'12-2017'!I1652</f>
        <v>0</v>
      </c>
      <c r="J1562" s="74">
        <f>'12-2017'!J1652</f>
        <v>0</v>
      </c>
    </row>
    <row r="1563" spans="1:10" s="58" customFormat="1" ht="33">
      <c r="A1563" s="10"/>
      <c r="B1563" s="9" t="str">
        <f>'12-2017'!B1653</f>
        <v>ĐÈN LED CHIẾU SÁNG ĐƯỜNG PHỐ SLIGTING  CHIP LED CREE – USA ; MILED - MALAYSIA; CITIZEN - G7 – BẢO HÀNH: 5 NĂM.</v>
      </c>
      <c r="C1563" s="12"/>
      <c r="D1563" s="13"/>
      <c r="E1563" s="13"/>
      <c r="F1563" s="130"/>
      <c r="H1563" s="74">
        <f>'12-2017'!H1653</f>
        <v>0</v>
      </c>
      <c r="I1563" s="74">
        <f>'12-2017'!I1653</f>
        <v>0</v>
      </c>
      <c r="J1563" s="74">
        <f>'12-2017'!J1653</f>
        <v>0</v>
      </c>
    </row>
    <row r="1564" spans="1:10" s="58" customFormat="1" ht="17.25">
      <c r="A1564" s="10">
        <f>'12-2017'!A1654</f>
        <v>1</v>
      </c>
      <c r="B1564" s="11" t="str">
        <f>'12-2017'!B1654</f>
        <v>Đèn LED SLI-SL7-50w  IP66, tiết giảm công suất 2-6 cấp</v>
      </c>
      <c r="C1564" s="12" t="str">
        <f>'12-2017'!C1654</f>
        <v>Chiếc</v>
      </c>
      <c r="D1564" s="13">
        <f>'12-2017'!O1654</f>
        <v>0</v>
      </c>
      <c r="E1564" s="13">
        <f>'12-2017'!P1654</f>
        <v>8988000</v>
      </c>
      <c r="F1564" s="130">
        <f>E1564-D1564</f>
        <v>8988000</v>
      </c>
      <c r="H1564" s="74">
        <f>'12-2017'!H1654</f>
        <v>0</v>
      </c>
      <c r="I1564" s="74">
        <f>'12-2017'!I1654</f>
        <v>8988000</v>
      </c>
      <c r="J1564" s="74">
        <f>'12-2017'!J1654</f>
        <v>8988000</v>
      </c>
    </row>
    <row r="1565" spans="1:10" s="58" customFormat="1" ht="17.25">
      <c r="A1565" s="10">
        <f>'12-2017'!A1655</f>
        <v>2</v>
      </c>
      <c r="B1565" s="11" t="str">
        <f>'12-2017'!B1655</f>
        <v>Đèn LED SLI-SL7-80w    IP66, tiết giảm công suất 2-6 cấp</v>
      </c>
      <c r="C1565" s="12" t="str">
        <f>'12-2017'!C1655</f>
        <v>Chiếc</v>
      </c>
      <c r="D1565" s="13">
        <f>'12-2017'!O1655</f>
        <v>0</v>
      </c>
      <c r="E1565" s="13">
        <f>'12-2017'!P1655</f>
        <v>9976000</v>
      </c>
      <c r="F1565" s="130">
        <f t="shared" ref="F1565:F1628" si="61">E1565-D1565</f>
        <v>9976000</v>
      </c>
      <c r="H1565" s="74">
        <f>'12-2017'!H1655</f>
        <v>0</v>
      </c>
      <c r="I1565" s="74">
        <f>'12-2017'!I1655</f>
        <v>9976000</v>
      </c>
      <c r="J1565" s="74">
        <f>'12-2017'!J1655</f>
        <v>9976000</v>
      </c>
    </row>
    <row r="1566" spans="1:10" s="58" customFormat="1" ht="17.25">
      <c r="A1566" s="10">
        <f>'12-2017'!A1656</f>
        <v>3</v>
      </c>
      <c r="B1566" s="11" t="str">
        <f>'12-2017'!B1656</f>
        <v>Đèn LED SLI-SL7-120w    IP66, tiết giảm công suất 2-6 cấp</v>
      </c>
      <c r="C1566" s="12" t="str">
        <f>'12-2017'!C1656</f>
        <v>Chiếc</v>
      </c>
      <c r="D1566" s="13">
        <f>'12-2017'!O1656</f>
        <v>0</v>
      </c>
      <c r="E1566" s="13">
        <f>'12-2017'!P1656</f>
        <v>11050000</v>
      </c>
      <c r="F1566" s="130">
        <f t="shared" si="61"/>
        <v>11050000</v>
      </c>
      <c r="H1566" s="74">
        <f>'12-2017'!H1656</f>
        <v>0</v>
      </c>
      <c r="I1566" s="74">
        <f>'12-2017'!I1656</f>
        <v>11050000</v>
      </c>
      <c r="J1566" s="74">
        <f>'12-2017'!J1656</f>
        <v>11050000</v>
      </c>
    </row>
    <row r="1567" spans="1:10" s="58" customFormat="1" ht="17.25">
      <c r="A1567" s="10">
        <f>'12-2017'!A1657</f>
        <v>4</v>
      </c>
      <c r="B1567" s="11" t="str">
        <f>'12-2017'!B1657</f>
        <v>Đèn LED SLI-SL7-150w    IP66, tiết giảm công suất 2-6 cấp</v>
      </c>
      <c r="C1567" s="12" t="str">
        <f>'12-2017'!C1657</f>
        <v>Chiếc</v>
      </c>
      <c r="D1567" s="13">
        <f>'12-2017'!O1657</f>
        <v>0</v>
      </c>
      <c r="E1567" s="13">
        <f>'12-2017'!P1657</f>
        <v>12886000</v>
      </c>
      <c r="F1567" s="130">
        <f t="shared" si="61"/>
        <v>12886000</v>
      </c>
      <c r="H1567" s="74">
        <f>'12-2017'!H1657</f>
        <v>0</v>
      </c>
      <c r="I1567" s="74">
        <f>'12-2017'!I1657</f>
        <v>12886000</v>
      </c>
      <c r="J1567" s="74">
        <f>'12-2017'!J1657</f>
        <v>12886000</v>
      </c>
    </row>
    <row r="1568" spans="1:10" s="58" customFormat="1" ht="17.25">
      <c r="A1568" s="10">
        <f>'12-2017'!A1658</f>
        <v>5</v>
      </c>
      <c r="B1568" s="11" t="str">
        <f>'12-2017'!B1658</f>
        <v>Đèn LED SLI-SL17-100w   IP66, tiết giảm công suất 2-6 cấp</v>
      </c>
      <c r="C1568" s="12" t="str">
        <f>'12-2017'!C1658</f>
        <v>Chiếc</v>
      </c>
      <c r="D1568" s="13">
        <f>'12-2017'!O1658</f>
        <v>0</v>
      </c>
      <c r="E1568" s="13">
        <f>'12-2017'!P1658</f>
        <v>7800000</v>
      </c>
      <c r="F1568" s="130">
        <f t="shared" si="61"/>
        <v>7800000</v>
      </c>
      <c r="H1568" s="74">
        <f>'12-2017'!H1658</f>
        <v>0</v>
      </c>
      <c r="I1568" s="74">
        <f>'12-2017'!I1658</f>
        <v>7800000</v>
      </c>
      <c r="J1568" s="74">
        <f>'12-2017'!J1658</f>
        <v>7800000</v>
      </c>
    </row>
    <row r="1569" spans="1:10" s="58" customFormat="1" ht="17.25">
      <c r="A1569" s="10">
        <f>'12-2017'!A1659</f>
        <v>6</v>
      </c>
      <c r="B1569" s="11" t="str">
        <f>'12-2017'!B1659</f>
        <v>Đèn LED SLI-SL17-160w    IP66, tiết giảm công suất 2-6 cấp</v>
      </c>
      <c r="C1569" s="12" t="str">
        <f>'12-2017'!C1659</f>
        <v>Chiếc</v>
      </c>
      <c r="D1569" s="13">
        <f>'12-2017'!O1659</f>
        <v>0</v>
      </c>
      <c r="E1569" s="13">
        <f>'12-2017'!P1659</f>
        <v>9980000</v>
      </c>
      <c r="F1569" s="130">
        <f t="shared" si="61"/>
        <v>9980000</v>
      </c>
      <c r="H1569" s="74">
        <f>'12-2017'!H1659</f>
        <v>0</v>
      </c>
      <c r="I1569" s="74">
        <f>'12-2017'!I1659</f>
        <v>9980000</v>
      </c>
      <c r="J1569" s="74">
        <f>'12-2017'!J1659</f>
        <v>9980000</v>
      </c>
    </row>
    <row r="1570" spans="1:10" s="58" customFormat="1" ht="17.25">
      <c r="A1570" s="10">
        <f>'12-2017'!A1660</f>
        <v>7</v>
      </c>
      <c r="B1570" s="11" t="str">
        <f>'12-2017'!B1660</f>
        <v>Đèn LED SLI-SL17-170w    IP66, tiết giảm công suất 2-6 cấp</v>
      </c>
      <c r="C1570" s="12" t="str">
        <f>'12-2017'!C1660</f>
        <v>Chiếc</v>
      </c>
      <c r="D1570" s="13">
        <f>'12-2017'!O1660</f>
        <v>0</v>
      </c>
      <c r="E1570" s="13">
        <f>'12-2017'!P1660</f>
        <v>12950000</v>
      </c>
      <c r="F1570" s="130">
        <f t="shared" si="61"/>
        <v>12950000</v>
      </c>
      <c r="H1570" s="74">
        <f>'12-2017'!H1660</f>
        <v>0</v>
      </c>
      <c r="I1570" s="74">
        <f>'12-2017'!I1660</f>
        <v>12950000</v>
      </c>
      <c r="J1570" s="74">
        <f>'12-2017'!J1660</f>
        <v>12950000</v>
      </c>
    </row>
    <row r="1571" spans="1:10" s="58" customFormat="1" ht="17.25">
      <c r="A1571" s="10">
        <f>'12-2017'!A1661</f>
        <v>8</v>
      </c>
      <c r="B1571" s="11" t="str">
        <f>'12-2017'!B1661</f>
        <v>Đèn LED SLI-SL10-50w    IP66, tiết giảm công suất 2-6 cấp</v>
      </c>
      <c r="C1571" s="12" t="str">
        <f>'12-2017'!C1661</f>
        <v>Chiếc</v>
      </c>
      <c r="D1571" s="13">
        <f>'12-2017'!O1661</f>
        <v>0</v>
      </c>
      <c r="E1571" s="13">
        <f>'12-2017'!P1661</f>
        <v>5450000</v>
      </c>
      <c r="F1571" s="130">
        <f t="shared" si="61"/>
        <v>5450000</v>
      </c>
      <c r="H1571" s="74">
        <f>'12-2017'!H1661</f>
        <v>0</v>
      </c>
      <c r="I1571" s="74">
        <f>'12-2017'!I1661</f>
        <v>5450000</v>
      </c>
      <c r="J1571" s="74">
        <f>'12-2017'!J1661</f>
        <v>5450000</v>
      </c>
    </row>
    <row r="1572" spans="1:10" s="58" customFormat="1" ht="17.25">
      <c r="A1572" s="10">
        <f>'12-2017'!A1662</f>
        <v>9</v>
      </c>
      <c r="B1572" s="11" t="str">
        <f>'12-2017'!B1662</f>
        <v>Đèn LED SLI-SL10-75w    IP66, tiết giảm công suất 2-6 cấp</v>
      </c>
      <c r="C1572" s="12" t="str">
        <f>'12-2017'!C1662</f>
        <v>Chiếc</v>
      </c>
      <c r="D1572" s="13">
        <f>'12-2017'!O1662</f>
        <v>0</v>
      </c>
      <c r="E1572" s="13">
        <f>'12-2017'!P1662</f>
        <v>6470000</v>
      </c>
      <c r="F1572" s="130">
        <f t="shared" si="61"/>
        <v>6470000</v>
      </c>
      <c r="H1572" s="74">
        <f>'12-2017'!H1662</f>
        <v>0</v>
      </c>
      <c r="I1572" s="74">
        <f>'12-2017'!I1662</f>
        <v>6470000</v>
      </c>
      <c r="J1572" s="74">
        <f>'12-2017'!J1662</f>
        <v>6470000</v>
      </c>
    </row>
    <row r="1573" spans="1:10" s="58" customFormat="1" ht="17.25">
      <c r="A1573" s="10">
        <f>'12-2017'!A1663</f>
        <v>10</v>
      </c>
      <c r="B1573" s="11" t="str">
        <f>'12-2017'!B1663</f>
        <v>Đèn LED SLI-SL10-100w    IP66, tiết giảm công suất 2-6 cấp</v>
      </c>
      <c r="C1573" s="12" t="str">
        <f>'12-2017'!C1663</f>
        <v>Chiếc</v>
      </c>
      <c r="D1573" s="13">
        <f>'12-2017'!O1663</f>
        <v>0</v>
      </c>
      <c r="E1573" s="13">
        <f>'12-2017'!P1663</f>
        <v>7120000</v>
      </c>
      <c r="F1573" s="130">
        <f t="shared" si="61"/>
        <v>7120000</v>
      </c>
      <c r="H1573" s="74">
        <f>'12-2017'!H1663</f>
        <v>0</v>
      </c>
      <c r="I1573" s="74">
        <f>'12-2017'!I1663</f>
        <v>7120000</v>
      </c>
      <c r="J1573" s="74">
        <f>'12-2017'!J1663</f>
        <v>7120000</v>
      </c>
    </row>
    <row r="1574" spans="1:10" s="58" customFormat="1" ht="17.25">
      <c r="A1574" s="10">
        <f>'12-2017'!A1664</f>
        <v>11</v>
      </c>
      <c r="B1574" s="11" t="str">
        <f>'12-2017'!B1664</f>
        <v>Đèn LED SLI-SL10-125w    IP66, tiết giảm công suất 2-6 cấp</v>
      </c>
      <c r="C1574" s="12" t="str">
        <f>'12-2017'!C1664</f>
        <v>Chiếc</v>
      </c>
      <c r="D1574" s="13">
        <f>'12-2017'!O1664</f>
        <v>0</v>
      </c>
      <c r="E1574" s="13">
        <f>'12-2017'!P1664</f>
        <v>8760000</v>
      </c>
      <c r="F1574" s="130">
        <f t="shared" si="61"/>
        <v>8760000</v>
      </c>
      <c r="H1574" s="74">
        <f>'12-2017'!H1664</f>
        <v>0</v>
      </c>
      <c r="I1574" s="74">
        <f>'12-2017'!I1664</f>
        <v>8760000</v>
      </c>
      <c r="J1574" s="74">
        <f>'12-2017'!J1664</f>
        <v>8760000</v>
      </c>
    </row>
    <row r="1575" spans="1:10" s="58" customFormat="1" ht="17.25">
      <c r="A1575" s="10">
        <f>'12-2017'!A1665</f>
        <v>12</v>
      </c>
      <c r="B1575" s="11" t="str">
        <f>'12-2017'!B1665</f>
        <v>Đèn LED SLI-SL10-150w     IP66, tiết giảm công suất 2-6 cấp</v>
      </c>
      <c r="C1575" s="12" t="str">
        <f>'12-2017'!C1665</f>
        <v>Chiếc</v>
      </c>
      <c r="D1575" s="13">
        <f>'12-2017'!O1665</f>
        <v>0</v>
      </c>
      <c r="E1575" s="13">
        <f>'12-2017'!P1665</f>
        <v>9760000</v>
      </c>
      <c r="F1575" s="130">
        <f t="shared" si="61"/>
        <v>9760000</v>
      </c>
      <c r="H1575" s="74">
        <f>'12-2017'!H1665</f>
        <v>0</v>
      </c>
      <c r="I1575" s="74">
        <f>'12-2017'!I1665</f>
        <v>9760000</v>
      </c>
      <c r="J1575" s="74">
        <f>'12-2017'!J1665</f>
        <v>9760000</v>
      </c>
    </row>
    <row r="1576" spans="1:10" s="58" customFormat="1" ht="17.25">
      <c r="A1576" s="10">
        <f>'12-2017'!A1666</f>
        <v>13</v>
      </c>
      <c r="B1576" s="11" t="str">
        <f>'12-2017'!B1666</f>
        <v>Đèn LED SLI-FL6-50w      IP66, tiết giảm công suất 2-6 cấp</v>
      </c>
      <c r="C1576" s="12" t="str">
        <f>'12-2017'!C1666</f>
        <v>Chiếc</v>
      </c>
      <c r="D1576" s="13">
        <f>'12-2017'!O1666</f>
        <v>0</v>
      </c>
      <c r="E1576" s="13">
        <f>'12-2017'!P1666</f>
        <v>7456000</v>
      </c>
      <c r="F1576" s="130">
        <f t="shared" si="61"/>
        <v>7456000</v>
      </c>
      <c r="H1576" s="74">
        <f>'12-2017'!H1666</f>
        <v>0</v>
      </c>
      <c r="I1576" s="74">
        <f>'12-2017'!I1666</f>
        <v>7456000</v>
      </c>
      <c r="J1576" s="74">
        <f>'12-2017'!J1666</f>
        <v>7456000</v>
      </c>
    </row>
    <row r="1577" spans="1:10" s="58" customFormat="1" ht="17.25">
      <c r="A1577" s="10">
        <f>'12-2017'!A1667</f>
        <v>14</v>
      </c>
      <c r="B1577" s="11" t="str">
        <f>'12-2017'!B1667</f>
        <v>Đèn LED SLI-FL6-100w     IP66, tiết giảm công suất 2-6 cấp</v>
      </c>
      <c r="C1577" s="12" t="str">
        <f>'12-2017'!C1667</f>
        <v>Chiếc</v>
      </c>
      <c r="D1577" s="13">
        <f>'12-2017'!O1667</f>
        <v>0</v>
      </c>
      <c r="E1577" s="13">
        <f>'12-2017'!P1667</f>
        <v>9480000</v>
      </c>
      <c r="F1577" s="130">
        <f t="shared" si="61"/>
        <v>9480000</v>
      </c>
      <c r="H1577" s="74">
        <f>'12-2017'!H1667</f>
        <v>0</v>
      </c>
      <c r="I1577" s="74">
        <f>'12-2017'!I1667</f>
        <v>9480000</v>
      </c>
      <c r="J1577" s="74">
        <f>'12-2017'!J1667</f>
        <v>9480000</v>
      </c>
    </row>
    <row r="1578" spans="1:10" s="58" customFormat="1" ht="17.25">
      <c r="A1578" s="10">
        <f>'12-2017'!A1668</f>
        <v>15</v>
      </c>
      <c r="B1578" s="11" t="str">
        <f>'12-2017'!B1668</f>
        <v>Đèn LED SLI-FL6-150w     IP66, tiết giảm công suất 2-6 cấp</v>
      </c>
      <c r="C1578" s="12" t="str">
        <f>'12-2017'!C1668</f>
        <v>Chiếc</v>
      </c>
      <c r="D1578" s="13">
        <f>'12-2017'!O1668</f>
        <v>0</v>
      </c>
      <c r="E1578" s="13">
        <f>'12-2017'!P1668</f>
        <v>12160000</v>
      </c>
      <c r="F1578" s="130">
        <f t="shared" si="61"/>
        <v>12160000</v>
      </c>
      <c r="H1578" s="74">
        <f>'12-2017'!H1668</f>
        <v>0</v>
      </c>
      <c r="I1578" s="74">
        <f>'12-2017'!I1668</f>
        <v>12160000</v>
      </c>
      <c r="J1578" s="74">
        <f>'12-2017'!J1668</f>
        <v>12160000</v>
      </c>
    </row>
    <row r="1579" spans="1:10" s="58" customFormat="1" ht="17.25">
      <c r="A1579" s="10">
        <f>'12-2017'!A1669</f>
        <v>16</v>
      </c>
      <c r="B1579" s="11" t="str">
        <f>'12-2017'!B1669</f>
        <v>Đèn LED SLI-FL6-200w     IP66, tiết giảm công suất 2-6 cấp</v>
      </c>
      <c r="C1579" s="12" t="str">
        <f>'12-2017'!C1669</f>
        <v>Chiếc</v>
      </c>
      <c r="D1579" s="13">
        <f>'12-2017'!O1669</f>
        <v>0</v>
      </c>
      <c r="E1579" s="13">
        <f>'12-2017'!P1669</f>
        <v>12990000</v>
      </c>
      <c r="F1579" s="130">
        <f t="shared" si="61"/>
        <v>12990000</v>
      </c>
      <c r="H1579" s="74">
        <f>'12-2017'!H1669</f>
        <v>0</v>
      </c>
      <c r="I1579" s="74">
        <f>'12-2017'!I1669</f>
        <v>12990000</v>
      </c>
      <c r="J1579" s="74">
        <f>'12-2017'!J1669</f>
        <v>12990000</v>
      </c>
    </row>
    <row r="1580" spans="1:10" s="58" customFormat="1" ht="17.25">
      <c r="A1580" s="10">
        <f>'12-2017'!A1670</f>
        <v>17</v>
      </c>
      <c r="B1580" s="11" t="str">
        <f>'12-2017'!B1670</f>
        <v>Đèn LED SLI-FL6-245w    IP66, tiết giảm công suất 2-6 cấp</v>
      </c>
      <c r="C1580" s="12" t="str">
        <f>'12-2017'!C1670</f>
        <v>Chiếc</v>
      </c>
      <c r="D1580" s="13">
        <f>'12-2017'!O1670</f>
        <v>0</v>
      </c>
      <c r="E1580" s="13">
        <f>'12-2017'!P1670</f>
        <v>17896000</v>
      </c>
      <c r="F1580" s="130">
        <f t="shared" si="61"/>
        <v>17896000</v>
      </c>
      <c r="H1580" s="74">
        <f>'12-2017'!H1670</f>
        <v>0</v>
      </c>
      <c r="I1580" s="74">
        <f>'12-2017'!I1670</f>
        <v>17896000</v>
      </c>
      <c r="J1580" s="74">
        <f>'12-2017'!J1670</f>
        <v>17896000</v>
      </c>
    </row>
    <row r="1581" spans="1:10" s="58" customFormat="1" ht="17.25">
      <c r="A1581" s="10">
        <f>'12-2017'!A1671</f>
        <v>18</v>
      </c>
      <c r="B1581" s="11" t="str">
        <f>'12-2017'!B1671</f>
        <v>Đèn LED SLI-FL6-300w     IP66, tiết giảm công suất 2-6 cấp</v>
      </c>
      <c r="C1581" s="12" t="str">
        <f>'12-2017'!C1671</f>
        <v>Chiếc</v>
      </c>
      <c r="D1581" s="13">
        <f>'12-2017'!O1671</f>
        <v>0</v>
      </c>
      <c r="E1581" s="13">
        <f>'12-2017'!P1671</f>
        <v>18070000</v>
      </c>
      <c r="F1581" s="130">
        <f t="shared" si="61"/>
        <v>18070000</v>
      </c>
      <c r="H1581" s="74">
        <f>'12-2017'!H1671</f>
        <v>0</v>
      </c>
      <c r="I1581" s="74">
        <f>'12-2017'!I1671</f>
        <v>18070000</v>
      </c>
      <c r="J1581" s="74">
        <f>'12-2017'!J1671</f>
        <v>18070000</v>
      </c>
    </row>
    <row r="1582" spans="1:10" s="58" customFormat="1" ht="17.25">
      <c r="A1582" s="10">
        <f>'12-2017'!A1672</f>
        <v>19</v>
      </c>
      <c r="B1582" s="11" t="str">
        <f>'12-2017'!B1672</f>
        <v xml:space="preserve">Bóng LED Buld SLI-SBL7  </v>
      </c>
      <c r="C1582" s="12" t="str">
        <f>'12-2017'!C1672</f>
        <v>Chiếc</v>
      </c>
      <c r="D1582" s="13">
        <f>'12-2017'!O1672</f>
        <v>0</v>
      </c>
      <c r="E1582" s="13">
        <f>'12-2017'!P1672</f>
        <v>150000</v>
      </c>
      <c r="F1582" s="130">
        <f t="shared" si="61"/>
        <v>150000</v>
      </c>
      <c r="H1582" s="74">
        <f>'12-2017'!H1672</f>
        <v>0</v>
      </c>
      <c r="I1582" s="74">
        <f>'12-2017'!I1672</f>
        <v>150000</v>
      </c>
      <c r="J1582" s="74">
        <f>'12-2017'!J1672</f>
        <v>150000</v>
      </c>
    </row>
    <row r="1583" spans="1:10" s="58" customFormat="1" ht="17.25">
      <c r="A1583" s="10">
        <f>'12-2017'!A1673</f>
        <v>20</v>
      </c>
      <c r="B1583" s="11" t="str">
        <f>'12-2017'!B1673</f>
        <v>Bóng LED Buld SLI-SBL9</v>
      </c>
      <c r="C1583" s="12" t="str">
        <f>'12-2017'!C1673</f>
        <v>Chiếc</v>
      </c>
      <c r="D1583" s="13">
        <f>'12-2017'!O1673</f>
        <v>0</v>
      </c>
      <c r="E1583" s="13">
        <f>'12-2017'!P1673</f>
        <v>215000</v>
      </c>
      <c r="F1583" s="130">
        <f t="shared" si="61"/>
        <v>215000</v>
      </c>
      <c r="H1583" s="74">
        <f>'12-2017'!H1673</f>
        <v>0</v>
      </c>
      <c r="I1583" s="74">
        <f>'12-2017'!I1673</f>
        <v>215000</v>
      </c>
      <c r="J1583" s="74">
        <f>'12-2017'!J1673</f>
        <v>215000</v>
      </c>
    </row>
    <row r="1584" spans="1:10" s="58" customFormat="1" ht="17.25">
      <c r="A1584" s="10">
        <f>'12-2017'!A1674</f>
        <v>21</v>
      </c>
      <c r="B1584" s="11" t="str">
        <f>'12-2017'!B1674</f>
        <v>Bóng LED SLI-LR1</v>
      </c>
      <c r="C1584" s="12" t="str">
        <f>'12-2017'!C1674</f>
        <v>Chiếc</v>
      </c>
      <c r="D1584" s="13">
        <f>'12-2017'!O1674</f>
        <v>0</v>
      </c>
      <c r="E1584" s="13">
        <f>'12-2017'!P1674</f>
        <v>300000</v>
      </c>
      <c r="F1584" s="130">
        <f t="shared" si="61"/>
        <v>300000</v>
      </c>
      <c r="H1584" s="74">
        <f>'12-2017'!H1674</f>
        <v>0</v>
      </c>
      <c r="I1584" s="74">
        <f>'12-2017'!I1674</f>
        <v>300000</v>
      </c>
      <c r="J1584" s="74">
        <f>'12-2017'!J1674</f>
        <v>300000</v>
      </c>
    </row>
    <row r="1585" spans="1:10" s="58" customFormat="1" ht="17.25">
      <c r="A1585" s="10"/>
      <c r="B1585" s="9" t="str">
        <f>'12-2017'!B1675</f>
        <v>TRỤ ĐÈN CHIẾU SÁNG  SLIGHTING(WWW. CHIEUSANGVIET.COM)</v>
      </c>
      <c r="C1585" s="12"/>
      <c r="D1585" s="13"/>
      <c r="E1585" s="13"/>
      <c r="F1585" s="130"/>
      <c r="H1585" s="74">
        <f>'12-2017'!H1675</f>
        <v>0</v>
      </c>
      <c r="I1585" s="74">
        <f>'12-2017'!I1675</f>
        <v>0</v>
      </c>
      <c r="J1585" s="74">
        <f>'12-2017'!J1675</f>
        <v>0</v>
      </c>
    </row>
    <row r="1586" spans="1:10" s="58" customFormat="1" ht="17.25">
      <c r="A1586" s="10">
        <f>'12-2017'!A1676</f>
        <v>22</v>
      </c>
      <c r="B1586" s="11" t="str">
        <f>'12-2017'!B1676</f>
        <v xml:space="preserve">Cột thép Bát giác, Tròn côn liền cần đơn, H=6m tôn dày 3mm </v>
      </c>
      <c r="C1586" s="12" t="str">
        <f>'12-2017'!C1676</f>
        <v>Chiếc</v>
      </c>
      <c r="D1586" s="13">
        <f>'12-2017'!O1676</f>
        <v>0</v>
      </c>
      <c r="E1586" s="13">
        <f>'12-2017'!P1676</f>
        <v>2645400</v>
      </c>
      <c r="F1586" s="130">
        <f t="shared" si="61"/>
        <v>2645400</v>
      </c>
      <c r="H1586" s="74">
        <f>'12-2017'!H1676</f>
        <v>0</v>
      </c>
      <c r="I1586" s="74">
        <f>'12-2017'!I1676</f>
        <v>2645400</v>
      </c>
      <c r="J1586" s="74">
        <f>'12-2017'!J1676</f>
        <v>2645400</v>
      </c>
    </row>
    <row r="1587" spans="1:10" s="58" customFormat="1" ht="17.25">
      <c r="A1587" s="10">
        <f>'12-2017'!A1677</f>
        <v>23</v>
      </c>
      <c r="B1587" s="11" t="str">
        <f>'12-2017'!B1677</f>
        <v>Cột thép Bát giác, Tròn côn liền cần đơn, H=7m tôn dày 3mm</v>
      </c>
      <c r="C1587" s="12" t="str">
        <f>'12-2017'!C1677</f>
        <v>Chiếc</v>
      </c>
      <c r="D1587" s="13">
        <f>'12-2017'!O1677</f>
        <v>0</v>
      </c>
      <c r="E1587" s="13">
        <f>'12-2017'!P1677</f>
        <v>2890000</v>
      </c>
      <c r="F1587" s="130">
        <f t="shared" si="61"/>
        <v>2890000</v>
      </c>
      <c r="H1587" s="74">
        <f>'12-2017'!H1677</f>
        <v>0</v>
      </c>
      <c r="I1587" s="74">
        <f>'12-2017'!I1677</f>
        <v>2890000</v>
      </c>
      <c r="J1587" s="74">
        <f>'12-2017'!J1677</f>
        <v>2890000</v>
      </c>
    </row>
    <row r="1588" spans="1:10" s="58" customFormat="1" ht="17.25">
      <c r="A1588" s="10">
        <f>'12-2017'!A1678</f>
        <v>24</v>
      </c>
      <c r="B1588" s="11" t="str">
        <f>'12-2017'!B1678</f>
        <v>Cột thép Bát giác, Tròn côn liền cần đơn, H=8m tôn dày 3mm</v>
      </c>
      <c r="C1588" s="12" t="str">
        <f>'12-2017'!C1678</f>
        <v>Chiếc</v>
      </c>
      <c r="D1588" s="13">
        <f>'12-2017'!O1678</f>
        <v>0</v>
      </c>
      <c r="E1588" s="13">
        <f>'12-2017'!P1678</f>
        <v>3354000</v>
      </c>
      <c r="F1588" s="130">
        <f t="shared" si="61"/>
        <v>3354000</v>
      </c>
      <c r="H1588" s="74">
        <f>'12-2017'!H1678</f>
        <v>0</v>
      </c>
      <c r="I1588" s="74">
        <f>'12-2017'!I1678</f>
        <v>3354000</v>
      </c>
      <c r="J1588" s="74">
        <f>'12-2017'!J1678</f>
        <v>3354000</v>
      </c>
    </row>
    <row r="1589" spans="1:10" s="58" customFormat="1" ht="17.25">
      <c r="A1589" s="10">
        <f>'12-2017'!A1679</f>
        <v>25</v>
      </c>
      <c r="B1589" s="11" t="str">
        <f>'12-2017'!B1679</f>
        <v>Cột thép Bát giác, Tròn côn liền cần đơn, H=9m tôn dày 3mm</v>
      </c>
      <c r="C1589" s="12" t="str">
        <f>'12-2017'!C1679</f>
        <v>Chiếc</v>
      </c>
      <c r="D1589" s="13">
        <f>'12-2017'!O1679</f>
        <v>0</v>
      </c>
      <c r="E1589" s="13">
        <f>'12-2017'!P1679</f>
        <v>3804000</v>
      </c>
      <c r="F1589" s="130">
        <f t="shared" si="61"/>
        <v>3804000</v>
      </c>
      <c r="H1589" s="74">
        <f>'12-2017'!H1679</f>
        <v>0</v>
      </c>
      <c r="I1589" s="74">
        <f>'12-2017'!I1679</f>
        <v>3804000</v>
      </c>
      <c r="J1589" s="74">
        <f>'12-2017'!J1679</f>
        <v>3804000</v>
      </c>
    </row>
    <row r="1590" spans="1:10" s="58" customFormat="1" ht="17.25">
      <c r="A1590" s="10">
        <f>'12-2017'!A1680</f>
        <v>26</v>
      </c>
      <c r="B1590" s="11" t="str">
        <f>'12-2017'!B1680</f>
        <v>Cột thép Bát giác, Tròn côn liền cần đơn, H=10m tôn dày 3mm</v>
      </c>
      <c r="C1590" s="12" t="str">
        <f>'12-2017'!C1680</f>
        <v>Chiếc</v>
      </c>
      <c r="D1590" s="13">
        <f>'12-2017'!O1680</f>
        <v>0</v>
      </c>
      <c r="E1590" s="13">
        <f>'12-2017'!P1680</f>
        <v>4139000</v>
      </c>
      <c r="F1590" s="130">
        <f t="shared" si="61"/>
        <v>4139000</v>
      </c>
      <c r="H1590" s="74">
        <f>'12-2017'!H1680</f>
        <v>0</v>
      </c>
      <c r="I1590" s="74">
        <f>'12-2017'!I1680</f>
        <v>4139000</v>
      </c>
      <c r="J1590" s="74">
        <f>'12-2017'!J1680</f>
        <v>4139000</v>
      </c>
    </row>
    <row r="1591" spans="1:10" s="58" customFormat="1" ht="17.25">
      <c r="A1591" s="10">
        <f>'12-2017'!A1681</f>
        <v>27</v>
      </c>
      <c r="B1591" s="11" t="str">
        <f>'12-2017'!B1681</f>
        <v>Cột thép Bát giác, Tròn côn liền cần đơn, H=7m tôn dày 3,5mm</v>
      </c>
      <c r="C1591" s="12" t="str">
        <f>'12-2017'!C1681</f>
        <v>Chiếc</v>
      </c>
      <c r="D1591" s="13">
        <f>'12-2017'!O1681</f>
        <v>0</v>
      </c>
      <c r="E1591" s="13">
        <f>'12-2017'!P1681</f>
        <v>3354000</v>
      </c>
      <c r="F1591" s="130">
        <f t="shared" si="61"/>
        <v>3354000</v>
      </c>
      <c r="H1591" s="74">
        <f>'12-2017'!H1681</f>
        <v>0</v>
      </c>
      <c r="I1591" s="74">
        <f>'12-2017'!I1681</f>
        <v>3354000</v>
      </c>
      <c r="J1591" s="74">
        <f>'12-2017'!J1681</f>
        <v>3354000</v>
      </c>
    </row>
    <row r="1592" spans="1:10" s="58" customFormat="1" ht="17.25">
      <c r="A1592" s="10">
        <f>'12-2017'!A1682</f>
        <v>28</v>
      </c>
      <c r="B1592" s="11" t="str">
        <f>'12-2017'!B1682</f>
        <v>Cột thép Bát giác, Tròn côn liền cần đơn, H=8m tôn dày 3,5mm</v>
      </c>
      <c r="C1592" s="12" t="str">
        <f>'12-2017'!C1682</f>
        <v>Chiếc</v>
      </c>
      <c r="D1592" s="13">
        <f>'12-2017'!O1682</f>
        <v>0</v>
      </c>
      <c r="E1592" s="13">
        <f>'12-2017'!P1682</f>
        <v>3781000</v>
      </c>
      <c r="F1592" s="130">
        <f t="shared" si="61"/>
        <v>3781000</v>
      </c>
      <c r="H1592" s="74">
        <f>'12-2017'!H1682</f>
        <v>0</v>
      </c>
      <c r="I1592" s="74">
        <f>'12-2017'!I1682</f>
        <v>3781000</v>
      </c>
      <c r="J1592" s="74">
        <f>'12-2017'!J1682</f>
        <v>3781000</v>
      </c>
    </row>
    <row r="1593" spans="1:10" s="58" customFormat="1" ht="17.25">
      <c r="A1593" s="10">
        <f>'12-2017'!A1683</f>
        <v>29</v>
      </c>
      <c r="B1593" s="11" t="str">
        <f>'12-2017'!B1683</f>
        <v>Cột thép Bát giác, Tròn côn liền cần đơn, H=9m tôn dày 3,5mm</v>
      </c>
      <c r="C1593" s="12" t="str">
        <f>'12-2017'!C1683</f>
        <v>Chiếc</v>
      </c>
      <c r="D1593" s="13">
        <f>'12-2017'!O1683</f>
        <v>0</v>
      </c>
      <c r="E1593" s="13">
        <f>'12-2017'!P1683</f>
        <v>4150000</v>
      </c>
      <c r="F1593" s="130">
        <f t="shared" si="61"/>
        <v>4150000</v>
      </c>
      <c r="H1593" s="74">
        <f>'12-2017'!H1683</f>
        <v>0</v>
      </c>
      <c r="I1593" s="74">
        <f>'12-2017'!I1683</f>
        <v>4150000</v>
      </c>
      <c r="J1593" s="74">
        <f>'12-2017'!J1683</f>
        <v>4150000</v>
      </c>
    </row>
    <row r="1594" spans="1:10" s="58" customFormat="1" ht="17.25">
      <c r="A1594" s="10">
        <f>'12-2017'!A1684</f>
        <v>30</v>
      </c>
      <c r="B1594" s="11" t="str">
        <f>'12-2017'!B1684</f>
        <v>Cột thép Bát giác, Tròn côn liền cần đơn, H=10m tôn dày 3,5mm</v>
      </c>
      <c r="C1594" s="12" t="str">
        <f>'12-2017'!C1684</f>
        <v>Chiếc</v>
      </c>
      <c r="D1594" s="13">
        <f>'12-2017'!O1684</f>
        <v>0</v>
      </c>
      <c r="E1594" s="13">
        <f>'12-2017'!P1684</f>
        <v>4589000</v>
      </c>
      <c r="F1594" s="130">
        <f t="shared" si="61"/>
        <v>4589000</v>
      </c>
      <c r="H1594" s="74">
        <f>'12-2017'!H1684</f>
        <v>0</v>
      </c>
      <c r="I1594" s="74">
        <f>'12-2017'!I1684</f>
        <v>4589000</v>
      </c>
      <c r="J1594" s="74">
        <f>'12-2017'!J1684</f>
        <v>4589000</v>
      </c>
    </row>
    <row r="1595" spans="1:10" s="58" customFormat="1" ht="17.25">
      <c r="A1595" s="10">
        <f>'12-2017'!A1685</f>
        <v>31</v>
      </c>
      <c r="B1595" s="11" t="str">
        <f>'12-2017'!B1685</f>
        <v>Cột thép Bát giác, Tròn côn liền cần đơn, H=11m tôn dày 3,5mm</v>
      </c>
      <c r="C1595" s="12" t="str">
        <f>'12-2017'!C1685</f>
        <v>Chiếc</v>
      </c>
      <c r="D1595" s="13">
        <f>'12-2017'!O1685</f>
        <v>0</v>
      </c>
      <c r="E1595" s="13">
        <f>'12-2017'!P1685</f>
        <v>5082000</v>
      </c>
      <c r="F1595" s="130">
        <f t="shared" si="61"/>
        <v>5082000</v>
      </c>
      <c r="H1595" s="74">
        <f>'12-2017'!H1685</f>
        <v>0</v>
      </c>
      <c r="I1595" s="74">
        <f>'12-2017'!I1685</f>
        <v>5082000</v>
      </c>
      <c r="J1595" s="74">
        <f>'12-2017'!J1685</f>
        <v>5082000</v>
      </c>
    </row>
    <row r="1596" spans="1:10" s="58" customFormat="1" ht="17.25">
      <c r="A1596" s="10">
        <f>'12-2017'!A1686</f>
        <v>32</v>
      </c>
      <c r="B1596" s="11" t="str">
        <f>'12-2017'!B1686</f>
        <v>Cột thép Bát giác, Tròn côn liền cần đơn, H=9m tôn dày 4mm</v>
      </c>
      <c r="C1596" s="12" t="str">
        <f>'12-2017'!C1686</f>
        <v>Chiếc</v>
      </c>
      <c r="D1596" s="13">
        <f>'12-2017'!O1686</f>
        <v>0</v>
      </c>
      <c r="E1596" s="13">
        <f>'12-2017'!P1686</f>
        <v>4560000</v>
      </c>
      <c r="F1596" s="130">
        <f t="shared" si="61"/>
        <v>4560000</v>
      </c>
      <c r="H1596" s="74">
        <f>'12-2017'!H1686</f>
        <v>0</v>
      </c>
      <c r="I1596" s="74">
        <f>'12-2017'!I1686</f>
        <v>4560000</v>
      </c>
      <c r="J1596" s="74">
        <f>'12-2017'!J1686</f>
        <v>4560000</v>
      </c>
    </row>
    <row r="1597" spans="1:10" s="58" customFormat="1" ht="17.25">
      <c r="A1597" s="10">
        <f>'12-2017'!A1687</f>
        <v>33</v>
      </c>
      <c r="B1597" s="11" t="str">
        <f>'12-2017'!B1687</f>
        <v>Cột thép Bát giác, Tròn côn liền cần đơn, H=10m tôn dày 4mm</v>
      </c>
      <c r="C1597" s="12" t="str">
        <f>'12-2017'!C1687</f>
        <v>Chiếc</v>
      </c>
      <c r="D1597" s="13">
        <f>'12-2017'!O1687</f>
        <v>0</v>
      </c>
      <c r="E1597" s="13">
        <f>'12-2017'!P1687</f>
        <v>5061000</v>
      </c>
      <c r="F1597" s="130">
        <f t="shared" si="61"/>
        <v>5061000</v>
      </c>
      <c r="H1597" s="74">
        <f>'12-2017'!H1687</f>
        <v>0</v>
      </c>
      <c r="I1597" s="74">
        <f>'12-2017'!I1687</f>
        <v>5061000</v>
      </c>
      <c r="J1597" s="74">
        <f>'12-2017'!J1687</f>
        <v>5061000</v>
      </c>
    </row>
    <row r="1598" spans="1:10" s="58" customFormat="1" ht="17.25">
      <c r="A1598" s="10">
        <f>'12-2017'!A1688</f>
        <v>34</v>
      </c>
      <c r="B1598" s="11" t="str">
        <f>'12-2017'!B1688</f>
        <v>Cột thép Bát giác, Tròn côn liền cần đơn, H=11m tôn dày 4mm</v>
      </c>
      <c r="C1598" s="12" t="str">
        <f>'12-2017'!C1688</f>
        <v>Chiếc</v>
      </c>
      <c r="D1598" s="13">
        <f>'12-2017'!O1688</f>
        <v>0</v>
      </c>
      <c r="E1598" s="13">
        <f>'12-2017'!P1688</f>
        <v>5435000</v>
      </c>
      <c r="F1598" s="130">
        <f t="shared" si="61"/>
        <v>5435000</v>
      </c>
      <c r="H1598" s="74">
        <f>'12-2017'!H1688</f>
        <v>0</v>
      </c>
      <c r="I1598" s="74">
        <f>'12-2017'!I1688</f>
        <v>5435000</v>
      </c>
      <c r="J1598" s="74">
        <f>'12-2017'!J1688</f>
        <v>5435000</v>
      </c>
    </row>
    <row r="1599" spans="1:10" s="58" customFormat="1" ht="17.25">
      <c r="A1599" s="10">
        <f>'12-2017'!A1689</f>
        <v>35</v>
      </c>
      <c r="B1599" s="11" t="str">
        <f>'12-2017'!B1689</f>
        <v>Cột thép Bát giác, Tròn côn rời cần đơn, H=11,3m tôn dày 4mm. Mạ kẽm, sơn phủ</v>
      </c>
      <c r="C1599" s="12" t="str">
        <f>'12-2017'!C1689</f>
        <v>Chiếc</v>
      </c>
      <c r="D1599" s="13">
        <f>'12-2017'!O1689</f>
        <v>0</v>
      </c>
      <c r="E1599" s="13">
        <f>'12-2017'!P1689</f>
        <v>12536000</v>
      </c>
      <c r="F1599" s="130">
        <f t="shared" si="61"/>
        <v>12536000</v>
      </c>
      <c r="H1599" s="74">
        <f>'12-2017'!H1689</f>
        <v>0</v>
      </c>
      <c r="I1599" s="74">
        <f>'12-2017'!I1689</f>
        <v>12536000</v>
      </c>
      <c r="J1599" s="74">
        <f>'12-2017'!J1689</f>
        <v>12536000</v>
      </c>
    </row>
    <row r="1600" spans="1:10" s="58" customFormat="1" ht="17.25">
      <c r="A1600" s="10">
        <f>'12-2017'!A1690</f>
        <v>36</v>
      </c>
      <c r="B1600" s="11" t="str">
        <f>'12-2017'!B1690</f>
        <v>Cột thép Bát giác, Tròn côn 6m D78-3mm</v>
      </c>
      <c r="C1600" s="12" t="str">
        <f>'12-2017'!C1690</f>
        <v>Chiếc</v>
      </c>
      <c r="D1600" s="13">
        <f>'12-2017'!O1690</f>
        <v>0</v>
      </c>
      <c r="E1600" s="13">
        <f>'12-2017'!P1690</f>
        <v>2554000</v>
      </c>
      <c r="F1600" s="130">
        <f t="shared" si="61"/>
        <v>2554000</v>
      </c>
      <c r="H1600" s="74">
        <f>'12-2017'!H1690</f>
        <v>0</v>
      </c>
      <c r="I1600" s="74">
        <f>'12-2017'!I1690</f>
        <v>2554000</v>
      </c>
      <c r="J1600" s="74">
        <f>'12-2017'!J1690</f>
        <v>2554000</v>
      </c>
    </row>
    <row r="1601" spans="1:10" s="58" customFormat="1" ht="17.25">
      <c r="A1601" s="10">
        <f>'12-2017'!A1691</f>
        <v>37</v>
      </c>
      <c r="B1601" s="11" t="str">
        <f>'12-2017'!B1691</f>
        <v>Cột thép Bát giác, Tròn côn 7m D78-3mm</v>
      </c>
      <c r="C1601" s="12" t="str">
        <f>'12-2017'!C1691</f>
        <v>Chiếc</v>
      </c>
      <c r="D1601" s="13">
        <f>'12-2017'!O1691</f>
        <v>0</v>
      </c>
      <c r="E1601" s="13">
        <f>'12-2017'!P1691</f>
        <v>3000000</v>
      </c>
      <c r="F1601" s="130">
        <f t="shared" si="61"/>
        <v>3000000</v>
      </c>
      <c r="H1601" s="74">
        <f>'12-2017'!H1691</f>
        <v>0</v>
      </c>
      <c r="I1601" s="74">
        <f>'12-2017'!I1691</f>
        <v>3000000</v>
      </c>
      <c r="J1601" s="74">
        <f>'12-2017'!J1691</f>
        <v>3000000</v>
      </c>
    </row>
    <row r="1602" spans="1:10" s="58" customFormat="1" ht="17.25">
      <c r="A1602" s="10">
        <f>'12-2017'!A1692</f>
        <v>38</v>
      </c>
      <c r="B1602" s="11" t="str">
        <f>'12-2017'!B1692</f>
        <v>Cột thép Bát giác, Tròn côn 8m D78-3mm</v>
      </c>
      <c r="C1602" s="12" t="str">
        <f>'12-2017'!C1692</f>
        <v>Chiếc</v>
      </c>
      <c r="D1602" s="13">
        <f>'12-2017'!O1692</f>
        <v>0</v>
      </c>
      <c r="E1602" s="13">
        <f>'12-2017'!P1692</f>
        <v>3329000</v>
      </c>
      <c r="F1602" s="130">
        <f t="shared" si="61"/>
        <v>3329000</v>
      </c>
      <c r="H1602" s="74">
        <f>'12-2017'!H1692</f>
        <v>0</v>
      </c>
      <c r="I1602" s="74">
        <f>'12-2017'!I1692</f>
        <v>3329000</v>
      </c>
      <c r="J1602" s="74">
        <f>'12-2017'!J1692</f>
        <v>3329000</v>
      </c>
    </row>
    <row r="1603" spans="1:10" s="58" customFormat="1" ht="17.25">
      <c r="A1603" s="10">
        <f>'12-2017'!A1693</f>
        <v>39</v>
      </c>
      <c r="B1603" s="11" t="str">
        <f>'12-2017'!B1693</f>
        <v>Cột thép Bát giác, Tròn côn 8m D78-3,5mm</v>
      </c>
      <c r="C1603" s="12" t="str">
        <f>'12-2017'!C1693</f>
        <v>Chiếc</v>
      </c>
      <c r="D1603" s="13">
        <f>'12-2017'!O1693</f>
        <v>0</v>
      </c>
      <c r="E1603" s="13">
        <f>'12-2017'!P1693</f>
        <v>3718000</v>
      </c>
      <c r="F1603" s="130">
        <f t="shared" si="61"/>
        <v>3718000</v>
      </c>
      <c r="H1603" s="74">
        <f>'12-2017'!H1693</f>
        <v>0</v>
      </c>
      <c r="I1603" s="74">
        <f>'12-2017'!I1693</f>
        <v>3718000</v>
      </c>
      <c r="J1603" s="74">
        <f>'12-2017'!J1693</f>
        <v>3718000</v>
      </c>
    </row>
    <row r="1604" spans="1:10" s="58" customFormat="1" ht="17.25">
      <c r="A1604" s="10">
        <f>'12-2017'!A1694</f>
        <v>40</v>
      </c>
      <c r="B1604" s="11" t="str">
        <f>'12-2017'!B1694</f>
        <v>Cột thép Bát giác, Tròn côn 9m D78-3,5mm</v>
      </c>
      <c r="C1604" s="12" t="str">
        <f>'12-2017'!C1694</f>
        <v>Chiếc</v>
      </c>
      <c r="D1604" s="13">
        <f>'12-2017'!O1694</f>
        <v>0</v>
      </c>
      <c r="E1604" s="13">
        <f>'12-2017'!P1694</f>
        <v>4215000</v>
      </c>
      <c r="F1604" s="130">
        <f t="shared" si="61"/>
        <v>4215000</v>
      </c>
      <c r="H1604" s="74">
        <f>'12-2017'!H1694</f>
        <v>0</v>
      </c>
      <c r="I1604" s="74">
        <f>'12-2017'!I1694</f>
        <v>4215000</v>
      </c>
      <c r="J1604" s="74">
        <f>'12-2017'!J1694</f>
        <v>4215000</v>
      </c>
    </row>
    <row r="1605" spans="1:10" s="58" customFormat="1" ht="17.25">
      <c r="A1605" s="10">
        <f>'12-2017'!A1695</f>
        <v>41</v>
      </c>
      <c r="B1605" s="11" t="str">
        <f>'12-2017'!B1695</f>
        <v>Cột thép Bát giác, Tròn côn 10m D78-3,5mm</v>
      </c>
      <c r="C1605" s="12" t="str">
        <f>'12-2017'!C1695</f>
        <v>Chiếc</v>
      </c>
      <c r="D1605" s="13">
        <f>'12-2017'!O1695</f>
        <v>0</v>
      </c>
      <c r="E1605" s="13">
        <f>'12-2017'!P1695</f>
        <v>4560000</v>
      </c>
      <c r="F1605" s="130">
        <f t="shared" si="61"/>
        <v>4560000</v>
      </c>
      <c r="H1605" s="74">
        <f>'12-2017'!H1695</f>
        <v>0</v>
      </c>
      <c r="I1605" s="74">
        <f>'12-2017'!I1695</f>
        <v>4560000</v>
      </c>
      <c r="J1605" s="74">
        <f>'12-2017'!J1695</f>
        <v>4560000</v>
      </c>
    </row>
    <row r="1606" spans="1:10" s="58" customFormat="1" ht="17.25">
      <c r="A1606" s="10">
        <f>'12-2017'!A1696</f>
        <v>42</v>
      </c>
      <c r="B1606" s="11" t="str">
        <f>'12-2017'!B1696</f>
        <v>Cột thép Bát giác, Tròn côn 8m D78-4mm</v>
      </c>
      <c r="C1606" s="12" t="str">
        <f>'12-2017'!C1696</f>
        <v>Chiếc</v>
      </c>
      <c r="D1606" s="13">
        <f>'12-2017'!O1696</f>
        <v>0</v>
      </c>
      <c r="E1606" s="13">
        <f>'12-2017'!P1696</f>
        <v>4220000</v>
      </c>
      <c r="F1606" s="130">
        <f t="shared" si="61"/>
        <v>4220000</v>
      </c>
      <c r="H1606" s="74">
        <f>'12-2017'!H1696</f>
        <v>0</v>
      </c>
      <c r="I1606" s="74">
        <f>'12-2017'!I1696</f>
        <v>4220000</v>
      </c>
      <c r="J1606" s="74">
        <f>'12-2017'!J1696</f>
        <v>4220000</v>
      </c>
    </row>
    <row r="1607" spans="1:10" s="58" customFormat="1" ht="17.25">
      <c r="A1607" s="10">
        <f>'12-2017'!A1697</f>
        <v>43</v>
      </c>
      <c r="B1607" s="11" t="str">
        <f>'12-2017'!B1697</f>
        <v>Cột thép Bát giác, Tròn côn 9m D78-4mm</v>
      </c>
      <c r="C1607" s="12" t="str">
        <f>'12-2017'!C1697</f>
        <v>Chiếc</v>
      </c>
      <c r="D1607" s="13">
        <f>'12-2017'!O1697</f>
        <v>0</v>
      </c>
      <c r="E1607" s="13">
        <f>'12-2017'!P1697</f>
        <v>4968400</v>
      </c>
      <c r="F1607" s="130">
        <f t="shared" si="61"/>
        <v>4968400</v>
      </c>
      <c r="H1607" s="74">
        <f>'12-2017'!H1697</f>
        <v>0</v>
      </c>
      <c r="I1607" s="74">
        <f>'12-2017'!I1697</f>
        <v>4968400</v>
      </c>
      <c r="J1607" s="74">
        <f>'12-2017'!J1697</f>
        <v>4968400</v>
      </c>
    </row>
    <row r="1608" spans="1:10" s="58" customFormat="1" ht="17.25">
      <c r="A1608" s="10">
        <f>'12-2017'!A1698</f>
        <v>44</v>
      </c>
      <c r="B1608" s="11" t="str">
        <f>'12-2017'!B1698</f>
        <v>Cột thép Bát giác, Tròn côn 10m D78-4mm</v>
      </c>
      <c r="C1608" s="12" t="str">
        <f>'12-2017'!C1698</f>
        <v>Chiếc</v>
      </c>
      <c r="D1608" s="13">
        <f>'12-2017'!O1698</f>
        <v>0</v>
      </c>
      <c r="E1608" s="13">
        <f>'12-2017'!P1698</f>
        <v>5120000</v>
      </c>
      <c r="F1608" s="130">
        <f t="shared" si="61"/>
        <v>5120000</v>
      </c>
      <c r="H1608" s="74">
        <f>'12-2017'!H1698</f>
        <v>0</v>
      </c>
      <c r="I1608" s="74">
        <f>'12-2017'!I1698</f>
        <v>5120000</v>
      </c>
      <c r="J1608" s="74">
        <f>'12-2017'!J1698</f>
        <v>5120000</v>
      </c>
    </row>
    <row r="1609" spans="1:10" s="58" customFormat="1" ht="17.25">
      <c r="A1609" s="10">
        <f>'12-2017'!A1699</f>
        <v>45</v>
      </c>
      <c r="B1609" s="11" t="str">
        <f>'12-2017'!B1699</f>
        <v>Cột thép Bát giác, Tròn côn 11m D78-4mm</v>
      </c>
      <c r="C1609" s="12" t="str">
        <f>'12-2017'!C1699</f>
        <v>Chiếc</v>
      </c>
      <c r="D1609" s="13">
        <f>'12-2017'!O1699</f>
        <v>0</v>
      </c>
      <c r="E1609" s="13">
        <f>'12-2017'!P1699</f>
        <v>5830000</v>
      </c>
      <c r="F1609" s="130">
        <f t="shared" si="61"/>
        <v>5830000</v>
      </c>
      <c r="H1609" s="74">
        <f>'12-2017'!H1699</f>
        <v>0</v>
      </c>
      <c r="I1609" s="74">
        <f>'12-2017'!I1699</f>
        <v>5830000</v>
      </c>
      <c r="J1609" s="74">
        <f>'12-2017'!J1699</f>
        <v>5830000</v>
      </c>
    </row>
    <row r="1610" spans="1:10" s="58" customFormat="1" ht="17.25">
      <c r="A1610" s="10">
        <f>'12-2017'!A1700</f>
        <v>46</v>
      </c>
      <c r="B1610" s="11" t="str">
        <f>'12-2017'!B1700</f>
        <v xml:space="preserve"> Cần đèn CD-01 cao 2m, vươn 1,5m</v>
      </c>
      <c r="C1610" s="12" t="str">
        <f>'12-2017'!C1700</f>
        <v>Chiếc</v>
      </c>
      <c r="D1610" s="13">
        <f>'12-2017'!O1700</f>
        <v>0</v>
      </c>
      <c r="E1610" s="13">
        <f>'12-2017'!P1700</f>
        <v>980500</v>
      </c>
      <c r="F1610" s="130">
        <f t="shared" si="61"/>
        <v>980500</v>
      </c>
      <c r="H1610" s="74">
        <f>'12-2017'!H1700</f>
        <v>0</v>
      </c>
      <c r="I1610" s="74">
        <f>'12-2017'!I1700</f>
        <v>980500</v>
      </c>
      <c r="J1610" s="74">
        <f>'12-2017'!J1700</f>
        <v>980500</v>
      </c>
    </row>
    <row r="1611" spans="1:10" s="58" customFormat="1" ht="33">
      <c r="A1611" s="10">
        <f>'12-2017'!A1701</f>
        <v>47</v>
      </c>
      <c r="B1611" s="11" t="str">
        <f>'12-2017'!B1701</f>
        <v xml:space="preserve"> Cần đèn CD-02;CD-04; CD-07; CD-14; CD-23; CD-32; CD-43; CD-45  cao 2m, vươn 1,5m</v>
      </c>
      <c r="C1611" s="12" t="str">
        <f>'12-2017'!C1701</f>
        <v>Chiếc</v>
      </c>
      <c r="D1611" s="13">
        <f>'12-2017'!O1701</f>
        <v>0</v>
      </c>
      <c r="E1611" s="13">
        <f>'12-2017'!P1701</f>
        <v>1048200</v>
      </c>
      <c r="F1611" s="130">
        <f t="shared" si="61"/>
        <v>1048200</v>
      </c>
      <c r="H1611" s="74">
        <f>'12-2017'!H1701</f>
        <v>0</v>
      </c>
      <c r="I1611" s="74">
        <f>'12-2017'!I1701</f>
        <v>1048200</v>
      </c>
      <c r="J1611" s="74">
        <f>'12-2017'!J1701</f>
        <v>1048200</v>
      </c>
    </row>
    <row r="1612" spans="1:10" s="58" customFormat="1" ht="33">
      <c r="A1612" s="10">
        <f>'12-2017'!A1702</f>
        <v>48</v>
      </c>
      <c r="B1612" s="11" t="str">
        <f>'12-2017'!B1702</f>
        <v xml:space="preserve"> Cần đèn CD-03; CD-05; CD-10; CD-11; CD-16; CD-18; CD-21; CD-22; CD-24; CD-26; CD-29; CD-39; CD-40; CD-46 cao 2m, vươn 1,5m</v>
      </c>
      <c r="C1612" s="12" t="str">
        <f>'12-2017'!C1702</f>
        <v>Chiếc</v>
      </c>
      <c r="D1612" s="13">
        <f>'12-2017'!O1702</f>
        <v>0</v>
      </c>
      <c r="E1612" s="13">
        <f>'12-2017'!P1702</f>
        <v>1036300</v>
      </c>
      <c r="F1612" s="130">
        <f t="shared" si="61"/>
        <v>1036300</v>
      </c>
      <c r="H1612" s="74">
        <f>'12-2017'!H1702</f>
        <v>0</v>
      </c>
      <c r="I1612" s="74">
        <f>'12-2017'!I1702</f>
        <v>1036300</v>
      </c>
      <c r="J1612" s="74">
        <f>'12-2017'!J1702</f>
        <v>1036300</v>
      </c>
    </row>
    <row r="1613" spans="1:10" s="58" customFormat="1" ht="17.25">
      <c r="A1613" s="10">
        <f>'12-2017'!A1703</f>
        <v>49</v>
      </c>
      <c r="B1613" s="11" t="str">
        <f>'12-2017'!B1703</f>
        <v xml:space="preserve"> Cần đèn CD-06; CD-08; CD-09; CD-13; CD-25; CD-30; CD-42 cao 2m, vươn 1,5m</v>
      </c>
      <c r="C1613" s="12" t="str">
        <f>'12-2017'!C1703</f>
        <v>Chiếc</v>
      </c>
      <c r="D1613" s="13">
        <f>'12-2017'!O1703</f>
        <v>0</v>
      </c>
      <c r="E1613" s="13">
        <f>'12-2017'!P1703</f>
        <v>1820300</v>
      </c>
      <c r="F1613" s="130">
        <f t="shared" si="61"/>
        <v>1820300</v>
      </c>
      <c r="H1613" s="74">
        <f>'12-2017'!H1703</f>
        <v>0</v>
      </c>
      <c r="I1613" s="74">
        <f>'12-2017'!I1703</f>
        <v>1820300</v>
      </c>
      <c r="J1613" s="74">
        <f>'12-2017'!J1703</f>
        <v>1820300</v>
      </c>
    </row>
    <row r="1614" spans="1:10" s="58" customFormat="1" ht="17.25">
      <c r="A1614" s="10">
        <f>'12-2017'!A1704</f>
        <v>50</v>
      </c>
      <c r="B1614" s="11" t="str">
        <f>'12-2017'!B1704</f>
        <v>Cần đèn CK-02 cao 2m, vươn 1,5m</v>
      </c>
      <c r="C1614" s="12" t="str">
        <f>'12-2017'!C1704</f>
        <v>Chiếc</v>
      </c>
      <c r="D1614" s="13">
        <f>'12-2017'!O1704</f>
        <v>0</v>
      </c>
      <c r="E1614" s="13">
        <f>'12-2017'!P1704</f>
        <v>1595600</v>
      </c>
      <c r="F1614" s="130">
        <f t="shared" si="61"/>
        <v>1595600</v>
      </c>
      <c r="H1614" s="74">
        <f>'12-2017'!H1704</f>
        <v>0</v>
      </c>
      <c r="I1614" s="74">
        <f>'12-2017'!I1704</f>
        <v>1595600</v>
      </c>
      <c r="J1614" s="74">
        <f>'12-2017'!J1704</f>
        <v>1595600</v>
      </c>
    </row>
    <row r="1615" spans="1:10" s="58" customFormat="1" ht="17.25">
      <c r="A1615" s="10">
        <f>'12-2017'!A1705</f>
        <v>51</v>
      </c>
      <c r="B1615" s="11" t="str">
        <f>'12-2017'!B1705</f>
        <v xml:space="preserve"> Cần đèn CK-03; CK-04; CK-22; CK-28; CK-32; CK-35 cao 2m, vươn 1,5m</v>
      </c>
      <c r="C1615" s="12" t="str">
        <f>'12-2017'!C1705</f>
        <v>Chiếc</v>
      </c>
      <c r="D1615" s="13">
        <f>'12-2017'!O1705</f>
        <v>0</v>
      </c>
      <c r="E1615" s="13">
        <f>'12-2017'!P1705</f>
        <v>1986700</v>
      </c>
      <c r="F1615" s="130">
        <f t="shared" si="61"/>
        <v>1986700</v>
      </c>
      <c r="H1615" s="74">
        <f>'12-2017'!H1705</f>
        <v>0</v>
      </c>
      <c r="I1615" s="74">
        <f>'12-2017'!I1705</f>
        <v>1986700</v>
      </c>
      <c r="J1615" s="74">
        <f>'12-2017'!J1705</f>
        <v>1986700</v>
      </c>
    </row>
    <row r="1616" spans="1:10" s="58" customFormat="1" ht="17.25">
      <c r="A1616" s="10">
        <f>'12-2017'!A1706</f>
        <v>52</v>
      </c>
      <c r="B1616" s="11" t="str">
        <f>'12-2017'!B1706</f>
        <v xml:space="preserve"> Cần đèn CK-05 cao 2m, vươn 1,5m</v>
      </c>
      <c r="C1616" s="12" t="str">
        <f>'12-2017'!C1706</f>
        <v>Chiếc</v>
      </c>
      <c r="D1616" s="13">
        <f>'12-2017'!O1706</f>
        <v>0</v>
      </c>
      <c r="E1616" s="13">
        <f>'12-2017'!P1706</f>
        <v>2345600</v>
      </c>
      <c r="F1616" s="130">
        <f t="shared" si="61"/>
        <v>2345600</v>
      </c>
      <c r="H1616" s="74">
        <f>'12-2017'!H1706</f>
        <v>0</v>
      </c>
      <c r="I1616" s="74">
        <f>'12-2017'!I1706</f>
        <v>2345600</v>
      </c>
      <c r="J1616" s="74">
        <f>'12-2017'!J1706</f>
        <v>2345600</v>
      </c>
    </row>
    <row r="1617" spans="1:10" s="58" customFormat="1" ht="17.25">
      <c r="A1617" s="10">
        <f>'12-2017'!A1707</f>
        <v>53</v>
      </c>
      <c r="B1617" s="11" t="str">
        <f>'12-2017'!B1707</f>
        <v xml:space="preserve"> Cần đèn CK-06; CK-10; CK-14; CK-23; CK-24; CK-36; CK-39 cao 2m, vươn 1,5m</v>
      </c>
      <c r="C1617" s="12" t="str">
        <f>'12-2017'!C1707</f>
        <v>Chiếc</v>
      </c>
      <c r="D1617" s="13">
        <f>'12-2017'!O1707</f>
        <v>0</v>
      </c>
      <c r="E1617" s="13">
        <f>'12-2017'!P1707</f>
        <v>1820500</v>
      </c>
      <c r="F1617" s="130">
        <f t="shared" si="61"/>
        <v>1820500</v>
      </c>
      <c r="H1617" s="74">
        <f>'12-2017'!H1707</f>
        <v>0</v>
      </c>
      <c r="I1617" s="74">
        <f>'12-2017'!I1707</f>
        <v>1820500</v>
      </c>
      <c r="J1617" s="74">
        <f>'12-2017'!J1707</f>
        <v>1820500</v>
      </c>
    </row>
    <row r="1618" spans="1:10" s="58" customFormat="1" ht="33">
      <c r="A1618" s="10">
        <f>'12-2017'!A1708</f>
        <v>54</v>
      </c>
      <c r="B1618" s="11" t="str">
        <f>'12-2017'!B1708</f>
        <v xml:space="preserve"> Cần đèn CK-07; CK-08; CK-09; CK-16; CK-17; CK-20; CK-25; CK-30; CK-37; CK-38; CK-45 cao 2m, vươn 1,5m</v>
      </c>
      <c r="C1618" s="12" t="str">
        <f>'12-2017'!C1708</f>
        <v>Chiếc</v>
      </c>
      <c r="D1618" s="13">
        <f>'12-2017'!O1708</f>
        <v>0</v>
      </c>
      <c r="E1618" s="13">
        <f>'12-2017'!P1708</f>
        <v>2054300</v>
      </c>
      <c r="F1618" s="130">
        <f t="shared" si="61"/>
        <v>2054300</v>
      </c>
      <c r="H1618" s="74">
        <f>'12-2017'!H1708</f>
        <v>0</v>
      </c>
      <c r="I1618" s="74">
        <f>'12-2017'!I1708</f>
        <v>2054300</v>
      </c>
      <c r="J1618" s="74">
        <f>'12-2017'!J1708</f>
        <v>2054300</v>
      </c>
    </row>
    <row r="1619" spans="1:10" s="58" customFormat="1" ht="17.25">
      <c r="A1619" s="10">
        <f>'12-2017'!A1709</f>
        <v>55</v>
      </c>
      <c r="B1619" s="11" t="str">
        <f>'12-2017'!B1709</f>
        <v xml:space="preserve"> Cần đèn CK-11; CK-19; CK-33; CK44 cao 2m, vươn 1,5m</v>
      </c>
      <c r="C1619" s="12" t="str">
        <f>'12-2017'!C1709</f>
        <v>Chiếc</v>
      </c>
      <c r="D1619" s="13">
        <f>'12-2017'!O1709</f>
        <v>0</v>
      </c>
      <c r="E1619" s="13">
        <f>'12-2017'!P1709</f>
        <v>2566400</v>
      </c>
      <c r="F1619" s="130">
        <f t="shared" si="61"/>
        <v>2566400</v>
      </c>
      <c r="H1619" s="74">
        <f>'12-2017'!H1709</f>
        <v>0</v>
      </c>
      <c r="I1619" s="74">
        <f>'12-2017'!I1709</f>
        <v>2566400</v>
      </c>
      <c r="J1619" s="74">
        <f>'12-2017'!J1709</f>
        <v>2566400</v>
      </c>
    </row>
    <row r="1620" spans="1:10" s="58" customFormat="1" ht="17.25">
      <c r="A1620" s="10">
        <f>'12-2017'!A1710</f>
        <v>56</v>
      </c>
      <c r="B1620" s="11" t="str">
        <f>'12-2017'!B1710</f>
        <v>Đế gang DP01 cao 1,38m thân cột thép cao 8m ngọn  D78-3.5</v>
      </c>
      <c r="C1620" s="12" t="str">
        <f>'12-2017'!C1710</f>
        <v>Chiếc</v>
      </c>
      <c r="D1620" s="13">
        <f>'12-2017'!O1710</f>
        <v>0</v>
      </c>
      <c r="E1620" s="13">
        <f>'12-2017'!P1710</f>
        <v>9660000</v>
      </c>
      <c r="F1620" s="130">
        <f t="shared" si="61"/>
        <v>9660000</v>
      </c>
      <c r="H1620" s="74">
        <f>'12-2017'!H1710</f>
        <v>0</v>
      </c>
      <c r="I1620" s="74">
        <f>'12-2017'!I1710</f>
        <v>9660000</v>
      </c>
      <c r="J1620" s="74">
        <f>'12-2017'!J1710</f>
        <v>9660000</v>
      </c>
    </row>
    <row r="1621" spans="1:10" s="58" customFormat="1" ht="17.25">
      <c r="A1621" s="10">
        <f>'12-2017'!A1711</f>
        <v>57</v>
      </c>
      <c r="B1621" s="11" t="str">
        <f>'12-2017'!B1711</f>
        <v>Đế gang DP01 cao 1,38m thân cột thép cao 8m ngọn  D78-4.0</v>
      </c>
      <c r="C1621" s="12" t="str">
        <f>'12-2017'!C1711</f>
        <v>Chiếc</v>
      </c>
      <c r="D1621" s="13">
        <f>'12-2017'!O1711</f>
        <v>0</v>
      </c>
      <c r="E1621" s="13">
        <f>'12-2017'!P1711</f>
        <v>10360000</v>
      </c>
      <c r="F1621" s="130">
        <f t="shared" si="61"/>
        <v>10360000</v>
      </c>
      <c r="H1621" s="74">
        <f>'12-2017'!H1711</f>
        <v>0</v>
      </c>
      <c r="I1621" s="74">
        <f>'12-2017'!I1711</f>
        <v>10360000</v>
      </c>
      <c r="J1621" s="74">
        <f>'12-2017'!J1711</f>
        <v>10360000</v>
      </c>
    </row>
    <row r="1622" spans="1:10" s="58" customFormat="1" ht="17.25">
      <c r="A1622" s="10">
        <f>'12-2017'!A1712</f>
        <v>58</v>
      </c>
      <c r="B1622" s="11" t="str">
        <f>'12-2017'!B1712</f>
        <v>Đế gang DP01 cao 1,38m thân cột thép cao 9m ngọn  D78-3.5</v>
      </c>
      <c r="C1622" s="12" t="str">
        <f>'12-2017'!C1712</f>
        <v>Chiếc</v>
      </c>
      <c r="D1622" s="13">
        <f>'12-2017'!O1712</f>
        <v>0</v>
      </c>
      <c r="E1622" s="13">
        <f>'12-2017'!P1712</f>
        <v>10080000</v>
      </c>
      <c r="F1622" s="130">
        <f t="shared" si="61"/>
        <v>10080000</v>
      </c>
      <c r="H1622" s="74">
        <f>'12-2017'!H1712</f>
        <v>0</v>
      </c>
      <c r="I1622" s="74">
        <f>'12-2017'!I1712</f>
        <v>10080000</v>
      </c>
      <c r="J1622" s="74">
        <f>'12-2017'!J1712</f>
        <v>10080000</v>
      </c>
    </row>
    <row r="1623" spans="1:10" s="58" customFormat="1" ht="17.25">
      <c r="A1623" s="10">
        <f>'12-2017'!A1713</f>
        <v>59</v>
      </c>
      <c r="B1623" s="11" t="str">
        <f>'12-2017'!B1713</f>
        <v>Đế gang DP01 cao 1,38m thân cột thép cao 9m ngọn  D78-4.0</v>
      </c>
      <c r="C1623" s="12" t="str">
        <f>'12-2017'!C1713</f>
        <v>Chiếc</v>
      </c>
      <c r="D1623" s="13">
        <f>'12-2017'!O1713</f>
        <v>0</v>
      </c>
      <c r="E1623" s="13">
        <f>'12-2017'!P1713</f>
        <v>10780000</v>
      </c>
      <c r="F1623" s="130">
        <f t="shared" si="61"/>
        <v>10780000</v>
      </c>
      <c r="H1623" s="74">
        <f>'12-2017'!H1713</f>
        <v>0</v>
      </c>
      <c r="I1623" s="74">
        <f>'12-2017'!I1713</f>
        <v>10780000</v>
      </c>
      <c r="J1623" s="74">
        <f>'12-2017'!J1713</f>
        <v>10780000</v>
      </c>
    </row>
    <row r="1624" spans="1:10" s="58" customFormat="1" ht="17.25">
      <c r="A1624" s="10">
        <f>'12-2017'!A1714</f>
        <v>60</v>
      </c>
      <c r="B1624" s="11" t="str">
        <f>'12-2017'!B1714</f>
        <v>Đế gang DP01 cao 1,38m thân cột thép cao 10m ngọn  D78-4.0</v>
      </c>
      <c r="C1624" s="12" t="str">
        <f>'12-2017'!C1714</f>
        <v>Chiếc</v>
      </c>
      <c r="D1624" s="13">
        <f>'12-2017'!O1714</f>
        <v>0</v>
      </c>
      <c r="E1624" s="13">
        <f>'12-2017'!P1714</f>
        <v>11340000</v>
      </c>
      <c r="F1624" s="130">
        <f t="shared" si="61"/>
        <v>11340000</v>
      </c>
      <c r="H1624" s="74">
        <f>'12-2017'!H1714</f>
        <v>0</v>
      </c>
      <c r="I1624" s="74">
        <f>'12-2017'!I1714</f>
        <v>11340000</v>
      </c>
      <c r="J1624" s="74">
        <f>'12-2017'!J1714</f>
        <v>11340000</v>
      </c>
    </row>
    <row r="1625" spans="1:10" s="58" customFormat="1" ht="17.25">
      <c r="A1625" s="10">
        <f>'12-2017'!A1715</f>
        <v>61</v>
      </c>
      <c r="B1625" s="11" t="str">
        <f>'12-2017'!B1715</f>
        <v>Đế gang DP05 cao 1,58m thân cột thép cao 9m ngọn D78-3.5</v>
      </c>
      <c r="C1625" s="12" t="str">
        <f>'12-2017'!C1715</f>
        <v>Chiếc</v>
      </c>
      <c r="D1625" s="13">
        <f>'12-2017'!O1715</f>
        <v>0</v>
      </c>
      <c r="E1625" s="13">
        <f>'12-2017'!P1715</f>
        <v>10500000</v>
      </c>
      <c r="F1625" s="130">
        <f t="shared" si="61"/>
        <v>10500000</v>
      </c>
      <c r="H1625" s="74">
        <f>'12-2017'!H1715</f>
        <v>0</v>
      </c>
      <c r="I1625" s="74">
        <f>'12-2017'!I1715</f>
        <v>10500000</v>
      </c>
      <c r="J1625" s="74">
        <f>'12-2017'!J1715</f>
        <v>10500000</v>
      </c>
    </row>
    <row r="1626" spans="1:10" s="58" customFormat="1" ht="17.25">
      <c r="A1626" s="10">
        <f>'12-2017'!A1716</f>
        <v>62</v>
      </c>
      <c r="B1626" s="11" t="str">
        <f>'12-2017'!B1716</f>
        <v>Đế gang DP05 cao 1,58m thân cột thép cao 9m ngọn D78-4.0</v>
      </c>
      <c r="C1626" s="12" t="str">
        <f>'12-2017'!C1716</f>
        <v>Chiếc</v>
      </c>
      <c r="D1626" s="13">
        <f>'12-2017'!O1716</f>
        <v>0</v>
      </c>
      <c r="E1626" s="13">
        <f>'12-2017'!P1716</f>
        <v>11200000</v>
      </c>
      <c r="F1626" s="130">
        <f t="shared" si="61"/>
        <v>11200000</v>
      </c>
      <c r="H1626" s="74">
        <f>'12-2017'!H1716</f>
        <v>0</v>
      </c>
      <c r="I1626" s="74">
        <f>'12-2017'!I1716</f>
        <v>11200000</v>
      </c>
      <c r="J1626" s="74">
        <f>'12-2017'!J1716</f>
        <v>11200000</v>
      </c>
    </row>
    <row r="1627" spans="1:10" s="58" customFormat="1" ht="17.25">
      <c r="A1627" s="10">
        <f>'12-2017'!A1717</f>
        <v>63</v>
      </c>
      <c r="B1627" s="11" t="str">
        <f>'12-2017'!B1717</f>
        <v>Đế gang DP05 cao 1,58m thân cột thép cao 10m ngọn D78-4.0</v>
      </c>
      <c r="C1627" s="12" t="str">
        <f>'12-2017'!C1717</f>
        <v>Chiếc</v>
      </c>
      <c r="D1627" s="13">
        <f>'12-2017'!O1717</f>
        <v>0</v>
      </c>
      <c r="E1627" s="13">
        <f>'12-2017'!P1717</f>
        <v>11620000</v>
      </c>
      <c r="F1627" s="130">
        <f t="shared" si="61"/>
        <v>11620000</v>
      </c>
      <c r="H1627" s="74">
        <f>'12-2017'!H1717</f>
        <v>0</v>
      </c>
      <c r="I1627" s="74">
        <f>'12-2017'!I1717</f>
        <v>11620000</v>
      </c>
      <c r="J1627" s="74">
        <f>'12-2017'!J1717</f>
        <v>11620000</v>
      </c>
    </row>
    <row r="1628" spans="1:10" s="58" customFormat="1" ht="17.25">
      <c r="A1628" s="10">
        <f>'12-2017'!A1718</f>
        <v>64</v>
      </c>
      <c r="B1628" s="11" t="str">
        <f>'12-2017'!B1718</f>
        <v xml:space="preserve"> Cột đa giác 14m-130-5mm</v>
      </c>
      <c r="C1628" s="12" t="str">
        <f>'12-2017'!C1718</f>
        <v>Chiếc</v>
      </c>
      <c r="D1628" s="13">
        <f>'12-2017'!O1718</f>
        <v>0</v>
      </c>
      <c r="E1628" s="13">
        <f>'12-2017'!P1718</f>
        <v>14825600</v>
      </c>
      <c r="F1628" s="130">
        <f t="shared" si="61"/>
        <v>14825600</v>
      </c>
      <c r="H1628" s="74">
        <f>'12-2017'!H1718</f>
        <v>0</v>
      </c>
      <c r="I1628" s="74">
        <f>'12-2017'!I1718</f>
        <v>14825600</v>
      </c>
      <c r="J1628" s="74">
        <f>'12-2017'!J1718</f>
        <v>14825600</v>
      </c>
    </row>
    <row r="1629" spans="1:10" s="58" customFormat="1" ht="17.25">
      <c r="A1629" s="10">
        <f>'12-2017'!A1719</f>
        <v>65</v>
      </c>
      <c r="B1629" s="11" t="str">
        <f>'12-2017'!B1719</f>
        <v xml:space="preserve"> Cột đa giác 17m-150-5mm</v>
      </c>
      <c r="C1629" s="12" t="str">
        <f>'12-2017'!C1719</f>
        <v>Chiếc</v>
      </c>
      <c r="D1629" s="13">
        <f>'12-2017'!O1719</f>
        <v>0</v>
      </c>
      <c r="E1629" s="13">
        <f>'12-2017'!P1719</f>
        <v>21022300</v>
      </c>
      <c r="F1629" s="130">
        <f t="shared" ref="F1629:F1670" si="62">E1629-D1629</f>
        <v>21022300</v>
      </c>
      <c r="H1629" s="74">
        <f>'12-2017'!H1719</f>
        <v>0</v>
      </c>
      <c r="I1629" s="74">
        <f>'12-2017'!I1719</f>
        <v>21022300</v>
      </c>
      <c r="J1629" s="74">
        <f>'12-2017'!J1719</f>
        <v>21022300</v>
      </c>
    </row>
    <row r="1630" spans="1:10" s="58" customFormat="1" ht="17.25">
      <c r="A1630" s="10">
        <f>'12-2017'!A1720</f>
        <v>66</v>
      </c>
      <c r="B1630" s="11" t="str">
        <f>'12-2017'!B1720</f>
        <v xml:space="preserve"> Cột đa giác 20m-180-5mm</v>
      </c>
      <c r="C1630" s="12" t="str">
        <f>'12-2017'!C1720</f>
        <v>Chiếc</v>
      </c>
      <c r="D1630" s="13">
        <f>'12-2017'!O1720</f>
        <v>0</v>
      </c>
      <c r="E1630" s="13">
        <f>'12-2017'!P1720</f>
        <v>31161200</v>
      </c>
      <c r="F1630" s="130">
        <f t="shared" si="62"/>
        <v>31161200</v>
      </c>
      <c r="H1630" s="74">
        <f>'12-2017'!H1720</f>
        <v>0</v>
      </c>
      <c r="I1630" s="74">
        <f>'12-2017'!I1720</f>
        <v>31161200</v>
      </c>
      <c r="J1630" s="74">
        <f>'12-2017'!J1720</f>
        <v>31161200</v>
      </c>
    </row>
    <row r="1631" spans="1:10" s="58" customFormat="1" ht="33">
      <c r="A1631" s="10">
        <f>'12-2017'!A1721</f>
        <v>67</v>
      </c>
      <c r="B1631" s="11" t="str">
        <f>'12-2017'!B1721</f>
        <v xml:space="preserve"> Cột đa giác 25m-260-6mm
Giàn đèn pha di động lắp trên cột 25-30m không đèn</v>
      </c>
      <c r="C1631" s="12" t="str">
        <f>'12-2017'!C1721</f>
        <v>Chiếc</v>
      </c>
      <c r="D1631" s="13">
        <f>'12-2017'!O1721</f>
        <v>0</v>
      </c>
      <c r="E1631" s="13">
        <f>'12-2017'!P1721</f>
        <v>182562000</v>
      </c>
      <c r="F1631" s="130">
        <f t="shared" si="62"/>
        <v>182562000</v>
      </c>
      <c r="H1631" s="74">
        <f>'12-2017'!H1721</f>
        <v>0</v>
      </c>
      <c r="I1631" s="74">
        <f>'12-2017'!I1721</f>
        <v>182562000</v>
      </c>
      <c r="J1631" s="74">
        <f>'12-2017'!J1721</f>
        <v>182562000</v>
      </c>
    </row>
    <row r="1632" spans="1:10" s="58" customFormat="1" ht="33">
      <c r="A1632" s="10">
        <f>'12-2017'!A1722</f>
        <v>68</v>
      </c>
      <c r="B1632" s="11" t="str">
        <f>'12-2017'!B1722</f>
        <v xml:space="preserve"> Cột đa giác 30m-260-8mm 
Giàn đèn pha di động lắp trên cột 25-30m không đèn</v>
      </c>
      <c r="C1632" s="12" t="str">
        <f>'12-2017'!C1722</f>
        <v>Chiếc</v>
      </c>
      <c r="D1632" s="13">
        <f>'12-2017'!O1722</f>
        <v>0</v>
      </c>
      <c r="E1632" s="13">
        <f>'12-2017'!P1722</f>
        <v>196795000</v>
      </c>
      <c r="F1632" s="130">
        <f t="shared" si="62"/>
        <v>196795000</v>
      </c>
      <c r="H1632" s="74">
        <f>'12-2017'!H1722</f>
        <v>0</v>
      </c>
      <c r="I1632" s="74">
        <f>'12-2017'!I1722</f>
        <v>196795000</v>
      </c>
      <c r="J1632" s="74">
        <f>'12-2017'!J1722</f>
        <v>196795000</v>
      </c>
    </row>
    <row r="1633" spans="1:10" s="58" customFormat="1" ht="17.25">
      <c r="A1633" s="10">
        <f>'12-2017'!A1723</f>
        <v>69</v>
      </c>
      <c r="B1633" s="11" t="str">
        <f>'12-2017'!B1723</f>
        <v>C01/SV3-9/QT-12m-3.0</v>
      </c>
      <c r="C1633" s="12" t="str">
        <f>'12-2017'!C1723</f>
        <v>Chiếc</v>
      </c>
      <c r="D1633" s="13">
        <f>'12-2017'!O1723</f>
        <v>0</v>
      </c>
      <c r="E1633" s="13">
        <f>'12-2017'!P1723</f>
        <v>48285714.285714298</v>
      </c>
      <c r="F1633" s="130">
        <f t="shared" si="62"/>
        <v>48285714.285714298</v>
      </c>
      <c r="H1633" s="74">
        <f>'12-2017'!H1723</f>
        <v>0</v>
      </c>
      <c r="I1633" s="74">
        <f>'12-2017'!I1723</f>
        <v>48285714.285714298</v>
      </c>
      <c r="J1633" s="74">
        <f>'12-2017'!J1723</f>
        <v>48285714.285714298</v>
      </c>
    </row>
    <row r="1634" spans="1:10" s="58" customFormat="1" ht="17.25">
      <c r="A1634" s="10">
        <f>'12-2017'!A1724</f>
        <v>70</v>
      </c>
      <c r="B1634" s="11" t="str">
        <f>'12-2017'!B1724</f>
        <v>C01/SV8-1/DB3-8m-3.0; C01/SV8-4/DB4-6m-3.0</v>
      </c>
      <c r="C1634" s="12" t="str">
        <f>'12-2017'!C1724</f>
        <v>Chiếc</v>
      </c>
      <c r="D1634" s="13">
        <f>'12-2017'!O1724</f>
        <v>0</v>
      </c>
      <c r="E1634" s="13">
        <f>'12-2017'!P1724</f>
        <v>6285714.2857142864</v>
      </c>
      <c r="F1634" s="130">
        <f t="shared" si="62"/>
        <v>6285714.2857142864</v>
      </c>
      <c r="H1634" s="74">
        <f>'12-2017'!H1724</f>
        <v>0</v>
      </c>
      <c r="I1634" s="74">
        <f>'12-2017'!I1724</f>
        <v>6285714.2857142864</v>
      </c>
      <c r="J1634" s="74">
        <f>'12-2017'!J1724</f>
        <v>6285714.2857142864</v>
      </c>
    </row>
    <row r="1635" spans="1:10" s="58" customFormat="1" ht="17.25">
      <c r="A1635" s="10">
        <f>'12-2017'!A1725</f>
        <v>71</v>
      </c>
      <c r="B1635" s="11" t="str">
        <f>'12-2017'!B1725</f>
        <v>C01/SV8-4/DB4-8m-3.0</v>
      </c>
      <c r="C1635" s="12" t="str">
        <f>'12-2017'!C1725</f>
        <v>Chiếc</v>
      </c>
      <c r="D1635" s="13">
        <f>'12-2017'!O1725</f>
        <v>0</v>
      </c>
      <c r="E1635" s="13">
        <f>'12-2017'!P1725</f>
        <v>6928571.4285714291</v>
      </c>
      <c r="F1635" s="130">
        <f t="shared" si="62"/>
        <v>6928571.4285714291</v>
      </c>
      <c r="H1635" s="74">
        <f>'12-2017'!H1725</f>
        <v>0</v>
      </c>
      <c r="I1635" s="74">
        <f>'12-2017'!I1725</f>
        <v>6928571.4285714291</v>
      </c>
      <c r="J1635" s="74">
        <f>'12-2017'!J1725</f>
        <v>6928571.4285714291</v>
      </c>
    </row>
    <row r="1636" spans="1:10" s="58" customFormat="1" ht="49.5">
      <c r="A1636" s="10"/>
      <c r="B1636" s="9" t="str">
        <f>'12-2017'!B1726</f>
        <v>TRỤ TRANG TRÍ SÂN VƯỜN  SLIGHTING: Đế, thân bằng gang đúc,  sơn trang trí bên ngoài. Chùm bằng hợp kim nhôm đúc, sơn trang trí bên ngoài. Bảo hành 24 tháng (WWW. CHIEUSANGVIET.COM)</v>
      </c>
      <c r="C1636" s="12"/>
      <c r="D1636" s="13"/>
      <c r="E1636" s="13"/>
      <c r="F1636" s="130"/>
      <c r="H1636" s="74">
        <f>'12-2017'!H1726</f>
        <v>0</v>
      </c>
      <c r="I1636" s="74">
        <f>'12-2017'!I1726</f>
        <v>0</v>
      </c>
      <c r="J1636" s="74">
        <f>'12-2017'!J1726</f>
        <v>0</v>
      </c>
    </row>
    <row r="1637" spans="1:10" s="58" customFormat="1" ht="17.25">
      <c r="A1637" s="10">
        <f>'12-2017'!A1727</f>
        <v>72</v>
      </c>
      <c r="B1637" s="11" t="str">
        <f>'12-2017'!B1727</f>
        <v>Cột đế gang thân nhôm C05 cao 3,7m</v>
      </c>
      <c r="C1637" s="12" t="str">
        <f>'12-2017'!C1727</f>
        <v>Chiếc</v>
      </c>
      <c r="D1637" s="13">
        <f>'12-2017'!O1727</f>
        <v>0</v>
      </c>
      <c r="E1637" s="13">
        <f>'12-2017'!P1727</f>
        <v>6724995</v>
      </c>
      <c r="F1637" s="130">
        <f t="shared" si="62"/>
        <v>6724995</v>
      </c>
      <c r="H1637" s="74">
        <f>'12-2017'!H1727</f>
        <v>0</v>
      </c>
      <c r="I1637" s="74">
        <f>'12-2017'!I1727</f>
        <v>6724995</v>
      </c>
      <c r="J1637" s="74">
        <f>'12-2017'!J1727</f>
        <v>6724995</v>
      </c>
    </row>
    <row r="1638" spans="1:10" s="58" customFormat="1" ht="17.25">
      <c r="A1638" s="10">
        <f>'12-2017'!A1728</f>
        <v>73</v>
      </c>
      <c r="B1638" s="11" t="str">
        <f>'12-2017'!B1728</f>
        <v>Cột đế gang thân gang C07 cao 3,2m; Cột đế gang thân gang C06 cao 3,2m</v>
      </c>
      <c r="C1638" s="12" t="str">
        <f>'12-2017'!C1728</f>
        <v>Chiếc</v>
      </c>
      <c r="D1638" s="13">
        <f>'12-2017'!O1728</f>
        <v>0</v>
      </c>
      <c r="E1638" s="13">
        <f>'12-2017'!P1728</f>
        <v>3777897</v>
      </c>
      <c r="F1638" s="130">
        <f t="shared" si="62"/>
        <v>3777897</v>
      </c>
      <c r="H1638" s="74">
        <f>'12-2017'!H1728</f>
        <v>0</v>
      </c>
      <c r="I1638" s="74">
        <f>'12-2017'!I1728</f>
        <v>3777897</v>
      </c>
      <c r="J1638" s="74">
        <f>'12-2017'!J1728</f>
        <v>3777897</v>
      </c>
    </row>
    <row r="1639" spans="1:10" s="58" customFormat="1" ht="17.25">
      <c r="A1639" s="10">
        <f>'12-2017'!A1729</f>
        <v>74</v>
      </c>
      <c r="B1639" s="11" t="str">
        <f>'12-2017'!B1729</f>
        <v>Cột đế gang thân nhôm C07 theo tiêu chuẩn</v>
      </c>
      <c r="C1639" s="12" t="str">
        <f>'12-2017'!C1729</f>
        <v>Chiếc</v>
      </c>
      <c r="D1639" s="13">
        <f>'12-2017'!O1729</f>
        <v>0</v>
      </c>
      <c r="E1639" s="13">
        <f>'12-2017'!P1729</f>
        <v>8520000</v>
      </c>
      <c r="F1639" s="130">
        <f t="shared" si="62"/>
        <v>8520000</v>
      </c>
      <c r="H1639" s="74">
        <f>'12-2017'!H1729</f>
        <v>0</v>
      </c>
      <c r="I1639" s="74">
        <f>'12-2017'!I1729</f>
        <v>8520000</v>
      </c>
      <c r="J1639" s="74">
        <f>'12-2017'!J1729</f>
        <v>8520000</v>
      </c>
    </row>
    <row r="1640" spans="1:10" s="58" customFormat="1" ht="17.25">
      <c r="A1640" s="10">
        <f>'12-2017'!A1730</f>
        <v>75</v>
      </c>
      <c r="B1640" s="11" t="str">
        <f>'12-2017'!B1730</f>
        <v>Cột đế nhôm thân nhôm C09 cao 4m</v>
      </c>
      <c r="C1640" s="12" t="str">
        <f>'12-2017'!C1730</f>
        <v>Chiếc</v>
      </c>
      <c r="D1640" s="13">
        <f>'12-2017'!O1730</f>
        <v>0</v>
      </c>
      <c r="E1640" s="13">
        <f>'12-2017'!P1730</f>
        <v>5455400</v>
      </c>
      <c r="F1640" s="130">
        <f t="shared" si="62"/>
        <v>5455400</v>
      </c>
      <c r="H1640" s="74">
        <f>'12-2017'!H1730</f>
        <v>0</v>
      </c>
      <c r="I1640" s="74">
        <f>'12-2017'!I1730</f>
        <v>5455400</v>
      </c>
      <c r="J1640" s="74">
        <f>'12-2017'!J1730</f>
        <v>5455400</v>
      </c>
    </row>
    <row r="1641" spans="1:10" s="58" customFormat="1" ht="17.25">
      <c r="A1641" s="10">
        <f>'12-2017'!A1731</f>
        <v>76</v>
      </c>
      <c r="B1641" s="11" t="str">
        <f>'12-2017'!B1731</f>
        <v>Chùm CH05-2; Chùm CH06-4; Chùm CH1-2</v>
      </c>
      <c r="C1641" s="12" t="str">
        <f>'12-2017'!C1731</f>
        <v>Chiếc</v>
      </c>
      <c r="D1641" s="13">
        <f>'12-2017'!O1731</f>
        <v>0</v>
      </c>
      <c r="E1641" s="13">
        <f>'12-2017'!P1731</f>
        <v>1423000</v>
      </c>
      <c r="F1641" s="130">
        <f t="shared" si="62"/>
        <v>1423000</v>
      </c>
      <c r="H1641" s="74">
        <f>'12-2017'!H1731</f>
        <v>0</v>
      </c>
      <c r="I1641" s="74">
        <f>'12-2017'!I1731</f>
        <v>1423000</v>
      </c>
      <c r="J1641" s="74">
        <f>'12-2017'!J1731</f>
        <v>1423000</v>
      </c>
    </row>
    <row r="1642" spans="1:10" s="58" customFormat="1" ht="17.25">
      <c r="A1642" s="10">
        <f>'12-2017'!A1732</f>
        <v>77</v>
      </c>
      <c r="B1642" s="11" t="str">
        <f>'12-2017'!B1732</f>
        <v>Chùm CH08-4</v>
      </c>
      <c r="C1642" s="12" t="str">
        <f>'12-2017'!C1732</f>
        <v>Chiếc</v>
      </c>
      <c r="D1642" s="13">
        <f>'12-2017'!O1732</f>
        <v>0</v>
      </c>
      <c r="E1642" s="13">
        <f>'12-2017'!P1732</f>
        <v>1666666.6666666667</v>
      </c>
      <c r="F1642" s="130">
        <f t="shared" si="62"/>
        <v>1666666.6666666667</v>
      </c>
      <c r="H1642" s="74">
        <f>'12-2017'!H1732</f>
        <v>0</v>
      </c>
      <c r="I1642" s="74">
        <f>'12-2017'!I1732</f>
        <v>1666666.6666666667</v>
      </c>
      <c r="J1642" s="74">
        <f>'12-2017'!J1732</f>
        <v>1666666.6666666667</v>
      </c>
    </row>
    <row r="1643" spans="1:10" s="58" customFormat="1" ht="17.25">
      <c r="A1643" s="10">
        <f>'12-2017'!A1733</f>
        <v>78</v>
      </c>
      <c r="B1643" s="11" t="str">
        <f>'12-2017'!B1733</f>
        <v>Chùm CH09-1</v>
      </c>
      <c r="C1643" s="12" t="str">
        <f>'12-2017'!C1733</f>
        <v>Chiếc</v>
      </c>
      <c r="D1643" s="13">
        <f>'12-2017'!O1733</f>
        <v>0</v>
      </c>
      <c r="E1643" s="13">
        <f>'12-2017'!P1733</f>
        <v>2166666.666666667</v>
      </c>
      <c r="F1643" s="130">
        <f t="shared" si="62"/>
        <v>2166666.666666667</v>
      </c>
      <c r="H1643" s="74">
        <f>'12-2017'!H1733</f>
        <v>0</v>
      </c>
      <c r="I1643" s="74">
        <f>'12-2017'!I1733</f>
        <v>2166666.666666667</v>
      </c>
      <c r="J1643" s="74">
        <f>'12-2017'!J1733</f>
        <v>2166666.666666667</v>
      </c>
    </row>
    <row r="1644" spans="1:10" s="58" customFormat="1" ht="17.25">
      <c r="A1644" s="10">
        <f>'12-2017'!A1734</f>
        <v>79</v>
      </c>
      <c r="B1644" s="11" t="str">
        <f>'12-2017'!B1734</f>
        <v>Chùm CH09-2</v>
      </c>
      <c r="C1644" s="12" t="str">
        <f>'12-2017'!C1734</f>
        <v>Chiếc</v>
      </c>
      <c r="D1644" s="13">
        <f>'12-2017'!O1734</f>
        <v>0</v>
      </c>
      <c r="E1644" s="13">
        <f>'12-2017'!P1734</f>
        <v>3583333.3333333335</v>
      </c>
      <c r="F1644" s="130">
        <f t="shared" si="62"/>
        <v>3583333.3333333335</v>
      </c>
      <c r="H1644" s="74">
        <f>'12-2017'!H1734</f>
        <v>0</v>
      </c>
      <c r="I1644" s="74">
        <f>'12-2017'!I1734</f>
        <v>3583333.3333333335</v>
      </c>
      <c r="J1644" s="74">
        <f>'12-2017'!J1734</f>
        <v>3583333.3333333335</v>
      </c>
    </row>
    <row r="1645" spans="1:10" s="58" customFormat="1" ht="17.25">
      <c r="A1645" s="10">
        <f>'12-2017'!A1735</f>
        <v>80</v>
      </c>
      <c r="B1645" s="11" t="str">
        <f>'12-2017'!B1735</f>
        <v>Chùm CH11-4</v>
      </c>
      <c r="C1645" s="12" t="str">
        <f>'12-2017'!C1735</f>
        <v>Chiếc</v>
      </c>
      <c r="D1645" s="13">
        <f>'12-2017'!O1735</f>
        <v>0</v>
      </c>
      <c r="E1645" s="13">
        <f>'12-2017'!P1735</f>
        <v>2816666.666666667</v>
      </c>
      <c r="F1645" s="130">
        <f t="shared" si="62"/>
        <v>2816666.666666667</v>
      </c>
      <c r="H1645" s="74">
        <f>'12-2017'!H1735</f>
        <v>0</v>
      </c>
      <c r="I1645" s="74">
        <f>'12-2017'!I1735</f>
        <v>2816666.666666667</v>
      </c>
      <c r="J1645" s="74">
        <f>'12-2017'!J1735</f>
        <v>2816666.666666667</v>
      </c>
    </row>
    <row r="1646" spans="1:10" s="58" customFormat="1" ht="17.25">
      <c r="A1646" s="10">
        <f>'12-2017'!A1736</f>
        <v>81</v>
      </c>
      <c r="B1646" s="11" t="str">
        <f>'12-2017'!B1736</f>
        <v>Chùm CH12-4</v>
      </c>
      <c r="C1646" s="12" t="str">
        <f>'12-2017'!C1736</f>
        <v>Chiếc</v>
      </c>
      <c r="D1646" s="13">
        <f>'12-2017'!O1736</f>
        <v>0</v>
      </c>
      <c r="E1646" s="13">
        <f>'12-2017'!P1736</f>
        <v>2416666.666666667</v>
      </c>
      <c r="F1646" s="130">
        <f t="shared" si="62"/>
        <v>2416666.666666667</v>
      </c>
      <c r="H1646" s="74">
        <f>'12-2017'!H1736</f>
        <v>0</v>
      </c>
      <c r="I1646" s="74">
        <f>'12-2017'!I1736</f>
        <v>2416666.666666667</v>
      </c>
      <c r="J1646" s="74">
        <f>'12-2017'!J1736</f>
        <v>2416666.666666667</v>
      </c>
    </row>
    <row r="1647" spans="1:10" s="58" customFormat="1" ht="17.25">
      <c r="A1647" s="10">
        <f>'12-2017'!A1737</f>
        <v>82</v>
      </c>
      <c r="B1647" s="11" t="str">
        <f>'12-2017'!B1737</f>
        <v>Cầu trang trí SV3A-D300</v>
      </c>
      <c r="C1647" s="12" t="str">
        <f>'12-2017'!C1737</f>
        <v>Chiếc</v>
      </c>
      <c r="D1647" s="13">
        <f>'12-2017'!O1737</f>
        <v>0</v>
      </c>
      <c r="E1647" s="13">
        <f>'12-2017'!P1737</f>
        <v>266666.66666666669</v>
      </c>
      <c r="F1647" s="130">
        <f t="shared" si="62"/>
        <v>266666.66666666669</v>
      </c>
      <c r="H1647" s="74">
        <f>'12-2017'!H1737</f>
        <v>0</v>
      </c>
      <c r="I1647" s="74">
        <f>'12-2017'!I1737</f>
        <v>266666.66666666669</v>
      </c>
      <c r="J1647" s="74">
        <f>'12-2017'!J1737</f>
        <v>266666.66666666669</v>
      </c>
    </row>
    <row r="1648" spans="1:10" s="58" customFormat="1" ht="17.25">
      <c r="A1648" s="10">
        <f>'12-2017'!A1738</f>
        <v>83</v>
      </c>
      <c r="B1648" s="11" t="str">
        <f>'12-2017'!B1738</f>
        <v>Cầu trang trí SV3A-D400</v>
      </c>
      <c r="C1648" s="12" t="str">
        <f>'12-2017'!C1738</f>
        <v>Chiếc</v>
      </c>
      <c r="D1648" s="13">
        <f>'12-2017'!O1738</f>
        <v>0</v>
      </c>
      <c r="E1648" s="13">
        <f>'12-2017'!P1738</f>
        <v>500000</v>
      </c>
      <c r="F1648" s="130">
        <f t="shared" si="62"/>
        <v>500000</v>
      </c>
      <c r="H1648" s="74">
        <f>'12-2017'!H1738</f>
        <v>0</v>
      </c>
      <c r="I1648" s="74">
        <f>'12-2017'!I1738</f>
        <v>500000</v>
      </c>
      <c r="J1648" s="74">
        <f>'12-2017'!J1738</f>
        <v>500000</v>
      </c>
    </row>
    <row r="1649" spans="1:10" s="58" customFormat="1" ht="33">
      <c r="A1649" s="10"/>
      <c r="B1649" s="9" t="str">
        <f>'12-2017'!B1739</f>
        <v>ĐÈN CAO ÁP  SLIGHTING: Bảo hành 12 tháng, Bộ điện  SLIGHTING (WWW. CHIEUSANGVIET.COM)</v>
      </c>
      <c r="C1649" s="12"/>
      <c r="D1649" s="13"/>
      <c r="E1649" s="13"/>
      <c r="F1649" s="130"/>
      <c r="H1649" s="74">
        <f>'12-2017'!H1739</f>
        <v>0</v>
      </c>
      <c r="I1649" s="74">
        <f>'12-2017'!I1739</f>
        <v>0</v>
      </c>
      <c r="J1649" s="74">
        <f>'12-2017'!J1739</f>
        <v>0</v>
      </c>
    </row>
    <row r="1650" spans="1:10" s="58" customFormat="1" ht="17.25">
      <c r="A1650" s="10">
        <f>'12-2017'!A1740</f>
        <v>84</v>
      </c>
      <c r="B1650" s="11" t="str">
        <f>'12-2017'!B1740</f>
        <v>Đèn cao áp 1 công suất 150W, Sodium - SLI-S3</v>
      </c>
      <c r="C1650" s="12" t="str">
        <f>'12-2017'!C1740</f>
        <v>Chiếc</v>
      </c>
      <c r="D1650" s="13">
        <f>'12-2017'!O1740</f>
        <v>0</v>
      </c>
      <c r="E1650" s="13">
        <f>'12-2017'!P1740</f>
        <v>1969230.7692307692</v>
      </c>
      <c r="F1650" s="130">
        <f t="shared" si="62"/>
        <v>1969230.7692307692</v>
      </c>
      <c r="H1650" s="74">
        <f>'12-2017'!H1740</f>
        <v>0</v>
      </c>
      <c r="I1650" s="74">
        <f>'12-2017'!I1740</f>
        <v>1969230.7692307692</v>
      </c>
      <c r="J1650" s="74">
        <f>'12-2017'!J1740</f>
        <v>1969230.7692307692</v>
      </c>
    </row>
    <row r="1651" spans="1:10" s="58" customFormat="1" ht="17.25">
      <c r="A1651" s="10">
        <f>'12-2017'!A1741</f>
        <v>85</v>
      </c>
      <c r="B1651" s="11" t="str">
        <f>'12-2017'!B1741</f>
        <v>Đèn cao áp 1 công suất 250W, Sodium - SLI-S3</v>
      </c>
      <c r="C1651" s="12" t="str">
        <f>'12-2017'!C1741</f>
        <v>Chiếc</v>
      </c>
      <c r="D1651" s="13">
        <f>'12-2017'!O1741</f>
        <v>0</v>
      </c>
      <c r="E1651" s="13">
        <f>'12-2017'!P1741</f>
        <v>2230769.2307692305</v>
      </c>
      <c r="F1651" s="130">
        <f t="shared" si="62"/>
        <v>2230769.2307692305</v>
      </c>
      <c r="H1651" s="74">
        <f>'12-2017'!H1741</f>
        <v>0</v>
      </c>
      <c r="I1651" s="74">
        <f>'12-2017'!I1741</f>
        <v>2230769.2307692305</v>
      </c>
      <c r="J1651" s="74">
        <f>'12-2017'!J1741</f>
        <v>2230769.2307692305</v>
      </c>
    </row>
    <row r="1652" spans="1:10" s="58" customFormat="1" ht="17.25">
      <c r="A1652" s="10">
        <f>'12-2017'!A1742</f>
        <v>86</v>
      </c>
      <c r="B1652" s="11" t="str">
        <f>'12-2017'!B1742</f>
        <v>Đèn cao áp 2 công suất 250/150, Sodium - SLI-S3</v>
      </c>
      <c r="C1652" s="12" t="str">
        <f>'12-2017'!C1742</f>
        <v>Chiếc</v>
      </c>
      <c r="D1652" s="13">
        <f>'12-2017'!O1742</f>
        <v>0</v>
      </c>
      <c r="E1652" s="13">
        <f>'12-2017'!P1742</f>
        <v>3000000</v>
      </c>
      <c r="F1652" s="130">
        <f t="shared" si="62"/>
        <v>3000000</v>
      </c>
      <c r="H1652" s="74">
        <f>'12-2017'!H1742</f>
        <v>0</v>
      </c>
      <c r="I1652" s="74">
        <f>'12-2017'!I1742</f>
        <v>3000000</v>
      </c>
      <c r="J1652" s="74">
        <f>'12-2017'!J1742</f>
        <v>3000000</v>
      </c>
    </row>
    <row r="1653" spans="1:10" s="58" customFormat="1" ht="17.25">
      <c r="A1653" s="10">
        <f>'12-2017'!A1743</f>
        <v>87</v>
      </c>
      <c r="B1653" s="11" t="str">
        <f>'12-2017'!B1743</f>
        <v>Đèn cao áp 1 công suất 250W, Sodium - SLI-S6</v>
      </c>
      <c r="C1653" s="12" t="str">
        <f>'12-2017'!C1743</f>
        <v>Chiếc</v>
      </c>
      <c r="D1653" s="13">
        <f>'12-2017'!O1743</f>
        <v>0</v>
      </c>
      <c r="E1653" s="13">
        <f>'12-2017'!P1743</f>
        <v>2615384.6153846155</v>
      </c>
      <c r="F1653" s="130">
        <f t="shared" si="62"/>
        <v>2615384.6153846155</v>
      </c>
      <c r="H1653" s="74">
        <f>'12-2017'!H1743</f>
        <v>0</v>
      </c>
      <c r="I1653" s="74">
        <f>'12-2017'!I1743</f>
        <v>2615384.6153846155</v>
      </c>
      <c r="J1653" s="74">
        <f>'12-2017'!J1743</f>
        <v>2615384.6153846155</v>
      </c>
    </row>
    <row r="1654" spans="1:10" s="58" customFormat="1" ht="17.25">
      <c r="A1654" s="10">
        <f>'12-2017'!A1744</f>
        <v>88</v>
      </c>
      <c r="B1654" s="11" t="str">
        <f>'12-2017'!B1744</f>
        <v>Đèn cao áp 2 công suất 150/100, Sodium - SLI-S6</v>
      </c>
      <c r="C1654" s="12" t="str">
        <f>'12-2017'!C1744</f>
        <v>Chiếc</v>
      </c>
      <c r="D1654" s="13">
        <f>'12-2017'!O1744</f>
        <v>0</v>
      </c>
      <c r="E1654" s="13">
        <f>'12-2017'!P1744</f>
        <v>2769230.769230769</v>
      </c>
      <c r="F1654" s="130">
        <f t="shared" si="62"/>
        <v>2769230.769230769</v>
      </c>
      <c r="H1654" s="74">
        <f>'12-2017'!H1744</f>
        <v>0</v>
      </c>
      <c r="I1654" s="74">
        <f>'12-2017'!I1744</f>
        <v>2769230.769230769</v>
      </c>
      <c r="J1654" s="74">
        <f>'12-2017'!J1744</f>
        <v>2769230.769230769</v>
      </c>
    </row>
    <row r="1655" spans="1:10" s="58" customFormat="1" ht="17.25">
      <c r="A1655" s="10">
        <f>'12-2017'!A1745</f>
        <v>89</v>
      </c>
      <c r="B1655" s="11" t="str">
        <f>'12-2017'!B1745</f>
        <v>Đèn cao áp 2 công suất 250/150, Sodium - SLI-S6</v>
      </c>
      <c r="C1655" s="12" t="str">
        <f>'12-2017'!C1745</f>
        <v>Chiếc</v>
      </c>
      <c r="D1655" s="13">
        <f>'12-2017'!O1745</f>
        <v>0</v>
      </c>
      <c r="E1655" s="13">
        <f>'12-2017'!P1745</f>
        <v>3307692.3076923075</v>
      </c>
      <c r="F1655" s="130">
        <f t="shared" si="62"/>
        <v>3307692.3076923075</v>
      </c>
      <c r="H1655" s="74">
        <f>'12-2017'!H1745</f>
        <v>0</v>
      </c>
      <c r="I1655" s="74">
        <f>'12-2017'!I1745</f>
        <v>3307692.3076923075</v>
      </c>
      <c r="J1655" s="74">
        <f>'12-2017'!J1745</f>
        <v>3307692.3076923075</v>
      </c>
    </row>
    <row r="1656" spans="1:10" s="58" customFormat="1" ht="17.25">
      <c r="A1656" s="10">
        <f>'12-2017'!A1746</f>
        <v>90</v>
      </c>
      <c r="B1656" s="11" t="str">
        <f>'12-2017'!B1746</f>
        <v>Đèn 80WCompact - SLI-S12</v>
      </c>
      <c r="C1656" s="12" t="str">
        <f>'12-2017'!C1746</f>
        <v>Chiếc</v>
      </c>
      <c r="D1656" s="13">
        <f>'12-2017'!O1746</f>
        <v>0</v>
      </c>
      <c r="E1656" s="13">
        <f>'12-2017'!P1746</f>
        <v>1146153.84615385</v>
      </c>
      <c r="F1656" s="130">
        <f t="shared" si="62"/>
        <v>1146153.84615385</v>
      </c>
      <c r="H1656" s="74">
        <f>'12-2017'!H1746</f>
        <v>0</v>
      </c>
      <c r="I1656" s="74">
        <f>'12-2017'!I1746</f>
        <v>1146153.84615385</v>
      </c>
      <c r="J1656" s="74">
        <f>'12-2017'!J1746</f>
        <v>1146153.84615385</v>
      </c>
    </row>
    <row r="1657" spans="1:10" s="58" customFormat="1" ht="17.25">
      <c r="A1657" s="10">
        <f>'12-2017'!A1747</f>
        <v>91</v>
      </c>
      <c r="B1657" s="11" t="str">
        <f>'12-2017'!B1747</f>
        <v>Đèn cao áp 1 công suất 70W, Sodium - SLI-S12</v>
      </c>
      <c r="C1657" s="12" t="str">
        <f>'12-2017'!C1747</f>
        <v>Chiếc</v>
      </c>
      <c r="D1657" s="13">
        <f>'12-2017'!O1747</f>
        <v>0</v>
      </c>
      <c r="E1657" s="13">
        <f>'12-2017'!P1747</f>
        <v>1407692.3076923101</v>
      </c>
      <c r="F1657" s="130">
        <f t="shared" si="62"/>
        <v>1407692.3076923101</v>
      </c>
      <c r="H1657" s="74">
        <f>'12-2017'!H1747</f>
        <v>0</v>
      </c>
      <c r="I1657" s="74">
        <f>'12-2017'!I1747</f>
        <v>1407692.3076923101</v>
      </c>
      <c r="J1657" s="74">
        <f>'12-2017'!J1747</f>
        <v>1407692.3076923101</v>
      </c>
    </row>
    <row r="1658" spans="1:10" s="58" customFormat="1" ht="17.25">
      <c r="A1658" s="10">
        <f>'12-2017'!A1748</f>
        <v>92</v>
      </c>
      <c r="B1658" s="11" t="str">
        <f>'12-2017'!B1748</f>
        <v>Đèn cao áp 1 công suất 150W, Sodium- SLI-S12</v>
      </c>
      <c r="C1658" s="12" t="str">
        <f>'12-2017'!C1748</f>
        <v>Chiếc</v>
      </c>
      <c r="D1658" s="13">
        <f>'12-2017'!O1748</f>
        <v>0</v>
      </c>
      <c r="E1658" s="13">
        <f>'12-2017'!P1748</f>
        <v>1584615.3846153801</v>
      </c>
      <c r="F1658" s="130">
        <f t="shared" si="62"/>
        <v>1584615.3846153801</v>
      </c>
      <c r="H1658" s="74">
        <f>'12-2017'!H1748</f>
        <v>0</v>
      </c>
      <c r="I1658" s="74">
        <f>'12-2017'!I1748</f>
        <v>1584615.3846153801</v>
      </c>
      <c r="J1658" s="74">
        <f>'12-2017'!J1748</f>
        <v>1584615.3846153801</v>
      </c>
    </row>
    <row r="1659" spans="1:10" s="58" customFormat="1" ht="17.25">
      <c r="A1659" s="10">
        <f>'12-2017'!A1749</f>
        <v>93</v>
      </c>
      <c r="B1659" s="11" t="str">
        <f>'12-2017'!B1749</f>
        <v>Đèn cao áp 2 công suất 150/100, Sodium- SLI-S12</v>
      </c>
      <c r="C1659" s="12" t="str">
        <f>'12-2017'!C1749</f>
        <v>Chiếc</v>
      </c>
      <c r="D1659" s="13">
        <f>'12-2017'!O1749</f>
        <v>0</v>
      </c>
      <c r="E1659" s="13">
        <f>'12-2017'!P1749</f>
        <v>2076923.0769230768</v>
      </c>
      <c r="F1659" s="130">
        <f t="shared" si="62"/>
        <v>2076923.0769230768</v>
      </c>
      <c r="H1659" s="74">
        <f>'12-2017'!H1749</f>
        <v>0</v>
      </c>
      <c r="I1659" s="74">
        <f>'12-2017'!I1749</f>
        <v>2076923.0769230768</v>
      </c>
      <c r="J1659" s="74">
        <f>'12-2017'!J1749</f>
        <v>2076923.0769230768</v>
      </c>
    </row>
    <row r="1660" spans="1:10" s="58" customFormat="1" ht="17.25">
      <c r="A1660" s="10">
        <f>'12-2017'!A1750</f>
        <v>94</v>
      </c>
      <c r="B1660" s="11" t="str">
        <f>'12-2017'!B1750</f>
        <v>Đèn cao áp 1 công suất 150W, Sodium - SLI-S18</v>
      </c>
      <c r="C1660" s="12" t="str">
        <f>'12-2017'!C1750</f>
        <v>Chiếc</v>
      </c>
      <c r="D1660" s="13">
        <f>'12-2017'!O1750</f>
        <v>0</v>
      </c>
      <c r="E1660" s="13">
        <f>'12-2017'!P1750</f>
        <v>2307692.3076923075</v>
      </c>
      <c r="F1660" s="130">
        <f t="shared" si="62"/>
        <v>2307692.3076923075</v>
      </c>
      <c r="H1660" s="74">
        <f>'12-2017'!H1750</f>
        <v>0</v>
      </c>
      <c r="I1660" s="74">
        <f>'12-2017'!I1750</f>
        <v>2307692.3076923075</v>
      </c>
      <c r="J1660" s="74">
        <f>'12-2017'!J1750</f>
        <v>2307692.3076923075</v>
      </c>
    </row>
    <row r="1661" spans="1:10" s="58" customFormat="1" ht="17.25">
      <c r="A1661" s="10">
        <f>'12-2017'!A1751</f>
        <v>95</v>
      </c>
      <c r="B1661" s="11" t="str">
        <f>'12-2017'!B1751</f>
        <v>Đèn cao áp 1 công suất 250W, Sodium - SLI-S18</v>
      </c>
      <c r="C1661" s="12" t="str">
        <f>'12-2017'!C1751</f>
        <v>Chiếc</v>
      </c>
      <c r="D1661" s="13">
        <f>'12-2017'!O1751</f>
        <v>0</v>
      </c>
      <c r="E1661" s="13">
        <f>'12-2017'!P1751</f>
        <v>2461538.4615384615</v>
      </c>
      <c r="F1661" s="130">
        <f t="shared" si="62"/>
        <v>2461538.4615384615</v>
      </c>
      <c r="H1661" s="74">
        <f>'12-2017'!H1751</f>
        <v>0</v>
      </c>
      <c r="I1661" s="74">
        <f>'12-2017'!I1751</f>
        <v>2461538.4615384615</v>
      </c>
      <c r="J1661" s="74">
        <f>'12-2017'!J1751</f>
        <v>2461538.4615384615</v>
      </c>
    </row>
    <row r="1662" spans="1:10" s="58" customFormat="1" ht="17.25">
      <c r="A1662" s="10">
        <f>'12-2017'!A1752</f>
        <v>96</v>
      </c>
      <c r="B1662" s="11" t="str">
        <f>'12-2017'!B1752</f>
        <v>Đèn cao áp 2 công suất 150/100, Sodium - SLI-S18</v>
      </c>
      <c r="C1662" s="12" t="str">
        <f>'12-2017'!C1752</f>
        <v>Chiếc</v>
      </c>
      <c r="D1662" s="13">
        <f>'12-2017'!O1752</f>
        <v>0</v>
      </c>
      <c r="E1662" s="13">
        <f>'12-2017'!P1752</f>
        <v>3000000</v>
      </c>
      <c r="F1662" s="130">
        <f t="shared" si="62"/>
        <v>3000000</v>
      </c>
      <c r="H1662" s="74">
        <f>'12-2017'!H1752</f>
        <v>0</v>
      </c>
      <c r="I1662" s="74">
        <f>'12-2017'!I1752</f>
        <v>3000000</v>
      </c>
      <c r="J1662" s="74">
        <f>'12-2017'!J1752</f>
        <v>3000000</v>
      </c>
    </row>
    <row r="1663" spans="1:10" s="58" customFormat="1" ht="17.25">
      <c r="A1663" s="10">
        <f>'12-2017'!A1753</f>
        <v>97</v>
      </c>
      <c r="B1663" s="11" t="str">
        <f>'12-2017'!B1753</f>
        <v>Đèn cao áp 2 công suất 250/150, Sodium - SLI-S18</v>
      </c>
      <c r="C1663" s="12" t="str">
        <f>'12-2017'!C1753</f>
        <v>Chiếc</v>
      </c>
      <c r="D1663" s="13">
        <f>'12-2017'!O1753</f>
        <v>0</v>
      </c>
      <c r="E1663" s="13">
        <f>'12-2017'!P1753</f>
        <v>3153846.1538461535</v>
      </c>
      <c r="F1663" s="130">
        <f t="shared" si="62"/>
        <v>3153846.1538461535</v>
      </c>
      <c r="H1663" s="74">
        <f>'12-2017'!H1753</f>
        <v>0</v>
      </c>
      <c r="I1663" s="74">
        <f>'12-2017'!I1753</f>
        <v>3153846.1538461535</v>
      </c>
      <c r="J1663" s="74">
        <f>'12-2017'!J1753</f>
        <v>3153846.1538461535</v>
      </c>
    </row>
    <row r="1664" spans="1:10" s="58" customFormat="1" ht="17.25">
      <c r="A1664" s="10">
        <f>'12-2017'!A1754</f>
        <v>98</v>
      </c>
      <c r="B1664" s="11" t="str">
        <f>'12-2017'!B1754</f>
        <v>Đèn cao áp 1 công suất 250W, Sodium - SLI-S19</v>
      </c>
      <c r="C1664" s="12" t="str">
        <f>'12-2017'!C1754</f>
        <v>Chiếc</v>
      </c>
      <c r="D1664" s="13">
        <f>'12-2017'!O1754</f>
        <v>0</v>
      </c>
      <c r="E1664" s="13">
        <f>'12-2017'!P1754</f>
        <v>3615384.6153846155</v>
      </c>
      <c r="F1664" s="130">
        <f t="shared" si="62"/>
        <v>3615384.6153846155</v>
      </c>
      <c r="H1664" s="74">
        <f>'12-2017'!H1754</f>
        <v>0</v>
      </c>
      <c r="I1664" s="74">
        <f>'12-2017'!I1754</f>
        <v>3615384.6153846155</v>
      </c>
      <c r="J1664" s="74">
        <f>'12-2017'!J1754</f>
        <v>3615384.6153846155</v>
      </c>
    </row>
    <row r="1665" spans="1:10" s="58" customFormat="1" ht="17.25">
      <c r="A1665" s="10">
        <f>'12-2017'!A1755</f>
        <v>99</v>
      </c>
      <c r="B1665" s="11" t="str">
        <f>'12-2017'!B1755</f>
        <v>Đèn cao áp 2 công suất 250/150, Sodium - SLI-S19</v>
      </c>
      <c r="C1665" s="12" t="str">
        <f>'12-2017'!C1755</f>
        <v>Chiếc</v>
      </c>
      <c r="D1665" s="13">
        <f>'12-2017'!O1755</f>
        <v>0</v>
      </c>
      <c r="E1665" s="13">
        <f>'12-2017'!P1755</f>
        <v>4307692.3076923098</v>
      </c>
      <c r="F1665" s="130">
        <f t="shared" si="62"/>
        <v>4307692.3076923098</v>
      </c>
      <c r="H1665" s="74">
        <f>'12-2017'!H1755</f>
        <v>0</v>
      </c>
      <c r="I1665" s="74">
        <f>'12-2017'!I1755</f>
        <v>4307692.3076923098</v>
      </c>
      <c r="J1665" s="74">
        <f>'12-2017'!J1755</f>
        <v>4307692.3076923098</v>
      </c>
    </row>
    <row r="1666" spans="1:10" s="58" customFormat="1" ht="17.25">
      <c r="A1666" s="10">
        <f>'12-2017'!A1756</f>
        <v>100</v>
      </c>
      <c r="B1666" s="11" t="str">
        <f>'12-2017'!B1756</f>
        <v>Đèn pha FM4-400 Metal Halide/ Sodium</v>
      </c>
      <c r="C1666" s="12" t="str">
        <f>'12-2017'!C1756</f>
        <v>Chiếc</v>
      </c>
      <c r="D1666" s="13">
        <f>'12-2017'!O1756</f>
        <v>0</v>
      </c>
      <c r="E1666" s="13">
        <f>'12-2017'!P1756</f>
        <v>1093300</v>
      </c>
      <c r="F1666" s="130">
        <f t="shared" si="62"/>
        <v>1093300</v>
      </c>
      <c r="H1666" s="74">
        <f>'12-2017'!H1756</f>
        <v>0</v>
      </c>
      <c r="I1666" s="74">
        <f>'12-2017'!I1756</f>
        <v>1093300</v>
      </c>
      <c r="J1666" s="74">
        <f>'12-2017'!J1756</f>
        <v>1093300</v>
      </c>
    </row>
    <row r="1667" spans="1:10" s="58" customFormat="1" ht="17.25">
      <c r="A1667" s="10">
        <f>'12-2017'!A1757</f>
        <v>101</v>
      </c>
      <c r="B1667" s="11" t="str">
        <f>'12-2017'!B1757</f>
        <v>Đèn pha FM4-1000 Metal Halide/ Sodium</v>
      </c>
      <c r="C1667" s="12" t="str">
        <f>'12-2017'!C1757</f>
        <v>Chiếc</v>
      </c>
      <c r="D1667" s="13">
        <f>'12-2017'!O1757</f>
        <v>0</v>
      </c>
      <c r="E1667" s="13">
        <f>'12-2017'!P1757</f>
        <v>6133300</v>
      </c>
      <c r="F1667" s="130">
        <f t="shared" si="62"/>
        <v>6133300</v>
      </c>
      <c r="H1667" s="74">
        <f>'12-2017'!H1757</f>
        <v>0</v>
      </c>
      <c r="I1667" s="74">
        <f>'12-2017'!I1757</f>
        <v>6133300</v>
      </c>
      <c r="J1667" s="74">
        <f>'12-2017'!J1757</f>
        <v>6133300</v>
      </c>
    </row>
    <row r="1668" spans="1:10" s="58" customFormat="1" ht="17.25">
      <c r="A1668" s="10">
        <f>'12-2017'!A1758</f>
        <v>102</v>
      </c>
      <c r="B1668" s="11" t="str">
        <f>'12-2017'!B1758</f>
        <v>Đèn pha FM15-1000 Metal Halide/ Sodium</v>
      </c>
      <c r="C1668" s="12" t="str">
        <f>'12-2017'!C1758</f>
        <v>Chiếc</v>
      </c>
      <c r="D1668" s="13">
        <f>'12-2017'!O1758</f>
        <v>0</v>
      </c>
      <c r="E1668" s="13">
        <f>'12-2017'!P1758</f>
        <v>8533333.333333334</v>
      </c>
      <c r="F1668" s="130">
        <f t="shared" si="62"/>
        <v>8533333.333333334</v>
      </c>
      <c r="H1668" s="74">
        <f>'12-2017'!H1758</f>
        <v>0</v>
      </c>
      <c r="I1668" s="74">
        <f>'12-2017'!I1758</f>
        <v>8533333.333333334</v>
      </c>
      <c r="J1668" s="74">
        <f>'12-2017'!J1758</f>
        <v>8533333.333333334</v>
      </c>
    </row>
    <row r="1669" spans="1:10" s="58" customFormat="1" ht="17.25">
      <c r="A1669" s="10">
        <f>'12-2017'!A1759</f>
        <v>103</v>
      </c>
      <c r="B1669" s="11" t="str">
        <f>'12-2017'!B1759</f>
        <v>Đèn pha FM17-1000 Metal Halide/ Sodium</v>
      </c>
      <c r="C1669" s="12" t="str">
        <f>'12-2017'!C1759</f>
        <v>Chiếc</v>
      </c>
      <c r="D1669" s="13">
        <f>'12-2017'!O1759</f>
        <v>0</v>
      </c>
      <c r="E1669" s="13">
        <f>'12-2017'!P1759</f>
        <v>16000000</v>
      </c>
      <c r="F1669" s="130">
        <f t="shared" si="62"/>
        <v>16000000</v>
      </c>
      <c r="H1669" s="74">
        <f>'12-2017'!H1759</f>
        <v>0</v>
      </c>
      <c r="I1669" s="74">
        <f>'12-2017'!I1759</f>
        <v>16000000</v>
      </c>
      <c r="J1669" s="74">
        <f>'12-2017'!J1759</f>
        <v>16000000</v>
      </c>
    </row>
    <row r="1670" spans="1:10" s="58" customFormat="1" ht="17.25">
      <c r="A1670" s="10">
        <f>'12-2017'!A1760</f>
        <v>0</v>
      </c>
      <c r="B1670" s="11" t="str">
        <f>'12-2017'!B1760</f>
        <v>LINH KIỆN:</v>
      </c>
      <c r="C1670" s="12">
        <f>'12-2017'!C1760</f>
        <v>0</v>
      </c>
      <c r="D1670" s="13">
        <f>'12-2017'!O1760</f>
        <v>0</v>
      </c>
      <c r="E1670" s="13">
        <f>'12-2017'!P1760</f>
        <v>0</v>
      </c>
      <c r="F1670" s="130">
        <f t="shared" si="62"/>
        <v>0</v>
      </c>
      <c r="H1670" s="74">
        <f>'12-2017'!H1760</f>
        <v>0</v>
      </c>
      <c r="I1670" s="74">
        <f>'12-2017'!I1760</f>
        <v>0</v>
      </c>
      <c r="J1670" s="74">
        <f>'12-2017'!J1760</f>
        <v>0</v>
      </c>
    </row>
    <row r="1671" spans="1:10" s="58" customFormat="1" ht="17.25">
      <c r="A1671" s="10">
        <f>'12-2017'!A1761</f>
        <v>104</v>
      </c>
      <c r="B1671" s="11" t="str">
        <f>'12-2017'!B1761</f>
        <v>Cọc tiếp địa V63x63x6x2500</v>
      </c>
      <c r="C1671" s="12" t="str">
        <f>'12-2017'!C1761</f>
        <v>Chiếc</v>
      </c>
      <c r="D1671" s="13">
        <f>'12-2017'!O1761</f>
        <v>0</v>
      </c>
      <c r="E1671" s="13">
        <f>'12-2017'!P1761</f>
        <v>487674</v>
      </c>
      <c r="F1671" s="130">
        <f t="shared" ref="F1671:F1682" si="63">E1671-D1671</f>
        <v>487674</v>
      </c>
      <c r="H1671" s="74">
        <f>'12-2017'!H1761</f>
        <v>0</v>
      </c>
      <c r="I1671" s="74">
        <f>'12-2017'!I1761</f>
        <v>487674</v>
      </c>
      <c r="J1671" s="74">
        <f>'12-2017'!J1761</f>
        <v>487674</v>
      </c>
    </row>
    <row r="1672" spans="1:10" s="58" customFormat="1" ht="17.25">
      <c r="A1672" s="10">
        <f>'12-2017'!A1762</f>
        <v>105</v>
      </c>
      <c r="B1672" s="11" t="str">
        <f>'12-2017'!B1762</f>
        <v>KM cột 05 M16x340x340x500</v>
      </c>
      <c r="C1672" s="12" t="str">
        <f>'12-2017'!C1762</f>
        <v>Chiếc</v>
      </c>
      <c r="D1672" s="13">
        <f>'12-2017'!O1762</f>
        <v>0</v>
      </c>
      <c r="E1672" s="13">
        <f>'12-2017'!P1762</f>
        <v>270000</v>
      </c>
      <c r="F1672" s="130">
        <f t="shared" si="63"/>
        <v>270000</v>
      </c>
      <c r="H1672" s="74">
        <f>'12-2017'!H1762</f>
        <v>0</v>
      </c>
      <c r="I1672" s="74">
        <f>'12-2017'!I1762</f>
        <v>270000</v>
      </c>
      <c r="J1672" s="74">
        <f>'12-2017'!J1762</f>
        <v>270000</v>
      </c>
    </row>
    <row r="1673" spans="1:10" s="58" customFormat="1" ht="17.25">
      <c r="A1673" s="10">
        <f>'12-2017'!A1763</f>
        <v>106</v>
      </c>
      <c r="B1673" s="11" t="str">
        <f>'12-2017'!B1763</f>
        <v>KM cột M16x260x260x500</v>
      </c>
      <c r="C1673" s="12" t="str">
        <f>'12-2017'!C1763</f>
        <v>Chiếc</v>
      </c>
      <c r="D1673" s="13">
        <f>'12-2017'!O1763</f>
        <v>0</v>
      </c>
      <c r="E1673" s="13">
        <f>'12-2017'!P1763</f>
        <v>260000</v>
      </c>
      <c r="F1673" s="130">
        <f t="shared" si="63"/>
        <v>260000</v>
      </c>
      <c r="H1673" s="74">
        <f>'12-2017'!H1763</f>
        <v>0</v>
      </c>
      <c r="I1673" s="74">
        <f>'12-2017'!I1763</f>
        <v>260000</v>
      </c>
      <c r="J1673" s="74">
        <f>'12-2017'!J1763</f>
        <v>260000</v>
      </c>
    </row>
    <row r="1674" spans="1:10" s="58" customFormat="1" ht="17.25">
      <c r="A1674" s="10">
        <f>'12-2017'!A1764</f>
        <v>107</v>
      </c>
      <c r="B1674" s="11" t="str">
        <f>'12-2017'!B1764</f>
        <v>KM cột M16x240x240x525</v>
      </c>
      <c r="C1674" s="12" t="str">
        <f>'12-2017'!C1764</f>
        <v>Chiếc</v>
      </c>
      <c r="D1674" s="13">
        <f>'12-2017'!O1764</f>
        <v>0</v>
      </c>
      <c r="E1674" s="13">
        <f>'12-2017'!P1764</f>
        <v>260000</v>
      </c>
      <c r="F1674" s="130">
        <f t="shared" si="63"/>
        <v>260000</v>
      </c>
      <c r="H1674" s="74">
        <f>'12-2017'!H1764</f>
        <v>0</v>
      </c>
      <c r="I1674" s="74">
        <f>'12-2017'!I1764</f>
        <v>260000</v>
      </c>
      <c r="J1674" s="74">
        <f>'12-2017'!J1764</f>
        <v>260000</v>
      </c>
    </row>
    <row r="1675" spans="1:10" s="58" customFormat="1" ht="17.25">
      <c r="A1675" s="10">
        <f>'12-2017'!A1765</f>
        <v>108</v>
      </c>
      <c r="B1675" s="11" t="str">
        <f>'12-2017'!B1765</f>
        <v>KM cột M24x300x300x675</v>
      </c>
      <c r="C1675" s="12" t="str">
        <f>'12-2017'!C1765</f>
        <v>Chiếc</v>
      </c>
      <c r="D1675" s="13">
        <f>'12-2017'!O1765</f>
        <v>0</v>
      </c>
      <c r="E1675" s="13">
        <f>'12-2017'!P1765</f>
        <v>545037</v>
      </c>
      <c r="F1675" s="130">
        <f t="shared" si="63"/>
        <v>545037</v>
      </c>
      <c r="H1675" s="74">
        <f>'12-2017'!H1765</f>
        <v>0</v>
      </c>
      <c r="I1675" s="74">
        <f>'12-2017'!I1765</f>
        <v>545037</v>
      </c>
      <c r="J1675" s="74">
        <f>'12-2017'!J1765</f>
        <v>545037</v>
      </c>
    </row>
    <row r="1676" spans="1:10" s="58" customFormat="1" ht="17.25">
      <c r="A1676" s="10">
        <f>'12-2017'!A1766</f>
        <v>109</v>
      </c>
      <c r="B1676" s="11" t="str">
        <f>'12-2017'!B1766</f>
        <v>KM cột đa giác M24x1375x8</v>
      </c>
      <c r="C1676" s="12" t="str">
        <f>'12-2017'!C1766</f>
        <v>Chiếc</v>
      </c>
      <c r="D1676" s="13">
        <f>'12-2017'!O1766</f>
        <v>0</v>
      </c>
      <c r="E1676" s="13">
        <f>'12-2017'!P1766</f>
        <v>1685000</v>
      </c>
      <c r="F1676" s="130">
        <f t="shared" si="63"/>
        <v>1685000</v>
      </c>
      <c r="H1676" s="74">
        <f>'12-2017'!H1766</f>
        <v>0</v>
      </c>
      <c r="I1676" s="74">
        <f>'12-2017'!I1766</f>
        <v>1685000</v>
      </c>
      <c r="J1676" s="74">
        <f>'12-2017'!J1766</f>
        <v>1685000</v>
      </c>
    </row>
    <row r="1677" spans="1:10" s="58" customFormat="1" ht="17.25">
      <c r="A1677" s="10">
        <f>'12-2017'!A1767</f>
        <v>110</v>
      </c>
      <c r="B1677" s="11" t="str">
        <f>'12-2017'!B1767</f>
        <v>KM cột đa giác M30x1875x12</v>
      </c>
      <c r="C1677" s="12" t="str">
        <f>'12-2017'!C1767</f>
        <v>Chiếc</v>
      </c>
      <c r="D1677" s="13">
        <f>'12-2017'!O1767</f>
        <v>0</v>
      </c>
      <c r="E1677" s="13">
        <f>'12-2017'!P1767</f>
        <v>4700000</v>
      </c>
      <c r="F1677" s="130">
        <f t="shared" si="63"/>
        <v>4700000</v>
      </c>
      <c r="H1677" s="74">
        <f>'12-2017'!H1767</f>
        <v>0</v>
      </c>
      <c r="I1677" s="74">
        <f>'12-2017'!I1767</f>
        <v>4700000</v>
      </c>
      <c r="J1677" s="74">
        <f>'12-2017'!J1767</f>
        <v>4700000</v>
      </c>
    </row>
    <row r="1678" spans="1:10" s="58" customFormat="1" ht="17.25">
      <c r="A1678" s="10">
        <f>'12-2017'!A1768</f>
        <v>111</v>
      </c>
      <c r="B1678" s="11" t="str">
        <f>'12-2017'!B1768</f>
        <v xml:space="preserve"> Tủ điện ĐK HTCS 1000x600x350 thiết bị ngoại 100A</v>
      </c>
      <c r="C1678" s="12" t="str">
        <f>'12-2017'!C1768</f>
        <v>Chiếc</v>
      </c>
      <c r="D1678" s="13">
        <f>'12-2017'!O1768</f>
        <v>0</v>
      </c>
      <c r="E1678" s="13">
        <f>'12-2017'!P1768</f>
        <v>13950000</v>
      </c>
      <c r="F1678" s="130">
        <f t="shared" si="63"/>
        <v>13950000</v>
      </c>
      <c r="H1678" s="74">
        <f>'12-2017'!H1768</f>
        <v>0</v>
      </c>
      <c r="I1678" s="74">
        <f>'12-2017'!I1768</f>
        <v>13950000</v>
      </c>
      <c r="J1678" s="74">
        <f>'12-2017'!J1768</f>
        <v>13950000</v>
      </c>
    </row>
    <row r="1679" spans="1:10" s="58" customFormat="1" ht="17.25">
      <c r="A1679" s="10">
        <f>'12-2017'!A1769</f>
        <v>112</v>
      </c>
      <c r="B1679" s="11" t="str">
        <f>'12-2017'!B1769</f>
        <v xml:space="preserve"> Tủ điện ĐK HTCS 1000x600x350 thiết bị ngoại 100A</v>
      </c>
      <c r="C1679" s="12" t="str">
        <f>'12-2017'!C1769</f>
        <v>Chiếc</v>
      </c>
      <c r="D1679" s="13">
        <f>'12-2017'!O1769</f>
        <v>0</v>
      </c>
      <c r="E1679" s="13">
        <f>'12-2017'!P1769</f>
        <v>13310000</v>
      </c>
      <c r="F1679" s="130">
        <f t="shared" si="63"/>
        <v>13310000</v>
      </c>
      <c r="H1679" s="74">
        <f>'12-2017'!H1769</f>
        <v>0</v>
      </c>
      <c r="I1679" s="74">
        <f>'12-2017'!I1769</f>
        <v>13310000</v>
      </c>
      <c r="J1679" s="74">
        <f>'12-2017'!J1769</f>
        <v>13310000</v>
      </c>
    </row>
    <row r="1680" spans="1:10" s="58" customFormat="1" ht="17.25">
      <c r="A1680" s="10">
        <f>'12-2017'!A1770</f>
        <v>113</v>
      </c>
      <c r="B1680" s="11" t="str">
        <f>'12-2017'!B1770</f>
        <v>Chấn lưu 1 cấp công suất OGS150w SLIGHTING</v>
      </c>
      <c r="C1680" s="12" t="str">
        <f>'12-2017'!C1770</f>
        <v>Chiếc</v>
      </c>
      <c r="D1680" s="13">
        <f>'12-2017'!O1770</f>
        <v>0</v>
      </c>
      <c r="E1680" s="13">
        <f>'12-2017'!P1770</f>
        <v>338733.43151693698</v>
      </c>
      <c r="F1680" s="130">
        <f t="shared" si="63"/>
        <v>338733.43151693698</v>
      </c>
      <c r="H1680" s="74">
        <f>'12-2017'!H1770</f>
        <v>0</v>
      </c>
      <c r="I1680" s="74">
        <f>'12-2017'!I1770</f>
        <v>338733.43151693698</v>
      </c>
      <c r="J1680" s="74">
        <f>'12-2017'!J1770</f>
        <v>338733.43151693698</v>
      </c>
    </row>
    <row r="1681" spans="1:10" s="58" customFormat="1" ht="17.25">
      <c r="A1681" s="10">
        <f>'12-2017'!A1771</f>
        <v>114</v>
      </c>
      <c r="B1681" s="11" t="str">
        <f>'12-2017'!B1771</f>
        <v>Chấn lưu 1 cấp công suất OGS250w SLIGHTING</v>
      </c>
      <c r="C1681" s="12" t="str">
        <f>'12-2017'!C1771</f>
        <v>Chiếc</v>
      </c>
      <c r="D1681" s="13">
        <f>'12-2017'!O1771</f>
        <v>0</v>
      </c>
      <c r="E1681" s="13">
        <f>'12-2017'!P1771</f>
        <v>360824.74226804124</v>
      </c>
      <c r="F1681" s="130">
        <f t="shared" si="63"/>
        <v>360824.74226804124</v>
      </c>
      <c r="H1681" s="74">
        <f>'12-2017'!H1771</f>
        <v>0</v>
      </c>
      <c r="I1681" s="74">
        <f>'12-2017'!I1771</f>
        <v>360824.74226804124</v>
      </c>
      <c r="J1681" s="74">
        <f>'12-2017'!J1771</f>
        <v>360824.74226804124</v>
      </c>
    </row>
    <row r="1682" spans="1:10" s="58" customFormat="1" ht="17.25">
      <c r="A1682" s="10">
        <f>'12-2017'!A1772</f>
        <v>115</v>
      </c>
      <c r="B1682" s="11" t="str">
        <f>'12-2017'!B1772</f>
        <v>Chấn lưu 1 cấp công suất OGS400w SLIGHTING</v>
      </c>
      <c r="C1682" s="12" t="str">
        <f>'12-2017'!C1772</f>
        <v>Chiếc</v>
      </c>
      <c r="D1682" s="13">
        <f>'12-2017'!O1772</f>
        <v>0</v>
      </c>
      <c r="E1682" s="13">
        <f>'12-2017'!P1772</f>
        <v>456553.75552282773</v>
      </c>
      <c r="F1682" s="130">
        <f t="shared" si="63"/>
        <v>456553.75552282773</v>
      </c>
      <c r="H1682" s="74">
        <f>'12-2017'!H1772</f>
        <v>0</v>
      </c>
      <c r="I1682" s="74">
        <f>'12-2017'!I1772</f>
        <v>456553.75552282773</v>
      </c>
      <c r="J1682" s="74">
        <f>'12-2017'!J1772</f>
        <v>456553.75552282773</v>
      </c>
    </row>
    <row r="1683" spans="1:10" s="58" customFormat="1" ht="17.25">
      <c r="A1683" s="10">
        <f>'12-2017'!A1773</f>
        <v>116</v>
      </c>
      <c r="B1683" s="11" t="str">
        <f>'12-2017'!B1773</f>
        <v>Chấn lưu 1 cấp công suất OGS1000w SLIGHTING</v>
      </c>
      <c r="C1683" s="12" t="str">
        <f>'12-2017'!C1773</f>
        <v>Chiếc</v>
      </c>
      <c r="D1683" s="13">
        <f>'12-2017'!O1773</f>
        <v>0</v>
      </c>
      <c r="E1683" s="13">
        <f>'12-2017'!P1773</f>
        <v>2135493.3726067748</v>
      </c>
      <c r="F1683" s="130">
        <f t="shared" ref="F1683:F1694" si="64">E1683-D1683</f>
        <v>2135493.3726067748</v>
      </c>
      <c r="H1683" s="74">
        <f>'12-2017'!H1773</f>
        <v>0</v>
      </c>
      <c r="I1683" s="74">
        <f>'12-2017'!I1773</f>
        <v>2135493.3726067748</v>
      </c>
      <c r="J1683" s="74">
        <f>'12-2017'!J1773</f>
        <v>2135493.3726067748</v>
      </c>
    </row>
    <row r="1684" spans="1:10" s="58" customFormat="1" ht="17.25">
      <c r="A1684" s="10">
        <f>'12-2017'!A1774</f>
        <v>117</v>
      </c>
      <c r="B1684" s="11" t="str">
        <f>'12-2017'!B1774</f>
        <v>Chấn lưu 2 cấp công suất 150w/100w SLIGHTING</v>
      </c>
      <c r="C1684" s="12" t="str">
        <f>'12-2017'!C1774</f>
        <v>Chiếc</v>
      </c>
      <c r="D1684" s="13">
        <f>'12-2017'!O1774</f>
        <v>0</v>
      </c>
      <c r="E1684" s="13">
        <f>'12-2017'!P1774</f>
        <v>382916.05301914585</v>
      </c>
      <c r="F1684" s="130">
        <f t="shared" si="64"/>
        <v>382916.05301914585</v>
      </c>
      <c r="H1684" s="74">
        <f>'12-2017'!H1774</f>
        <v>0</v>
      </c>
      <c r="I1684" s="74">
        <f>'12-2017'!I1774</f>
        <v>382916.05301914585</v>
      </c>
      <c r="J1684" s="74">
        <f>'12-2017'!J1774</f>
        <v>382916.05301914585</v>
      </c>
    </row>
    <row r="1685" spans="1:10" s="58" customFormat="1" ht="17.25">
      <c r="A1685" s="10">
        <f>'12-2017'!A1775</f>
        <v>118</v>
      </c>
      <c r="B1685" s="11" t="str">
        <f>'12-2017'!B1775</f>
        <v>Chấn lưu 2 cấp công suất 250w/150w SLIGHTING</v>
      </c>
      <c r="C1685" s="12" t="str">
        <f>'12-2017'!C1775</f>
        <v>Chiếc</v>
      </c>
      <c r="D1685" s="13">
        <f>'12-2017'!O1775</f>
        <v>0</v>
      </c>
      <c r="E1685" s="13">
        <f>'12-2017'!P1775</f>
        <v>574374.07952871872</v>
      </c>
      <c r="F1685" s="130">
        <f t="shared" si="64"/>
        <v>574374.07952871872</v>
      </c>
      <c r="H1685" s="74">
        <f>'12-2017'!H1775</f>
        <v>0</v>
      </c>
      <c r="I1685" s="74">
        <f>'12-2017'!I1775</f>
        <v>574374.07952871872</v>
      </c>
      <c r="J1685" s="74">
        <f>'12-2017'!J1775</f>
        <v>574374.07952871872</v>
      </c>
    </row>
    <row r="1686" spans="1:10" s="58" customFormat="1" ht="17.25">
      <c r="A1686" s="10">
        <f>'12-2017'!A1776</f>
        <v>119</v>
      </c>
      <c r="B1686" s="11" t="str">
        <f>'12-2017'!B1776</f>
        <v>Chấn lưu 2 cấp công suất 400w/250w SLIGHTING</v>
      </c>
      <c r="C1686" s="12" t="str">
        <f>'12-2017'!C1776</f>
        <v>Chiếc</v>
      </c>
      <c r="D1686" s="13">
        <f>'12-2017'!O1776</f>
        <v>0</v>
      </c>
      <c r="E1686" s="13">
        <f>'12-2017'!P1776</f>
        <v>839469.80854197359</v>
      </c>
      <c r="F1686" s="130">
        <f t="shared" si="64"/>
        <v>839469.80854197359</v>
      </c>
      <c r="H1686" s="74">
        <f>'12-2017'!H1776</f>
        <v>0</v>
      </c>
      <c r="I1686" s="74">
        <f>'12-2017'!I1776</f>
        <v>839469.80854197359</v>
      </c>
      <c r="J1686" s="74">
        <f>'12-2017'!J1776</f>
        <v>839469.80854197359</v>
      </c>
    </row>
    <row r="1687" spans="1:10" s="58" customFormat="1" ht="17.25">
      <c r="A1687" s="10">
        <f>'12-2017'!A1777</f>
        <v>120</v>
      </c>
      <c r="B1687" s="11" t="str">
        <f>'12-2017'!B1777</f>
        <v>Bóng đèn cao áp Sodium SHP T70wE40 SLIGHTING</v>
      </c>
      <c r="C1687" s="12" t="str">
        <f>'12-2017'!C1777</f>
        <v>Chiếc</v>
      </c>
      <c r="D1687" s="13">
        <f>'12-2017'!O1777</f>
        <v>0</v>
      </c>
      <c r="E1687" s="13">
        <f>'12-2017'!P1777</f>
        <v>169366.71575846834</v>
      </c>
      <c r="F1687" s="130">
        <f t="shared" si="64"/>
        <v>169366.71575846834</v>
      </c>
      <c r="H1687" s="74">
        <f>'12-2017'!H1777</f>
        <v>0</v>
      </c>
      <c r="I1687" s="74">
        <f>'12-2017'!I1777</f>
        <v>169366.71575846834</v>
      </c>
      <c r="J1687" s="74">
        <f>'12-2017'!J1777</f>
        <v>169366.71575846834</v>
      </c>
    </row>
    <row r="1688" spans="1:10" s="58" customFormat="1" ht="17.25">
      <c r="A1688" s="10">
        <f>'12-2017'!A1778</f>
        <v>121</v>
      </c>
      <c r="B1688" s="11" t="str">
        <f>'12-2017'!B1778</f>
        <v>Bóng đèn cao áp Sodium SHP T 150wE40 SLIGHTING</v>
      </c>
      <c r="C1688" s="12" t="str">
        <f>'12-2017'!C1778</f>
        <v>Chiếc</v>
      </c>
      <c r="D1688" s="13">
        <f>'12-2017'!O1778</f>
        <v>0</v>
      </c>
      <c r="E1688" s="13">
        <f>'12-2017'!P1778</f>
        <v>176730.48600883654</v>
      </c>
      <c r="F1688" s="130">
        <f t="shared" si="64"/>
        <v>176730.48600883654</v>
      </c>
      <c r="H1688" s="74">
        <f>'12-2017'!H1778</f>
        <v>0</v>
      </c>
      <c r="I1688" s="74">
        <f>'12-2017'!I1778</f>
        <v>176730.48600883654</v>
      </c>
      <c r="J1688" s="74">
        <f>'12-2017'!J1778</f>
        <v>176730.48600883654</v>
      </c>
    </row>
    <row r="1689" spans="1:10" s="58" customFormat="1" ht="17.25">
      <c r="A1689" s="10">
        <f>'12-2017'!A1779</f>
        <v>122</v>
      </c>
      <c r="B1689" s="11" t="str">
        <f>'12-2017'!B1779</f>
        <v>Bóng đèn cao áp Sodium SHP T 250wE40 SLIGHTING</v>
      </c>
      <c r="C1689" s="12" t="str">
        <f>'12-2017'!C1779</f>
        <v>Chiếc</v>
      </c>
      <c r="D1689" s="13">
        <f>'12-2017'!O1779</f>
        <v>0</v>
      </c>
      <c r="E1689" s="13">
        <f>'12-2017'!P1779</f>
        <v>191458.02650957293</v>
      </c>
      <c r="F1689" s="130">
        <f t="shared" si="64"/>
        <v>191458.02650957293</v>
      </c>
      <c r="H1689" s="74">
        <f>'12-2017'!H1779</f>
        <v>0</v>
      </c>
      <c r="I1689" s="74">
        <f>'12-2017'!I1779</f>
        <v>191458.02650957293</v>
      </c>
      <c r="J1689" s="74">
        <f>'12-2017'!J1779</f>
        <v>191458.02650957293</v>
      </c>
    </row>
    <row r="1690" spans="1:10" s="58" customFormat="1" ht="17.25">
      <c r="A1690" s="10">
        <f>'12-2017'!A1780</f>
        <v>123</v>
      </c>
      <c r="B1690" s="11" t="str">
        <f>'12-2017'!B1780</f>
        <v>Bóng đèn cao áp Sodium SHP T 400wE40 SLIGHTING</v>
      </c>
      <c r="C1690" s="12" t="str">
        <f>'12-2017'!C1780</f>
        <v>Chiếc</v>
      </c>
      <c r="D1690" s="13">
        <f>'12-2017'!O1780</f>
        <v>0</v>
      </c>
      <c r="E1690" s="13">
        <f>'12-2017'!P1780</f>
        <v>235640.64801178206</v>
      </c>
      <c r="F1690" s="130">
        <f t="shared" si="64"/>
        <v>235640.64801178206</v>
      </c>
      <c r="H1690" s="74">
        <f>'12-2017'!H1780</f>
        <v>0</v>
      </c>
      <c r="I1690" s="74">
        <f>'12-2017'!I1780</f>
        <v>235640.64801178206</v>
      </c>
      <c r="J1690" s="74">
        <f>'12-2017'!J1780</f>
        <v>235640.64801178206</v>
      </c>
    </row>
    <row r="1691" spans="1:10" s="58" customFormat="1" ht="17.25">
      <c r="A1691" s="10">
        <f>'12-2017'!A1781</f>
        <v>124</v>
      </c>
      <c r="B1691" s="11" t="str">
        <f>'12-2017'!B1781</f>
        <v>Bóng đèn cao áp Sodium SHP T 1000wE40 SLIGHTING</v>
      </c>
      <c r="C1691" s="12" t="str">
        <f>'12-2017'!C1781</f>
        <v>Chiếc</v>
      </c>
      <c r="D1691" s="13">
        <f>'12-2017'!O1781</f>
        <v>0</v>
      </c>
      <c r="E1691" s="13">
        <f>'12-2017'!P1781</f>
        <v>1325478.6450662739</v>
      </c>
      <c r="F1691" s="130">
        <f t="shared" si="64"/>
        <v>1325478.6450662739</v>
      </c>
      <c r="H1691" s="74">
        <f>'12-2017'!H1781</f>
        <v>0</v>
      </c>
      <c r="I1691" s="74">
        <f>'12-2017'!I1781</f>
        <v>1325478.6450662739</v>
      </c>
      <c r="J1691" s="74">
        <f>'12-2017'!J1781</f>
        <v>1325478.6450662739</v>
      </c>
    </row>
    <row r="1692" spans="1:10" s="58" customFormat="1" ht="17.25">
      <c r="A1692" s="10">
        <f>'12-2017'!A1782</f>
        <v>125</v>
      </c>
      <c r="B1692" s="11" t="str">
        <f>'12-2017'!B1782</f>
        <v>Bộ chuyển mạch 2 cấp công suất SLIGHTING</v>
      </c>
      <c r="C1692" s="12" t="str">
        <f>'12-2017'!C1782</f>
        <v>Chiếc</v>
      </c>
      <c r="D1692" s="13">
        <f>'12-2017'!O1782</f>
        <v>0</v>
      </c>
      <c r="E1692" s="13">
        <f>'12-2017'!P1782</f>
        <v>220913.10751104567</v>
      </c>
      <c r="F1692" s="130">
        <f t="shared" si="64"/>
        <v>220913.10751104567</v>
      </c>
      <c r="H1692" s="74">
        <f>'12-2017'!H1782</f>
        <v>0</v>
      </c>
      <c r="I1692" s="74">
        <f>'12-2017'!I1782</f>
        <v>220913.10751104567</v>
      </c>
      <c r="J1692" s="74">
        <f>'12-2017'!J1782</f>
        <v>220913.10751104567</v>
      </c>
    </row>
    <row r="1693" spans="1:10" s="58" customFormat="1" ht="17.25">
      <c r="A1693" s="10">
        <f>'12-2017'!A1783</f>
        <v>126</v>
      </c>
      <c r="B1693" s="11" t="str">
        <f>'12-2017'!B1783</f>
        <v>Tụ mồi 70-400w SLIGHTING</v>
      </c>
      <c r="C1693" s="12" t="str">
        <f>'12-2017'!C1783</f>
        <v>Chiếc</v>
      </c>
      <c r="D1693" s="13">
        <f>'12-2017'!O1783</f>
        <v>0</v>
      </c>
      <c r="E1693" s="13">
        <f>'12-2017'!P1783</f>
        <v>110456.55375552284</v>
      </c>
      <c r="F1693" s="130">
        <f t="shared" si="64"/>
        <v>110456.55375552284</v>
      </c>
      <c r="H1693" s="74">
        <f>'12-2017'!H1783</f>
        <v>0</v>
      </c>
      <c r="I1693" s="74">
        <f>'12-2017'!I1783</f>
        <v>110456.55375552284</v>
      </c>
      <c r="J1693" s="74">
        <f>'12-2017'!J1783</f>
        <v>110456.55375552284</v>
      </c>
    </row>
    <row r="1694" spans="1:10" s="58" customFormat="1" ht="17.25">
      <c r="A1694" s="10">
        <f>'12-2017'!A1784</f>
        <v>127</v>
      </c>
      <c r="B1694" s="11" t="str">
        <f>'12-2017'!B1784</f>
        <v>Tụ bù 32MF SLIGHTING</v>
      </c>
      <c r="C1694" s="12" t="str">
        <f>'12-2017'!C1784</f>
        <v>Chiếc</v>
      </c>
      <c r="D1694" s="13">
        <f>'12-2017'!O1784</f>
        <v>0</v>
      </c>
      <c r="E1694" s="13">
        <f>'12-2017'!P1784</f>
        <v>125184.09425625921</v>
      </c>
      <c r="F1694" s="130">
        <f t="shared" si="64"/>
        <v>125184.09425625921</v>
      </c>
      <c r="H1694" s="74">
        <f>'12-2017'!H1784</f>
        <v>0</v>
      </c>
      <c r="I1694" s="74">
        <f>'12-2017'!I1784</f>
        <v>125184.09425625921</v>
      </c>
      <c r="J1694" s="74">
        <f>'12-2017'!J1784</f>
        <v>125184.09425625921</v>
      </c>
    </row>
    <row r="1695" spans="1:10" s="73" customFormat="1" ht="17.25">
      <c r="A1695" s="17" t="str">
        <f>'12-2017'!A1785</f>
        <v>XXI</v>
      </c>
      <c r="B1695" s="9" t="str">
        <f>'12-2017'!B1785</f>
        <v>CỬA VÀ KÍNH CÁC LOẠI :</v>
      </c>
      <c r="C1695" s="8"/>
      <c r="D1695" s="22"/>
      <c r="E1695" s="22"/>
      <c r="F1695" s="131"/>
      <c r="H1695" s="74">
        <f>'12-2017'!H1785</f>
        <v>0</v>
      </c>
      <c r="I1695" s="74">
        <f>'12-2017'!I1785</f>
        <v>0</v>
      </c>
      <c r="J1695" s="74">
        <f>'12-2017'!J1785</f>
        <v>0</v>
      </c>
    </row>
    <row r="1696" spans="1:10" s="73" customFormat="1" ht="49.5" customHeight="1">
      <c r="A1696" s="17"/>
      <c r="B1696" s="237" t="str">
        <f>'12-2017'!B1786</f>
        <v>*Cty TNHH XD và DV TILA (đại lý tại số 147/5, Trần Hưng Đạo, P.Mỹ Phước - Tp.LX). Giá trên đã bao gồm chi phí vận chuyển và lắp đặt trong nội ô Tp.Long Xuyên. Theo bảng giá ngày 01/8/2016</v>
      </c>
      <c r="C1696" s="238"/>
      <c r="D1696" s="238"/>
      <c r="E1696" s="238"/>
      <c r="F1696" s="239"/>
      <c r="H1696" s="74">
        <f>'12-2017'!H1786</f>
        <v>0</v>
      </c>
      <c r="I1696" s="74">
        <f>'12-2017'!I1786</f>
        <v>0</v>
      </c>
      <c r="J1696" s="74">
        <f>'12-2017'!J1786</f>
        <v>0</v>
      </c>
    </row>
    <row r="1697" spans="1:10" s="73" customFormat="1" ht="17.25" hidden="1">
      <c r="A1697" s="17"/>
      <c r="B1697" s="237" t="str">
        <f>'12-2017'!B1787</f>
        <v>- Sản phẩm nhựa TILA Window  (Thanh profile của zhongcai, phụ kiện GU, GQ, kính trắng 5mm)</v>
      </c>
      <c r="C1697" s="238"/>
      <c r="D1697" s="238"/>
      <c r="E1697" s="238"/>
      <c r="F1697" s="239"/>
      <c r="H1697" s="74">
        <f>'12-2017'!H1787</f>
        <v>0</v>
      </c>
      <c r="I1697" s="74">
        <f>'12-2017'!I1787</f>
        <v>0</v>
      </c>
      <c r="J1697" s="74">
        <f>'12-2017'!J1787</f>
        <v>0</v>
      </c>
    </row>
    <row r="1698" spans="1:10" s="58" customFormat="1" ht="17.25" hidden="1">
      <c r="A1698" s="10">
        <f>'12-2017'!A1788</f>
        <v>1</v>
      </c>
      <c r="B1698" s="11" t="str">
        <f>'12-2017'!B1788</f>
        <v>Vách kính, kích thước 1,0mx1,0m (kính trắng 5mm)</v>
      </c>
      <c r="C1698" s="12" t="str">
        <f>'12-2017'!C1788</f>
        <v>đ/m2</v>
      </c>
      <c r="D1698" s="13">
        <f>'12-2017'!O1788</f>
        <v>1670000</v>
      </c>
      <c r="E1698" s="13">
        <f>'12-2017'!P1788</f>
        <v>1670000</v>
      </c>
      <c r="F1698" s="130">
        <f t="shared" ref="F1698:F1704" si="65">E1698-D1698</f>
        <v>0</v>
      </c>
      <c r="H1698" s="74">
        <f>'12-2017'!H1788</f>
        <v>0</v>
      </c>
      <c r="I1698" s="74">
        <f>'12-2017'!I1788</f>
        <v>0</v>
      </c>
      <c r="J1698" s="74">
        <f>'12-2017'!J1788</f>
        <v>0</v>
      </c>
    </row>
    <row r="1699" spans="1:10" s="58" customFormat="1" ht="17.25" hidden="1">
      <c r="A1699" s="10">
        <f>'12-2017'!A1789</f>
        <v>2</v>
      </c>
      <c r="B1699" s="11" t="str">
        <f>'12-2017'!B1789</f>
        <v>Cửa sổ lùa 2 cánh, kích thước 1,4mx1,4m (gồm khóa bán nguyệt, bánh xe)</v>
      </c>
      <c r="C1699" s="12" t="str">
        <f>'12-2017'!C1789</f>
        <v>đ/m2</v>
      </c>
      <c r="D1699" s="13">
        <f>'12-2017'!O1789</f>
        <v>2050000</v>
      </c>
      <c r="E1699" s="13">
        <f>'12-2017'!P1789</f>
        <v>2050000</v>
      </c>
      <c r="F1699" s="130">
        <f t="shared" si="65"/>
        <v>0</v>
      </c>
      <c r="H1699" s="74">
        <f>'12-2017'!H1789</f>
        <v>0</v>
      </c>
      <c r="I1699" s="74">
        <f>'12-2017'!I1789</f>
        <v>0</v>
      </c>
      <c r="J1699" s="74">
        <f>'12-2017'!J1789</f>
        <v>0</v>
      </c>
    </row>
    <row r="1700" spans="1:10" s="58" customFormat="1" ht="17.25" hidden="1">
      <c r="A1700" s="10">
        <f>'12-2017'!A1790</f>
        <v>3</v>
      </c>
      <c r="B1700" s="11" t="str">
        <f>'12-2017'!B1790</f>
        <v>Cửa sổ 2 cánh mở quay ra ngoài, kích thước 1,4mx1,4m (gồm khóa đa điểm, bản lề chữ A)</v>
      </c>
      <c r="C1700" s="12" t="str">
        <f>'12-2017'!C1790</f>
        <v>đ/m2</v>
      </c>
      <c r="D1700" s="13">
        <f>'12-2017'!O1790</f>
        <v>2540000</v>
      </c>
      <c r="E1700" s="13">
        <f>'12-2017'!P1790</f>
        <v>2540000</v>
      </c>
      <c r="F1700" s="130">
        <f t="shared" si="65"/>
        <v>0</v>
      </c>
      <c r="H1700" s="74">
        <f>'12-2017'!H1790</f>
        <v>0</v>
      </c>
      <c r="I1700" s="74">
        <f>'12-2017'!I1790</f>
        <v>0</v>
      </c>
      <c r="J1700" s="74">
        <f>'12-2017'!J1790</f>
        <v>0</v>
      </c>
    </row>
    <row r="1701" spans="1:10" s="58" customFormat="1" ht="17.25" hidden="1">
      <c r="A1701" s="10">
        <f>'12-2017'!A1791</f>
        <v>4</v>
      </c>
      <c r="B1701" s="11" t="str">
        <f>'12-2017'!B1791</f>
        <v>Cửa sổ 1 cánh mở hất ra ngoài, kích thước 0,6mx1,4m (gồm khóa đa điểm, bản lề chữ A)</v>
      </c>
      <c r="C1701" s="12" t="str">
        <f>'12-2017'!C1791</f>
        <v>đ/m2</v>
      </c>
      <c r="D1701" s="13">
        <f>'12-2017'!O1791</f>
        <v>3200000</v>
      </c>
      <c r="E1701" s="13">
        <f>'12-2017'!P1791</f>
        <v>3200000</v>
      </c>
      <c r="F1701" s="130">
        <f t="shared" si="65"/>
        <v>0</v>
      </c>
      <c r="H1701" s="74">
        <f>'12-2017'!H1791</f>
        <v>0</v>
      </c>
      <c r="I1701" s="74">
        <f>'12-2017'!I1791</f>
        <v>0</v>
      </c>
      <c r="J1701" s="74">
        <f>'12-2017'!J1791</f>
        <v>0</v>
      </c>
    </row>
    <row r="1702" spans="1:10" s="58" customFormat="1" ht="33" hidden="1">
      <c r="A1702" s="10">
        <f>'12-2017'!A1792</f>
        <v>5</v>
      </c>
      <c r="B1702" s="11" t="str">
        <f>'12-2017'!B1792</f>
        <v>Cửa đi thông phòng/b.công 1 cánh, kích thước 0,9mx2,2m (gồm khóa đơn điểm, bản lề 3D)</v>
      </c>
      <c r="C1702" s="12" t="str">
        <f>'12-2017'!C1792</f>
        <v>đ/m2</v>
      </c>
      <c r="D1702" s="13">
        <f>'12-2017'!O1792</f>
        <v>3230000</v>
      </c>
      <c r="E1702" s="13">
        <f>'12-2017'!P1792</f>
        <v>3230000</v>
      </c>
      <c r="F1702" s="130">
        <f t="shared" si="65"/>
        <v>0</v>
      </c>
      <c r="H1702" s="74">
        <f>'12-2017'!H1792</f>
        <v>0</v>
      </c>
      <c r="I1702" s="74">
        <f>'12-2017'!I1792</f>
        <v>0</v>
      </c>
      <c r="J1702" s="74">
        <f>'12-2017'!J1792</f>
        <v>0</v>
      </c>
    </row>
    <row r="1703" spans="1:10" s="58" customFormat="1" ht="17.25" hidden="1">
      <c r="A1703" s="10">
        <f>'12-2017'!A1793</f>
        <v>6</v>
      </c>
      <c r="B1703" s="11" t="str">
        <f>'12-2017'!B1793</f>
        <v>Cửa đi chính 2 cánh mở quay, kích thước 1,4mx2,2m (gồm khóa đa điểm, bản lề 3D)</v>
      </c>
      <c r="C1703" s="12" t="str">
        <f>'12-2017'!C1793</f>
        <v>đ/m2</v>
      </c>
      <c r="D1703" s="13">
        <f>'12-2017'!O1793</f>
        <v>3610000</v>
      </c>
      <c r="E1703" s="13">
        <f>'12-2017'!P1793</f>
        <v>3610000</v>
      </c>
      <c r="F1703" s="130">
        <f t="shared" si="65"/>
        <v>0</v>
      </c>
      <c r="H1703" s="74">
        <f>'12-2017'!H1793</f>
        <v>0</v>
      </c>
      <c r="I1703" s="74">
        <f>'12-2017'!I1793</f>
        <v>0</v>
      </c>
      <c r="J1703" s="74">
        <f>'12-2017'!J1793</f>
        <v>0</v>
      </c>
    </row>
    <row r="1704" spans="1:10" s="58" customFormat="1" ht="17.25" hidden="1">
      <c r="A1704" s="10">
        <f>'12-2017'!A1794</f>
        <v>7</v>
      </c>
      <c r="B1704" s="11" t="str">
        <f>'12-2017'!B1794</f>
        <v>Cửa đi lùa 2 cánh, kích thước 1,6mx2,2m (gồm khóa đa điểm, bánh xe đôi)</v>
      </c>
      <c r="C1704" s="12" t="str">
        <f>'12-2017'!C1794</f>
        <v>đ/m2</v>
      </c>
      <c r="D1704" s="13">
        <f>'12-2017'!O1794</f>
        <v>2420000</v>
      </c>
      <c r="E1704" s="13">
        <f>'12-2017'!P1794</f>
        <v>2420000</v>
      </c>
      <c r="F1704" s="130">
        <f t="shared" si="65"/>
        <v>0</v>
      </c>
      <c r="H1704" s="74">
        <f>'12-2017'!H1794</f>
        <v>0</v>
      </c>
      <c r="I1704" s="74">
        <f>'12-2017'!I1794</f>
        <v>0</v>
      </c>
      <c r="J1704" s="74">
        <f>'12-2017'!J1794</f>
        <v>0</v>
      </c>
    </row>
    <row r="1705" spans="1:10" s="73" customFormat="1" ht="17.25" hidden="1">
      <c r="A1705" s="17"/>
      <c r="B1705" s="9" t="str">
        <f>'12-2017'!B1795</f>
        <v>- Nhôm YNGHUA sơn tĩnh điện trắng sữa (gồm kính trắng 5mm)</v>
      </c>
      <c r="C1705" s="8"/>
      <c r="D1705" s="22"/>
      <c r="E1705" s="22"/>
      <c r="F1705" s="131"/>
      <c r="H1705" s="74">
        <f>'12-2017'!H1795</f>
        <v>0</v>
      </c>
      <c r="I1705" s="74">
        <f>'12-2017'!I1795</f>
        <v>0</v>
      </c>
      <c r="J1705" s="74">
        <f>'12-2017'!J1795</f>
        <v>0</v>
      </c>
    </row>
    <row r="1706" spans="1:10" s="58" customFormat="1" ht="17.25" hidden="1">
      <c r="A1706" s="10">
        <f>'12-2017'!A1796</f>
        <v>8</v>
      </c>
      <c r="B1706" s="11" t="str">
        <f>'12-2017'!B1796</f>
        <v>Vách kính</v>
      </c>
      <c r="C1706" s="12" t="str">
        <f>'12-2017'!C1796</f>
        <v>đ/m2</v>
      </c>
      <c r="D1706" s="13">
        <f>'12-2017'!O1796</f>
        <v>740000</v>
      </c>
      <c r="E1706" s="13">
        <f>'12-2017'!P1796</f>
        <v>740000</v>
      </c>
      <c r="F1706" s="130">
        <f>E1706-D1706</f>
        <v>0</v>
      </c>
      <c r="H1706" s="74">
        <f>'12-2017'!H1796</f>
        <v>0</v>
      </c>
      <c r="I1706" s="74">
        <f>'12-2017'!I1796</f>
        <v>0</v>
      </c>
      <c r="J1706" s="74">
        <f>'12-2017'!J1796</f>
        <v>0</v>
      </c>
    </row>
    <row r="1707" spans="1:10" s="58" customFormat="1" ht="17.25" hidden="1">
      <c r="A1707" s="10">
        <f>'12-2017'!A1797</f>
        <v>9</v>
      </c>
      <c r="B1707" s="11" t="str">
        <f>'12-2017'!B1797</f>
        <v>Cửa đi chính 1 cánh mở quay, trên kính dưới lamri hệ 700 (gồm bản lề inox 304)</v>
      </c>
      <c r="C1707" s="12" t="str">
        <f>'12-2017'!C1797</f>
        <v>đ/m2</v>
      </c>
      <c r="D1707" s="13">
        <f>'12-2017'!O1797</f>
        <v>1140000</v>
      </c>
      <c r="E1707" s="13">
        <f>'12-2017'!P1797</f>
        <v>1140000</v>
      </c>
      <c r="F1707" s="130">
        <f>E1707-D1707</f>
        <v>0</v>
      </c>
      <c r="H1707" s="74">
        <f>'12-2017'!H1797</f>
        <v>0</v>
      </c>
      <c r="I1707" s="74">
        <f>'12-2017'!I1797</f>
        <v>0</v>
      </c>
      <c r="J1707" s="74">
        <f>'12-2017'!J1797</f>
        <v>0</v>
      </c>
    </row>
    <row r="1708" spans="1:10" s="58" customFormat="1" ht="17.25" hidden="1" customHeight="1">
      <c r="A1708" s="10">
        <f>'12-2017'!A1798</f>
        <v>10</v>
      </c>
      <c r="B1708" s="11" t="str">
        <f>'12-2017'!B1798</f>
        <v>Cửa đi chính 1 cánh mở quay, trên kính dưới lamri hệ 1000 (gồm lề sơn góc sơn tĩnh điện)</v>
      </c>
      <c r="C1708" s="12" t="str">
        <f>'12-2017'!C1798</f>
        <v>đ/m2</v>
      </c>
      <c r="D1708" s="13">
        <f>'12-2017'!O1798</f>
        <v>1640000</v>
      </c>
      <c r="E1708" s="13">
        <f>'12-2017'!P1798</f>
        <v>1640000</v>
      </c>
      <c r="F1708" s="130">
        <f>E1708-D1708</f>
        <v>0</v>
      </c>
      <c r="H1708" s="74">
        <f>'12-2017'!H1798</f>
        <v>0</v>
      </c>
      <c r="I1708" s="74">
        <f>'12-2017'!I1798</f>
        <v>0</v>
      </c>
      <c r="J1708" s="74">
        <f>'12-2017'!J1798</f>
        <v>0</v>
      </c>
    </row>
    <row r="1709" spans="1:10" s="73" customFormat="1" ht="49.5" customHeight="1">
      <c r="A1709" s="17"/>
      <c r="B1709" s="237" t="str">
        <f>'12-2017'!B1799</f>
        <v>* Cửa nhựa cao cấp uPVC: Công ty TNHH MTV N.WINDOW (Địa chỉ quốc lộ 9, Bình Hòa, Châu Thành, An Giang). Giao hàng và lắp đặt tại công trình. Theo bảng giá ngày 01/01/2016</v>
      </c>
      <c r="C1709" s="238"/>
      <c r="D1709" s="238"/>
      <c r="E1709" s="238"/>
      <c r="F1709" s="239"/>
      <c r="H1709" s="74">
        <f>'12-2017'!H1799</f>
        <v>0</v>
      </c>
      <c r="I1709" s="74">
        <f>'12-2017'!I1799</f>
        <v>0</v>
      </c>
      <c r="J1709" s="74">
        <f>'12-2017'!J1799</f>
        <v>0</v>
      </c>
    </row>
    <row r="1710" spans="1:10" s="58" customFormat="1" ht="17.25" hidden="1">
      <c r="A1710" s="10">
        <f>'12-2017'!A1800</f>
        <v>1</v>
      </c>
      <c r="B1710" s="11" t="str">
        <f>'12-2017'!B1800</f>
        <v>Cửa số 2 cánh mở trượt</v>
      </c>
      <c r="C1710" s="12" t="str">
        <f>'12-2017'!C1800</f>
        <v>đ/m2</v>
      </c>
      <c r="D1710" s="13">
        <f>'12-2017'!O1800</f>
        <v>1450000</v>
      </c>
      <c r="E1710" s="13">
        <f>'12-2017'!P1800</f>
        <v>1450000</v>
      </c>
      <c r="F1710" s="130">
        <f t="shared" ref="F1710:F1719" si="66">E1710-D1710</f>
        <v>0</v>
      </c>
      <c r="H1710" s="74">
        <f>'12-2017'!H1800</f>
        <v>0</v>
      </c>
      <c r="I1710" s="74">
        <f>'12-2017'!I1800</f>
        <v>0</v>
      </c>
      <c r="J1710" s="74">
        <f>'12-2017'!J1800</f>
        <v>0</v>
      </c>
    </row>
    <row r="1711" spans="1:10" s="58" customFormat="1" ht="17.25" hidden="1">
      <c r="A1711" s="10">
        <f>'12-2017'!A1801</f>
        <v>2</v>
      </c>
      <c r="B1711" s="11" t="str">
        <f>'12-2017'!B1801</f>
        <v>Cửa đi 2 cánh mở trượt</v>
      </c>
      <c r="C1711" s="12" t="str">
        <f>'12-2017'!C1801</f>
        <v>đ/m2</v>
      </c>
      <c r="D1711" s="13">
        <f>'12-2017'!O1801</f>
        <v>1800000</v>
      </c>
      <c r="E1711" s="13">
        <f>'12-2017'!P1801</f>
        <v>1800000</v>
      </c>
      <c r="F1711" s="130">
        <f t="shared" si="66"/>
        <v>0</v>
      </c>
      <c r="H1711" s="74">
        <f>'12-2017'!H1801</f>
        <v>0</v>
      </c>
      <c r="I1711" s="74">
        <f>'12-2017'!I1801</f>
        <v>0</v>
      </c>
      <c r="J1711" s="74">
        <f>'12-2017'!J1801</f>
        <v>0</v>
      </c>
    </row>
    <row r="1712" spans="1:10" s="58" customFormat="1" ht="17.25" hidden="1">
      <c r="A1712" s="10">
        <f>'12-2017'!A1802</f>
        <v>3</v>
      </c>
      <c r="B1712" s="11" t="str">
        <f>'12-2017'!B1802</f>
        <v>Cửa số 2 cánh mở quay</v>
      </c>
      <c r="C1712" s="12" t="str">
        <f>'12-2017'!C1802</f>
        <v>đ/m2</v>
      </c>
      <c r="D1712" s="13">
        <f>'12-2017'!O1802</f>
        <v>1800000</v>
      </c>
      <c r="E1712" s="13">
        <f>'12-2017'!P1802</f>
        <v>1800000</v>
      </c>
      <c r="F1712" s="130">
        <f t="shared" si="66"/>
        <v>0</v>
      </c>
      <c r="H1712" s="74">
        <f>'12-2017'!H1802</f>
        <v>0</v>
      </c>
      <c r="I1712" s="74">
        <f>'12-2017'!I1802</f>
        <v>0</v>
      </c>
      <c r="J1712" s="74">
        <f>'12-2017'!J1802</f>
        <v>0</v>
      </c>
    </row>
    <row r="1713" spans="1:10" s="58" customFormat="1" ht="17.25" hidden="1">
      <c r="A1713" s="10">
        <f>'12-2017'!A1803</f>
        <v>4</v>
      </c>
      <c r="B1713" s="11" t="str">
        <f>'12-2017'!B1803</f>
        <v>Cửa số 1 cánh mở hất</v>
      </c>
      <c r="C1713" s="12" t="str">
        <f>'12-2017'!C1803</f>
        <v>đ/m2</v>
      </c>
      <c r="D1713" s="13">
        <f>'12-2017'!O1803</f>
        <v>1800000</v>
      </c>
      <c r="E1713" s="13">
        <f>'12-2017'!P1803</f>
        <v>1800000</v>
      </c>
      <c r="F1713" s="130">
        <f t="shared" si="66"/>
        <v>0</v>
      </c>
      <c r="H1713" s="74">
        <f>'12-2017'!H1803</f>
        <v>0</v>
      </c>
      <c r="I1713" s="74">
        <f>'12-2017'!I1803</f>
        <v>0</v>
      </c>
      <c r="J1713" s="74">
        <f>'12-2017'!J1803</f>
        <v>0</v>
      </c>
    </row>
    <row r="1714" spans="1:10" s="58" customFormat="1" ht="17.25" hidden="1">
      <c r="A1714" s="10">
        <f>'12-2017'!A1804</f>
        <v>5</v>
      </c>
      <c r="B1714" s="11" t="str">
        <f>'12-2017'!B1804</f>
        <v>Cửa số 1 cánh mở quay hất</v>
      </c>
      <c r="C1714" s="12" t="str">
        <f>'12-2017'!C1804</f>
        <v>đ/m2</v>
      </c>
      <c r="D1714" s="13">
        <f>'12-2017'!O1804</f>
        <v>2000000</v>
      </c>
      <c r="E1714" s="13">
        <f>'12-2017'!P1804</f>
        <v>2000000</v>
      </c>
      <c r="F1714" s="130">
        <f t="shared" si="66"/>
        <v>0</v>
      </c>
      <c r="H1714" s="74">
        <f>'12-2017'!H1804</f>
        <v>0</v>
      </c>
      <c r="I1714" s="74">
        <f>'12-2017'!I1804</f>
        <v>0</v>
      </c>
      <c r="J1714" s="74">
        <f>'12-2017'!J1804</f>
        <v>0</v>
      </c>
    </row>
    <row r="1715" spans="1:10" s="58" customFormat="1" ht="17.25" hidden="1">
      <c r="A1715" s="10">
        <f>'12-2017'!A1805</f>
        <v>6</v>
      </c>
      <c r="B1715" s="11" t="str">
        <f>'12-2017'!B1805</f>
        <v>Cửa đi 1 cánh mở quay</v>
      </c>
      <c r="C1715" s="12" t="str">
        <f>'12-2017'!C1805</f>
        <v>đ/m2</v>
      </c>
      <c r="D1715" s="13">
        <f>'12-2017'!O1805</f>
        <v>1950000</v>
      </c>
      <c r="E1715" s="13">
        <f>'12-2017'!P1805</f>
        <v>1950000</v>
      </c>
      <c r="F1715" s="130">
        <f t="shared" si="66"/>
        <v>0</v>
      </c>
      <c r="H1715" s="74">
        <f>'12-2017'!H1805</f>
        <v>0</v>
      </c>
      <c r="I1715" s="74">
        <f>'12-2017'!I1805</f>
        <v>0</v>
      </c>
      <c r="J1715" s="74">
        <f>'12-2017'!J1805</f>
        <v>0</v>
      </c>
    </row>
    <row r="1716" spans="1:10" s="58" customFormat="1" ht="17.25" hidden="1">
      <c r="A1716" s="10">
        <f>'12-2017'!A1806</f>
        <v>7</v>
      </c>
      <c r="B1716" s="11" t="str">
        <f>'12-2017'!B1806</f>
        <v>Cửa đi 2 cánh mở quay</v>
      </c>
      <c r="C1716" s="12" t="str">
        <f>'12-2017'!C1806</f>
        <v>đ/m2</v>
      </c>
      <c r="D1716" s="13">
        <f>'12-2017'!O1806</f>
        <v>2000000</v>
      </c>
      <c r="E1716" s="13">
        <f>'12-2017'!P1806</f>
        <v>2000000</v>
      </c>
      <c r="F1716" s="130">
        <f t="shared" si="66"/>
        <v>0</v>
      </c>
      <c r="H1716" s="74">
        <f>'12-2017'!H1806</f>
        <v>0</v>
      </c>
      <c r="I1716" s="74">
        <f>'12-2017'!I1806</f>
        <v>0</v>
      </c>
      <c r="J1716" s="74">
        <f>'12-2017'!J1806</f>
        <v>0</v>
      </c>
    </row>
    <row r="1717" spans="1:10" s="58" customFormat="1" ht="17.25" hidden="1">
      <c r="A1717" s="10">
        <f>'12-2017'!A1807</f>
        <v>8</v>
      </c>
      <c r="B1717" s="11" t="str">
        <f>'12-2017'!B1807</f>
        <v>Cửa đi Pano - kính 1 cánh mở quay</v>
      </c>
      <c r="C1717" s="12" t="str">
        <f>'12-2017'!C1807</f>
        <v>đ/m2</v>
      </c>
      <c r="D1717" s="13">
        <f>'12-2017'!O1807</f>
        <v>2100000</v>
      </c>
      <c r="E1717" s="13">
        <f>'12-2017'!P1807</f>
        <v>2100000</v>
      </c>
      <c r="F1717" s="130">
        <f t="shared" si="66"/>
        <v>0</v>
      </c>
      <c r="H1717" s="74">
        <f>'12-2017'!H1807</f>
        <v>0</v>
      </c>
      <c r="I1717" s="74">
        <f>'12-2017'!I1807</f>
        <v>0</v>
      </c>
      <c r="J1717" s="74">
        <f>'12-2017'!J1807</f>
        <v>0</v>
      </c>
    </row>
    <row r="1718" spans="1:10" s="58" customFormat="1" ht="17.25" hidden="1">
      <c r="A1718" s="10">
        <f>'12-2017'!A1808</f>
        <v>9</v>
      </c>
      <c r="B1718" s="11" t="str">
        <f>'12-2017'!B1808</f>
        <v>Cửa đi Pano - kính 2 cánh mở quay</v>
      </c>
      <c r="C1718" s="12" t="str">
        <f>'12-2017'!C1808</f>
        <v>đ/m2</v>
      </c>
      <c r="D1718" s="13">
        <f>'12-2017'!O1808</f>
        <v>2100000</v>
      </c>
      <c r="E1718" s="13">
        <f>'12-2017'!P1808</f>
        <v>2100000</v>
      </c>
      <c r="F1718" s="130">
        <f t="shared" si="66"/>
        <v>0</v>
      </c>
      <c r="H1718" s="74">
        <f>'12-2017'!H1808</f>
        <v>0</v>
      </c>
      <c r="I1718" s="74">
        <f>'12-2017'!I1808</f>
        <v>0</v>
      </c>
      <c r="J1718" s="74">
        <f>'12-2017'!J1808</f>
        <v>0</v>
      </c>
    </row>
    <row r="1719" spans="1:10" s="58" customFormat="1" ht="17.25" hidden="1">
      <c r="A1719" s="10">
        <f>'12-2017'!A1809</f>
        <v>10</v>
      </c>
      <c r="B1719" s="11" t="str">
        <f>'12-2017'!B1809</f>
        <v>Vách kính</v>
      </c>
      <c r="C1719" s="12" t="str">
        <f>'12-2017'!C1809</f>
        <v>đ/m2</v>
      </c>
      <c r="D1719" s="13">
        <f>'12-2017'!O1809</f>
        <v>1150000</v>
      </c>
      <c r="E1719" s="13">
        <f>'12-2017'!P1809</f>
        <v>1150000</v>
      </c>
      <c r="F1719" s="130">
        <f t="shared" si="66"/>
        <v>0</v>
      </c>
      <c r="H1719" s="74">
        <f>'12-2017'!H1809</f>
        <v>0</v>
      </c>
      <c r="I1719" s="74">
        <f>'12-2017'!I1809</f>
        <v>0</v>
      </c>
      <c r="J1719" s="74">
        <f>'12-2017'!J1809</f>
        <v>0</v>
      </c>
    </row>
    <row r="1720" spans="1:10" s="73" customFormat="1" ht="49.5" customHeight="1">
      <c r="A1720" s="17"/>
      <c r="B1720" s="237" t="str">
        <f>'12-2017'!B1810</f>
        <v>* Cửa EUROWINDOW: Công ty cổ phần EUROWINDOW (địa chỉ Lô số 15, KCN Quang Minh, huyện Mê Linh, Tp Hà Nội). Giao hàng và lắp đặt tại công trình. Theo bảng giá ngày 15/3/2017</v>
      </c>
      <c r="C1720" s="238"/>
      <c r="D1720" s="238"/>
      <c r="E1720" s="238"/>
      <c r="F1720" s="239"/>
      <c r="H1720" s="74">
        <f>'12-2017'!H1810</f>
        <v>0</v>
      </c>
      <c r="I1720" s="74">
        <f>'12-2017'!I1810</f>
        <v>0</v>
      </c>
      <c r="J1720" s="74">
        <f>'12-2017'!J1810</f>
        <v>0</v>
      </c>
    </row>
    <row r="1721" spans="1:10" s="73" customFormat="1" ht="17.25" hidden="1">
      <c r="A1721" s="17"/>
      <c r="B1721" s="9" t="str">
        <f>'12-2017'!B1811</f>
        <v>Eurowindow</v>
      </c>
      <c r="C1721" s="8"/>
      <c r="D1721" s="22"/>
      <c r="E1721" s="22"/>
      <c r="F1721" s="131"/>
      <c r="H1721" s="74">
        <f>'12-2017'!H1811</f>
        <v>0</v>
      </c>
      <c r="I1721" s="74">
        <f>'12-2017'!I1811</f>
        <v>0</v>
      </c>
      <c r="J1721" s="74">
        <f>'12-2017'!J1811</f>
        <v>0</v>
      </c>
    </row>
    <row r="1722" spans="1:10" s="58" customFormat="1" ht="33" hidden="1">
      <c r="A1722" s="10">
        <f>'12-2017'!A1812</f>
        <v>1</v>
      </c>
      <c r="B1722" s="11" t="str">
        <f>'12-2017'!B1812</f>
        <v>Cửa sổ 2 cánh mở trượt: kính trắng Việt Nhật 5mm. Phụ kiện kim khí (PKKK): Khóa bấm- hãng VITA</v>
      </c>
      <c r="C1722" s="12" t="str">
        <f>'12-2017'!C1812</f>
        <v>đ/m2</v>
      </c>
      <c r="D1722" s="13">
        <f>'12-2017'!O1812</f>
        <v>3874790</v>
      </c>
      <c r="E1722" s="13">
        <f>'12-2017'!P1812</f>
        <v>3874790</v>
      </c>
      <c r="F1722" s="130">
        <f t="shared" ref="F1722:F1727" si="67">E1722-D1722</f>
        <v>0</v>
      </c>
      <c r="H1722" s="74">
        <f>'12-2017'!H1812</f>
        <v>0</v>
      </c>
      <c r="I1722" s="74">
        <f>'12-2017'!I1812</f>
        <v>0</v>
      </c>
      <c r="J1722" s="74">
        <f>'12-2017'!J1812</f>
        <v>0</v>
      </c>
    </row>
    <row r="1723" spans="1:10" s="58" customFormat="1" ht="49.5" hidden="1">
      <c r="A1723" s="10">
        <f>'12-2017'!A1813</f>
        <v>2</v>
      </c>
      <c r="B1723" s="11" t="str">
        <f>'12-2017'!B1813</f>
        <v>Cửa sổ 2 cánh  mở quay lật vào trong (1 cánh mở quay và 1 cánh mở quay &amp; lật): kính trắng Việt Nhật5mm. Phụ kiện kim khí (PKKK): thanh chốt đa điểm, tay nắm, bản lề, chốt liền-hãng GU Unijet</v>
      </c>
      <c r="C1723" s="12" t="str">
        <f>'12-2017'!C1813</f>
        <v>đ/m2</v>
      </c>
      <c r="D1723" s="13">
        <f>'12-2017'!O1813</f>
        <v>5789742</v>
      </c>
      <c r="E1723" s="13">
        <f>'12-2017'!P1813</f>
        <v>5789742</v>
      </c>
      <c r="F1723" s="130">
        <f t="shared" si="67"/>
        <v>0</v>
      </c>
      <c r="H1723" s="74">
        <f>'12-2017'!H1813</f>
        <v>0</v>
      </c>
      <c r="I1723" s="74">
        <f>'12-2017'!I1813</f>
        <v>0</v>
      </c>
      <c r="J1723" s="74">
        <f>'12-2017'!J1813</f>
        <v>0</v>
      </c>
    </row>
    <row r="1724" spans="1:10" s="58" customFormat="1" ht="33" hidden="1">
      <c r="A1724" s="10">
        <f>'12-2017'!A1814</f>
        <v>3</v>
      </c>
      <c r="B1724" s="11" t="str">
        <f>'12-2017'!B1814</f>
        <v>Cửa sổ 2 cánh mở quay ra ngoài: kính trắng Việt Nhật 5mm. Phụ kiện kim khí (PKKK): thanh chốt đa điểm, bản lề chữ A, tay nắm, bản lề ép cánh-hãng ROTO, chốt liền-Siegeinia</v>
      </c>
      <c r="C1724" s="12" t="str">
        <f>'12-2017'!C1814</f>
        <v>đ/m2</v>
      </c>
      <c r="D1724" s="13">
        <f>'12-2017'!O1814</f>
        <v>5265046</v>
      </c>
      <c r="E1724" s="13">
        <f>'12-2017'!P1814</f>
        <v>5265046</v>
      </c>
      <c r="F1724" s="130">
        <f t="shared" si="67"/>
        <v>0</v>
      </c>
      <c r="H1724" s="74">
        <f>'12-2017'!H1814</f>
        <v>0</v>
      </c>
      <c r="I1724" s="74">
        <f>'12-2017'!I1814</f>
        <v>0</v>
      </c>
      <c r="J1724" s="74">
        <f>'12-2017'!J1814</f>
        <v>0</v>
      </c>
    </row>
    <row r="1725" spans="1:10" s="58" customFormat="1" ht="33" hidden="1">
      <c r="A1725" s="10">
        <f>'12-2017'!A1815</f>
        <v>4</v>
      </c>
      <c r="B1725" s="11" t="str">
        <f>'12-2017'!B1815</f>
        <v>Cửa sổ 1 cánh mở hất ra ngoài: kính trắng Việt Nhật 5mm. Phụ kiện kim khí (PKKK): thanh chốt đa điểm, bản lề chữ A, tay nắm-hãng ROTO, thanh hạn định-hãng GU</v>
      </c>
      <c r="C1725" s="12" t="str">
        <f>'12-2017'!C1815</f>
        <v>đ/m2</v>
      </c>
      <c r="D1725" s="13">
        <f>'12-2017'!O1815</f>
        <v>5624818</v>
      </c>
      <c r="E1725" s="13">
        <f>'12-2017'!P1815</f>
        <v>5624818</v>
      </c>
      <c r="F1725" s="130">
        <f t="shared" si="67"/>
        <v>0</v>
      </c>
      <c r="H1725" s="74">
        <f>'12-2017'!H1815</f>
        <v>0</v>
      </c>
      <c r="I1725" s="74">
        <f>'12-2017'!I1815</f>
        <v>0</v>
      </c>
      <c r="J1725" s="74">
        <f>'12-2017'!J1815</f>
        <v>0</v>
      </c>
    </row>
    <row r="1726" spans="1:10" s="58" customFormat="1" ht="49.5" hidden="1">
      <c r="A1726" s="10">
        <f>'12-2017'!A1816</f>
        <v>5</v>
      </c>
      <c r="B1726" s="11" t="str">
        <f>'12-2017'!B1816</f>
        <v>Cửa đi chính 2 cánh mở quay ra ngoài: kính trắng Việt Nhật 5mm, pano thanh. Phụ kiện kim khí (PKKK): thanh chốt đa điểm, tay nắm, bản lề-Hãng ROTO, ổ khoá-hãng Winkhaus, chốt liền Seigeinia Aubi</v>
      </c>
      <c r="C1726" s="12" t="str">
        <f>'12-2017'!C1816</f>
        <v>đ/m2</v>
      </c>
      <c r="D1726" s="13">
        <f>'12-2017'!O1816</f>
        <v>7349866</v>
      </c>
      <c r="E1726" s="13">
        <f>'12-2017'!P1816</f>
        <v>7349866</v>
      </c>
      <c r="F1726" s="130">
        <f t="shared" si="67"/>
        <v>0</v>
      </c>
      <c r="H1726" s="74">
        <f>'12-2017'!H1816</f>
        <v>0</v>
      </c>
      <c r="I1726" s="74">
        <f>'12-2017'!I1816</f>
        <v>0</v>
      </c>
      <c r="J1726" s="74">
        <f>'12-2017'!J1816</f>
        <v>0</v>
      </c>
    </row>
    <row r="1727" spans="1:10" s="58" customFormat="1" ht="33" hidden="1">
      <c r="A1727" s="10">
        <f>'12-2017'!A1817</f>
        <v>6</v>
      </c>
      <c r="B1727" s="11" t="str">
        <f>'12-2017'!B1817</f>
        <v>Cửa đi chính 1 cánh mở quay ra ngoài: kính trắng Việt Nhật 5mm, pano thanh. Phụ kiện kim khí (PKKK): thanh chốt đa điểm, tay nắm, bản lề-Hãng ROTO, ổ khoá-hãng Winkhaus</v>
      </c>
      <c r="C1727" s="12" t="str">
        <f>'12-2017'!C1817</f>
        <v>đ/m2</v>
      </c>
      <c r="D1727" s="13">
        <f>'12-2017'!O1817</f>
        <v>7157070</v>
      </c>
      <c r="E1727" s="13">
        <f>'12-2017'!P1817</f>
        <v>7157070</v>
      </c>
      <c r="F1727" s="130">
        <f t="shared" si="67"/>
        <v>0</v>
      </c>
      <c r="H1727" s="74">
        <f>'12-2017'!H1817</f>
        <v>0</v>
      </c>
      <c r="I1727" s="74">
        <f>'12-2017'!I1817</f>
        <v>0</v>
      </c>
      <c r="J1727" s="74">
        <f>'12-2017'!J1817</f>
        <v>0</v>
      </c>
    </row>
    <row r="1728" spans="1:10" s="73" customFormat="1" ht="17.25" hidden="1">
      <c r="A1728" s="17"/>
      <c r="B1728" s="9" t="str">
        <f>'12-2017'!B1818</f>
        <v>AsiaWindow</v>
      </c>
      <c r="C1728" s="8"/>
      <c r="D1728" s="22"/>
      <c r="E1728" s="22"/>
      <c r="F1728" s="131"/>
      <c r="H1728" s="74">
        <f>'12-2017'!H1818</f>
        <v>0</v>
      </c>
      <c r="I1728" s="74">
        <f>'12-2017'!I1818</f>
        <v>0</v>
      </c>
      <c r="J1728" s="74">
        <f>'12-2017'!J1818</f>
        <v>0</v>
      </c>
    </row>
    <row r="1729" spans="1:10" s="58" customFormat="1" ht="49.5" hidden="1">
      <c r="A1729" s="10">
        <f>'12-2017'!A1819</f>
        <v>1</v>
      </c>
      <c r="B1729" s="11" t="str">
        <f>'12-2017'!B1819</f>
        <v>Cửa sổ 2 cánh mở quay lật vào trong (1 cánh mở quay, 1 cánh mở quay và lật): kính trắng Việt Nhật 5mm. Phụ kiện kim khí (PKKK): thanh chố đa điểm, bản lề, tay nắm, chốt liền-Eurowindow, kích thước (1,4m*1,4m)</v>
      </c>
      <c r="C1729" s="12" t="str">
        <f>'12-2017'!C1819</f>
        <v>đ/m2</v>
      </c>
      <c r="D1729" s="13">
        <f>'12-2017'!O1819</f>
        <v>3496613</v>
      </c>
      <c r="E1729" s="13">
        <f>'12-2017'!P1819</f>
        <v>3496613</v>
      </c>
      <c r="F1729" s="130">
        <f t="shared" ref="F1729:F1734" si="68">E1729-D1729</f>
        <v>0</v>
      </c>
      <c r="H1729" s="74">
        <f>'12-2017'!H1819</f>
        <v>0</v>
      </c>
      <c r="I1729" s="74">
        <f>'12-2017'!I1819</f>
        <v>0</v>
      </c>
      <c r="J1729" s="74">
        <f>'12-2017'!J1819</f>
        <v>0</v>
      </c>
    </row>
    <row r="1730" spans="1:10" s="58" customFormat="1" ht="49.5" hidden="1">
      <c r="A1730" s="10">
        <f>'12-2017'!A1820</f>
        <v>2</v>
      </c>
      <c r="B1730" s="11" t="str">
        <f>'12-2017'!B1820</f>
        <v>Cửa sổ 2 cánh mở quay ra ngoài, kính trắng Việt Nhật 5mm. Phụ kiện kim khí (PKKK): thanh chốt đa điểm, bản lề chữ A, tay nắm, bản lề ép cánh, chốt liền-Eurowindow, kích thước (1,4m*1,4m)</v>
      </c>
      <c r="C1730" s="12" t="str">
        <f>'12-2017'!C1820</f>
        <v>đ/m2</v>
      </c>
      <c r="D1730" s="13">
        <f>'12-2017'!O1820</f>
        <v>3359937</v>
      </c>
      <c r="E1730" s="13">
        <f>'12-2017'!P1820</f>
        <v>3359937</v>
      </c>
      <c r="F1730" s="130">
        <f t="shared" si="68"/>
        <v>0</v>
      </c>
      <c r="H1730" s="74">
        <f>'12-2017'!H1820</f>
        <v>0</v>
      </c>
      <c r="I1730" s="74">
        <f>'12-2017'!I1820</f>
        <v>0</v>
      </c>
      <c r="J1730" s="74">
        <f>'12-2017'!J1820</f>
        <v>0</v>
      </c>
    </row>
    <row r="1731" spans="1:10" s="58" customFormat="1" ht="49.5" hidden="1">
      <c r="A1731" s="10">
        <f>'12-2017'!A1821</f>
        <v>3</v>
      </c>
      <c r="B1731" s="11" t="str">
        <f>'12-2017'!B1821</f>
        <v>Cửa sổ 1 cánh mở hất ra ngoài: kính trắng Việt Nhật 5mm. Phụ kiện kim khí ( PKKK): thanh chốt đa điểm, bản lề chữ A,  tay nắm, thanh hạn định -Eurowindow, kích thước (0,6m*1,4m).</v>
      </c>
      <c r="C1731" s="12" t="str">
        <f>'12-2017'!C1821</f>
        <v>đ/m2</v>
      </c>
      <c r="D1731" s="13">
        <f>'12-2017'!O1821</f>
        <v>4166769</v>
      </c>
      <c r="E1731" s="13">
        <f>'12-2017'!P1821</f>
        <v>4166769</v>
      </c>
      <c r="F1731" s="130">
        <f t="shared" si="68"/>
        <v>0</v>
      </c>
      <c r="H1731" s="74">
        <f>'12-2017'!H1821</f>
        <v>0</v>
      </c>
      <c r="I1731" s="74">
        <f>'12-2017'!I1821</f>
        <v>0</v>
      </c>
      <c r="J1731" s="74">
        <f>'12-2017'!J1821</f>
        <v>0</v>
      </c>
    </row>
    <row r="1732" spans="1:10" s="58" customFormat="1" ht="33" hidden="1">
      <c r="A1732" s="10">
        <f>'12-2017'!A1822</f>
        <v>4</v>
      </c>
      <c r="B1732" s="11" t="str">
        <f>'12-2017'!B1822</f>
        <v>Cửa sổ 1 cánh  mở quay lật vào trong: kính trắng Việt Nhật 5mm. Phụ kiện kim khí (PKKK): thanh chố đa điểm, bản lề, tay nắm-hãng  Eurowindow,  kích thước (0,6m*1,4m)</v>
      </c>
      <c r="C1732" s="12" t="str">
        <f>'12-2017'!C1822</f>
        <v>đ/m2</v>
      </c>
      <c r="D1732" s="13">
        <f>'12-2017'!O1822</f>
        <v>4396032</v>
      </c>
      <c r="E1732" s="13">
        <f>'12-2017'!P1822</f>
        <v>4396032</v>
      </c>
      <c r="F1732" s="130">
        <f t="shared" si="68"/>
        <v>0</v>
      </c>
      <c r="H1732" s="74">
        <f>'12-2017'!H1822</f>
        <v>0</v>
      </c>
      <c r="I1732" s="74">
        <f>'12-2017'!I1822</f>
        <v>0</v>
      </c>
      <c r="J1732" s="74">
        <f>'12-2017'!J1822</f>
        <v>0</v>
      </c>
    </row>
    <row r="1733" spans="1:10" s="58" customFormat="1" ht="49.5" hidden="1">
      <c r="A1733" s="10">
        <f>'12-2017'!A1823</f>
        <v>5</v>
      </c>
      <c r="B1733" s="11" t="str">
        <f>'12-2017'!B1823</f>
        <v>Cửa đi chính 2 cánh mở quay ra ngoài: kính trắng Việt nhật 5mm. Phụ kiện kim khí (PKKK): Thanh chốt đa điểm, chốt rời, 2 tay nắm, bản lề 3D, ổ khóa-Eurowindow, kích thước (1,4m*2,.2m).</v>
      </c>
      <c r="C1733" s="12" t="str">
        <f>'12-2017'!C1823</f>
        <v>đ/m2</v>
      </c>
      <c r="D1733" s="13">
        <f>'12-2017'!O1823</f>
        <v>4527940</v>
      </c>
      <c r="E1733" s="13">
        <f>'12-2017'!P1823</f>
        <v>4527940</v>
      </c>
      <c r="F1733" s="130">
        <f t="shared" si="68"/>
        <v>0</v>
      </c>
      <c r="H1733" s="74">
        <f>'12-2017'!H1823</f>
        <v>0</v>
      </c>
      <c r="I1733" s="74">
        <f>'12-2017'!I1823</f>
        <v>0</v>
      </c>
      <c r="J1733" s="74">
        <f>'12-2017'!J1823</f>
        <v>0</v>
      </c>
    </row>
    <row r="1734" spans="1:10" s="58" customFormat="1" ht="49.5" hidden="1">
      <c r="A1734" s="10">
        <f>'12-2017'!A1824</f>
        <v>6</v>
      </c>
      <c r="B1734" s="11" t="str">
        <f>'12-2017'!B1824</f>
        <v>Cửa đi chính 1 cánh  mở quay ra ngoài: kính trắng Việt Nhật 5mm. Phụ kiện kim khí (PKKK): thanh chốt đa điểm, tay nắm, bản lề 3D, ổ khóa-Eurowindow, kích thước (0,9m*2,2m</v>
      </c>
      <c r="C1734" s="12" t="str">
        <f>'12-2017'!C1824</f>
        <v>đ/m2</v>
      </c>
      <c r="D1734" s="13">
        <f>'12-2017'!O1824</f>
        <v>2948497</v>
      </c>
      <c r="E1734" s="13">
        <f>'12-2017'!P1824</f>
        <v>2948497</v>
      </c>
      <c r="F1734" s="130">
        <f t="shared" si="68"/>
        <v>0</v>
      </c>
      <c r="H1734" s="74">
        <f>'12-2017'!H1824</f>
        <v>0</v>
      </c>
      <c r="I1734" s="74">
        <f>'12-2017'!I1824</f>
        <v>0</v>
      </c>
      <c r="J1734" s="74">
        <f>'12-2017'!J1824</f>
        <v>0</v>
      </c>
    </row>
    <row r="1735" spans="1:10" s="73" customFormat="1" ht="49.5" customHeight="1">
      <c r="A1735" s="17"/>
      <c r="B1735" s="237" t="str">
        <f>'12-2017'!B1825</f>
        <v>* Cửa nhôm cao cấp YNGHUA: Công ty TNHH Sản xuất Thương mại đầu tư nhôm An Lập Phát (địa chỉ B5/3 Trần Đại Nghĩa ấp 2, xã Tân Kiên, huyện Bình Chánh, TP.HCM ). Giao hàng và lắp đặt tại công trình. Theo bảng giá ngày 15/7/2017</v>
      </c>
      <c r="C1735" s="238"/>
      <c r="D1735" s="238"/>
      <c r="E1735" s="238"/>
      <c r="F1735" s="239"/>
      <c r="H1735" s="78">
        <f>'12-2017'!H1825</f>
        <v>0</v>
      </c>
      <c r="I1735" s="78">
        <f>'12-2017'!I1825</f>
        <v>0</v>
      </c>
      <c r="J1735" s="78">
        <f>'12-2017'!J1825</f>
        <v>0</v>
      </c>
    </row>
    <row r="1736" spans="1:10" s="73" customFormat="1" ht="17.25" hidden="1">
      <c r="A1736" s="17"/>
      <c r="B1736" s="9" t="str">
        <f>'12-2017'!B1826</f>
        <v>Cửa sổ lùa 2 cánh, kích thước 1,2mx1,4m (gồm phụ kiện, khóa)</v>
      </c>
      <c r="C1736" s="8"/>
      <c r="D1736" s="22"/>
      <c r="E1736" s="22"/>
      <c r="F1736" s="131"/>
      <c r="H1736" s="78">
        <f>'12-2017'!H1826</f>
        <v>0</v>
      </c>
      <c r="I1736" s="78">
        <f>'12-2017'!I1826</f>
        <v>0</v>
      </c>
      <c r="J1736" s="78">
        <f>'12-2017'!J1826</f>
        <v>0</v>
      </c>
    </row>
    <row r="1737" spans="1:10" s="58" customFormat="1" ht="17.25" hidden="1">
      <c r="A1737" s="10">
        <f>'12-2017'!A1827</f>
        <v>1</v>
      </c>
      <c r="B1737" s="11" t="str">
        <f>'12-2017'!B1827</f>
        <v>Cửa sổ lùa hệ 700, nhôm thanh hiệu YNGHUA, kính 5ly (màu trắng sữa)</v>
      </c>
      <c r="C1737" s="12" t="str">
        <f>'12-2017'!C1827</f>
        <v>đ/m2</v>
      </c>
      <c r="D1737" s="13">
        <f>'12-2017'!O1827</f>
        <v>997500</v>
      </c>
      <c r="E1737" s="13">
        <f>'12-2017'!P1827</f>
        <v>997500</v>
      </c>
      <c r="F1737" s="130">
        <f>E1737-D1737</f>
        <v>0</v>
      </c>
      <c r="H1737" s="74">
        <f>'12-2017'!H1827</f>
        <v>0</v>
      </c>
      <c r="I1737" s="74">
        <f>'12-2017'!I1827</f>
        <v>0</v>
      </c>
      <c r="J1737" s="74">
        <f>'12-2017'!J1827</f>
        <v>0</v>
      </c>
    </row>
    <row r="1738" spans="1:10" s="58" customFormat="1" ht="17.25" hidden="1">
      <c r="A1738" s="10">
        <f>'12-2017'!A1828</f>
        <v>2</v>
      </c>
      <c r="B1738" s="11" t="str">
        <f>'12-2017'!B1828</f>
        <v>Cửa sổ lùa hệ 888, nhôm thanh hiệu YNGHUA, kính 5ly (màu trắng sữa)</v>
      </c>
      <c r="C1738" s="12" t="str">
        <f>'12-2017'!C1828</f>
        <v>đ/m2</v>
      </c>
      <c r="D1738" s="13">
        <f>'12-2017'!O1828</f>
        <v>1491000</v>
      </c>
      <c r="E1738" s="13">
        <f>'12-2017'!P1828</f>
        <v>1491000</v>
      </c>
      <c r="F1738" s="130">
        <f>E1738-D1738</f>
        <v>0</v>
      </c>
      <c r="H1738" s="74">
        <f>'12-2017'!H1828</f>
        <v>0</v>
      </c>
      <c r="I1738" s="74">
        <f>'12-2017'!I1828</f>
        <v>0</v>
      </c>
      <c r="J1738" s="74">
        <f>'12-2017'!J1828</f>
        <v>0</v>
      </c>
    </row>
    <row r="1739" spans="1:10" s="58" customFormat="1" ht="17.25" hidden="1">
      <c r="A1739" s="10">
        <f>'12-2017'!A1829</f>
        <v>3</v>
      </c>
      <c r="B1739" s="11" t="str">
        <f>'12-2017'!B1829</f>
        <v>Cửa sổ lùa hệ 93, nhôm thanh hiệu YNGHUA, kính 5ly (màu trắng sữa)</v>
      </c>
      <c r="C1739" s="12" t="str">
        <f>'12-2017'!C1829</f>
        <v>đ/m2</v>
      </c>
      <c r="D1739" s="13">
        <f>'12-2017'!O1829</f>
        <v>1596000</v>
      </c>
      <c r="E1739" s="13">
        <f>'12-2017'!P1829</f>
        <v>1596000</v>
      </c>
      <c r="F1739" s="130">
        <f>E1739-D1739</f>
        <v>0</v>
      </c>
      <c r="H1739" s="74">
        <f>'12-2017'!H1829</f>
        <v>0</v>
      </c>
      <c r="I1739" s="74">
        <f>'12-2017'!I1829</f>
        <v>0</v>
      </c>
      <c r="J1739" s="74">
        <f>'12-2017'!J1829</f>
        <v>0</v>
      </c>
    </row>
    <row r="1740" spans="1:10" s="58" customFormat="1" ht="17.25" hidden="1">
      <c r="A1740" s="10">
        <f>'12-2017'!A1830</f>
        <v>4</v>
      </c>
      <c r="B1740" s="11" t="str">
        <f>'12-2017'!B1830</f>
        <v>Cửa sổ lùa hệ PTC (cách âm), nhôm thanh hiệu YNGHUA, kính 5ly (màu trắng sữa)</v>
      </c>
      <c r="C1740" s="12" t="str">
        <f>'12-2017'!C1830</f>
        <v>đ/m2</v>
      </c>
      <c r="D1740" s="13">
        <f>'12-2017'!O1830</f>
        <v>3097500</v>
      </c>
      <c r="E1740" s="13">
        <f>'12-2017'!P1830</f>
        <v>3097500</v>
      </c>
      <c r="F1740" s="130">
        <f t="shared" ref="F1740:F1756" si="69">E1740-D1740</f>
        <v>0</v>
      </c>
      <c r="H1740" s="74">
        <f>'12-2017'!H1830</f>
        <v>0</v>
      </c>
      <c r="I1740" s="74">
        <f>'12-2017'!I1830</f>
        <v>0</v>
      </c>
      <c r="J1740" s="74">
        <f>'12-2017'!J1830</f>
        <v>0</v>
      </c>
    </row>
    <row r="1741" spans="1:10" s="58" customFormat="1" ht="17.25" hidden="1">
      <c r="A1741" s="10"/>
      <c r="B1741" s="9" t="str">
        <f>'12-2017'!B1831</f>
        <v>Cửa sổ bật 01 cánh, kích thước 0,6mx1,4m (gồm phụ kiện, khóa)</v>
      </c>
      <c r="C1741" s="12">
        <f>'12-2017'!C1831</f>
        <v>0</v>
      </c>
      <c r="D1741" s="13">
        <f>'12-2017'!O1831</f>
        <v>0</v>
      </c>
      <c r="E1741" s="13">
        <f>'12-2017'!P1831</f>
        <v>0</v>
      </c>
      <c r="F1741" s="130">
        <f t="shared" si="69"/>
        <v>0</v>
      </c>
      <c r="H1741" s="74">
        <f>'12-2017'!H1831</f>
        <v>0</v>
      </c>
      <c r="I1741" s="74">
        <f>'12-2017'!I1831</f>
        <v>0</v>
      </c>
      <c r="J1741" s="74">
        <f>'12-2017'!J1831</f>
        <v>0</v>
      </c>
    </row>
    <row r="1742" spans="1:10" s="58" customFormat="1" ht="33" hidden="1">
      <c r="A1742" s="10">
        <f>'12-2017'!A1832</f>
        <v>1</v>
      </c>
      <c r="B1742" s="11" t="str">
        <f>'12-2017'!B1832</f>
        <v>Cửa sổ lùa hệ 1039, nhôm thanh hiệu YNGHUA, kính 5ly, bản lề chữ A, khóa tay gạt Đài Loan (màu trắng sữa)</v>
      </c>
      <c r="C1742" s="12" t="str">
        <f>'12-2017'!C1832</f>
        <v>đ/m2</v>
      </c>
      <c r="D1742" s="13">
        <f>'12-2017'!O1832</f>
        <v>2257500</v>
      </c>
      <c r="E1742" s="13">
        <f>'12-2017'!P1832</f>
        <v>2257500</v>
      </c>
      <c r="F1742" s="130">
        <f t="shared" si="69"/>
        <v>0</v>
      </c>
      <c r="H1742" s="74">
        <f>'12-2017'!H1832</f>
        <v>0</v>
      </c>
      <c r="I1742" s="74">
        <f>'12-2017'!I1832</f>
        <v>0</v>
      </c>
      <c r="J1742" s="74">
        <f>'12-2017'!J1832</f>
        <v>0</v>
      </c>
    </row>
    <row r="1743" spans="1:10" s="58" customFormat="1" ht="33" hidden="1">
      <c r="A1743" s="10">
        <f>'12-2017'!A1833</f>
        <v>2</v>
      </c>
      <c r="B1743" s="11" t="str">
        <f>'12-2017'!B1833</f>
        <v>Cửa sổ lùa hệ 55, nhôm thanh hiệu YNGHUA, kính 5ly, bản lề chữ A, khóa tay gạt Đài Loan (màu trắng sữa)</v>
      </c>
      <c r="C1743" s="12" t="str">
        <f>'12-2017'!C1833</f>
        <v>đ/m2</v>
      </c>
      <c r="D1743" s="13">
        <f>'12-2017'!O1833</f>
        <v>3307500</v>
      </c>
      <c r="E1743" s="13">
        <f>'12-2017'!P1833</f>
        <v>3307500</v>
      </c>
      <c r="F1743" s="130">
        <f t="shared" si="69"/>
        <v>0</v>
      </c>
      <c r="H1743" s="74">
        <f>'12-2017'!H1833</f>
        <v>0</v>
      </c>
      <c r="I1743" s="74">
        <f>'12-2017'!I1833</f>
        <v>0</v>
      </c>
      <c r="J1743" s="74">
        <f>'12-2017'!J1833</f>
        <v>0</v>
      </c>
    </row>
    <row r="1744" spans="1:10" s="58" customFormat="1" ht="33" hidden="1">
      <c r="A1744" s="10">
        <f>'12-2017'!A1834</f>
        <v>3</v>
      </c>
      <c r="B1744" s="11" t="str">
        <f>'12-2017'!B1834</f>
        <v>Cửa sổ lùa hệ PTC (cách âm), nhôm thanh hiệu YNGHUA, kính 5ly, bản lề chữ A, khóa tay gạt Đài Loan (màu trắng sữa)</v>
      </c>
      <c r="C1744" s="12" t="str">
        <f>'12-2017'!C1834</f>
        <v>đ/m2</v>
      </c>
      <c r="D1744" s="13">
        <f>'12-2017'!O1834</f>
        <v>3102750</v>
      </c>
      <c r="E1744" s="13">
        <f>'12-2017'!P1834</f>
        <v>3102750</v>
      </c>
      <c r="F1744" s="130">
        <f t="shared" si="69"/>
        <v>0</v>
      </c>
      <c r="H1744" s="74">
        <f>'12-2017'!H1834</f>
        <v>0</v>
      </c>
      <c r="I1744" s="74">
        <f>'12-2017'!I1834</f>
        <v>0</v>
      </c>
      <c r="J1744" s="74">
        <f>'12-2017'!J1834</f>
        <v>0</v>
      </c>
    </row>
    <row r="1745" spans="1:10" s="58" customFormat="1" ht="17.25" hidden="1">
      <c r="A1745" s="10"/>
      <c r="B1745" s="9" t="str">
        <f>'12-2017'!B1835</f>
        <v>Cửa đi 01 cánh, kích thước 0,9mx2,2m (gồm phụ kiện, khóa)</v>
      </c>
      <c r="C1745" s="12">
        <f>'12-2017'!C1835</f>
        <v>0</v>
      </c>
      <c r="D1745" s="13">
        <f>'12-2017'!O1835</f>
        <v>0</v>
      </c>
      <c r="E1745" s="13">
        <f>'12-2017'!P1835</f>
        <v>0</v>
      </c>
      <c r="F1745" s="130">
        <f t="shared" si="69"/>
        <v>0</v>
      </c>
      <c r="H1745" s="74">
        <f>'12-2017'!H1835</f>
        <v>0</v>
      </c>
      <c r="I1745" s="74">
        <f>'12-2017'!I1835</f>
        <v>0</v>
      </c>
      <c r="J1745" s="74">
        <f>'12-2017'!J1835</f>
        <v>0</v>
      </c>
    </row>
    <row r="1746" spans="1:10" s="58" customFormat="1" ht="17.25" hidden="1">
      <c r="A1746" s="10">
        <f>'12-2017'!A1836</f>
        <v>1</v>
      </c>
      <c r="B1746" s="11" t="str">
        <f>'12-2017'!B1836</f>
        <v>Cửa đi hệ 1000-3 cm, nhôm thanh hiệu YNGHUA, kính 5ly  (màu trắng sữa)</v>
      </c>
      <c r="C1746" s="12" t="str">
        <f>'12-2017'!C1836</f>
        <v>đ/m2</v>
      </c>
      <c r="D1746" s="13">
        <f>'12-2017'!O1836</f>
        <v>1627500</v>
      </c>
      <c r="E1746" s="13">
        <f>'12-2017'!P1836</f>
        <v>1627500</v>
      </c>
      <c r="F1746" s="130">
        <f t="shared" si="69"/>
        <v>0</v>
      </c>
      <c r="H1746" s="74">
        <f>'12-2017'!H1836</f>
        <v>0</v>
      </c>
      <c r="I1746" s="74">
        <f>'12-2017'!I1836</f>
        <v>0</v>
      </c>
      <c r="J1746" s="74">
        <f>'12-2017'!J1836</f>
        <v>0</v>
      </c>
    </row>
    <row r="1747" spans="1:10" s="58" customFormat="1" ht="17.25" hidden="1">
      <c r="A1747" s="10">
        <f>'12-2017'!A1837</f>
        <v>2</v>
      </c>
      <c r="B1747" s="11" t="str">
        <f>'12-2017'!B1837</f>
        <v>Cửa đi hệ 55, nhôm thanh hiệu YNGHUA, kính 5ly  (màu trắng sữa)</v>
      </c>
      <c r="C1747" s="12" t="str">
        <f>'12-2017'!C1837</f>
        <v>đ/m2</v>
      </c>
      <c r="D1747" s="13">
        <f>'12-2017'!O1837</f>
        <v>3202500</v>
      </c>
      <c r="E1747" s="13">
        <f>'12-2017'!P1837</f>
        <v>3202500</v>
      </c>
      <c r="F1747" s="130">
        <f t="shared" si="69"/>
        <v>0</v>
      </c>
      <c r="H1747" s="74">
        <f>'12-2017'!H1837</f>
        <v>0</v>
      </c>
      <c r="I1747" s="74">
        <f>'12-2017'!I1837</f>
        <v>0</v>
      </c>
      <c r="J1747" s="74">
        <f>'12-2017'!J1837</f>
        <v>0</v>
      </c>
    </row>
    <row r="1748" spans="1:10" s="58" customFormat="1" ht="17.25" hidden="1">
      <c r="A1748" s="10">
        <f>'12-2017'!A1838</f>
        <v>3</v>
      </c>
      <c r="B1748" s="11" t="str">
        <f>'12-2017'!B1838</f>
        <v>Cửa đi hệ PTC (cách âm), nhôm thanh hiệu YNGHUA, kính 5ly (màu trắng sữa)</v>
      </c>
      <c r="C1748" s="12" t="str">
        <f>'12-2017'!C1838</f>
        <v>đ/m2</v>
      </c>
      <c r="D1748" s="13">
        <f>'12-2017'!O1838</f>
        <v>2825000</v>
      </c>
      <c r="E1748" s="13">
        <f>'12-2017'!P1838</f>
        <v>2825000</v>
      </c>
      <c r="F1748" s="130">
        <f t="shared" si="69"/>
        <v>0</v>
      </c>
      <c r="H1748" s="74">
        <f>'12-2017'!H1838</f>
        <v>0</v>
      </c>
      <c r="I1748" s="74">
        <f>'12-2017'!I1838</f>
        <v>0</v>
      </c>
      <c r="J1748" s="74">
        <f>'12-2017'!J1838</f>
        <v>0</v>
      </c>
    </row>
    <row r="1749" spans="1:10" s="58" customFormat="1" ht="33" customHeight="1">
      <c r="A1749" s="10"/>
      <c r="B1749" s="237" t="str">
        <f>'12-2017'!B1839</f>
        <v>* Cửa các loại: Công ty TNHH MTV Thanh Vũ: địa chỉ 28 Nguyễn Tri Phương, P.Bình Khánh, TPLX. Theo bảng giá ngày 20/9/2017</v>
      </c>
      <c r="C1749" s="238"/>
      <c r="D1749" s="238"/>
      <c r="E1749" s="238"/>
      <c r="F1749" s="239"/>
      <c r="H1749" s="74">
        <f>'12-2017'!H1839</f>
        <v>0</v>
      </c>
      <c r="I1749" s="74">
        <f>'12-2017'!I1839</f>
        <v>0</v>
      </c>
      <c r="J1749" s="74">
        <f>'12-2017'!J1839</f>
        <v>0</v>
      </c>
    </row>
    <row r="1750" spans="1:10" s="58" customFormat="1" ht="17.25" hidden="1">
      <c r="A1750" s="10"/>
      <c r="B1750" s="9" t="str">
        <f>'12-2017'!B1840</f>
        <v>Vách + cửa nhôm Tungshin, sơn tĩnh điện, bao gồm phụ kiện và khóa</v>
      </c>
      <c r="C1750" s="12"/>
      <c r="D1750" s="13"/>
      <c r="E1750" s="13"/>
      <c r="F1750" s="130"/>
      <c r="H1750" s="74">
        <f>'12-2017'!H1840</f>
        <v>0</v>
      </c>
      <c r="I1750" s="74">
        <f>'12-2017'!I1840</f>
        <v>0</v>
      </c>
      <c r="J1750" s="74">
        <f>'12-2017'!J1840</f>
        <v>0</v>
      </c>
    </row>
    <row r="1751" spans="1:10" s="58" customFormat="1" ht="17.25" hidden="1">
      <c r="A1751" s="10">
        <f>'12-2017'!A1841</f>
        <v>1</v>
      </c>
      <c r="B1751" s="11" t="str">
        <f>'12-2017'!B1841</f>
        <v>Vách ngăn nhôm hệ 700, kính trắng 05mm</v>
      </c>
      <c r="C1751" s="12" t="str">
        <f>'12-2017'!C1841</f>
        <v>đ/m2</v>
      </c>
      <c r="D1751" s="13">
        <f>'12-2017'!O1841</f>
        <v>780000</v>
      </c>
      <c r="E1751" s="13">
        <f>'12-2017'!P1841</f>
        <v>780000</v>
      </c>
      <c r="F1751" s="130">
        <f t="shared" si="69"/>
        <v>0</v>
      </c>
      <c r="H1751" s="74">
        <f>'12-2017'!H1841</f>
        <v>0</v>
      </c>
      <c r="I1751" s="74">
        <f>'12-2017'!I1841</f>
        <v>0</v>
      </c>
      <c r="J1751" s="74">
        <f>'12-2017'!J1841</f>
        <v>0</v>
      </c>
    </row>
    <row r="1752" spans="1:10" s="58" customFormat="1" ht="17.25" hidden="1">
      <c r="A1752" s="10">
        <f>'12-2017'!A1842</f>
        <v>2</v>
      </c>
      <c r="B1752" s="11" t="str">
        <f>'12-2017'!B1842</f>
        <v>Vách ngăn nhôm hệ 700, kính trắng 08mm</v>
      </c>
      <c r="C1752" s="12" t="str">
        <f>'12-2017'!C1842</f>
        <v>đ/m2</v>
      </c>
      <c r="D1752" s="13">
        <f>'12-2017'!O1842</f>
        <v>870000</v>
      </c>
      <c r="E1752" s="13">
        <f>'12-2017'!P1842</f>
        <v>870000</v>
      </c>
      <c r="F1752" s="130">
        <f t="shared" si="69"/>
        <v>0</v>
      </c>
      <c r="H1752" s="74">
        <f>'12-2017'!H1842</f>
        <v>0</v>
      </c>
      <c r="I1752" s="74">
        <f>'12-2017'!I1842</f>
        <v>0</v>
      </c>
      <c r="J1752" s="74">
        <f>'12-2017'!J1842</f>
        <v>0</v>
      </c>
    </row>
    <row r="1753" spans="1:10" s="58" customFormat="1" ht="17.25" hidden="1">
      <c r="A1753" s="10">
        <f>'12-2017'!A1843</f>
        <v>3</v>
      </c>
      <c r="B1753" s="11" t="str">
        <f>'12-2017'!B1843</f>
        <v>Vách ngăn nhôm hệ 700, kính trắng 10mm</v>
      </c>
      <c r="C1753" s="12" t="str">
        <f>'12-2017'!C1843</f>
        <v>đ/m2</v>
      </c>
      <c r="D1753" s="13">
        <f>'12-2017'!O1843</f>
        <v>970000</v>
      </c>
      <c r="E1753" s="13">
        <f>'12-2017'!P1843</f>
        <v>970000</v>
      </c>
      <c r="F1753" s="130">
        <f t="shared" si="69"/>
        <v>0</v>
      </c>
      <c r="H1753" s="74">
        <f>'12-2017'!H1843</f>
        <v>0</v>
      </c>
      <c r="I1753" s="74">
        <f>'12-2017'!I1843</f>
        <v>0</v>
      </c>
      <c r="J1753" s="74">
        <f>'12-2017'!J1843</f>
        <v>0</v>
      </c>
    </row>
    <row r="1754" spans="1:10" s="58" customFormat="1" ht="17.25" hidden="1">
      <c r="A1754" s="10">
        <f>'12-2017'!A1844</f>
        <v>4</v>
      </c>
      <c r="B1754" s="11" t="str">
        <f>'12-2017'!B1844</f>
        <v>Vách ngăn nhôm hệ 1000, kính trắng 05mm</v>
      </c>
      <c r="C1754" s="12" t="str">
        <f>'12-2017'!C1844</f>
        <v>đ/m2</v>
      </c>
      <c r="D1754" s="13">
        <f>'12-2017'!O1844</f>
        <v>870000</v>
      </c>
      <c r="E1754" s="13">
        <f>'12-2017'!P1844</f>
        <v>870000</v>
      </c>
      <c r="F1754" s="130">
        <f t="shared" si="69"/>
        <v>0</v>
      </c>
      <c r="H1754" s="74">
        <f>'12-2017'!H1844</f>
        <v>0</v>
      </c>
      <c r="I1754" s="74">
        <f>'12-2017'!I1844</f>
        <v>0</v>
      </c>
      <c r="J1754" s="74">
        <f>'12-2017'!J1844</f>
        <v>0</v>
      </c>
    </row>
    <row r="1755" spans="1:10" s="58" customFormat="1" ht="17.25" hidden="1">
      <c r="A1755" s="10">
        <f>'12-2017'!A1845</f>
        <v>5</v>
      </c>
      <c r="B1755" s="11" t="str">
        <f>'12-2017'!B1845</f>
        <v>Vách ngăn nhôm hệ 1000, kính trắng 08mm</v>
      </c>
      <c r="C1755" s="12" t="str">
        <f>'12-2017'!C1845</f>
        <v>đ/m2</v>
      </c>
      <c r="D1755" s="13">
        <f>'12-2017'!O1845</f>
        <v>970000</v>
      </c>
      <c r="E1755" s="13">
        <f>'12-2017'!P1845</f>
        <v>970000</v>
      </c>
      <c r="F1755" s="130">
        <f t="shared" si="69"/>
        <v>0</v>
      </c>
      <c r="H1755" s="74">
        <f>'12-2017'!H1845</f>
        <v>0</v>
      </c>
      <c r="I1755" s="74">
        <f>'12-2017'!I1845</f>
        <v>0</v>
      </c>
      <c r="J1755" s="74">
        <f>'12-2017'!J1845</f>
        <v>0</v>
      </c>
    </row>
    <row r="1756" spans="1:10" s="58" customFormat="1" ht="17.25" hidden="1">
      <c r="A1756" s="10">
        <f>'12-2017'!A1846</f>
        <v>6</v>
      </c>
      <c r="B1756" s="11" t="str">
        <f>'12-2017'!B1846</f>
        <v>Vách ngăn nhôm hệ 1000, kính trắng 10mm</v>
      </c>
      <c r="C1756" s="12" t="str">
        <f>'12-2017'!C1846</f>
        <v>đ/m2</v>
      </c>
      <c r="D1756" s="13">
        <f>'12-2017'!O1846</f>
        <v>1070000</v>
      </c>
      <c r="E1756" s="13">
        <f>'12-2017'!P1846</f>
        <v>1070000</v>
      </c>
      <c r="F1756" s="130">
        <f t="shared" si="69"/>
        <v>0</v>
      </c>
      <c r="H1756" s="74">
        <f>'12-2017'!H1846</f>
        <v>0</v>
      </c>
      <c r="I1756" s="74">
        <f>'12-2017'!I1846</f>
        <v>0</v>
      </c>
      <c r="J1756" s="74">
        <f>'12-2017'!J1846</f>
        <v>0</v>
      </c>
    </row>
    <row r="1757" spans="1:10" s="58" customFormat="1" ht="17.25" hidden="1">
      <c r="A1757" s="10">
        <f>'12-2017'!A1847</f>
        <v>7</v>
      </c>
      <c r="B1757" s="11" t="str">
        <f>'12-2017'!B1847</f>
        <v>Cửa sổ lùa nhôm hệ 500, kính 05mm</v>
      </c>
      <c r="C1757" s="12" t="str">
        <f>'12-2017'!C1847</f>
        <v>đ/m2</v>
      </c>
      <c r="D1757" s="13">
        <f>'12-2017'!O1847</f>
        <v>760000</v>
      </c>
      <c r="E1757" s="13">
        <f>'12-2017'!P1847</f>
        <v>760000</v>
      </c>
      <c r="F1757" s="130">
        <f t="shared" ref="F1757:F1768" si="70">E1757-D1757</f>
        <v>0</v>
      </c>
      <c r="H1757" s="74">
        <f>'12-2017'!H1847</f>
        <v>0</v>
      </c>
      <c r="I1757" s="74">
        <f>'12-2017'!I1847</f>
        <v>0</v>
      </c>
      <c r="J1757" s="74">
        <f>'12-2017'!J1847</f>
        <v>0</v>
      </c>
    </row>
    <row r="1758" spans="1:10" s="58" customFormat="1" ht="17.25" hidden="1">
      <c r="A1758" s="10">
        <f>'12-2017'!A1848</f>
        <v>8</v>
      </c>
      <c r="B1758" s="11" t="str">
        <f>'12-2017'!B1848</f>
        <v>Cửa sổ lùa nhôm hệ 500, kính 08mm</v>
      </c>
      <c r="C1758" s="12" t="str">
        <f>'12-2017'!C1848</f>
        <v>đ/m2</v>
      </c>
      <c r="D1758" s="13">
        <f>'12-2017'!O1848</f>
        <v>860000</v>
      </c>
      <c r="E1758" s="13">
        <f>'12-2017'!P1848</f>
        <v>860000</v>
      </c>
      <c r="F1758" s="130">
        <f t="shared" si="70"/>
        <v>0</v>
      </c>
      <c r="H1758" s="74">
        <f>'12-2017'!H1848</f>
        <v>0</v>
      </c>
      <c r="I1758" s="74">
        <f>'12-2017'!I1848</f>
        <v>0</v>
      </c>
      <c r="J1758" s="74">
        <f>'12-2017'!J1848</f>
        <v>0</v>
      </c>
    </row>
    <row r="1759" spans="1:10" s="58" customFormat="1" ht="17.25" hidden="1">
      <c r="A1759" s="10">
        <f>'12-2017'!A1849</f>
        <v>9</v>
      </c>
      <c r="B1759" s="11" t="str">
        <f>'12-2017'!B1849</f>
        <v>Cửa sổ lùa nhôm hệ 888, kính 05mm</v>
      </c>
      <c r="C1759" s="12" t="str">
        <f>'12-2017'!C1849</f>
        <v>đ/m2</v>
      </c>
      <c r="D1759" s="13">
        <f>'12-2017'!O1849</f>
        <v>1280000</v>
      </c>
      <c r="E1759" s="13">
        <f>'12-2017'!P1849</f>
        <v>1280000</v>
      </c>
      <c r="F1759" s="130">
        <f t="shared" si="70"/>
        <v>0</v>
      </c>
      <c r="H1759" s="74">
        <f>'12-2017'!H1849</f>
        <v>0</v>
      </c>
      <c r="I1759" s="74">
        <f>'12-2017'!I1849</f>
        <v>0</v>
      </c>
      <c r="J1759" s="74">
        <f>'12-2017'!J1849</f>
        <v>0</v>
      </c>
    </row>
    <row r="1760" spans="1:10" s="58" customFormat="1" ht="17.25" hidden="1">
      <c r="A1760" s="10">
        <f>'12-2017'!A1850</f>
        <v>10</v>
      </c>
      <c r="B1760" s="11" t="str">
        <f>'12-2017'!B1850</f>
        <v>Cửa sổ lùa nhôm hệ 888, kính 08mm</v>
      </c>
      <c r="C1760" s="12" t="str">
        <f>'12-2017'!C1850</f>
        <v>đ/m2</v>
      </c>
      <c r="D1760" s="13">
        <f>'12-2017'!O1850</f>
        <v>1380000</v>
      </c>
      <c r="E1760" s="13">
        <f>'12-2017'!P1850</f>
        <v>1380000</v>
      </c>
      <c r="F1760" s="130">
        <f t="shared" si="70"/>
        <v>0</v>
      </c>
      <c r="H1760" s="74">
        <f>'12-2017'!H1850</f>
        <v>0</v>
      </c>
      <c r="I1760" s="74">
        <f>'12-2017'!I1850</f>
        <v>0</v>
      </c>
      <c r="J1760" s="74">
        <f>'12-2017'!J1850</f>
        <v>0</v>
      </c>
    </row>
    <row r="1761" spans="1:10" s="58" customFormat="1" ht="17.25" hidden="1">
      <c r="A1761" s="10">
        <f>'12-2017'!A1851</f>
        <v>11</v>
      </c>
      <c r="B1761" s="11" t="str">
        <f>'12-2017'!B1851</f>
        <v>Cửa sổ bật, kính trắng 05mm</v>
      </c>
      <c r="C1761" s="12" t="str">
        <f>'12-2017'!C1851</f>
        <v>đ/m2</v>
      </c>
      <c r="D1761" s="13">
        <f>'12-2017'!O1851</f>
        <v>750000</v>
      </c>
      <c r="E1761" s="13">
        <f>'12-2017'!P1851</f>
        <v>750000</v>
      </c>
      <c r="F1761" s="130">
        <f t="shared" si="70"/>
        <v>0</v>
      </c>
      <c r="H1761" s="74">
        <f>'12-2017'!H1851</f>
        <v>0</v>
      </c>
      <c r="I1761" s="74">
        <f>'12-2017'!I1851</f>
        <v>0</v>
      </c>
      <c r="J1761" s="74">
        <f>'12-2017'!J1851</f>
        <v>0</v>
      </c>
    </row>
    <row r="1762" spans="1:10" s="58" customFormat="1" ht="17.25" hidden="1">
      <c r="A1762" s="10">
        <f>'12-2017'!A1852</f>
        <v>12</v>
      </c>
      <c r="B1762" s="11" t="str">
        <f>'12-2017'!B1852</f>
        <v>Cửa đi nhôm hệ 700, kính trắng 05mm</v>
      </c>
      <c r="C1762" s="12" t="str">
        <f>'12-2017'!C1852</f>
        <v>đ/m2</v>
      </c>
      <c r="D1762" s="13">
        <f>'12-2017'!O1852</f>
        <v>900000</v>
      </c>
      <c r="E1762" s="13">
        <f>'12-2017'!P1852</f>
        <v>900000</v>
      </c>
      <c r="F1762" s="130">
        <f t="shared" si="70"/>
        <v>0</v>
      </c>
      <c r="H1762" s="74">
        <f>'12-2017'!H1852</f>
        <v>0</v>
      </c>
      <c r="I1762" s="74">
        <f>'12-2017'!I1852</f>
        <v>0</v>
      </c>
      <c r="J1762" s="74">
        <f>'12-2017'!J1852</f>
        <v>0</v>
      </c>
    </row>
    <row r="1763" spans="1:10" s="58" customFormat="1" ht="17.25" hidden="1">
      <c r="A1763" s="10">
        <f>'12-2017'!A1853</f>
        <v>13</v>
      </c>
      <c r="B1763" s="11" t="str">
        <f>'12-2017'!B1853</f>
        <v>Cửa đi nhôm hệ 700, kính trắng 08mm</v>
      </c>
      <c r="C1763" s="12" t="str">
        <f>'12-2017'!C1853</f>
        <v>đ/m2</v>
      </c>
      <c r="D1763" s="13">
        <f>'12-2017'!O1853</f>
        <v>980000</v>
      </c>
      <c r="E1763" s="13">
        <f>'12-2017'!P1853</f>
        <v>980000</v>
      </c>
      <c r="F1763" s="130">
        <f t="shared" si="70"/>
        <v>0</v>
      </c>
      <c r="H1763" s="74">
        <f>'12-2017'!H1853</f>
        <v>0</v>
      </c>
      <c r="I1763" s="74">
        <f>'12-2017'!I1853</f>
        <v>0</v>
      </c>
      <c r="J1763" s="74">
        <f>'12-2017'!J1853</f>
        <v>0</v>
      </c>
    </row>
    <row r="1764" spans="1:10" s="58" customFormat="1" ht="17.25" hidden="1">
      <c r="A1764" s="10">
        <f>'12-2017'!A1854</f>
        <v>14</v>
      </c>
      <c r="B1764" s="11" t="str">
        <f>'12-2017'!B1854</f>
        <v>Cửa đi nhôm hệ 1000, kính trắng 05mm</v>
      </c>
      <c r="C1764" s="12" t="str">
        <f>'12-2017'!C1854</f>
        <v>đ/m2</v>
      </c>
      <c r="D1764" s="13">
        <f>'12-2017'!O1854</f>
        <v>1000000</v>
      </c>
      <c r="E1764" s="13">
        <f>'12-2017'!P1854</f>
        <v>1000000</v>
      </c>
      <c r="F1764" s="130">
        <f t="shared" si="70"/>
        <v>0</v>
      </c>
      <c r="H1764" s="74">
        <f>'12-2017'!H1854</f>
        <v>0</v>
      </c>
      <c r="I1764" s="74">
        <f>'12-2017'!I1854</f>
        <v>0</v>
      </c>
      <c r="J1764" s="74">
        <f>'12-2017'!J1854</f>
        <v>0</v>
      </c>
    </row>
    <row r="1765" spans="1:10" s="58" customFormat="1" ht="17.25" hidden="1">
      <c r="A1765" s="10">
        <f>'12-2017'!A1855</f>
        <v>15</v>
      </c>
      <c r="B1765" s="11" t="str">
        <f>'12-2017'!B1855</f>
        <v>Cửa đi nhôm hệ 1000, kính trắng 08mm</v>
      </c>
      <c r="C1765" s="12" t="str">
        <f>'12-2017'!C1855</f>
        <v>đ/m2</v>
      </c>
      <c r="D1765" s="13">
        <f>'12-2017'!O1855</f>
        <v>1080000</v>
      </c>
      <c r="E1765" s="13">
        <f>'12-2017'!P1855</f>
        <v>1080000</v>
      </c>
      <c r="F1765" s="130">
        <f t="shared" si="70"/>
        <v>0</v>
      </c>
      <c r="H1765" s="74">
        <f>'12-2017'!H1855</f>
        <v>0</v>
      </c>
      <c r="I1765" s="74">
        <f>'12-2017'!I1855</f>
        <v>0</v>
      </c>
      <c r="J1765" s="74">
        <f>'12-2017'!J1855</f>
        <v>0</v>
      </c>
    </row>
    <row r="1766" spans="1:10" s="58" customFormat="1" ht="17.25" hidden="1">
      <c r="A1766" s="10">
        <f>'12-2017'!A1856</f>
        <v>16</v>
      </c>
      <c r="B1766" s="11" t="str">
        <f>'12-2017'!B1856</f>
        <v>Cửa đi nhôm hệ 1000, kính trắng 10mm</v>
      </c>
      <c r="C1766" s="12" t="str">
        <f>'12-2017'!C1856</f>
        <v>đ/m2</v>
      </c>
      <c r="D1766" s="13">
        <f>'12-2017'!O1856</f>
        <v>1170000</v>
      </c>
      <c r="E1766" s="13">
        <f>'12-2017'!P1856</f>
        <v>1170000</v>
      </c>
      <c r="F1766" s="130">
        <f t="shared" si="70"/>
        <v>0</v>
      </c>
      <c r="H1766" s="74">
        <f>'12-2017'!H1856</f>
        <v>0</v>
      </c>
      <c r="I1766" s="74">
        <f>'12-2017'!I1856</f>
        <v>0</v>
      </c>
      <c r="J1766" s="74">
        <f>'12-2017'!J1856</f>
        <v>0</v>
      </c>
    </row>
    <row r="1767" spans="1:10" s="58" customFormat="1" ht="17.25" hidden="1">
      <c r="A1767" s="10"/>
      <c r="B1767" s="9" t="str">
        <f>'12-2017'!B1857</f>
        <v>Cửa sắt (chưa bao gồm khóa)</v>
      </c>
      <c r="C1767" s="12" t="str">
        <f>'12-2017'!C1857</f>
        <v>đ/m2</v>
      </c>
      <c r="D1767" s="13">
        <f>'12-2017'!O1857</f>
        <v>0</v>
      </c>
      <c r="E1767" s="13">
        <f>'12-2017'!P1857</f>
        <v>0</v>
      </c>
      <c r="F1767" s="130">
        <f t="shared" si="70"/>
        <v>0</v>
      </c>
      <c r="H1767" s="74">
        <f>'12-2017'!H1857</f>
        <v>0</v>
      </c>
      <c r="I1767" s="74">
        <f>'12-2017'!I1857</f>
        <v>0</v>
      </c>
      <c r="J1767" s="74">
        <f>'12-2017'!J1857</f>
        <v>0</v>
      </c>
    </row>
    <row r="1768" spans="1:10" s="58" customFormat="1" ht="17.25" hidden="1">
      <c r="A1768" s="10">
        <f>'12-2017'!A1858</f>
        <v>1</v>
      </c>
      <c r="B1768" s="11" t="str">
        <f>'12-2017'!B1858</f>
        <v>Cửa đi giả gỗ đố 30x60 dày 1,4mm, không kính</v>
      </c>
      <c r="C1768" s="12" t="str">
        <f>'12-2017'!C1858</f>
        <v>đ/m2</v>
      </c>
      <c r="D1768" s="13">
        <f>'12-2017'!O1858</f>
        <v>860000</v>
      </c>
      <c r="E1768" s="13">
        <f>'12-2017'!P1858</f>
        <v>860000</v>
      </c>
      <c r="F1768" s="130">
        <f t="shared" si="70"/>
        <v>0</v>
      </c>
      <c r="H1768" s="74">
        <f>'12-2017'!H1858</f>
        <v>0</v>
      </c>
      <c r="I1768" s="74">
        <f>'12-2017'!I1858</f>
        <v>0</v>
      </c>
      <c r="J1768" s="74">
        <f>'12-2017'!J1858</f>
        <v>0</v>
      </c>
    </row>
    <row r="1769" spans="1:10" s="58" customFormat="1" ht="17.25" hidden="1">
      <c r="A1769" s="10">
        <f>'12-2017'!A1859</f>
        <v>2</v>
      </c>
      <c r="B1769" s="11" t="str">
        <f>'12-2017'!B1859</f>
        <v>Cửa đi giả gỗ đố 30x60 dày 1,4mm, kính 05mm</v>
      </c>
      <c r="C1769" s="12" t="str">
        <f>'12-2017'!C1859</f>
        <v>đ/m2</v>
      </c>
      <c r="D1769" s="13">
        <f>'12-2017'!O1859</f>
        <v>1020000</v>
      </c>
      <c r="E1769" s="13">
        <f>'12-2017'!P1859</f>
        <v>1020000</v>
      </c>
      <c r="F1769" s="130">
        <f t="shared" ref="F1769:F1775" si="71">E1769-D1769</f>
        <v>0</v>
      </c>
      <c r="H1769" s="74">
        <f>'12-2017'!H1859</f>
        <v>0</v>
      </c>
      <c r="I1769" s="74">
        <f>'12-2017'!I1859</f>
        <v>0</v>
      </c>
      <c r="J1769" s="74">
        <f>'12-2017'!J1859</f>
        <v>0</v>
      </c>
    </row>
    <row r="1770" spans="1:10" s="58" customFormat="1" ht="17.25" hidden="1">
      <c r="A1770" s="10">
        <f>'12-2017'!A1860</f>
        <v>3</v>
      </c>
      <c r="B1770" s="11" t="str">
        <f>'12-2017'!B1860</f>
        <v>Cửa đi giả gỗ đố 30x60 dày 1,4mm, có bông bảo vệ, không kính</v>
      </c>
      <c r="C1770" s="12" t="str">
        <f>'12-2017'!C1860</f>
        <v>đ/m2</v>
      </c>
      <c r="D1770" s="13">
        <f>'12-2017'!O1860</f>
        <v>1240000</v>
      </c>
      <c r="E1770" s="13">
        <f>'12-2017'!P1860</f>
        <v>1240000</v>
      </c>
      <c r="F1770" s="130">
        <f t="shared" si="71"/>
        <v>0</v>
      </c>
      <c r="H1770" s="74">
        <f>'12-2017'!H1860</f>
        <v>0</v>
      </c>
      <c r="I1770" s="74">
        <f>'12-2017'!I1860</f>
        <v>0</v>
      </c>
      <c r="J1770" s="74">
        <f>'12-2017'!J1860</f>
        <v>0</v>
      </c>
    </row>
    <row r="1771" spans="1:10" s="58" customFormat="1" ht="17.25" hidden="1">
      <c r="A1771" s="10">
        <f>'12-2017'!A1861</f>
        <v>4</v>
      </c>
      <c r="B1771" s="11" t="str">
        <f>'12-2017'!B1861</f>
        <v>Cửa đi giả gỗ đố 30x60 dày 1,4mm, có bông bảo vệ , kính trắng 05mm</v>
      </c>
      <c r="C1771" s="12" t="str">
        <f>'12-2017'!C1861</f>
        <v>đ/m2</v>
      </c>
      <c r="D1771" s="13">
        <f>'12-2017'!O1861</f>
        <v>1370000</v>
      </c>
      <c r="E1771" s="13">
        <f>'12-2017'!P1861</f>
        <v>1370000</v>
      </c>
      <c r="F1771" s="130">
        <f t="shared" si="71"/>
        <v>0</v>
      </c>
      <c r="H1771" s="74">
        <f>'12-2017'!H1861</f>
        <v>0</v>
      </c>
      <c r="I1771" s="74">
        <f>'12-2017'!I1861</f>
        <v>0</v>
      </c>
      <c r="J1771" s="74">
        <f>'12-2017'!J1861</f>
        <v>0</v>
      </c>
    </row>
    <row r="1772" spans="1:10" s="58" customFormat="1" ht="17.25" hidden="1">
      <c r="A1772" s="10">
        <f>'12-2017'!A1862</f>
        <v>5</v>
      </c>
      <c r="B1772" s="11" t="str">
        <f>'12-2017'!B1862</f>
        <v>Cửa đi đố 30x60 dày 1,4mm, có bông bảo vệ, không kính</v>
      </c>
      <c r="C1772" s="12" t="str">
        <f>'12-2017'!C1862</f>
        <v>đ/m2</v>
      </c>
      <c r="D1772" s="13">
        <f>'12-2017'!O1862</f>
        <v>700000</v>
      </c>
      <c r="E1772" s="13">
        <f>'12-2017'!P1862</f>
        <v>700000</v>
      </c>
      <c r="F1772" s="130">
        <f t="shared" si="71"/>
        <v>0</v>
      </c>
      <c r="H1772" s="74">
        <f>'12-2017'!H1862</f>
        <v>0</v>
      </c>
      <c r="I1772" s="74">
        <f>'12-2017'!I1862</f>
        <v>0</v>
      </c>
      <c r="J1772" s="74">
        <f>'12-2017'!J1862</f>
        <v>0</v>
      </c>
    </row>
    <row r="1773" spans="1:10" s="58" customFormat="1" ht="17.25" hidden="1">
      <c r="A1773" s="10">
        <f>'12-2017'!A1863</f>
        <v>6</v>
      </c>
      <c r="B1773" s="11" t="str">
        <f>'12-2017'!B1863</f>
        <v>Cửa đi đố 30x60 dày 1,4mm, có bông bảo vệ, kính trắng 05mm</v>
      </c>
      <c r="C1773" s="12" t="str">
        <f>'12-2017'!C1863</f>
        <v>đ/m2</v>
      </c>
      <c r="D1773" s="13">
        <f>'12-2017'!O1863</f>
        <v>880000</v>
      </c>
      <c r="E1773" s="13">
        <f>'12-2017'!P1863</f>
        <v>880000</v>
      </c>
      <c r="F1773" s="130">
        <f t="shared" si="71"/>
        <v>0</v>
      </c>
      <c r="H1773" s="74">
        <f>'12-2017'!H1863</f>
        <v>0</v>
      </c>
      <c r="I1773" s="74">
        <f>'12-2017'!I1863</f>
        <v>0</v>
      </c>
      <c r="J1773" s="74">
        <f>'12-2017'!J1863</f>
        <v>0</v>
      </c>
    </row>
    <row r="1774" spans="1:10" s="58" customFormat="1" ht="17.25" hidden="1">
      <c r="A1774" s="10">
        <f>'12-2017'!A1864</f>
        <v>7</v>
      </c>
      <c r="B1774" s="11" t="str">
        <f>'12-2017'!B1864</f>
        <v>Cửa sổ có khuôn bông, không kính</v>
      </c>
      <c r="C1774" s="12" t="str">
        <f>'12-2017'!C1864</f>
        <v>đ/m2</v>
      </c>
      <c r="D1774" s="13">
        <f>'12-2017'!O1864</f>
        <v>700000</v>
      </c>
      <c r="E1774" s="13">
        <f>'12-2017'!P1864</f>
        <v>700000</v>
      </c>
      <c r="F1774" s="130">
        <f t="shared" si="71"/>
        <v>0</v>
      </c>
      <c r="H1774" s="74">
        <f>'12-2017'!H1864</f>
        <v>0</v>
      </c>
      <c r="I1774" s="74">
        <f>'12-2017'!I1864</f>
        <v>0</v>
      </c>
      <c r="J1774" s="74">
        <f>'12-2017'!J1864</f>
        <v>0</v>
      </c>
    </row>
    <row r="1775" spans="1:10" s="58" customFormat="1" ht="17.25" hidden="1">
      <c r="A1775" s="10">
        <f>'12-2017'!A1865</f>
        <v>8</v>
      </c>
      <c r="B1775" s="11" t="str">
        <f>'12-2017'!B1865</f>
        <v>Cửa sổ có khuôn bông, kính trắng 05mm</v>
      </c>
      <c r="C1775" s="12" t="str">
        <f>'12-2017'!C1865</f>
        <v>đ/m2</v>
      </c>
      <c r="D1775" s="13">
        <f>'12-2017'!O1865</f>
        <v>880000</v>
      </c>
      <c r="E1775" s="13">
        <f>'12-2017'!P1865</f>
        <v>880000</v>
      </c>
      <c r="F1775" s="130">
        <f t="shared" si="71"/>
        <v>0</v>
      </c>
      <c r="H1775" s="74">
        <f>'12-2017'!H1865</f>
        <v>0</v>
      </c>
      <c r="I1775" s="74">
        <f>'12-2017'!I1865</f>
        <v>0</v>
      </c>
      <c r="J1775" s="74">
        <f>'12-2017'!J1865</f>
        <v>0</v>
      </c>
    </row>
    <row r="1776" spans="1:10" s="73" customFormat="1" ht="17.25">
      <c r="A1776" s="17" t="str">
        <f>'12-2017'!A1866</f>
        <v>XXII</v>
      </c>
      <c r="B1776" s="9" t="str">
        <f>'12-2017'!B1866</f>
        <v>CẦU THÉP CÁC LOẠI:</v>
      </c>
      <c r="C1776" s="8"/>
      <c r="D1776" s="22"/>
      <c r="E1776" s="22"/>
      <c r="F1776" s="131"/>
      <c r="H1776" s="74">
        <f>'12-2017'!H1866</f>
        <v>0</v>
      </c>
      <c r="I1776" s="74">
        <f>'12-2017'!I1866</f>
        <v>0</v>
      </c>
      <c r="J1776" s="74">
        <f>'12-2017'!J1866</f>
        <v>0</v>
      </c>
    </row>
    <row r="1777" spans="1:10" s="73" customFormat="1" ht="33.75" customHeight="1">
      <c r="A1777" s="17"/>
      <c r="B1777" s="237" t="str">
        <f>'12-2017'!B1867</f>
        <v>* Cầu thép nông thôn: Cty Cổ phần Cơ khí An Giang sản xuất (giao hàng tại Cty trên phương tiện bên mua). Theo bảng giá ngày 16/10/2017</v>
      </c>
      <c r="C1777" s="238"/>
      <c r="D1777" s="238"/>
      <c r="E1777" s="238"/>
      <c r="F1777" s="239"/>
      <c r="H1777" s="74">
        <f>'12-2017'!H1867</f>
        <v>0</v>
      </c>
      <c r="I1777" s="74">
        <f>'12-2017'!I1867</f>
        <v>0</v>
      </c>
      <c r="J1777" s="74">
        <f>'12-2017'!J1867</f>
        <v>0</v>
      </c>
    </row>
    <row r="1778" spans="1:10" s="73" customFormat="1" ht="17.25" hidden="1">
      <c r="A1778" s="17"/>
      <c r="B1778" s="9" t="str">
        <f>'12-2017'!B1868</f>
        <v>Cầu thép NT 1.6 K, bề rộng mặt cầu 1,5m, tải trọng xe đơn 1,2 tấn</v>
      </c>
      <c r="C1778" s="8"/>
      <c r="D1778" s="22"/>
      <c r="E1778" s="22"/>
      <c r="F1778" s="131"/>
      <c r="H1778" s="74">
        <f>'12-2017'!H1868</f>
        <v>0</v>
      </c>
      <c r="I1778" s="74">
        <f>'12-2017'!I1868</f>
        <v>0</v>
      </c>
      <c r="J1778" s="74">
        <f>'12-2017'!J1868</f>
        <v>0</v>
      </c>
    </row>
    <row r="1779" spans="1:10" s="58" customFormat="1" ht="17.25" hidden="1">
      <c r="A1779" s="10">
        <f>'12-2017'!A1869</f>
        <v>0</v>
      </c>
      <c r="B1779" s="11" t="str">
        <f>'12-2017'!B1869</f>
        <v xml:space="preserve"> - Sơn bảo vệ bề mặt (trọng lượng 200kg/mét dài)</v>
      </c>
      <c r="C1779" s="12" t="str">
        <f>'12-2017'!C1869</f>
        <v>đ/mdài</v>
      </c>
      <c r="D1779" s="13">
        <f>'12-2017'!O1869</f>
        <v>7100000</v>
      </c>
      <c r="E1779" s="13">
        <f>'12-2017'!P1869</f>
        <v>7100000</v>
      </c>
      <c r="F1779" s="130">
        <f>E1779-D1779</f>
        <v>0</v>
      </c>
      <c r="H1779" s="74">
        <f>'12-2017'!H1869</f>
        <v>0</v>
      </c>
      <c r="I1779" s="74">
        <f>'12-2017'!I1869</f>
        <v>0</v>
      </c>
      <c r="J1779" s="74">
        <f>'12-2017'!J1869</f>
        <v>0</v>
      </c>
    </row>
    <row r="1780" spans="1:10" s="58" customFormat="1" ht="17.25" hidden="1">
      <c r="A1780" s="10">
        <f>'12-2017'!A1870</f>
        <v>0</v>
      </c>
      <c r="B1780" s="11" t="str">
        <f>'12-2017'!B1870</f>
        <v xml:space="preserve"> - Mạ kẽm bảo vệ bề mặt (trọng lượng 200kg/mét dài)</v>
      </c>
      <c r="C1780" s="12" t="str">
        <f>'12-2017'!C1870</f>
        <v>đ/mdài</v>
      </c>
      <c r="D1780" s="13">
        <f>'12-2017'!O1870</f>
        <v>8100000</v>
      </c>
      <c r="E1780" s="13">
        <f>'12-2017'!P1870</f>
        <v>8100000</v>
      </c>
      <c r="F1780" s="130">
        <f>E1780-D1780</f>
        <v>0</v>
      </c>
      <c r="H1780" s="74">
        <f>'12-2017'!H1870</f>
        <v>0</v>
      </c>
      <c r="I1780" s="74">
        <f>'12-2017'!I1870</f>
        <v>0</v>
      </c>
      <c r="J1780" s="74">
        <f>'12-2017'!J1870</f>
        <v>0</v>
      </c>
    </row>
    <row r="1781" spans="1:10" s="73" customFormat="1" ht="17.25" hidden="1">
      <c r="A1781" s="17"/>
      <c r="B1781" s="9" t="str">
        <f>'12-2017'!B1871</f>
        <v>Cầu thép NT 1.6 M, bề rộng mặt cầu 1,5m, tải trọng xe đơn 1,2 tấn</v>
      </c>
      <c r="C1781" s="8"/>
      <c r="D1781" s="22"/>
      <c r="E1781" s="22"/>
      <c r="F1781" s="131"/>
      <c r="H1781" s="74">
        <f>'12-2017'!H1871</f>
        <v>0</v>
      </c>
      <c r="I1781" s="74">
        <f>'12-2017'!I1871</f>
        <v>0</v>
      </c>
      <c r="J1781" s="74">
        <f>'12-2017'!J1871</f>
        <v>0</v>
      </c>
    </row>
    <row r="1782" spans="1:10" s="58" customFormat="1" ht="17.25" hidden="1">
      <c r="A1782" s="10">
        <f>'12-2017'!A1872</f>
        <v>0</v>
      </c>
      <c r="B1782" s="11" t="str">
        <f>'12-2017'!B1872</f>
        <v xml:space="preserve"> - Sơn bảo vệ bề mặt (trọng lượng 250kg/mét dài)</v>
      </c>
      <c r="C1782" s="12" t="str">
        <f>'12-2017'!C1872</f>
        <v>đ/mdài</v>
      </c>
      <c r="D1782" s="13">
        <f>'12-2017'!O1872</f>
        <v>8900000</v>
      </c>
      <c r="E1782" s="13">
        <f>'12-2017'!P1872</f>
        <v>8900000</v>
      </c>
      <c r="F1782" s="130">
        <f>E1782-D1782</f>
        <v>0</v>
      </c>
      <c r="H1782" s="74">
        <f>'12-2017'!H1872</f>
        <v>0</v>
      </c>
      <c r="I1782" s="74">
        <f>'12-2017'!I1872</f>
        <v>0</v>
      </c>
      <c r="J1782" s="74">
        <f>'12-2017'!J1872</f>
        <v>0</v>
      </c>
    </row>
    <row r="1783" spans="1:10" s="58" customFormat="1" ht="17.25" hidden="1">
      <c r="A1783" s="10">
        <f>'12-2017'!A1873</f>
        <v>0</v>
      </c>
      <c r="B1783" s="11" t="str">
        <f>'12-2017'!B1873</f>
        <v xml:space="preserve"> - Mạ kẽm bảo vệ bề mặt (trọng lượng 250kg/mét dài)</v>
      </c>
      <c r="C1783" s="12" t="str">
        <f>'12-2017'!C1873</f>
        <v>đ/mdài</v>
      </c>
      <c r="D1783" s="13">
        <f>'12-2017'!O1873</f>
        <v>10100000</v>
      </c>
      <c r="E1783" s="13">
        <f>'12-2017'!P1873</f>
        <v>10100000</v>
      </c>
      <c r="F1783" s="130">
        <f>E1783-D1783</f>
        <v>0</v>
      </c>
      <c r="H1783" s="74">
        <f>'12-2017'!H1873</f>
        <v>0</v>
      </c>
      <c r="I1783" s="74">
        <f>'12-2017'!I1873</f>
        <v>0</v>
      </c>
      <c r="J1783" s="74">
        <f>'12-2017'!J1873</f>
        <v>0</v>
      </c>
    </row>
    <row r="1784" spans="1:10" s="73" customFormat="1" ht="17.25" hidden="1">
      <c r="A1784" s="17"/>
      <c r="B1784" s="9" t="str">
        <f>'12-2017'!B1874</f>
        <v>Cầu thép NT 2.2 N bề rộng mặt cầu 2,0m, tải trọng xe đơn 2,8 tấn</v>
      </c>
      <c r="C1784" s="8"/>
      <c r="D1784" s="22"/>
      <c r="E1784" s="22"/>
      <c r="F1784" s="131"/>
      <c r="H1784" s="74">
        <f>'12-2017'!H1874</f>
        <v>0</v>
      </c>
      <c r="I1784" s="74">
        <f>'12-2017'!I1874</f>
        <v>0</v>
      </c>
      <c r="J1784" s="74">
        <f>'12-2017'!J1874</f>
        <v>0</v>
      </c>
    </row>
    <row r="1785" spans="1:10" s="58" customFormat="1" ht="17.25" hidden="1">
      <c r="A1785" s="10">
        <f>'12-2017'!A1875</f>
        <v>0</v>
      </c>
      <c r="B1785" s="11" t="str">
        <f>'12-2017'!B1875</f>
        <v xml:space="preserve"> - Sơn bảo vệ bề mặt (trọng lượng 205kg/mét dài)</v>
      </c>
      <c r="C1785" s="12" t="str">
        <f>'12-2017'!C1875</f>
        <v>đ/mdài</v>
      </c>
      <c r="D1785" s="13">
        <f>'12-2017'!O1875</f>
        <v>7300000</v>
      </c>
      <c r="E1785" s="13">
        <f>'12-2017'!P1875</f>
        <v>7300000</v>
      </c>
      <c r="F1785" s="130">
        <f>E1785-D1785</f>
        <v>0</v>
      </c>
      <c r="H1785" s="74">
        <f>'12-2017'!H1875</f>
        <v>0</v>
      </c>
      <c r="I1785" s="74">
        <f>'12-2017'!I1875</f>
        <v>0</v>
      </c>
      <c r="J1785" s="74">
        <f>'12-2017'!J1875</f>
        <v>0</v>
      </c>
    </row>
    <row r="1786" spans="1:10" s="58" customFormat="1" ht="17.25" hidden="1">
      <c r="A1786" s="10">
        <f>'12-2017'!A1876</f>
        <v>0</v>
      </c>
      <c r="B1786" s="11" t="str">
        <f>'12-2017'!B1876</f>
        <v xml:space="preserve"> - Mạ kẽm bảo vệ bề mặt (trọng lượng 205kg/mét dài)</v>
      </c>
      <c r="C1786" s="12" t="str">
        <f>'12-2017'!C1876</f>
        <v>đ/mdài</v>
      </c>
      <c r="D1786" s="13">
        <f>'12-2017'!O1876</f>
        <v>8300000</v>
      </c>
      <c r="E1786" s="13">
        <f>'12-2017'!P1876</f>
        <v>8300000</v>
      </c>
      <c r="F1786" s="130">
        <f>E1786-D1786</f>
        <v>0</v>
      </c>
      <c r="H1786" s="74">
        <f>'12-2017'!H1876</f>
        <v>0</v>
      </c>
      <c r="I1786" s="74">
        <f>'12-2017'!I1876</f>
        <v>0</v>
      </c>
      <c r="J1786" s="74">
        <f>'12-2017'!J1876</f>
        <v>0</v>
      </c>
    </row>
    <row r="1787" spans="1:10" s="58" customFormat="1" ht="17.25" hidden="1">
      <c r="A1787" s="10">
        <f>'12-2017'!A1877</f>
        <v>4</v>
      </c>
      <c r="B1787" s="11" t="str">
        <f>'12-2017'!B1877</f>
        <v>Cầu thép NT 2.2 K bề rộng mặt cầu 2,0m, tải trọng xe đơn 2,8 tấn</v>
      </c>
      <c r="C1787" s="12">
        <f>'12-2017'!C1877</f>
        <v>0</v>
      </c>
      <c r="D1787" s="13">
        <f>'12-2017'!O1877</f>
        <v>0</v>
      </c>
      <c r="E1787" s="13">
        <f>'12-2017'!P1877</f>
        <v>0</v>
      </c>
      <c r="F1787" s="130">
        <f>E1787-D1787</f>
        <v>0</v>
      </c>
      <c r="H1787" s="74">
        <f>'12-2017'!H1877</f>
        <v>0</v>
      </c>
      <c r="I1787" s="74">
        <f>'12-2017'!I1877</f>
        <v>0</v>
      </c>
      <c r="J1787" s="74">
        <f>'12-2017'!J1877</f>
        <v>0</v>
      </c>
    </row>
    <row r="1788" spans="1:10" s="58" customFormat="1" ht="17.25" hidden="1">
      <c r="A1788" s="10">
        <f>'12-2017'!A1878</f>
        <v>0</v>
      </c>
      <c r="B1788" s="11" t="str">
        <f>'12-2017'!B1878</f>
        <v xml:space="preserve"> - Sơn bảo vệ bề mặt (trọng lượng 245kg/mét dài)</v>
      </c>
      <c r="C1788" s="12" t="str">
        <f>'12-2017'!C1878</f>
        <v>đ/mdài</v>
      </c>
      <c r="D1788" s="13">
        <f>'12-2017'!O1878</f>
        <v>8500000</v>
      </c>
      <c r="E1788" s="13">
        <f>'12-2017'!P1878</f>
        <v>8500000</v>
      </c>
      <c r="F1788" s="130">
        <f>E1788-D1788</f>
        <v>0</v>
      </c>
      <c r="H1788" s="74">
        <f>'12-2017'!H1878</f>
        <v>0</v>
      </c>
      <c r="I1788" s="74">
        <f>'12-2017'!I1878</f>
        <v>0</v>
      </c>
      <c r="J1788" s="74">
        <f>'12-2017'!J1878</f>
        <v>0</v>
      </c>
    </row>
    <row r="1789" spans="1:10" s="58" customFormat="1" ht="17.25" hidden="1">
      <c r="A1789" s="10">
        <f>'12-2017'!A1879</f>
        <v>0</v>
      </c>
      <c r="B1789" s="11" t="str">
        <f>'12-2017'!B1879</f>
        <v xml:space="preserve"> - Mạ kẽm bảo vệ bề mặt (trọng lượng 245kg/mét dài)</v>
      </c>
      <c r="C1789" s="12" t="str">
        <f>'12-2017'!C1879</f>
        <v>đ/mdài</v>
      </c>
      <c r="D1789" s="13">
        <f>'12-2017'!O1879</f>
        <v>9700000</v>
      </c>
      <c r="E1789" s="13">
        <f>'12-2017'!P1879</f>
        <v>9700000</v>
      </c>
      <c r="F1789" s="130">
        <f>E1789-D1789</f>
        <v>0</v>
      </c>
      <c r="H1789" s="74">
        <f>'12-2017'!H1879</f>
        <v>0</v>
      </c>
      <c r="I1789" s="74">
        <f>'12-2017'!I1879</f>
        <v>0</v>
      </c>
      <c r="J1789" s="74">
        <f>'12-2017'!J1879</f>
        <v>0</v>
      </c>
    </row>
    <row r="1790" spans="1:10" s="73" customFormat="1" ht="17.25" hidden="1">
      <c r="A1790" s="17"/>
      <c r="B1790" s="237" t="str">
        <f>'12-2017'!B1880</f>
        <v>Cầu thép NT 2.2 M bề rộng mặt cầu 2,0m, chiều dài tối đa 30m, tải trọng xe đơn 2,8 tấn</v>
      </c>
      <c r="C1790" s="238"/>
      <c r="D1790" s="238"/>
      <c r="E1790" s="238"/>
      <c r="F1790" s="239"/>
      <c r="H1790" s="74">
        <f>'12-2017'!H1880</f>
        <v>0</v>
      </c>
      <c r="I1790" s="74">
        <f>'12-2017'!I1880</f>
        <v>0</v>
      </c>
      <c r="J1790" s="74">
        <f>'12-2017'!J1880</f>
        <v>0</v>
      </c>
    </row>
    <row r="1791" spans="1:10" s="58" customFormat="1" ht="17.25" hidden="1">
      <c r="A1791" s="10">
        <f>'12-2017'!A1881</f>
        <v>0</v>
      </c>
      <c r="B1791" s="11" t="str">
        <f>'12-2017'!B1881</f>
        <v xml:space="preserve"> - Sơn bảo vệ bề mặt (trọng lượng 289kg/mét dài)</v>
      </c>
      <c r="C1791" s="12" t="str">
        <f>'12-2017'!C1881</f>
        <v>đ/mdài</v>
      </c>
      <c r="D1791" s="13">
        <f>'12-2017'!O1881</f>
        <v>10200000</v>
      </c>
      <c r="E1791" s="13">
        <f>'12-2017'!P1881</f>
        <v>10200000</v>
      </c>
      <c r="F1791" s="130">
        <f>E1791-D1791</f>
        <v>0</v>
      </c>
      <c r="H1791" s="74">
        <f>'12-2017'!H1881</f>
        <v>0</v>
      </c>
      <c r="I1791" s="74">
        <f>'12-2017'!I1881</f>
        <v>0</v>
      </c>
      <c r="J1791" s="74">
        <f>'12-2017'!J1881</f>
        <v>0</v>
      </c>
    </row>
    <row r="1792" spans="1:10" s="58" customFormat="1" ht="17.25" hidden="1">
      <c r="A1792" s="10">
        <f>'12-2017'!A1882</f>
        <v>0</v>
      </c>
      <c r="B1792" s="11" t="str">
        <f>'12-2017'!B1882</f>
        <v xml:space="preserve"> - Mạ kẽm bảo vệ bề mặt (trọng lượng 289kg/mét dài)</v>
      </c>
      <c r="C1792" s="12" t="str">
        <f>'12-2017'!C1882</f>
        <v>đ/mdài</v>
      </c>
      <c r="D1792" s="13">
        <f>'12-2017'!O1882</f>
        <v>11500000</v>
      </c>
      <c r="E1792" s="13">
        <f>'12-2017'!P1882</f>
        <v>11500000</v>
      </c>
      <c r="F1792" s="130">
        <f>E1792-D1792</f>
        <v>0</v>
      </c>
      <c r="H1792" s="74">
        <f>'12-2017'!H1882</f>
        <v>0</v>
      </c>
      <c r="I1792" s="74">
        <f>'12-2017'!I1882</f>
        <v>0</v>
      </c>
      <c r="J1792" s="74">
        <f>'12-2017'!J1882</f>
        <v>0</v>
      </c>
    </row>
    <row r="1793" spans="1:10" s="73" customFormat="1" ht="17.25" hidden="1">
      <c r="A1793" s="17"/>
      <c r="B1793" s="237" t="str">
        <f>'12-2017'!B1883</f>
        <v>* Cầu thép NT 2.6 K bề rộng mặt cầu 2,5m, tải trọng xe đơn 5 tấn; đoàn xe thô sơ H2.8</v>
      </c>
      <c r="C1793" s="238"/>
      <c r="D1793" s="238"/>
      <c r="E1793" s="238"/>
      <c r="F1793" s="239"/>
      <c r="H1793" s="74">
        <f>'12-2017'!H1883</f>
        <v>0</v>
      </c>
      <c r="I1793" s="74">
        <f>'12-2017'!I1883</f>
        <v>0</v>
      </c>
      <c r="J1793" s="74">
        <f>'12-2017'!J1883</f>
        <v>0</v>
      </c>
    </row>
    <row r="1794" spans="1:10" s="58" customFormat="1" ht="17.25" hidden="1">
      <c r="A1794" s="10">
        <f>'12-2017'!A1884</f>
        <v>0</v>
      </c>
      <c r="B1794" s="11" t="str">
        <f>'12-2017'!B1884</f>
        <v xml:space="preserve"> - Sơn bảo vệ bề mặt  (trọng lượng 332kg/mét dài)</v>
      </c>
      <c r="C1794" s="12" t="str">
        <f>'12-2017'!C1884</f>
        <v>đ/mdài</v>
      </c>
      <c r="D1794" s="13">
        <f>'12-2017'!O1884</f>
        <v>11800000</v>
      </c>
      <c r="E1794" s="13">
        <f>'12-2017'!P1884</f>
        <v>11800000</v>
      </c>
      <c r="F1794" s="130">
        <f>E1794-D1794</f>
        <v>0</v>
      </c>
      <c r="H1794" s="74">
        <f>'12-2017'!H1884</f>
        <v>0</v>
      </c>
      <c r="I1794" s="74">
        <f>'12-2017'!I1884</f>
        <v>0</v>
      </c>
      <c r="J1794" s="74">
        <f>'12-2017'!J1884</f>
        <v>0</v>
      </c>
    </row>
    <row r="1795" spans="1:10" s="58" customFormat="1" ht="17.25" hidden="1">
      <c r="A1795" s="10">
        <f>'12-2017'!A1885</f>
        <v>0</v>
      </c>
      <c r="B1795" s="11" t="str">
        <f>'12-2017'!B1885</f>
        <v xml:space="preserve"> - Mạ kẽm bảo vệ bề mặt (trọng lượng 332kg/mét dài)</v>
      </c>
      <c r="C1795" s="12" t="str">
        <f>'12-2017'!C1885</f>
        <v>đ/mdài</v>
      </c>
      <c r="D1795" s="13">
        <f>'12-2017'!O1885</f>
        <v>13400000</v>
      </c>
      <c r="E1795" s="13">
        <f>'12-2017'!P1885</f>
        <v>13400000</v>
      </c>
      <c r="F1795" s="130">
        <f>E1795-D1795</f>
        <v>0</v>
      </c>
      <c r="H1795" s="74">
        <f>'12-2017'!H1885</f>
        <v>0</v>
      </c>
      <c r="I1795" s="74">
        <f>'12-2017'!I1885</f>
        <v>0</v>
      </c>
      <c r="J1795" s="74">
        <f>'12-2017'!J1885</f>
        <v>0</v>
      </c>
    </row>
    <row r="1796" spans="1:10" s="73" customFormat="1" ht="17.25" hidden="1">
      <c r="A1796" s="17"/>
      <c r="B1796" s="237" t="str">
        <f>'12-2017'!B1886</f>
        <v>Cầu thép NT 2.6 M bề rộng mặt cầu 2,5m, tải trọng xe đơn 5 tấn; đoàn xe thô sơ H2.8</v>
      </c>
      <c r="C1796" s="238"/>
      <c r="D1796" s="238"/>
      <c r="E1796" s="238"/>
      <c r="F1796" s="239"/>
      <c r="H1796" s="74">
        <f>'12-2017'!H1886</f>
        <v>0</v>
      </c>
      <c r="I1796" s="74">
        <f>'12-2017'!I1886</f>
        <v>0</v>
      </c>
      <c r="J1796" s="74">
        <f>'12-2017'!J1886</f>
        <v>0</v>
      </c>
    </row>
    <row r="1797" spans="1:10" s="58" customFormat="1" ht="17.25" hidden="1">
      <c r="A1797" s="10">
        <f>'12-2017'!A1887</f>
        <v>0</v>
      </c>
      <c r="B1797" s="11" t="str">
        <f>'12-2017'!B1887</f>
        <v xml:space="preserve"> - Sơn bảo vệ bề mặt (trọng lượng 370kg/mét dài)</v>
      </c>
      <c r="C1797" s="12" t="str">
        <f>'12-2017'!C1887</f>
        <v>đ/mdài</v>
      </c>
      <c r="D1797" s="13">
        <f>'12-2017'!O1887</f>
        <v>11800000</v>
      </c>
      <c r="E1797" s="13">
        <f>'12-2017'!P1887</f>
        <v>11800000</v>
      </c>
      <c r="F1797" s="130">
        <f>E1797-D1797</f>
        <v>0</v>
      </c>
      <c r="H1797" s="74">
        <f>'12-2017'!H1887</f>
        <v>0</v>
      </c>
      <c r="I1797" s="74">
        <f>'12-2017'!I1887</f>
        <v>0</v>
      </c>
      <c r="J1797" s="74">
        <f>'12-2017'!J1887</f>
        <v>0</v>
      </c>
    </row>
    <row r="1798" spans="1:10" s="58" customFormat="1" ht="17.25" hidden="1">
      <c r="A1798" s="10">
        <f>'12-2017'!A1888</f>
        <v>0</v>
      </c>
      <c r="B1798" s="11" t="str">
        <f>'12-2017'!B1888</f>
        <v xml:space="preserve"> - Mạ kẽm bảo vệ bề mặt (trọng lượng 370kg/mét dài)</v>
      </c>
      <c r="C1798" s="12" t="str">
        <f>'12-2017'!C1888</f>
        <v>đ/mdài</v>
      </c>
      <c r="D1798" s="13">
        <f>'12-2017'!O1888</f>
        <v>13400000</v>
      </c>
      <c r="E1798" s="13">
        <f>'12-2017'!P1888</f>
        <v>13400000</v>
      </c>
      <c r="F1798" s="130">
        <f>E1798-D1798</f>
        <v>0</v>
      </c>
      <c r="H1798" s="74">
        <f>'12-2017'!H1888</f>
        <v>0</v>
      </c>
      <c r="I1798" s="74">
        <f>'12-2017'!I1888</f>
        <v>0</v>
      </c>
      <c r="J1798" s="74">
        <f>'12-2017'!J1888</f>
        <v>0</v>
      </c>
    </row>
    <row r="1799" spans="1:10" s="73" customFormat="1" ht="17.25" hidden="1">
      <c r="A1799" s="17"/>
      <c r="B1799" s="237" t="str">
        <f>'12-2017'!B1889</f>
        <v>Cầu thép NT 3.2 K bề rộng mặt cầu 3,0m, tải trọng xe đơn 5 tấn</v>
      </c>
      <c r="C1799" s="238"/>
      <c r="D1799" s="238"/>
      <c r="E1799" s="238"/>
      <c r="F1799" s="239"/>
      <c r="H1799" s="74">
        <f>'12-2017'!H1889</f>
        <v>0</v>
      </c>
      <c r="I1799" s="74">
        <f>'12-2017'!I1889</f>
        <v>0</v>
      </c>
      <c r="J1799" s="74">
        <f>'12-2017'!J1889</f>
        <v>0</v>
      </c>
    </row>
    <row r="1800" spans="1:10" s="58" customFormat="1" ht="17.25" hidden="1">
      <c r="A1800" s="10">
        <f>'12-2017'!A1890</f>
        <v>0</v>
      </c>
      <c r="B1800" s="11" t="str">
        <f>'12-2017'!B1890</f>
        <v xml:space="preserve"> - Sơn bảo vệ bề mặt (trọng lượng 420kg/mét dài)</v>
      </c>
      <c r="C1800" s="12" t="str">
        <f>'12-2017'!C1890</f>
        <v>đ/mdài</v>
      </c>
      <c r="D1800" s="13">
        <f>'12-2017'!O1890</f>
        <v>11800000</v>
      </c>
      <c r="E1800" s="13">
        <f>'12-2017'!P1890</f>
        <v>11800000</v>
      </c>
      <c r="F1800" s="130">
        <f>E1800-D1800</f>
        <v>0</v>
      </c>
      <c r="H1800" s="74">
        <f>'12-2017'!H1890</f>
        <v>0</v>
      </c>
      <c r="I1800" s="74">
        <f>'12-2017'!I1890</f>
        <v>0</v>
      </c>
      <c r="J1800" s="74">
        <f>'12-2017'!J1890</f>
        <v>0</v>
      </c>
    </row>
    <row r="1801" spans="1:10" s="58" customFormat="1" ht="17.25" hidden="1">
      <c r="A1801" s="10">
        <f>'12-2017'!A1891</f>
        <v>0</v>
      </c>
      <c r="B1801" s="11" t="str">
        <f>'12-2017'!B1891</f>
        <v xml:space="preserve"> - Mạ kẽm bảo vệ bề mặt (trọng lượng 420kg/mét dài)</v>
      </c>
      <c r="C1801" s="12" t="str">
        <f>'12-2017'!C1891</f>
        <v>đ/mdài</v>
      </c>
      <c r="D1801" s="13">
        <f>'12-2017'!O1891</f>
        <v>13400000</v>
      </c>
      <c r="E1801" s="13">
        <f>'12-2017'!P1891</f>
        <v>13400000</v>
      </c>
      <c r="F1801" s="130">
        <f>E1801-D1801</f>
        <v>0</v>
      </c>
      <c r="H1801" s="74">
        <f>'12-2017'!H1891</f>
        <v>0</v>
      </c>
      <c r="I1801" s="74">
        <f>'12-2017'!I1891</f>
        <v>0</v>
      </c>
      <c r="J1801" s="74">
        <f>'12-2017'!J1891</f>
        <v>0</v>
      </c>
    </row>
    <row r="1802" spans="1:10" s="73" customFormat="1" ht="17.25" hidden="1">
      <c r="A1802" s="17"/>
      <c r="B1802" s="237" t="str">
        <f>'12-2017'!B1892</f>
        <v>Cầu thép NT 3.2 M bề rộng mặt cầu 3,0m, tải trọng xe đơn 5 tấn</v>
      </c>
      <c r="C1802" s="238"/>
      <c r="D1802" s="238"/>
      <c r="E1802" s="238"/>
      <c r="F1802" s="239"/>
      <c r="H1802" s="74">
        <f>'12-2017'!H1892</f>
        <v>0</v>
      </c>
      <c r="I1802" s="74">
        <f>'12-2017'!I1892</f>
        <v>0</v>
      </c>
      <c r="J1802" s="74">
        <f>'12-2017'!J1892</f>
        <v>0</v>
      </c>
    </row>
    <row r="1803" spans="1:10" s="58" customFormat="1" ht="17.25" hidden="1">
      <c r="A1803" s="10">
        <f>'12-2017'!A1893</f>
        <v>0</v>
      </c>
      <c r="B1803" s="11" t="str">
        <f>'12-2017'!B1893</f>
        <v xml:space="preserve"> - Sơn bảo vệ bề mặt (trọng lượng 431kg/mét dài)</v>
      </c>
      <c r="C1803" s="12" t="str">
        <f>'12-2017'!C1893</f>
        <v>đ/mdài</v>
      </c>
      <c r="D1803" s="13">
        <f>'12-2017'!O1893</f>
        <v>15300000</v>
      </c>
      <c r="E1803" s="13">
        <f>'12-2017'!P1893</f>
        <v>15300000</v>
      </c>
      <c r="F1803" s="130">
        <f>E1803-D1803</f>
        <v>0</v>
      </c>
      <c r="H1803" s="74">
        <f>'12-2017'!H1893</f>
        <v>0</v>
      </c>
      <c r="I1803" s="74">
        <f>'12-2017'!I1893</f>
        <v>0</v>
      </c>
      <c r="J1803" s="74">
        <f>'12-2017'!J1893</f>
        <v>0</v>
      </c>
    </row>
    <row r="1804" spans="1:10" s="58" customFormat="1" ht="17.25" hidden="1">
      <c r="A1804" s="10">
        <f>'12-2017'!A1894</f>
        <v>0</v>
      </c>
      <c r="B1804" s="11" t="str">
        <f>'12-2017'!B1894</f>
        <v xml:space="preserve"> - Mạ kẽm bảo vệ bề mặt (trọng lượng 431kg/mét dài)</v>
      </c>
      <c r="C1804" s="12" t="str">
        <f>'12-2017'!C1894</f>
        <v>đ/mdài</v>
      </c>
      <c r="D1804" s="13">
        <f>'12-2017'!O1894</f>
        <v>17300000</v>
      </c>
      <c r="E1804" s="13">
        <f>'12-2017'!P1894</f>
        <v>17300000</v>
      </c>
      <c r="F1804" s="130">
        <f>E1804-D1804</f>
        <v>0</v>
      </c>
      <c r="H1804" s="74">
        <f>'12-2017'!H1894</f>
        <v>0</v>
      </c>
      <c r="I1804" s="74">
        <f>'12-2017'!I1894</f>
        <v>0</v>
      </c>
      <c r="J1804" s="74">
        <f>'12-2017'!J1894</f>
        <v>0</v>
      </c>
    </row>
    <row r="1805" spans="1:10" s="73" customFormat="1" ht="17.25" hidden="1">
      <c r="A1805" s="17"/>
      <c r="B1805" s="237" t="str">
        <f>'12-2017'!B1895</f>
        <v>Cầu thép NT 3.2 MK bề rộng mặt cầu 3,0m; tải trọng xe đơn 5 tấn; đoàn xe thô sơ H2.8</v>
      </c>
      <c r="C1805" s="238"/>
      <c r="D1805" s="238"/>
      <c r="E1805" s="238"/>
      <c r="F1805" s="239"/>
      <c r="H1805" s="74">
        <f>'12-2017'!H1895</f>
        <v>0</v>
      </c>
      <c r="I1805" s="74">
        <f>'12-2017'!I1895</f>
        <v>0</v>
      </c>
      <c r="J1805" s="74">
        <f>'12-2017'!J1895</f>
        <v>0</v>
      </c>
    </row>
    <row r="1806" spans="1:10" s="58" customFormat="1" ht="17.25" hidden="1">
      <c r="A1806" s="10">
        <f>'12-2017'!A1896</f>
        <v>0</v>
      </c>
      <c r="B1806" s="11" t="str">
        <f>'12-2017'!B1896</f>
        <v xml:space="preserve"> - Sơn bảo vệ bề mặt (trọng lượng 705kg/mét dài)</v>
      </c>
      <c r="C1806" s="12" t="str">
        <f>'12-2017'!C1896</f>
        <v>đ/mdài</v>
      </c>
      <c r="D1806" s="13">
        <f>'12-2017'!O1896</f>
        <v>25000000</v>
      </c>
      <c r="E1806" s="13">
        <f>'12-2017'!P1896</f>
        <v>25000000</v>
      </c>
      <c r="F1806" s="130">
        <f>E1806-D1806</f>
        <v>0</v>
      </c>
      <c r="H1806" s="74">
        <f>'12-2017'!H1896</f>
        <v>0</v>
      </c>
      <c r="I1806" s="74">
        <f>'12-2017'!I1896</f>
        <v>0</v>
      </c>
      <c r="J1806" s="74">
        <f>'12-2017'!J1896</f>
        <v>0</v>
      </c>
    </row>
    <row r="1807" spans="1:10" s="58" customFormat="1" ht="17.25" hidden="1">
      <c r="A1807" s="10">
        <f>'12-2017'!A1897</f>
        <v>0</v>
      </c>
      <c r="B1807" s="11" t="str">
        <f>'12-2017'!B1897</f>
        <v xml:space="preserve"> - Mạ kẽm bảo vệ bề mặt (trọng lượng 705kg/mét dài)</v>
      </c>
      <c r="C1807" s="12" t="str">
        <f>'12-2017'!C1897</f>
        <v>đ/mdài</v>
      </c>
      <c r="D1807" s="13">
        <f>'12-2017'!O1897</f>
        <v>28300000</v>
      </c>
      <c r="E1807" s="13">
        <f>'12-2017'!P1897</f>
        <v>28300000</v>
      </c>
      <c r="F1807" s="130">
        <f>E1807-D1807</f>
        <v>0</v>
      </c>
      <c r="H1807" s="74">
        <f>'12-2017'!H1897</f>
        <v>0</v>
      </c>
      <c r="I1807" s="74">
        <f>'12-2017'!I1897</f>
        <v>0</v>
      </c>
      <c r="J1807" s="74">
        <f>'12-2017'!J1897</f>
        <v>0</v>
      </c>
    </row>
    <row r="1808" spans="1:10" s="73" customFormat="1" ht="17.25" hidden="1">
      <c r="A1808" s="17"/>
      <c r="B1808" s="237" t="str">
        <f>'12-2017'!B1898</f>
        <v>Cầu thép NT 3.6 MK bề rộng mặt cầu 3,5m; tải trọng xe đơn 5 tấn; đoàn xe thô sơ H2.8</v>
      </c>
      <c r="C1808" s="238"/>
      <c r="D1808" s="238"/>
      <c r="E1808" s="238"/>
      <c r="F1808" s="239"/>
      <c r="H1808" s="74">
        <f>'12-2017'!H1898</f>
        <v>0</v>
      </c>
      <c r="I1808" s="74">
        <f>'12-2017'!I1898</f>
        <v>0</v>
      </c>
      <c r="J1808" s="74">
        <f>'12-2017'!J1898</f>
        <v>0</v>
      </c>
    </row>
    <row r="1809" spans="1:10" s="58" customFormat="1" ht="17.25" hidden="1">
      <c r="A1809" s="10">
        <f>'12-2017'!A1899</f>
        <v>0</v>
      </c>
      <c r="B1809" s="11" t="str">
        <f>'12-2017'!B1899</f>
        <v xml:space="preserve"> - Sơn bảo vệ bề mặt (trọng lượng 765kg/mét dài)</v>
      </c>
      <c r="C1809" s="12" t="str">
        <f>'12-2017'!C1899</f>
        <v>đ/mdài</v>
      </c>
      <c r="D1809" s="13">
        <f>'12-2017'!O1899</f>
        <v>27100000</v>
      </c>
      <c r="E1809" s="13">
        <f>'12-2017'!P1899</f>
        <v>27100000</v>
      </c>
      <c r="F1809" s="130">
        <f>E1809-D1809</f>
        <v>0</v>
      </c>
      <c r="H1809" s="74">
        <f>'12-2017'!H1899</f>
        <v>0</v>
      </c>
      <c r="I1809" s="74">
        <f>'12-2017'!I1899</f>
        <v>0</v>
      </c>
      <c r="J1809" s="74">
        <f>'12-2017'!J1899</f>
        <v>0</v>
      </c>
    </row>
    <row r="1810" spans="1:10" s="58" customFormat="1" ht="17.25" hidden="1">
      <c r="A1810" s="10">
        <f>'12-2017'!A1900</f>
        <v>0</v>
      </c>
      <c r="B1810" s="11" t="str">
        <f>'12-2017'!B1900</f>
        <v xml:space="preserve"> - Mạ kẽm bảo vệ bề mặt (trọng lượng 765kg/mét dài)</v>
      </c>
      <c r="C1810" s="12" t="str">
        <f>'12-2017'!C1900</f>
        <v>đ/mdài</v>
      </c>
      <c r="D1810" s="13">
        <f>'12-2017'!O1900</f>
        <v>30700000</v>
      </c>
      <c r="E1810" s="13">
        <f>'12-2017'!P1900</f>
        <v>30700000</v>
      </c>
      <c r="F1810" s="130">
        <f>E1810-D1810</f>
        <v>0</v>
      </c>
      <c r="H1810" s="74">
        <f>'12-2017'!H1900</f>
        <v>0</v>
      </c>
      <c r="I1810" s="74">
        <f>'12-2017'!I1900</f>
        <v>0</v>
      </c>
      <c r="J1810" s="74">
        <f>'12-2017'!J1900</f>
        <v>0</v>
      </c>
    </row>
    <row r="1811" spans="1:10" s="73" customFormat="1" ht="17.25" hidden="1">
      <c r="A1811" s="17"/>
      <c r="B1811" s="237" t="str">
        <f>'12-2017'!B1901</f>
        <v>Cầu thép NT 4.2 MK bề rộng mặt cầu 4,0m; tải trọng xe đơn 5 tấn; đoàn xe thô sơ H2.8</v>
      </c>
      <c r="C1811" s="238"/>
      <c r="D1811" s="238"/>
      <c r="E1811" s="238"/>
      <c r="F1811" s="239"/>
      <c r="H1811" s="74">
        <f>'12-2017'!H1901</f>
        <v>0</v>
      </c>
      <c r="I1811" s="74">
        <f>'12-2017'!I1901</f>
        <v>0</v>
      </c>
      <c r="J1811" s="74">
        <f>'12-2017'!J1901</f>
        <v>0</v>
      </c>
    </row>
    <row r="1812" spans="1:10" s="58" customFormat="1" ht="17.25" hidden="1">
      <c r="A1812" s="10">
        <f>'12-2017'!A1902</f>
        <v>0</v>
      </c>
      <c r="B1812" s="11" t="str">
        <f>'12-2017'!B1902</f>
        <v xml:space="preserve"> - Sơn bảo vệ bề mặt (trọng lượng 860kg/mét dài)</v>
      </c>
      <c r="C1812" s="12" t="str">
        <f>'12-2017'!C1902</f>
        <v>đ/mdài</v>
      </c>
      <c r="D1812" s="13">
        <f>'12-2017'!O1902</f>
        <v>30400000</v>
      </c>
      <c r="E1812" s="13">
        <f>'12-2017'!P1902</f>
        <v>30400000</v>
      </c>
      <c r="F1812" s="130">
        <f>E1812-D1812</f>
        <v>0</v>
      </c>
      <c r="H1812" s="74">
        <f>'12-2017'!H1902</f>
        <v>0</v>
      </c>
      <c r="I1812" s="74">
        <f>'12-2017'!I1902</f>
        <v>0</v>
      </c>
      <c r="J1812" s="74">
        <f>'12-2017'!J1902</f>
        <v>0</v>
      </c>
    </row>
    <row r="1813" spans="1:10" s="58" customFormat="1" ht="17.25" hidden="1">
      <c r="A1813" s="10">
        <f>'12-2017'!A1903</f>
        <v>0</v>
      </c>
      <c r="B1813" s="11" t="str">
        <f>'12-2017'!B1903</f>
        <v xml:space="preserve"> - Mạ kẽm bảo vệ bề mặt (trọng lượng 860kg/mét dài)</v>
      </c>
      <c r="C1813" s="12" t="str">
        <f>'12-2017'!C1903</f>
        <v>đ/mdài</v>
      </c>
      <c r="D1813" s="13">
        <f>'12-2017'!O1903</f>
        <v>34600000</v>
      </c>
      <c r="E1813" s="13">
        <f>'12-2017'!P1903</f>
        <v>34600000</v>
      </c>
      <c r="F1813" s="130">
        <f>E1813-D1813</f>
        <v>0</v>
      </c>
      <c r="H1813" s="74">
        <f>'12-2017'!H1903</f>
        <v>0</v>
      </c>
      <c r="I1813" s="74">
        <f>'12-2017'!I1903</f>
        <v>0</v>
      </c>
      <c r="J1813" s="74">
        <f>'12-2017'!J1903</f>
        <v>0</v>
      </c>
    </row>
    <row r="1814" spans="1:10" s="73" customFormat="1" ht="17.25" hidden="1">
      <c r="A1814" s="17"/>
      <c r="B1814" s="237" t="str">
        <f>'12-2017'!B1904</f>
        <v xml:space="preserve">Cầu thép NT 2.6 - Mạ kẽm, bề rộng mặt cầu 2,5m: </v>
      </c>
      <c r="C1814" s="238"/>
      <c r="D1814" s="238"/>
      <c r="E1814" s="238"/>
      <c r="F1814" s="239"/>
      <c r="H1814" s="74">
        <f>'12-2017'!H1904</f>
        <v>0</v>
      </c>
      <c r="I1814" s="74">
        <f>'12-2017'!I1904</f>
        <v>0</v>
      </c>
      <c r="J1814" s="74">
        <f>'12-2017'!J1904</f>
        <v>0</v>
      </c>
    </row>
    <row r="1815" spans="1:10" s="58" customFormat="1" ht="17.25" hidden="1">
      <c r="A1815" s="10">
        <f>'12-2017'!A1905</f>
        <v>0</v>
      </c>
      <c r="B1815" s="11" t="str">
        <f>'12-2017'!B1905</f>
        <v>NT 2.6 H -8 1/1 (trọng lượng 622kg/mét dài)</v>
      </c>
      <c r="C1815" s="12" t="str">
        <f>'12-2017'!C1905</f>
        <v>đ/mdài</v>
      </c>
      <c r="D1815" s="13">
        <f>'12-2017'!O1905</f>
        <v>27500000</v>
      </c>
      <c r="E1815" s="13">
        <f>'12-2017'!P1905</f>
        <v>27500000</v>
      </c>
      <c r="F1815" s="130">
        <f>E1815-D1815</f>
        <v>0</v>
      </c>
      <c r="H1815" s="74">
        <f>'12-2017'!H1905</f>
        <v>0</v>
      </c>
      <c r="I1815" s="74">
        <f>'12-2017'!I1905</f>
        <v>0</v>
      </c>
      <c r="J1815" s="74">
        <f>'12-2017'!J1905</f>
        <v>0</v>
      </c>
    </row>
    <row r="1816" spans="1:10" s="58" customFormat="1" ht="17.25" hidden="1">
      <c r="A1816" s="10">
        <f>'12-2017'!A1906</f>
        <v>0</v>
      </c>
      <c r="B1816" s="11" t="str">
        <f>'12-2017'!B1906</f>
        <v>NT 2.6 HB -8 1/1 (trọng lượng 705kg/mét dài)</v>
      </c>
      <c r="C1816" s="12" t="str">
        <f>'12-2017'!C1906</f>
        <v>đ/mdài</v>
      </c>
      <c r="D1816" s="13">
        <f>'12-2017'!O1906</f>
        <v>31200000</v>
      </c>
      <c r="E1816" s="13">
        <f>'12-2017'!P1906</f>
        <v>31200000</v>
      </c>
      <c r="F1816" s="130">
        <f>E1816-D1816</f>
        <v>0</v>
      </c>
      <c r="H1816" s="74">
        <f>'12-2017'!H1906</f>
        <v>0</v>
      </c>
      <c r="I1816" s="74">
        <f>'12-2017'!I1906</f>
        <v>0</v>
      </c>
      <c r="J1816" s="74">
        <f>'12-2017'!J1906</f>
        <v>0</v>
      </c>
    </row>
    <row r="1817" spans="1:10" s="58" customFormat="1" ht="17.25" hidden="1">
      <c r="A1817" s="10">
        <f>'12-2017'!A1907</f>
        <v>0</v>
      </c>
      <c r="B1817" s="11" t="str">
        <f>'12-2017'!B1907</f>
        <v>NT 2.6 HB 2/1 (trọng lượng 1.169g/mét dài)</v>
      </c>
      <c r="C1817" s="12" t="str">
        <f>'12-2017'!C1907</f>
        <v>đ/mdài</v>
      </c>
      <c r="D1817" s="13">
        <f>'12-2017'!O1907</f>
        <v>51700000</v>
      </c>
      <c r="E1817" s="13">
        <f>'12-2017'!P1907</f>
        <v>51700000</v>
      </c>
      <c r="F1817" s="130">
        <f>E1817-D1817</f>
        <v>0</v>
      </c>
      <c r="H1817" s="74">
        <f>'12-2017'!H1907</f>
        <v>0</v>
      </c>
      <c r="I1817" s="74">
        <f>'12-2017'!I1907</f>
        <v>0</v>
      </c>
      <c r="J1817" s="74">
        <f>'12-2017'!J1907</f>
        <v>0</v>
      </c>
    </row>
    <row r="1818" spans="1:10" s="73" customFormat="1" ht="17.25" hidden="1">
      <c r="A1818" s="17"/>
      <c r="B1818" s="237" t="str">
        <f>'12-2017'!B1908</f>
        <v xml:space="preserve">Cầu thép NT 3.2 - Mạ kẽm, bề rộng mặt cầu 3,0m: </v>
      </c>
      <c r="C1818" s="238"/>
      <c r="D1818" s="238"/>
      <c r="E1818" s="238"/>
      <c r="F1818" s="239"/>
      <c r="H1818" s="74">
        <f>'12-2017'!H1908</f>
        <v>0</v>
      </c>
      <c r="I1818" s="74">
        <f>'12-2017'!I1908</f>
        <v>0</v>
      </c>
      <c r="J1818" s="74">
        <f>'12-2017'!J1908</f>
        <v>0</v>
      </c>
    </row>
    <row r="1819" spans="1:10" s="58" customFormat="1" ht="17.25" hidden="1">
      <c r="A1819" s="10">
        <f>'12-2017'!A1909</f>
        <v>0</v>
      </c>
      <c r="B1819" s="11" t="str">
        <f>'12-2017'!B1909</f>
        <v>NT 3.2 A -5 1/1 (trọng lượng 616kg/mét dài)</v>
      </c>
      <c r="C1819" s="12" t="str">
        <f>'12-2017'!C1909</f>
        <v>đ/mdài</v>
      </c>
      <c r="D1819" s="13">
        <f>'12-2017'!O1909</f>
        <v>27200000</v>
      </c>
      <c r="E1819" s="13">
        <f>'12-2017'!P1909</f>
        <v>27200000</v>
      </c>
      <c r="F1819" s="130">
        <f t="shared" ref="F1819:F1825" si="72">E1819-D1819</f>
        <v>0</v>
      </c>
      <c r="H1819" s="74">
        <f>'12-2017'!H1909</f>
        <v>0</v>
      </c>
      <c r="I1819" s="74">
        <f>'12-2017'!I1909</f>
        <v>0</v>
      </c>
      <c r="J1819" s="74">
        <f>'12-2017'!J1909</f>
        <v>0</v>
      </c>
    </row>
    <row r="1820" spans="1:10" s="58" customFormat="1" ht="17.25" hidden="1">
      <c r="A1820" s="10">
        <f>'12-2017'!A1910</f>
        <v>0</v>
      </c>
      <c r="B1820" s="11" t="str">
        <f>'12-2017'!B1910</f>
        <v>NT 3.2 HA -5 1/1 (trọng lượng 720kg/mét dài)</v>
      </c>
      <c r="C1820" s="12" t="str">
        <f>'12-2017'!C1910</f>
        <v>đ/mdài</v>
      </c>
      <c r="D1820" s="13">
        <f>'12-2017'!O1910</f>
        <v>32100000</v>
      </c>
      <c r="E1820" s="13">
        <f>'12-2017'!P1910</f>
        <v>32100000</v>
      </c>
      <c r="F1820" s="130">
        <f t="shared" si="72"/>
        <v>0</v>
      </c>
      <c r="H1820" s="74">
        <f>'12-2017'!H1910</f>
        <v>0</v>
      </c>
      <c r="I1820" s="74">
        <f>'12-2017'!I1910</f>
        <v>0</v>
      </c>
      <c r="J1820" s="74">
        <f>'12-2017'!J1910</f>
        <v>0</v>
      </c>
    </row>
    <row r="1821" spans="1:10" s="58" customFormat="1" ht="17.25" hidden="1">
      <c r="A1821" s="10">
        <f>'12-2017'!A1911</f>
        <v>0</v>
      </c>
      <c r="B1821" s="11" t="str">
        <f>'12-2017'!B1911</f>
        <v>NT 3.2 HB -5 1/1 (trọng lượng 770kg/mét dài)</v>
      </c>
      <c r="C1821" s="12" t="str">
        <f>'12-2017'!C1911</f>
        <v>đ/mdài</v>
      </c>
      <c r="D1821" s="13">
        <f>'12-2017'!O1911</f>
        <v>34000000</v>
      </c>
      <c r="E1821" s="13">
        <f>'12-2017'!P1911</f>
        <v>34000000</v>
      </c>
      <c r="F1821" s="130">
        <f t="shared" si="72"/>
        <v>0</v>
      </c>
      <c r="H1821" s="74">
        <f>'12-2017'!H1911</f>
        <v>0</v>
      </c>
      <c r="I1821" s="74">
        <f>'12-2017'!I1911</f>
        <v>0</v>
      </c>
      <c r="J1821" s="74">
        <f>'12-2017'!J1911</f>
        <v>0</v>
      </c>
    </row>
    <row r="1822" spans="1:10" s="58" customFormat="1" ht="17.25" hidden="1">
      <c r="A1822" s="10">
        <f>'12-2017'!A1912</f>
        <v>0</v>
      </c>
      <c r="B1822" s="11" t="str">
        <f>'12-2017'!B1912</f>
        <v>NT 3.2 H  -8 1/1 (trọng lượng 716kg/mét dài)</v>
      </c>
      <c r="C1822" s="12" t="str">
        <f>'12-2017'!C1912</f>
        <v>đ/mdài</v>
      </c>
      <c r="D1822" s="13">
        <f>'12-2017'!O1912</f>
        <v>31600000</v>
      </c>
      <c r="E1822" s="13">
        <f>'12-2017'!P1912</f>
        <v>31600000</v>
      </c>
      <c r="F1822" s="130">
        <f t="shared" si="72"/>
        <v>0</v>
      </c>
      <c r="H1822" s="74">
        <f>'12-2017'!H1912</f>
        <v>0</v>
      </c>
      <c r="I1822" s="74">
        <f>'12-2017'!I1912</f>
        <v>0</v>
      </c>
      <c r="J1822" s="74">
        <f>'12-2017'!J1912</f>
        <v>0</v>
      </c>
    </row>
    <row r="1823" spans="1:10" s="58" customFormat="1" ht="17.25" hidden="1">
      <c r="A1823" s="10">
        <f>'12-2017'!A1913</f>
        <v>0</v>
      </c>
      <c r="B1823" s="11" t="str">
        <f>'12-2017'!B1913</f>
        <v>NT 3.2 HB -8 1/1 (trọng lượng 852kg/mét dài)</v>
      </c>
      <c r="C1823" s="12" t="str">
        <f>'12-2017'!C1913</f>
        <v>đ/mdài</v>
      </c>
      <c r="D1823" s="13">
        <f>'12-2017'!O1913</f>
        <v>35300000</v>
      </c>
      <c r="E1823" s="13">
        <f>'12-2017'!P1913</f>
        <v>35300000</v>
      </c>
      <c r="F1823" s="130">
        <f t="shared" si="72"/>
        <v>0</v>
      </c>
      <c r="H1823" s="74">
        <f>'12-2017'!H1913</f>
        <v>0</v>
      </c>
      <c r="I1823" s="74">
        <f>'12-2017'!I1913</f>
        <v>0</v>
      </c>
      <c r="J1823" s="74">
        <f>'12-2017'!J1913</f>
        <v>0</v>
      </c>
    </row>
    <row r="1824" spans="1:10" s="58" customFormat="1" ht="17.25" hidden="1">
      <c r="A1824" s="10">
        <f>'12-2017'!A1914</f>
        <v>0</v>
      </c>
      <c r="B1824" s="11" t="str">
        <f>'12-2017'!B1914</f>
        <v>NT 3.2 A -8  2/1 (trọng lượng 915kg/mét dài)</v>
      </c>
      <c r="C1824" s="12" t="str">
        <f>'12-2017'!C1914</f>
        <v>đ/mdài</v>
      </c>
      <c r="D1824" s="13">
        <f>'12-2017'!O1914</f>
        <v>40800000</v>
      </c>
      <c r="E1824" s="13">
        <f>'12-2017'!P1914</f>
        <v>40800000</v>
      </c>
      <c r="F1824" s="130">
        <f t="shared" si="72"/>
        <v>0</v>
      </c>
      <c r="H1824" s="74">
        <f>'12-2017'!H1914</f>
        <v>0</v>
      </c>
      <c r="I1824" s="74">
        <f>'12-2017'!I1914</f>
        <v>0</v>
      </c>
      <c r="J1824" s="74">
        <f>'12-2017'!J1914</f>
        <v>0</v>
      </c>
    </row>
    <row r="1825" spans="1:10" s="58" customFormat="1" ht="17.25" hidden="1">
      <c r="A1825" s="10">
        <f>'12-2017'!A1915</f>
        <v>0</v>
      </c>
      <c r="B1825" s="11" t="str">
        <f>'12-2017'!B1915</f>
        <v>NT 3.2 HB -8 2/1 (trọng lượng 1.229kg/mét dài)</v>
      </c>
      <c r="C1825" s="12" t="str">
        <f>'12-2017'!C1915</f>
        <v>đ/mdài</v>
      </c>
      <c r="D1825" s="13">
        <f>'12-2017'!O1915</f>
        <v>54500000</v>
      </c>
      <c r="E1825" s="13">
        <f>'12-2017'!P1915</f>
        <v>54500000</v>
      </c>
      <c r="F1825" s="130">
        <f t="shared" si="72"/>
        <v>0</v>
      </c>
      <c r="H1825" s="74">
        <f>'12-2017'!H1915</f>
        <v>0</v>
      </c>
      <c r="I1825" s="74">
        <f>'12-2017'!I1915</f>
        <v>0</v>
      </c>
      <c r="J1825" s="74">
        <f>'12-2017'!J1915</f>
        <v>0</v>
      </c>
    </row>
    <row r="1826" spans="1:10" s="73" customFormat="1" ht="17.25" hidden="1">
      <c r="A1826" s="17"/>
      <c r="B1826" s="237" t="str">
        <f>'12-2017'!B1916</f>
        <v xml:space="preserve">Cầu thép NT 4.2 - Mạ kẽm, bề rộng mặt cầu 4,0m: </v>
      </c>
      <c r="C1826" s="238"/>
      <c r="D1826" s="238"/>
      <c r="E1826" s="238"/>
      <c r="F1826" s="239"/>
      <c r="H1826" s="74">
        <f>'12-2017'!H1916</f>
        <v>0</v>
      </c>
      <c r="I1826" s="74">
        <f>'12-2017'!I1916</f>
        <v>0</v>
      </c>
      <c r="J1826" s="74">
        <f>'12-2017'!J1916</f>
        <v>0</v>
      </c>
    </row>
    <row r="1827" spans="1:10" s="58" customFormat="1" ht="17.25" hidden="1">
      <c r="A1827" s="10">
        <f>'12-2017'!A1917</f>
        <v>0</v>
      </c>
      <c r="B1827" s="11" t="str">
        <f>'12-2017'!B1917</f>
        <v>NT 4.2 H -5 1/1 (trọng lượng 807kg/mét dài)</v>
      </c>
      <c r="C1827" s="12" t="str">
        <f>'12-2017'!C1917</f>
        <v>đ/mdài</v>
      </c>
      <c r="D1827" s="13">
        <f>'12-2017'!O1917</f>
        <v>35500000</v>
      </c>
      <c r="E1827" s="13">
        <f>'12-2017'!P1917</f>
        <v>35500000</v>
      </c>
      <c r="F1827" s="130">
        <f t="shared" ref="F1827:F1832" si="73">E1827-D1827</f>
        <v>0</v>
      </c>
      <c r="H1827" s="74">
        <f>'12-2017'!H1917</f>
        <v>0</v>
      </c>
      <c r="I1827" s="74">
        <f>'12-2017'!I1917</f>
        <v>0</v>
      </c>
      <c r="J1827" s="74">
        <f>'12-2017'!J1917</f>
        <v>0</v>
      </c>
    </row>
    <row r="1828" spans="1:10" s="58" customFormat="1" ht="17.25" hidden="1">
      <c r="A1828" s="10">
        <f>'12-2017'!A1918</f>
        <v>0</v>
      </c>
      <c r="B1828" s="11" t="str">
        <f>'12-2017'!B1918</f>
        <v>NT 4.2 HB -5 1/1 (trọng lượng 891kg/mét dài)</v>
      </c>
      <c r="C1828" s="12" t="str">
        <f>'12-2017'!C1918</f>
        <v>đ/mdài</v>
      </c>
      <c r="D1828" s="13">
        <f>'12-2017'!O1918</f>
        <v>39200000</v>
      </c>
      <c r="E1828" s="13">
        <f>'12-2017'!P1918</f>
        <v>39200000</v>
      </c>
      <c r="F1828" s="130">
        <f t="shared" si="73"/>
        <v>0</v>
      </c>
      <c r="H1828" s="74">
        <f>'12-2017'!H1918</f>
        <v>0</v>
      </c>
      <c r="I1828" s="74">
        <f>'12-2017'!I1918</f>
        <v>0</v>
      </c>
      <c r="J1828" s="74">
        <f>'12-2017'!J1918</f>
        <v>0</v>
      </c>
    </row>
    <row r="1829" spans="1:10" s="58" customFormat="1" ht="17.25" hidden="1">
      <c r="A1829" s="10">
        <f>'12-2017'!A1919</f>
        <v>0</v>
      </c>
      <c r="B1829" s="11" t="str">
        <f>'12-2017'!B1919</f>
        <v>NT 4.2 B -8 1/1 (trọng lượng 713kg/mét dài)</v>
      </c>
      <c r="C1829" s="12" t="str">
        <f>'12-2017'!C1919</f>
        <v>đ/mdài</v>
      </c>
      <c r="D1829" s="13">
        <f>'12-2017'!O1919</f>
        <v>31400000</v>
      </c>
      <c r="E1829" s="13">
        <f>'12-2017'!P1919</f>
        <v>31400000</v>
      </c>
      <c r="F1829" s="130">
        <f t="shared" si="73"/>
        <v>0</v>
      </c>
      <c r="H1829" s="74">
        <f>'12-2017'!H1919</f>
        <v>0</v>
      </c>
      <c r="I1829" s="74">
        <f>'12-2017'!I1919</f>
        <v>0</v>
      </c>
      <c r="J1829" s="74">
        <f>'12-2017'!J1919</f>
        <v>0</v>
      </c>
    </row>
    <row r="1830" spans="1:10" s="58" customFormat="1" ht="17.25" hidden="1">
      <c r="A1830" s="10">
        <f>'12-2017'!A1920</f>
        <v>0</v>
      </c>
      <c r="B1830" s="11" t="str">
        <f>'12-2017'!B1920</f>
        <v>NT 4.2 A -8 1/1 (trọng lượng 766kg/mét dài)</v>
      </c>
      <c r="C1830" s="12" t="str">
        <f>'12-2017'!C1920</f>
        <v>đ/mdài</v>
      </c>
      <c r="D1830" s="13">
        <f>'12-2017'!O1920</f>
        <v>33700000</v>
      </c>
      <c r="E1830" s="13">
        <f>'12-2017'!P1920</f>
        <v>33700000</v>
      </c>
      <c r="F1830" s="130">
        <f t="shared" si="73"/>
        <v>0</v>
      </c>
      <c r="H1830" s="74">
        <f>'12-2017'!H1920</f>
        <v>0</v>
      </c>
      <c r="I1830" s="74">
        <f>'12-2017'!I1920</f>
        <v>0</v>
      </c>
      <c r="J1830" s="74">
        <f>'12-2017'!J1920</f>
        <v>0</v>
      </c>
    </row>
    <row r="1831" spans="1:10" s="58" customFormat="1" ht="17.25" hidden="1">
      <c r="A1831" s="10">
        <f>'12-2017'!A1921</f>
        <v>0</v>
      </c>
      <c r="B1831" s="11" t="str">
        <f>'12-2017'!B1921</f>
        <v>NT 4.2 H -8 1/1 (trọng lượng 838kg/mét dài)</v>
      </c>
      <c r="C1831" s="12" t="str">
        <f>'12-2017'!C1921</f>
        <v>đ/mdài</v>
      </c>
      <c r="D1831" s="13">
        <f>'12-2017'!O1921</f>
        <v>36800000</v>
      </c>
      <c r="E1831" s="13">
        <f>'12-2017'!P1921</f>
        <v>36800000</v>
      </c>
      <c r="F1831" s="130">
        <f t="shared" si="73"/>
        <v>0</v>
      </c>
      <c r="H1831" s="74">
        <f>'12-2017'!H1921</f>
        <v>0</v>
      </c>
      <c r="I1831" s="74">
        <f>'12-2017'!I1921</f>
        <v>0</v>
      </c>
      <c r="J1831" s="74">
        <f>'12-2017'!J1921</f>
        <v>0</v>
      </c>
    </row>
    <row r="1832" spans="1:10" s="58" customFormat="1" ht="17.25" hidden="1">
      <c r="A1832" s="10">
        <f>'12-2017'!A1922</f>
        <v>0</v>
      </c>
      <c r="B1832" s="11" t="str">
        <f>'12-2017'!B1922</f>
        <v>NT 4.2 HA -8 1/1 (trọng lượng 867kg/mét dài)</v>
      </c>
      <c r="C1832" s="12" t="str">
        <f>'12-2017'!C1922</f>
        <v>đ/mdài</v>
      </c>
      <c r="D1832" s="13">
        <f>'12-2017'!O1922</f>
        <v>38600000</v>
      </c>
      <c r="E1832" s="13">
        <f>'12-2017'!P1922</f>
        <v>38600000</v>
      </c>
      <c r="F1832" s="130">
        <f t="shared" si="73"/>
        <v>0</v>
      </c>
      <c r="H1832" s="74">
        <f>'12-2017'!H1922</f>
        <v>0</v>
      </c>
      <c r="I1832" s="74">
        <f>'12-2017'!I1922</f>
        <v>0</v>
      </c>
      <c r="J1832" s="74">
        <f>'12-2017'!J1922</f>
        <v>0</v>
      </c>
    </row>
    <row r="1833" spans="1:10" s="73" customFormat="1" ht="17.25" hidden="1">
      <c r="A1833" s="17"/>
      <c r="B1833" s="237" t="str">
        <f>'12-2017'!B1923</f>
        <v xml:space="preserve">Đoạn nối nhịp; Đoạn sàn đầu cầu : </v>
      </c>
      <c r="C1833" s="238"/>
      <c r="D1833" s="238"/>
      <c r="E1833" s="238"/>
      <c r="F1833" s="239"/>
      <c r="H1833" s="74">
        <f>'12-2017'!H1923</f>
        <v>0</v>
      </c>
      <c r="I1833" s="74">
        <f>'12-2017'!I1923</f>
        <v>0</v>
      </c>
      <c r="J1833" s="74">
        <f>'12-2017'!J1923</f>
        <v>0</v>
      </c>
    </row>
    <row r="1834" spans="1:10" s="73" customFormat="1" ht="17.25" hidden="1">
      <c r="A1834" s="17"/>
      <c r="B1834" s="237" t="str">
        <f>'12-2017'!B1924</f>
        <v>Cầu NT 1.6  loại K, M mạ kẽm</v>
      </c>
      <c r="C1834" s="238">
        <f>'12-2017'!C1924</f>
        <v>0</v>
      </c>
      <c r="D1834" s="238">
        <f>'12-2017'!O1924</f>
        <v>0</v>
      </c>
      <c r="E1834" s="238">
        <f>'12-2017'!P1924</f>
        <v>0</v>
      </c>
      <c r="F1834" s="239">
        <f t="shared" ref="F1834:F1839" si="74">E1834-D1834</f>
        <v>0</v>
      </c>
      <c r="H1834" s="74">
        <f>'12-2017'!H1924</f>
        <v>0</v>
      </c>
      <c r="I1834" s="74">
        <f>'12-2017'!I1924</f>
        <v>0</v>
      </c>
      <c r="J1834" s="74">
        <f>'12-2017'!J1924</f>
        <v>0</v>
      </c>
    </row>
    <row r="1835" spans="1:10" s="58" customFormat="1" ht="17.25" hidden="1">
      <c r="A1835" s="10">
        <f>'12-2017'!A1925</f>
        <v>0</v>
      </c>
      <c r="B1835" s="11" t="str">
        <f>'12-2017'!B1925</f>
        <v>01 Đoạn nối nhịp (trọng lượng 15,5kg/mét dài)</v>
      </c>
      <c r="C1835" s="12" t="str">
        <f>'12-2017'!C1925</f>
        <v>đ/đoạn</v>
      </c>
      <c r="D1835" s="13">
        <f>'12-2017'!O1925</f>
        <v>700000</v>
      </c>
      <c r="E1835" s="13">
        <f>'12-2017'!P1925</f>
        <v>700000</v>
      </c>
      <c r="F1835" s="130">
        <f t="shared" si="74"/>
        <v>0</v>
      </c>
      <c r="H1835" s="74">
        <f>'12-2017'!H1925</f>
        <v>0</v>
      </c>
      <c r="I1835" s="74">
        <f>'12-2017'!I1925</f>
        <v>0</v>
      </c>
      <c r="J1835" s="74">
        <f>'12-2017'!J1925</f>
        <v>0</v>
      </c>
    </row>
    <row r="1836" spans="1:10" s="58" customFormat="1" ht="17.25" hidden="1">
      <c r="A1836" s="10">
        <f>'12-2017'!A1926</f>
        <v>0</v>
      </c>
      <c r="B1836" s="11" t="str">
        <f>'12-2017'!B1926</f>
        <v>01 Đoạn sàn đầu cầu (trọng lượng 146,5kg/mét dài)</v>
      </c>
      <c r="C1836" s="12" t="str">
        <f>'12-2017'!C1926</f>
        <v>đ/đoạn</v>
      </c>
      <c r="D1836" s="13">
        <f>'12-2017'!O1926</f>
        <v>5363636</v>
      </c>
      <c r="E1836" s="13">
        <f>'12-2017'!P1926</f>
        <v>5363636</v>
      </c>
      <c r="F1836" s="130">
        <f t="shared" si="74"/>
        <v>0</v>
      </c>
      <c r="H1836" s="74">
        <f>'12-2017'!H1926</f>
        <v>0</v>
      </c>
      <c r="I1836" s="74">
        <f>'12-2017'!I1926</f>
        <v>0</v>
      </c>
      <c r="J1836" s="74">
        <f>'12-2017'!J1926</f>
        <v>0</v>
      </c>
    </row>
    <row r="1837" spans="1:10" s="73" customFormat="1" ht="17.25" hidden="1">
      <c r="A1837" s="17"/>
      <c r="B1837" s="9" t="str">
        <f>'12-2017'!B1927</f>
        <v>Cầu NT 2.2  loại N, K, M mạ kẽm</v>
      </c>
      <c r="C1837" s="8">
        <f>'12-2017'!C1927</f>
        <v>0</v>
      </c>
      <c r="D1837" s="22">
        <f>'12-2017'!O1927</f>
        <v>0</v>
      </c>
      <c r="E1837" s="22">
        <f>'12-2017'!P1927</f>
        <v>0</v>
      </c>
      <c r="F1837" s="131">
        <f t="shared" si="74"/>
        <v>0</v>
      </c>
      <c r="H1837" s="74">
        <f>'12-2017'!H1927</f>
        <v>0</v>
      </c>
      <c r="I1837" s="74">
        <f>'12-2017'!I1927</f>
        <v>0</v>
      </c>
      <c r="J1837" s="74">
        <f>'12-2017'!J1927</f>
        <v>0</v>
      </c>
    </row>
    <row r="1838" spans="1:10" s="58" customFormat="1" ht="17.25" hidden="1">
      <c r="A1838" s="10">
        <f>'12-2017'!A1928</f>
        <v>0</v>
      </c>
      <c r="B1838" s="11" t="str">
        <f>'12-2017'!B1928</f>
        <v>01 Đoạn nối nhịp (trọng lượng 20kg/mét dài)</v>
      </c>
      <c r="C1838" s="12" t="str">
        <f>'12-2017'!C1928</f>
        <v>đ/đoạn</v>
      </c>
      <c r="D1838" s="13">
        <f>'12-2017'!O1928</f>
        <v>954545</v>
      </c>
      <c r="E1838" s="13">
        <f>'12-2017'!P1928</f>
        <v>954545</v>
      </c>
      <c r="F1838" s="130">
        <f t="shared" si="74"/>
        <v>0</v>
      </c>
      <c r="H1838" s="74">
        <f>'12-2017'!H1928</f>
        <v>0</v>
      </c>
      <c r="I1838" s="74">
        <f>'12-2017'!I1928</f>
        <v>0</v>
      </c>
      <c r="J1838" s="74">
        <f>'12-2017'!J1928</f>
        <v>0</v>
      </c>
    </row>
    <row r="1839" spans="1:10" s="58" customFormat="1" ht="17.25" hidden="1">
      <c r="A1839" s="10">
        <f>'12-2017'!A1929</f>
        <v>0</v>
      </c>
      <c r="B1839" s="11" t="str">
        <f>'12-2017'!B1929</f>
        <v>01 Đoạn sàn đầu cầu (trọng lượng 211kg/mét dài)</v>
      </c>
      <c r="C1839" s="12" t="str">
        <f>'12-2017'!C1929</f>
        <v>đ/đoạn</v>
      </c>
      <c r="D1839" s="13">
        <f>'12-2017'!O1929</f>
        <v>9181818</v>
      </c>
      <c r="E1839" s="13">
        <f>'12-2017'!P1929</f>
        <v>9181818</v>
      </c>
      <c r="F1839" s="130">
        <f t="shared" si="74"/>
        <v>0</v>
      </c>
      <c r="H1839" s="74">
        <f>'12-2017'!H1929</f>
        <v>0</v>
      </c>
      <c r="I1839" s="74">
        <f>'12-2017'!I1929</f>
        <v>0</v>
      </c>
      <c r="J1839" s="74">
        <f>'12-2017'!J1929</f>
        <v>0</v>
      </c>
    </row>
    <row r="1840" spans="1:10" s="58" customFormat="1" ht="17.25" hidden="1">
      <c r="A1840" s="10"/>
      <c r="B1840" s="237" t="str">
        <f>'12-2017'!B1930</f>
        <v>Cầu NT 2.6  loại K, M mạ kẽm</v>
      </c>
      <c r="C1840" s="238"/>
      <c r="D1840" s="238"/>
      <c r="E1840" s="238"/>
      <c r="F1840" s="239"/>
      <c r="H1840" s="74">
        <f>'12-2017'!H1930</f>
        <v>0</v>
      </c>
      <c r="I1840" s="74">
        <f>'12-2017'!I1930</f>
        <v>0</v>
      </c>
      <c r="J1840" s="74">
        <f>'12-2017'!J1930</f>
        <v>0</v>
      </c>
    </row>
    <row r="1841" spans="1:10" s="58" customFormat="1" ht="17.25" hidden="1">
      <c r="A1841" s="10">
        <f>'12-2017'!A1931</f>
        <v>0</v>
      </c>
      <c r="B1841" s="11" t="str">
        <f>'12-2017'!B1931</f>
        <v>01 Đoạn nối nhịp (trọng lượng 32kg/mét dài)</v>
      </c>
      <c r="C1841" s="12" t="str">
        <f>'12-2017'!C1931</f>
        <v>đ/đoạn</v>
      </c>
      <c r="D1841" s="13">
        <f>'12-2017'!O1931</f>
        <v>1454545</v>
      </c>
      <c r="E1841" s="13">
        <f>'12-2017'!P1931</f>
        <v>1454545</v>
      </c>
      <c r="F1841" s="130">
        <f t="shared" ref="F1841:F1865" si="75">E1841-D1841</f>
        <v>0</v>
      </c>
      <c r="H1841" s="74">
        <f>'12-2017'!H1931</f>
        <v>0</v>
      </c>
      <c r="I1841" s="74">
        <f>'12-2017'!I1931</f>
        <v>0</v>
      </c>
      <c r="J1841" s="74">
        <f>'12-2017'!J1931</f>
        <v>0</v>
      </c>
    </row>
    <row r="1842" spans="1:10" s="58" customFormat="1" ht="17.25" hidden="1">
      <c r="A1842" s="10">
        <f>'12-2017'!A1932</f>
        <v>0</v>
      </c>
      <c r="B1842" s="11" t="str">
        <f>'12-2017'!B1932</f>
        <v>01 Đoạn sàn đầu cầu (trọng lượng 271kg/mét dài)</v>
      </c>
      <c r="C1842" s="12" t="str">
        <f>'12-2017'!C1932</f>
        <v>đ/đoạn</v>
      </c>
      <c r="D1842" s="13">
        <f>'12-2017'!O1932</f>
        <v>9818182</v>
      </c>
      <c r="E1842" s="13">
        <f>'12-2017'!P1932</f>
        <v>9818182</v>
      </c>
      <c r="F1842" s="130">
        <f t="shared" si="75"/>
        <v>0</v>
      </c>
      <c r="H1842" s="74">
        <f>'12-2017'!H1932</f>
        <v>0</v>
      </c>
      <c r="I1842" s="74">
        <f>'12-2017'!I1932</f>
        <v>0</v>
      </c>
      <c r="J1842" s="74">
        <f>'12-2017'!J1932</f>
        <v>0</v>
      </c>
    </row>
    <row r="1843" spans="1:10" s="58" customFormat="1" ht="17.25" hidden="1">
      <c r="A1843" s="10"/>
      <c r="B1843" s="237" t="str">
        <f>'12-2017'!B1933</f>
        <v>Cầu NT 3.2  loại M mạ kẽm</v>
      </c>
      <c r="C1843" s="238">
        <f>'12-2017'!C1933</f>
        <v>0</v>
      </c>
      <c r="D1843" s="238">
        <f>'12-2017'!O1933</f>
        <v>0</v>
      </c>
      <c r="E1843" s="238">
        <f>'12-2017'!P1933</f>
        <v>0</v>
      </c>
      <c r="F1843" s="239">
        <f t="shared" si="75"/>
        <v>0</v>
      </c>
      <c r="H1843" s="74">
        <f>'12-2017'!H1933</f>
        <v>0</v>
      </c>
      <c r="I1843" s="74">
        <f>'12-2017'!I1933</f>
        <v>0</v>
      </c>
      <c r="J1843" s="74">
        <f>'12-2017'!J1933</f>
        <v>0</v>
      </c>
    </row>
    <row r="1844" spans="1:10" s="58" customFormat="1" ht="17.25" hidden="1">
      <c r="A1844" s="10">
        <f>'12-2017'!A1934</f>
        <v>0</v>
      </c>
      <c r="B1844" s="11" t="str">
        <f>'12-2017'!B1934</f>
        <v>01 Đoạn nối nhịp (trọng lượng 34kg/mét dài)</v>
      </c>
      <c r="C1844" s="12" t="str">
        <f>'12-2017'!C1934</f>
        <v>đ/đoạn</v>
      </c>
      <c r="D1844" s="13">
        <f>'12-2017'!O1934</f>
        <v>1636364</v>
      </c>
      <c r="E1844" s="13">
        <f>'12-2017'!P1934</f>
        <v>1636364</v>
      </c>
      <c r="F1844" s="130">
        <f t="shared" si="75"/>
        <v>0</v>
      </c>
      <c r="H1844" s="74">
        <f>'12-2017'!H1934</f>
        <v>0</v>
      </c>
      <c r="I1844" s="74">
        <f>'12-2017'!I1934</f>
        <v>0</v>
      </c>
      <c r="J1844" s="74">
        <f>'12-2017'!J1934</f>
        <v>0</v>
      </c>
    </row>
    <row r="1845" spans="1:10" s="58" customFormat="1" ht="17.25" hidden="1">
      <c r="A1845" s="10">
        <f>'12-2017'!A1935</f>
        <v>0</v>
      </c>
      <c r="B1845" s="11" t="str">
        <f>'12-2017'!B1935</f>
        <v>01 Đoạn sàn đầu cầu (trọng lượng 290kg/mét dài)</v>
      </c>
      <c r="C1845" s="12" t="str">
        <f>'12-2017'!C1935</f>
        <v>đ/đoạn</v>
      </c>
      <c r="D1845" s="13">
        <f>'12-2017'!O1935</f>
        <v>12000000</v>
      </c>
      <c r="E1845" s="13">
        <f>'12-2017'!P1935</f>
        <v>12000000</v>
      </c>
      <c r="F1845" s="130">
        <f t="shared" si="75"/>
        <v>0</v>
      </c>
      <c r="H1845" s="74">
        <f>'12-2017'!H1935</f>
        <v>0</v>
      </c>
      <c r="I1845" s="74">
        <f>'12-2017'!I1935</f>
        <v>0</v>
      </c>
      <c r="J1845" s="74">
        <f>'12-2017'!J1935</f>
        <v>0</v>
      </c>
    </row>
    <row r="1846" spans="1:10" s="58" customFormat="1" ht="17.25" hidden="1">
      <c r="A1846" s="10"/>
      <c r="B1846" s="237" t="str">
        <f>'12-2017'!B1936</f>
        <v>Cầu NT 3.2  loại K, MK mạ kẽm</v>
      </c>
      <c r="C1846" s="238">
        <f>'12-2017'!C1936</f>
        <v>0</v>
      </c>
      <c r="D1846" s="238">
        <f>'12-2017'!O1936</f>
        <v>0</v>
      </c>
      <c r="E1846" s="238">
        <f>'12-2017'!P1936</f>
        <v>0</v>
      </c>
      <c r="F1846" s="239">
        <f t="shared" si="75"/>
        <v>0</v>
      </c>
      <c r="H1846" s="74">
        <f>'12-2017'!H1936</f>
        <v>0</v>
      </c>
      <c r="I1846" s="74">
        <f>'12-2017'!I1936</f>
        <v>0</v>
      </c>
      <c r="J1846" s="74">
        <f>'12-2017'!J1936</f>
        <v>0</v>
      </c>
    </row>
    <row r="1847" spans="1:10" s="58" customFormat="1" ht="17.25" hidden="1">
      <c r="A1847" s="10">
        <f>'12-2017'!A1937</f>
        <v>0</v>
      </c>
      <c r="B1847" s="11" t="str">
        <f>'12-2017'!B1937</f>
        <v>01 Đoạn nối nhịp (trọng lượng 183,5kg/mét dài)</v>
      </c>
      <c r="C1847" s="12" t="str">
        <f>'12-2017'!C1937</f>
        <v>đ/đoạn</v>
      </c>
      <c r="D1847" s="13">
        <f>'12-2017'!O1937</f>
        <v>7727273</v>
      </c>
      <c r="E1847" s="13">
        <f>'12-2017'!P1937</f>
        <v>7727273</v>
      </c>
      <c r="F1847" s="130">
        <f t="shared" si="75"/>
        <v>0</v>
      </c>
      <c r="H1847" s="74">
        <f>'12-2017'!H1937</f>
        <v>0</v>
      </c>
      <c r="I1847" s="74">
        <f>'12-2017'!I1937</f>
        <v>0</v>
      </c>
      <c r="J1847" s="74">
        <f>'12-2017'!J1937</f>
        <v>0</v>
      </c>
    </row>
    <row r="1848" spans="1:10" s="58" customFormat="1" ht="17.25" hidden="1">
      <c r="A1848" s="10">
        <f>'12-2017'!A1938</f>
        <v>0</v>
      </c>
      <c r="B1848" s="11" t="str">
        <f>'12-2017'!B1938</f>
        <v>01 Đoạn sàn đầu cầu (trọng lượng 889kg/mét dài)</v>
      </c>
      <c r="C1848" s="12" t="str">
        <f>'12-2017'!C1938</f>
        <v>đ/đoạn</v>
      </c>
      <c r="D1848" s="13">
        <f>'12-2017'!O1938</f>
        <v>36636364</v>
      </c>
      <c r="E1848" s="13">
        <f>'12-2017'!P1938</f>
        <v>36636364</v>
      </c>
      <c r="F1848" s="130">
        <f t="shared" si="75"/>
        <v>0</v>
      </c>
      <c r="H1848" s="74">
        <f>'12-2017'!H1938</f>
        <v>0</v>
      </c>
      <c r="I1848" s="74">
        <f>'12-2017'!I1938</f>
        <v>0</v>
      </c>
      <c r="J1848" s="74">
        <f>'12-2017'!J1938</f>
        <v>0</v>
      </c>
    </row>
    <row r="1849" spans="1:10" s="58" customFormat="1" ht="17.25" hidden="1">
      <c r="A1849" s="10"/>
      <c r="B1849" s="237" t="str">
        <f>'12-2017'!B1939</f>
        <v>Cầu NT 3.6  loại MK mạ kẽm</v>
      </c>
      <c r="C1849" s="238">
        <f>'12-2017'!C1939</f>
        <v>0</v>
      </c>
      <c r="D1849" s="238">
        <f>'12-2017'!O1939</f>
        <v>0</v>
      </c>
      <c r="E1849" s="238">
        <f>'12-2017'!P1939</f>
        <v>0</v>
      </c>
      <c r="F1849" s="239">
        <f t="shared" si="75"/>
        <v>0</v>
      </c>
      <c r="H1849" s="74">
        <f>'12-2017'!H1939</f>
        <v>0</v>
      </c>
      <c r="I1849" s="74">
        <f>'12-2017'!I1939</f>
        <v>0</v>
      </c>
      <c r="J1849" s="74">
        <f>'12-2017'!J1939</f>
        <v>0</v>
      </c>
    </row>
    <row r="1850" spans="1:10" s="58" customFormat="1" ht="17.25" hidden="1">
      <c r="A1850" s="10">
        <f>'12-2017'!A1940</f>
        <v>0</v>
      </c>
      <c r="B1850" s="11" t="str">
        <f>'12-2017'!B1940</f>
        <v>01 Đoạn nối nhịp (trọng lượng 215kg/mét dài)</v>
      </c>
      <c r="C1850" s="12" t="str">
        <f>'12-2017'!C1940</f>
        <v>đ/đoạn</v>
      </c>
      <c r="D1850" s="13">
        <f>'12-2017'!O1940</f>
        <v>9045455</v>
      </c>
      <c r="E1850" s="13">
        <f>'12-2017'!P1940</f>
        <v>9045455</v>
      </c>
      <c r="F1850" s="130">
        <f t="shared" si="75"/>
        <v>0</v>
      </c>
      <c r="H1850" s="74">
        <f>'12-2017'!H1940</f>
        <v>0</v>
      </c>
      <c r="I1850" s="74">
        <f>'12-2017'!I1940</f>
        <v>0</v>
      </c>
      <c r="J1850" s="74">
        <f>'12-2017'!J1940</f>
        <v>0</v>
      </c>
    </row>
    <row r="1851" spans="1:10" s="58" customFormat="1" ht="17.25" hidden="1">
      <c r="A1851" s="10">
        <f>'12-2017'!A1941</f>
        <v>0</v>
      </c>
      <c r="B1851" s="11" t="str">
        <f>'12-2017'!B1941</f>
        <v>01 Đoạn sàn đầu cầu (trọng lượng 1.040kg/mét dài)</v>
      </c>
      <c r="C1851" s="12" t="str">
        <f>'12-2017'!C1941</f>
        <v>đ/đoạn</v>
      </c>
      <c r="D1851" s="13">
        <f>'12-2017'!O1941</f>
        <v>42909091</v>
      </c>
      <c r="E1851" s="13">
        <f>'12-2017'!P1941</f>
        <v>42909091</v>
      </c>
      <c r="F1851" s="130">
        <f t="shared" si="75"/>
        <v>0</v>
      </c>
      <c r="H1851" s="74">
        <f>'12-2017'!H1941</f>
        <v>0</v>
      </c>
      <c r="I1851" s="74">
        <f>'12-2017'!I1941</f>
        <v>0</v>
      </c>
      <c r="J1851" s="74">
        <f>'12-2017'!J1941</f>
        <v>0</v>
      </c>
    </row>
    <row r="1852" spans="1:10" s="58" customFormat="1" ht="17.25" hidden="1">
      <c r="A1852" s="10"/>
      <c r="B1852" s="237" t="str">
        <f>'12-2017'!B1942</f>
        <v>Cầu NT 4.2  loại MK mạ kẽm</v>
      </c>
      <c r="C1852" s="238">
        <f>'12-2017'!C1942</f>
        <v>0</v>
      </c>
      <c r="D1852" s="238">
        <f>'12-2017'!O1942</f>
        <v>0</v>
      </c>
      <c r="E1852" s="238">
        <f>'12-2017'!P1942</f>
        <v>0</v>
      </c>
      <c r="F1852" s="239">
        <f t="shared" si="75"/>
        <v>0</v>
      </c>
      <c r="H1852" s="74">
        <f>'12-2017'!H1942</f>
        <v>0</v>
      </c>
      <c r="I1852" s="74">
        <f>'12-2017'!I1942</f>
        <v>0</v>
      </c>
      <c r="J1852" s="74">
        <f>'12-2017'!J1942</f>
        <v>0</v>
      </c>
    </row>
    <row r="1853" spans="1:10" s="58" customFormat="1" ht="17.25" hidden="1">
      <c r="A1853" s="10">
        <f>'12-2017'!A1943</f>
        <v>0</v>
      </c>
      <c r="B1853" s="11" t="str">
        <f>'12-2017'!B1943</f>
        <v>01 Đoạn nối nhịp (trọng lượng 245kg/mét dài)</v>
      </c>
      <c r="C1853" s="12" t="str">
        <f>'12-2017'!C1943</f>
        <v>đ/đoạn</v>
      </c>
      <c r="D1853" s="13">
        <f>'12-2017'!O1943</f>
        <v>10363636</v>
      </c>
      <c r="E1853" s="13">
        <f>'12-2017'!P1943</f>
        <v>10363636</v>
      </c>
      <c r="F1853" s="130">
        <f t="shared" si="75"/>
        <v>0</v>
      </c>
      <c r="H1853" s="74">
        <f>'12-2017'!H1943</f>
        <v>0</v>
      </c>
      <c r="I1853" s="74">
        <f>'12-2017'!I1943</f>
        <v>0</v>
      </c>
      <c r="J1853" s="74">
        <f>'12-2017'!J1943</f>
        <v>0</v>
      </c>
    </row>
    <row r="1854" spans="1:10" s="58" customFormat="1" ht="17.25" hidden="1">
      <c r="A1854" s="10">
        <f>'12-2017'!A1944</f>
        <v>0</v>
      </c>
      <c r="B1854" s="11" t="str">
        <f>'12-2017'!B1944</f>
        <v>01 Đoạn sàn đầu cầu (trọng lượng 1.185kg/mét dài)</v>
      </c>
      <c r="C1854" s="12" t="str">
        <f>'12-2017'!C1944</f>
        <v>đ/đoạn</v>
      </c>
      <c r="D1854" s="13">
        <f>'12-2017'!O1944</f>
        <v>48909091</v>
      </c>
      <c r="E1854" s="13">
        <f>'12-2017'!P1944</f>
        <v>48909091</v>
      </c>
      <c r="F1854" s="130">
        <f t="shared" si="75"/>
        <v>0</v>
      </c>
      <c r="H1854" s="74">
        <f>'12-2017'!H1944</f>
        <v>0</v>
      </c>
      <c r="I1854" s="74">
        <f>'12-2017'!I1944</f>
        <v>0</v>
      </c>
      <c r="J1854" s="74">
        <f>'12-2017'!J1944</f>
        <v>0</v>
      </c>
    </row>
    <row r="1855" spans="1:10" s="58" customFormat="1" ht="17.25" hidden="1">
      <c r="A1855" s="10"/>
      <c r="B1855" s="237" t="str">
        <f>'12-2017'!B1945</f>
        <v>Cầu NT 3.2  loại A, HA, HB mạ kẽm</v>
      </c>
      <c r="C1855" s="238">
        <f>'12-2017'!C1945</f>
        <v>0</v>
      </c>
      <c r="D1855" s="238">
        <f>'12-2017'!O1945</f>
        <v>0</v>
      </c>
      <c r="E1855" s="238">
        <f>'12-2017'!P1945</f>
        <v>0</v>
      </c>
      <c r="F1855" s="239">
        <f t="shared" si="75"/>
        <v>0</v>
      </c>
      <c r="H1855" s="74">
        <f>'12-2017'!H1945</f>
        <v>0</v>
      </c>
      <c r="I1855" s="74">
        <f>'12-2017'!I1945</f>
        <v>0</v>
      </c>
      <c r="J1855" s="74">
        <f>'12-2017'!J1945</f>
        <v>0</v>
      </c>
    </row>
    <row r="1856" spans="1:10" s="58" customFormat="1" ht="17.25" hidden="1">
      <c r="A1856" s="10">
        <f>'12-2017'!A1946</f>
        <v>0</v>
      </c>
      <c r="B1856" s="11" t="str">
        <f>'12-2017'!B1946</f>
        <v>01 Đoạn nối nhịp (trọng lượng 245kg/mét dài)</v>
      </c>
      <c r="C1856" s="12" t="str">
        <f>'12-2017'!C1946</f>
        <v>đ/đoạn</v>
      </c>
      <c r="D1856" s="13">
        <f>'12-2017'!O1946</f>
        <v>8545455</v>
      </c>
      <c r="E1856" s="13">
        <f>'12-2017'!P1946</f>
        <v>8545455</v>
      </c>
      <c r="F1856" s="130">
        <f t="shared" si="75"/>
        <v>0</v>
      </c>
      <c r="H1856" s="74">
        <f>'12-2017'!H1946</f>
        <v>0</v>
      </c>
      <c r="I1856" s="74">
        <f>'12-2017'!I1946</f>
        <v>0</v>
      </c>
      <c r="J1856" s="74">
        <f>'12-2017'!J1946</f>
        <v>0</v>
      </c>
    </row>
    <row r="1857" spans="1:10" s="58" customFormat="1" ht="17.25" hidden="1">
      <c r="A1857" s="10">
        <f>'12-2017'!A1947</f>
        <v>0</v>
      </c>
      <c r="B1857" s="11" t="str">
        <f>'12-2017'!B1947</f>
        <v>01 Đoạn sàn đầu cầu (trọng lượng 1.185kg/mét dài)</v>
      </c>
      <c r="C1857" s="12" t="str">
        <f>'12-2017'!C1947</f>
        <v>đ/đoạn</v>
      </c>
      <c r="D1857" s="13">
        <f>'12-2017'!O1947</f>
        <v>42636364</v>
      </c>
      <c r="E1857" s="13">
        <f>'12-2017'!P1947</f>
        <v>42636364</v>
      </c>
      <c r="F1857" s="130">
        <f t="shared" si="75"/>
        <v>0</v>
      </c>
      <c r="H1857" s="74">
        <f>'12-2017'!H1947</f>
        <v>0</v>
      </c>
      <c r="I1857" s="74">
        <f>'12-2017'!I1947</f>
        <v>0</v>
      </c>
      <c r="J1857" s="74">
        <f>'12-2017'!J1947</f>
        <v>0</v>
      </c>
    </row>
    <row r="1858" spans="1:10" s="58" customFormat="1" ht="17.25" hidden="1">
      <c r="A1858" s="10"/>
      <c r="B1858" s="237" t="str">
        <f>'12-2017'!B1948</f>
        <v>Cầu NT 4.2  loại B, HB mạ kẽm</v>
      </c>
      <c r="C1858" s="238">
        <f>'12-2017'!C1948</f>
        <v>0</v>
      </c>
      <c r="D1858" s="238">
        <f>'12-2017'!O1948</f>
        <v>0</v>
      </c>
      <c r="E1858" s="238">
        <f>'12-2017'!P1948</f>
        <v>0</v>
      </c>
      <c r="F1858" s="239">
        <f t="shared" si="75"/>
        <v>0</v>
      </c>
      <c r="H1858" s="74">
        <f>'12-2017'!H1948</f>
        <v>0</v>
      </c>
      <c r="I1858" s="74">
        <f>'12-2017'!I1948</f>
        <v>0</v>
      </c>
      <c r="J1858" s="74">
        <f>'12-2017'!J1948</f>
        <v>0</v>
      </c>
    </row>
    <row r="1859" spans="1:10" s="58" customFormat="1" ht="17.25" hidden="1">
      <c r="A1859" s="10">
        <f>'12-2017'!A1949</f>
        <v>0</v>
      </c>
      <c r="B1859" s="11" t="str">
        <f>'12-2017'!B1949</f>
        <v>01 Đoạn nối nhịp (trọng lượng 245kg/mét dài)</v>
      </c>
      <c r="C1859" s="12" t="str">
        <f>'12-2017'!C1949</f>
        <v>đ/đoạn</v>
      </c>
      <c r="D1859" s="13">
        <f>'12-2017'!O1949</f>
        <v>12227273</v>
      </c>
      <c r="E1859" s="13">
        <f>'12-2017'!P1949</f>
        <v>12227273</v>
      </c>
      <c r="F1859" s="130">
        <f t="shared" si="75"/>
        <v>0</v>
      </c>
      <c r="H1859" s="74">
        <f>'12-2017'!H1949</f>
        <v>0</v>
      </c>
      <c r="I1859" s="74">
        <f>'12-2017'!I1949</f>
        <v>0</v>
      </c>
      <c r="J1859" s="74">
        <f>'12-2017'!J1949</f>
        <v>0</v>
      </c>
    </row>
    <row r="1860" spans="1:10" s="58" customFormat="1" ht="17.25" hidden="1">
      <c r="A1860" s="10">
        <f>'12-2017'!A1950</f>
        <v>0</v>
      </c>
      <c r="B1860" s="11" t="str">
        <f>'12-2017'!B1950</f>
        <v>01 Đoạn sàn đầu cầu (trọng lượng 1.185kg/mét dài)</v>
      </c>
      <c r="C1860" s="12" t="str">
        <f>'12-2017'!C1950</f>
        <v>đ/đoạn</v>
      </c>
      <c r="D1860" s="13">
        <f>'12-2017'!O1950</f>
        <v>56863636</v>
      </c>
      <c r="E1860" s="13">
        <f>'12-2017'!P1950</f>
        <v>56863636</v>
      </c>
      <c r="F1860" s="130">
        <f t="shared" si="75"/>
        <v>0</v>
      </c>
      <c r="H1860" s="74">
        <f>'12-2017'!H1950</f>
        <v>0</v>
      </c>
      <c r="I1860" s="74">
        <f>'12-2017'!I1950</f>
        <v>0</v>
      </c>
      <c r="J1860" s="74">
        <f>'12-2017'!J1950</f>
        <v>0</v>
      </c>
    </row>
    <row r="1861" spans="1:10" s="58" customFormat="1" ht="17.25" hidden="1">
      <c r="A1861" s="10"/>
      <c r="B1861" s="237" t="str">
        <f>'12-2017'!B1951</f>
        <v xml:space="preserve">Gối cầu NT mạ kẽm bảo vệ bề mặt: </v>
      </c>
      <c r="C1861" s="238">
        <f>'12-2017'!C1951</f>
        <v>0</v>
      </c>
      <c r="D1861" s="238">
        <f>'12-2017'!O1951</f>
        <v>0</v>
      </c>
      <c r="E1861" s="238">
        <f>'12-2017'!P1951</f>
        <v>0</v>
      </c>
      <c r="F1861" s="239">
        <f t="shared" si="75"/>
        <v>0</v>
      </c>
      <c r="H1861" s="74">
        <f>'12-2017'!H1951</f>
        <v>0</v>
      </c>
      <c r="I1861" s="74">
        <f>'12-2017'!I1951</f>
        <v>0</v>
      </c>
      <c r="J1861" s="74">
        <f>'12-2017'!J1951</f>
        <v>0</v>
      </c>
    </row>
    <row r="1862" spans="1:10" s="58" customFormat="1" ht="17.25" hidden="1">
      <c r="A1862" s="10">
        <f>'12-2017'!A1952</f>
        <v>0</v>
      </c>
      <c r="B1862" s="11" t="str">
        <f>'12-2017'!B1952</f>
        <v>Loại cầu A (trọng lượng 26kg/cái)</v>
      </c>
      <c r="C1862" s="12" t="str">
        <f>'12-2017'!C1952</f>
        <v>đ/cái</v>
      </c>
      <c r="D1862" s="13">
        <f>'12-2017'!O1952</f>
        <v>1090909.0909090908</v>
      </c>
      <c r="E1862" s="13">
        <f>'12-2017'!P1952</f>
        <v>1090909.0909090908</v>
      </c>
      <c r="F1862" s="130">
        <f t="shared" si="75"/>
        <v>0</v>
      </c>
      <c r="H1862" s="74">
        <f>'12-2017'!H1952</f>
        <v>0</v>
      </c>
      <c r="I1862" s="74">
        <f>'12-2017'!I1952</f>
        <v>0</v>
      </c>
      <c r="J1862" s="74">
        <f>'12-2017'!J1952</f>
        <v>0</v>
      </c>
    </row>
    <row r="1863" spans="1:10" s="58" customFormat="1" ht="17.25" hidden="1">
      <c r="A1863" s="10">
        <f>'12-2017'!A1953</f>
        <v>0</v>
      </c>
      <c r="B1863" s="11" t="str">
        <f>'12-2017'!B1953</f>
        <v>Loại cầu B (trọng lượng 18kg/cái)</v>
      </c>
      <c r="C1863" s="12" t="str">
        <f>'12-2017'!C1953</f>
        <v>đ/cái</v>
      </c>
      <c r="D1863" s="13">
        <f>'12-2017'!O1953</f>
        <v>754545</v>
      </c>
      <c r="E1863" s="13">
        <f>'12-2017'!P1953</f>
        <v>754545</v>
      </c>
      <c r="F1863" s="130">
        <f t="shared" si="75"/>
        <v>0</v>
      </c>
      <c r="H1863" s="74">
        <f>'12-2017'!H1953</f>
        <v>0</v>
      </c>
      <c r="I1863" s="74">
        <f>'12-2017'!I1953</f>
        <v>0</v>
      </c>
      <c r="J1863" s="74">
        <f>'12-2017'!J1953</f>
        <v>0</v>
      </c>
    </row>
    <row r="1864" spans="1:10" s="58" customFormat="1" ht="17.25" hidden="1">
      <c r="A1864" s="10">
        <f>'12-2017'!A1954</f>
        <v>0</v>
      </c>
      <c r="B1864" s="11" t="str">
        <f>'12-2017'!B1954</f>
        <v>Loại cầu H, HB (trọng lượng 31kg/cái)</v>
      </c>
      <c r="C1864" s="12" t="str">
        <f>'12-2017'!C1954</f>
        <v>đ/cái</v>
      </c>
      <c r="D1864" s="13">
        <f>'12-2017'!O1954</f>
        <v>1272727.2727272727</v>
      </c>
      <c r="E1864" s="13">
        <f>'12-2017'!P1954</f>
        <v>1272727.2727272727</v>
      </c>
      <c r="F1864" s="130">
        <f t="shared" si="75"/>
        <v>0</v>
      </c>
      <c r="H1864" s="74">
        <f>'12-2017'!H1954</f>
        <v>0</v>
      </c>
      <c r="I1864" s="74">
        <f>'12-2017'!I1954</f>
        <v>0</v>
      </c>
      <c r="J1864" s="74">
        <f>'12-2017'!J1954</f>
        <v>0</v>
      </c>
    </row>
    <row r="1865" spans="1:10" s="58" customFormat="1" ht="17.25" hidden="1">
      <c r="A1865" s="10">
        <f>'12-2017'!A1955</f>
        <v>0</v>
      </c>
      <c r="B1865" s="11" t="str">
        <f>'12-2017'!B1955</f>
        <v>Loại cầu HC (trọng lượng 55kg/cái)</v>
      </c>
      <c r="C1865" s="12" t="str">
        <f>'12-2017'!C1955</f>
        <v>đ/cái</v>
      </c>
      <c r="D1865" s="13">
        <f>'12-2017'!O1955</f>
        <v>2181818.1818181816</v>
      </c>
      <c r="E1865" s="13">
        <f>'12-2017'!P1955</f>
        <v>2181818.1818181816</v>
      </c>
      <c r="F1865" s="130">
        <f t="shared" si="75"/>
        <v>0</v>
      </c>
      <c r="H1865" s="74">
        <f>'12-2017'!H1955</f>
        <v>0</v>
      </c>
      <c r="I1865" s="74">
        <f>'12-2017'!I1955</f>
        <v>0</v>
      </c>
      <c r="J1865" s="74">
        <f>'12-2017'!J1955</f>
        <v>0</v>
      </c>
    </row>
    <row r="1866" spans="1:10" s="58" customFormat="1" ht="33" hidden="1">
      <c r="A1866" s="10">
        <f>'12-2017'!A1956</f>
        <v>26</v>
      </c>
      <c r="B1866" s="11" t="str">
        <f>'12-2017'!B1956</f>
        <v>Cầu thép NT6.2 SC 1/1, bề rộng mặt cầu 06m, chiều dài nhịp tối đa 21m, tải trọng 0,65xHL93</v>
      </c>
      <c r="C1866" s="12">
        <f>'12-2017'!C1956</f>
        <v>0</v>
      </c>
      <c r="D1866" s="13">
        <f>'12-2017'!O1956</f>
        <v>0</v>
      </c>
      <c r="E1866" s="13">
        <f>'12-2017'!P1956</f>
        <v>0</v>
      </c>
      <c r="F1866" s="130">
        <f t="shared" ref="F1866:F1874" si="76">E1866-D1866</f>
        <v>0</v>
      </c>
      <c r="H1866" s="74">
        <f>'12-2017'!H1956</f>
        <v>0</v>
      </c>
      <c r="I1866" s="74">
        <f>'12-2017'!I1956</f>
        <v>0</v>
      </c>
      <c r="J1866" s="74">
        <f>'12-2017'!J1956</f>
        <v>0</v>
      </c>
    </row>
    <row r="1867" spans="1:10" s="58" customFormat="1" ht="17.25" hidden="1">
      <c r="A1867" s="10">
        <f>'12-2017'!A1957</f>
        <v>0</v>
      </c>
      <c r="B1867" s="11" t="str">
        <f>'12-2017'!B1957</f>
        <v xml:space="preserve"> - Sơn bảo vệ bề mặt (trọng lượng 1.835kg/mét dài)</v>
      </c>
      <c r="C1867" s="12" t="str">
        <f>'12-2017'!C1957</f>
        <v>mét</v>
      </c>
      <c r="D1867" s="13">
        <f>'12-2017'!O1957</f>
        <v>69750909</v>
      </c>
      <c r="E1867" s="13">
        <f>'12-2017'!P1957</f>
        <v>69750909</v>
      </c>
      <c r="F1867" s="130">
        <f t="shared" si="76"/>
        <v>0</v>
      </c>
      <c r="H1867" s="74">
        <f>'12-2017'!H1957</f>
        <v>0</v>
      </c>
      <c r="I1867" s="74">
        <f>'12-2017'!I1957</f>
        <v>0</v>
      </c>
      <c r="J1867" s="74">
        <f>'12-2017'!J1957</f>
        <v>0</v>
      </c>
    </row>
    <row r="1868" spans="1:10" s="58" customFormat="1" ht="17.25" hidden="1">
      <c r="A1868" s="10">
        <f>'12-2017'!A1958</f>
        <v>0</v>
      </c>
      <c r="B1868" s="11" t="str">
        <f>'12-2017'!B1958</f>
        <v xml:space="preserve"> - Mạ kẽm bảo vệ bề mặt (trọng lượng 1.835kg/mét dài)</v>
      </c>
      <c r="C1868" s="12" t="str">
        <f>'12-2017'!C1958</f>
        <v>mét</v>
      </c>
      <c r="D1868" s="13">
        <f>'12-2017'!O1958</f>
        <v>85538000</v>
      </c>
      <c r="E1868" s="13">
        <f>'12-2017'!P1958</f>
        <v>85538000</v>
      </c>
      <c r="F1868" s="130">
        <f t="shared" si="76"/>
        <v>0</v>
      </c>
      <c r="H1868" s="74">
        <f>'12-2017'!H1958</f>
        <v>0</v>
      </c>
      <c r="I1868" s="74">
        <f>'12-2017'!I1958</f>
        <v>0</v>
      </c>
      <c r="J1868" s="74">
        <f>'12-2017'!J1958</f>
        <v>0</v>
      </c>
    </row>
    <row r="1869" spans="1:10" s="58" customFormat="1" ht="17.25" hidden="1">
      <c r="A1869" s="10">
        <f>'12-2017'!A1959</f>
        <v>27</v>
      </c>
      <c r="B1869" s="11" t="str">
        <f>'12-2017'!B1959</f>
        <v>Cầu thép NT6.2 SD 2/1, bề rộng mặt cầu 06m, chiều dài nhịp tối đa 21m, tải trọng HL93</v>
      </c>
      <c r="C1869" s="12">
        <f>'12-2017'!C1959</f>
        <v>0</v>
      </c>
      <c r="D1869" s="13">
        <f>'12-2017'!O1959</f>
        <v>0</v>
      </c>
      <c r="E1869" s="13">
        <f>'12-2017'!P1959</f>
        <v>0</v>
      </c>
      <c r="F1869" s="130">
        <f t="shared" si="76"/>
        <v>0</v>
      </c>
      <c r="H1869" s="74">
        <f>'12-2017'!H1959</f>
        <v>0</v>
      </c>
      <c r="I1869" s="74">
        <f>'12-2017'!I1959</f>
        <v>0</v>
      </c>
      <c r="J1869" s="74">
        <f>'12-2017'!J1959</f>
        <v>0</v>
      </c>
    </row>
    <row r="1870" spans="1:10" s="58" customFormat="1" ht="17.25" hidden="1">
      <c r="A1870" s="10">
        <f>'12-2017'!A1960</f>
        <v>0</v>
      </c>
      <c r="B1870" s="11" t="str">
        <f>'12-2017'!B1960</f>
        <v xml:space="preserve"> - Sơn bảo vệ bề mặt (trọng lượng 2.613kg/mét dài)</v>
      </c>
      <c r="C1870" s="12" t="str">
        <f>'12-2017'!C1960</f>
        <v>mét</v>
      </c>
      <c r="D1870" s="13">
        <f>'12-2017'!O1960</f>
        <v>98435455</v>
      </c>
      <c r="E1870" s="13">
        <f>'12-2017'!P1960</f>
        <v>98435455</v>
      </c>
      <c r="F1870" s="130">
        <f t="shared" si="76"/>
        <v>0</v>
      </c>
      <c r="H1870" s="74">
        <f>'12-2017'!H1960</f>
        <v>0</v>
      </c>
      <c r="I1870" s="74">
        <f>'12-2017'!I1960</f>
        <v>0</v>
      </c>
      <c r="J1870" s="74">
        <f>'12-2017'!J1960</f>
        <v>0</v>
      </c>
    </row>
    <row r="1871" spans="1:10" s="58" customFormat="1" ht="17.25" hidden="1">
      <c r="A1871" s="10">
        <f>'12-2017'!A1961</f>
        <v>0</v>
      </c>
      <c r="B1871" s="11" t="str">
        <f>'12-2017'!B1961</f>
        <v xml:space="preserve"> - Mạ kẽm bảo vệ bề mặt (trọng lượng 2.613kg/mét dài)</v>
      </c>
      <c r="C1871" s="12" t="str">
        <f>'12-2017'!C1961</f>
        <v>mét</v>
      </c>
      <c r="D1871" s="13">
        <f>'12-2017'!O1961</f>
        <v>120620000</v>
      </c>
      <c r="E1871" s="13">
        <f>'12-2017'!P1961</f>
        <v>120620000</v>
      </c>
      <c r="F1871" s="130">
        <f t="shared" si="76"/>
        <v>0</v>
      </c>
      <c r="H1871" s="74">
        <f>'12-2017'!H1961</f>
        <v>0</v>
      </c>
      <c r="I1871" s="74">
        <f>'12-2017'!I1961</f>
        <v>0</v>
      </c>
      <c r="J1871" s="74">
        <f>'12-2017'!J1961</f>
        <v>0</v>
      </c>
    </row>
    <row r="1872" spans="1:10" s="58" customFormat="1" ht="17.25" hidden="1" customHeight="1">
      <c r="A1872" s="10">
        <f>'12-2017'!A1962</f>
        <v>28</v>
      </c>
      <c r="B1872" s="11" t="str">
        <f>'12-2017'!B1962</f>
        <v>Cầu thép NT6.2 SD 2/1, bề rộng mặt cầu 06m, chiều dài nhịp tối đa 27m, tải trọng 0,65xHL93</v>
      </c>
      <c r="C1872" s="12">
        <f>'12-2017'!C1962</f>
        <v>0</v>
      </c>
      <c r="D1872" s="13">
        <f>'12-2017'!O1962</f>
        <v>0</v>
      </c>
      <c r="E1872" s="13">
        <f>'12-2017'!P1962</f>
        <v>0</v>
      </c>
      <c r="F1872" s="130">
        <f t="shared" si="76"/>
        <v>0</v>
      </c>
      <c r="H1872" s="74">
        <f>'12-2017'!H1962</f>
        <v>0</v>
      </c>
      <c r="I1872" s="74">
        <f>'12-2017'!I1962</f>
        <v>0</v>
      </c>
      <c r="J1872" s="74">
        <f>'12-2017'!J1962</f>
        <v>0</v>
      </c>
    </row>
    <row r="1873" spans="1:10" s="58" customFormat="1" ht="17.25" hidden="1" customHeight="1">
      <c r="A1873" s="10">
        <f>'12-2017'!A1963</f>
        <v>0</v>
      </c>
      <c r="B1873" s="11" t="str">
        <f>'12-2017'!B1963</f>
        <v xml:space="preserve"> - Sơn bảo vệ bề mặt (trọng lượng 2.483kg/mét dài)</v>
      </c>
      <c r="C1873" s="12" t="str">
        <f>'12-2017'!C1963</f>
        <v>mét</v>
      </c>
      <c r="D1873" s="13">
        <f>'12-2017'!O1963</f>
        <v>93482727</v>
      </c>
      <c r="E1873" s="13">
        <f>'12-2017'!P1963</f>
        <v>93482727</v>
      </c>
      <c r="F1873" s="130">
        <f t="shared" si="76"/>
        <v>0</v>
      </c>
      <c r="H1873" s="74">
        <f>'12-2017'!H1963</f>
        <v>0</v>
      </c>
      <c r="I1873" s="74">
        <f>'12-2017'!I1963</f>
        <v>0</v>
      </c>
      <c r="J1873" s="74">
        <f>'12-2017'!J1963</f>
        <v>0</v>
      </c>
    </row>
    <row r="1874" spans="1:10" s="58" customFormat="1" ht="17.25" hidden="1" customHeight="1">
      <c r="A1874" s="10">
        <f>'12-2017'!A1964</f>
        <v>0</v>
      </c>
      <c r="B1874" s="11" t="str">
        <f>'12-2017'!B1964</f>
        <v xml:space="preserve"> - Mạ kẽm bảo vệ bề mặt (trọng lượng 2.483kg/mét dài)</v>
      </c>
      <c r="C1874" s="12" t="str">
        <f>'12-2017'!C1964</f>
        <v>mét</v>
      </c>
      <c r="D1874" s="13">
        <f>'12-2017'!O1964</f>
        <v>114635000</v>
      </c>
      <c r="E1874" s="13">
        <f>'12-2017'!P1964</f>
        <v>114635000</v>
      </c>
      <c r="F1874" s="130">
        <f t="shared" si="76"/>
        <v>0</v>
      </c>
      <c r="H1874" s="74">
        <f>'12-2017'!H1964</f>
        <v>0</v>
      </c>
      <c r="I1874" s="74">
        <f>'12-2017'!I1964</f>
        <v>0</v>
      </c>
      <c r="J1874" s="74">
        <f>'12-2017'!J1964</f>
        <v>0</v>
      </c>
    </row>
    <row r="1875" spans="1:10" s="58" customFormat="1" ht="17.25" hidden="1" customHeight="1">
      <c r="A1875" s="10">
        <f>'12-2017'!A1965</f>
        <v>29</v>
      </c>
      <c r="B1875" s="11" t="str">
        <f>'12-2017'!B1965</f>
        <v>Cầu thép NT6.2LK 2/1, bề rộng mặt cầu 06m, chiều dài nhịp tối đa 30m, tải trọng 0,65xHL93</v>
      </c>
      <c r="C1875" s="12">
        <f>'12-2017'!C1965</f>
        <v>0</v>
      </c>
      <c r="D1875" s="13">
        <f>'12-2017'!O1965</f>
        <v>0</v>
      </c>
      <c r="E1875" s="13">
        <f>'12-2017'!P1965</f>
        <v>0</v>
      </c>
      <c r="F1875" s="130">
        <f t="shared" ref="F1875:F1892" si="77">E1875-D1875</f>
        <v>0</v>
      </c>
      <c r="H1875" s="74">
        <f>'12-2017'!H1965</f>
        <v>0</v>
      </c>
      <c r="I1875" s="74">
        <f>'12-2017'!I1965</f>
        <v>0</v>
      </c>
      <c r="J1875" s="74">
        <f>'12-2017'!J1965</f>
        <v>0</v>
      </c>
    </row>
    <row r="1876" spans="1:10" s="58" customFormat="1" ht="17.25" hidden="1" customHeight="1">
      <c r="A1876" s="10">
        <f>'12-2017'!A1966</f>
        <v>0</v>
      </c>
      <c r="B1876" s="11" t="str">
        <f>'12-2017'!B1966</f>
        <v xml:space="preserve"> - Sơn bảo vệ bề mặt (trọng lượng 2.900kg/mét dài)</v>
      </c>
      <c r="C1876" s="12" t="str">
        <f>'12-2017'!C1966</f>
        <v>mét</v>
      </c>
      <c r="D1876" s="13">
        <f>'12-2017'!O1966</f>
        <v>109182403</v>
      </c>
      <c r="E1876" s="13">
        <f>'12-2017'!P1966</f>
        <v>109182403</v>
      </c>
      <c r="F1876" s="130">
        <f t="shared" si="77"/>
        <v>0</v>
      </c>
      <c r="H1876" s="74">
        <f>'12-2017'!H1966</f>
        <v>0</v>
      </c>
      <c r="I1876" s="74">
        <f>'12-2017'!I1966</f>
        <v>0</v>
      </c>
      <c r="J1876" s="74">
        <f>'12-2017'!J1966</f>
        <v>0</v>
      </c>
    </row>
    <row r="1877" spans="1:10" s="58" customFormat="1" ht="17.25" hidden="1" customHeight="1">
      <c r="A1877" s="10">
        <f>'12-2017'!A1967</f>
        <v>0</v>
      </c>
      <c r="B1877" s="11" t="str">
        <f>'12-2017'!B1967</f>
        <v xml:space="preserve"> - Mạ kẽm bảo vệ bề mặt (trọng lượng 2.900kg/mét dài)</v>
      </c>
      <c r="C1877" s="12" t="str">
        <f>'12-2017'!C1967</f>
        <v>mét</v>
      </c>
      <c r="D1877" s="13">
        <f>'12-2017'!O1967</f>
        <v>133887000</v>
      </c>
      <c r="E1877" s="13">
        <f>'12-2017'!P1967</f>
        <v>133887000</v>
      </c>
      <c r="F1877" s="130">
        <f t="shared" si="77"/>
        <v>0</v>
      </c>
      <c r="H1877" s="74">
        <f>'12-2017'!H1967</f>
        <v>0</v>
      </c>
      <c r="I1877" s="74">
        <f>'12-2017'!I1967</f>
        <v>0</v>
      </c>
      <c r="J1877" s="74">
        <f>'12-2017'!J1967</f>
        <v>0</v>
      </c>
    </row>
    <row r="1878" spans="1:10" s="58" customFormat="1" ht="17.25" hidden="1" customHeight="1">
      <c r="A1878" s="10">
        <f>'12-2017'!A1968</f>
        <v>30</v>
      </c>
      <c r="B1878" s="11" t="str">
        <f>'12-2017'!B1968</f>
        <v>Cầu thép NT5.5CV 1/1, bề rộng mặt cầu 5.5m, chiều dài nhịp tối đa 21m, tải trọng 0,65xHL93</v>
      </c>
      <c r="C1878" s="12">
        <f>'12-2017'!C1968</f>
        <v>0</v>
      </c>
      <c r="D1878" s="13">
        <f>'12-2017'!O1968</f>
        <v>0</v>
      </c>
      <c r="E1878" s="13">
        <f>'12-2017'!P1968</f>
        <v>0</v>
      </c>
      <c r="F1878" s="130">
        <f t="shared" si="77"/>
        <v>0</v>
      </c>
      <c r="H1878" s="74">
        <f>'12-2017'!H1968</f>
        <v>0</v>
      </c>
      <c r="I1878" s="74">
        <f>'12-2017'!I1968</f>
        <v>0</v>
      </c>
      <c r="J1878" s="74">
        <f>'12-2017'!J1968</f>
        <v>0</v>
      </c>
    </row>
    <row r="1879" spans="1:10" s="58" customFormat="1" ht="17.25" hidden="1" customHeight="1">
      <c r="A1879" s="10">
        <f>'12-2017'!A1969</f>
        <v>0</v>
      </c>
      <c r="B1879" s="11" t="str">
        <f>'12-2017'!B1969</f>
        <v xml:space="preserve"> - Sơn bảo vệ bề mặt (trọng lượng 1.755kg/mét dài)</v>
      </c>
      <c r="C1879" s="12" t="str">
        <f>'12-2017'!C1969</f>
        <v>mét</v>
      </c>
      <c r="D1879" s="13">
        <f>'12-2017'!O1969</f>
        <v>66709997</v>
      </c>
      <c r="E1879" s="13">
        <f>'12-2017'!P1969</f>
        <v>66709997</v>
      </c>
      <c r="F1879" s="130">
        <f t="shared" si="77"/>
        <v>0</v>
      </c>
      <c r="H1879" s="74">
        <f>'12-2017'!H1969</f>
        <v>0</v>
      </c>
      <c r="I1879" s="74">
        <f>'12-2017'!I1969</f>
        <v>0</v>
      </c>
      <c r="J1879" s="74">
        <f>'12-2017'!J1969</f>
        <v>0</v>
      </c>
    </row>
    <row r="1880" spans="1:10" s="58" customFormat="1" ht="17.25" hidden="1" customHeight="1">
      <c r="A1880" s="10">
        <f>'12-2017'!A1970</f>
        <v>0</v>
      </c>
      <c r="B1880" s="11" t="str">
        <f>'12-2017'!B1970</f>
        <v xml:space="preserve"> - Mạ kẽm bảo vệ bề mặt (trọng lượng 1.755kg/mét dài)</v>
      </c>
      <c r="C1880" s="12" t="str">
        <f>'12-2017'!C1970</f>
        <v>mét</v>
      </c>
      <c r="D1880" s="13">
        <f>'12-2017'!O1970</f>
        <v>121635551</v>
      </c>
      <c r="E1880" s="13">
        <f>'12-2017'!P1970</f>
        <v>121635551</v>
      </c>
      <c r="F1880" s="130">
        <f t="shared" si="77"/>
        <v>0</v>
      </c>
      <c r="H1880" s="74">
        <f>'12-2017'!H1970</f>
        <v>0</v>
      </c>
      <c r="I1880" s="74">
        <f>'12-2017'!I1970</f>
        <v>0</v>
      </c>
      <c r="J1880" s="74">
        <f>'12-2017'!J1970</f>
        <v>0</v>
      </c>
    </row>
    <row r="1881" spans="1:10" s="58" customFormat="1" ht="17.25" hidden="1" customHeight="1">
      <c r="A1881" s="10">
        <f>'12-2017'!A1971</f>
        <v>31</v>
      </c>
      <c r="B1881" s="11" t="str">
        <f>'12-2017'!B1971</f>
        <v>Cầu thép NT5.5CV 1/1, bề rộng mặt cầu 5.5m, chiều dài nhịp tối đa 27m, tải trọng HL93</v>
      </c>
      <c r="C1881" s="12">
        <f>'12-2017'!C1971</f>
        <v>0</v>
      </c>
      <c r="D1881" s="13">
        <f>'12-2017'!O1971</f>
        <v>0</v>
      </c>
      <c r="E1881" s="13">
        <f>'12-2017'!P1971</f>
        <v>0</v>
      </c>
      <c r="F1881" s="130">
        <f t="shared" si="77"/>
        <v>0</v>
      </c>
      <c r="H1881" s="74">
        <f>'12-2017'!H1971</f>
        <v>0</v>
      </c>
      <c r="I1881" s="74">
        <f>'12-2017'!I1971</f>
        <v>0</v>
      </c>
      <c r="J1881" s="74">
        <f>'12-2017'!J1971</f>
        <v>0</v>
      </c>
    </row>
    <row r="1882" spans="1:10" s="58" customFormat="1" ht="17.25" hidden="1" customHeight="1">
      <c r="A1882" s="10">
        <f>'12-2017'!A1972</f>
        <v>0</v>
      </c>
      <c r="B1882" s="11" t="str">
        <f>'12-2017'!B1972</f>
        <v xml:space="preserve"> - Sơn bảo vệ bề mặt (trọng lượng 2.635kg/mét dài)</v>
      </c>
      <c r="C1882" s="12" t="str">
        <f>'12-2017'!C1972</f>
        <v>mét</v>
      </c>
      <c r="D1882" s="13">
        <f>'12-2017'!O1972</f>
        <v>99264226</v>
      </c>
      <c r="E1882" s="13">
        <f>'12-2017'!P1972</f>
        <v>99264226</v>
      </c>
      <c r="F1882" s="130">
        <f t="shared" si="77"/>
        <v>0</v>
      </c>
      <c r="H1882" s="74">
        <f>'12-2017'!H1972</f>
        <v>0</v>
      </c>
      <c r="I1882" s="74">
        <f>'12-2017'!I1972</f>
        <v>0</v>
      </c>
      <c r="J1882" s="74">
        <f>'12-2017'!J1972</f>
        <v>0</v>
      </c>
    </row>
    <row r="1883" spans="1:10" s="58" customFormat="1" ht="17.25" hidden="1" customHeight="1">
      <c r="A1883" s="10">
        <f>'12-2017'!A1973</f>
        <v>0</v>
      </c>
      <c r="B1883" s="11" t="str">
        <f>'12-2017'!B1973</f>
        <v xml:space="preserve"> - Mạ kẽm bảo vệ bề mặt (trọng lượng 2.635kg/mét dài)</v>
      </c>
      <c r="C1883" s="12" t="str">
        <f>'12-2017'!C1973</f>
        <v>mét</v>
      </c>
      <c r="D1883" s="13">
        <f>'12-2017'!O1973</f>
        <v>121635551</v>
      </c>
      <c r="E1883" s="13">
        <f>'12-2017'!P1973</f>
        <v>121635551</v>
      </c>
      <c r="F1883" s="130">
        <f t="shared" si="77"/>
        <v>0</v>
      </c>
      <c r="H1883" s="74">
        <f>'12-2017'!H1973</f>
        <v>0</v>
      </c>
      <c r="I1883" s="74">
        <f>'12-2017'!I1973</f>
        <v>0</v>
      </c>
      <c r="J1883" s="74">
        <f>'12-2017'!J1973</f>
        <v>0</v>
      </c>
    </row>
    <row r="1884" spans="1:10" s="58" customFormat="1" ht="17.25" hidden="1" customHeight="1">
      <c r="A1884" s="10">
        <f>'12-2017'!A1974</f>
        <v>32</v>
      </c>
      <c r="B1884" s="11" t="str">
        <f>'12-2017'!B1974</f>
        <v>Cầu thép NT5.2CV 2/1, bề rộng mặt cầu 05m, chiều dài nhịp tối đa 30m, tải trọng HL93</v>
      </c>
      <c r="C1884" s="12">
        <f>'12-2017'!C1974</f>
        <v>0</v>
      </c>
      <c r="D1884" s="13">
        <f>'12-2017'!O1974</f>
        <v>0</v>
      </c>
      <c r="E1884" s="13">
        <f>'12-2017'!P1974</f>
        <v>0</v>
      </c>
      <c r="F1884" s="130">
        <f t="shared" si="77"/>
        <v>0</v>
      </c>
      <c r="H1884" s="74">
        <f>'12-2017'!H1974</f>
        <v>0</v>
      </c>
      <c r="I1884" s="74">
        <f>'12-2017'!I1974</f>
        <v>0</v>
      </c>
      <c r="J1884" s="74">
        <f>'12-2017'!J1974</f>
        <v>0</v>
      </c>
    </row>
    <row r="1885" spans="1:10" s="58" customFormat="1" ht="17.25" hidden="1" customHeight="1">
      <c r="A1885" s="10">
        <f>'12-2017'!A1975</f>
        <v>0</v>
      </c>
      <c r="B1885" s="11" t="str">
        <f>'12-2017'!B1975</f>
        <v xml:space="preserve"> - Sơn bảo vệ bề mặt (trọng lượng 2.231kg/mét dài)</v>
      </c>
      <c r="C1885" s="12" t="str">
        <f>'12-2017'!C1975</f>
        <v>mét</v>
      </c>
      <c r="D1885" s="13">
        <f>'12-2017'!O1975</f>
        <v>83990000</v>
      </c>
      <c r="E1885" s="13">
        <f>'12-2017'!P1975</f>
        <v>83990000</v>
      </c>
      <c r="F1885" s="130">
        <f t="shared" si="77"/>
        <v>0</v>
      </c>
      <c r="H1885" s="74">
        <f>'12-2017'!H1975</f>
        <v>0</v>
      </c>
      <c r="I1885" s="74">
        <f>'12-2017'!I1975</f>
        <v>0</v>
      </c>
      <c r="J1885" s="74">
        <f>'12-2017'!J1975</f>
        <v>0</v>
      </c>
    </row>
    <row r="1886" spans="1:10" s="58" customFormat="1" ht="17.25" hidden="1" customHeight="1">
      <c r="A1886" s="10">
        <f>'12-2017'!A1976</f>
        <v>0</v>
      </c>
      <c r="B1886" s="11" t="str">
        <f>'12-2017'!B1976</f>
        <v xml:space="preserve"> - Mạ kẽm bảo vệ bề mặt (trọng lượng 2.231kg/mét dài)</v>
      </c>
      <c r="C1886" s="12" t="str">
        <f>'12-2017'!C1976</f>
        <v>mét</v>
      </c>
      <c r="D1886" s="13">
        <f>'12-2017'!O1976</f>
        <v>103079000</v>
      </c>
      <c r="E1886" s="13">
        <f>'12-2017'!P1976</f>
        <v>103079000</v>
      </c>
      <c r="F1886" s="130">
        <f t="shared" si="77"/>
        <v>0</v>
      </c>
      <c r="H1886" s="74">
        <f>'12-2017'!H1976</f>
        <v>0</v>
      </c>
      <c r="I1886" s="74">
        <f>'12-2017'!I1976</f>
        <v>0</v>
      </c>
      <c r="J1886" s="74">
        <f>'12-2017'!J1976</f>
        <v>0</v>
      </c>
    </row>
    <row r="1887" spans="1:10" s="58" customFormat="1" ht="17.25" hidden="1" customHeight="1">
      <c r="A1887" s="10">
        <f>'12-2017'!A1977</f>
        <v>33</v>
      </c>
      <c r="B1887" s="11" t="str">
        <f>'12-2017'!B1977</f>
        <v>Cầu thép NT5.2CM 2/1, bề rộng mặt cầu 05m, chiều dài nhịp tối đa 30m, tải trọng 0,5xHL93</v>
      </c>
      <c r="C1887" s="12">
        <f>'12-2017'!C1977</f>
        <v>0</v>
      </c>
      <c r="D1887" s="13">
        <f>'12-2017'!O1977</f>
        <v>0</v>
      </c>
      <c r="E1887" s="13">
        <f>'12-2017'!P1977</f>
        <v>0</v>
      </c>
      <c r="F1887" s="130">
        <f t="shared" si="77"/>
        <v>0</v>
      </c>
      <c r="H1887" s="74">
        <f>'12-2017'!H1977</f>
        <v>0</v>
      </c>
      <c r="I1887" s="74">
        <f>'12-2017'!I1977</f>
        <v>0</v>
      </c>
      <c r="J1887" s="74">
        <f>'12-2017'!J1977</f>
        <v>0</v>
      </c>
    </row>
    <row r="1888" spans="1:10" s="58" customFormat="1" ht="17.25" hidden="1" customHeight="1">
      <c r="A1888" s="10">
        <f>'12-2017'!A1978</f>
        <v>0</v>
      </c>
      <c r="B1888" s="11" t="str">
        <f>'12-2017'!B1978</f>
        <v xml:space="preserve"> - Sơn bảo vệ bề mặt (trọng lượng 1.584kg/mét dài)</v>
      </c>
      <c r="C1888" s="12" t="str">
        <f>'12-2017'!C1978</f>
        <v>mét</v>
      </c>
      <c r="D1888" s="13">
        <f>'12-2017'!O1978</f>
        <v>59639091</v>
      </c>
      <c r="E1888" s="13">
        <f>'12-2017'!P1978</f>
        <v>59639091</v>
      </c>
      <c r="F1888" s="130">
        <f t="shared" si="77"/>
        <v>0</v>
      </c>
      <c r="H1888" s="74">
        <f>'12-2017'!H1978</f>
        <v>0</v>
      </c>
      <c r="I1888" s="74">
        <f>'12-2017'!I1978</f>
        <v>0</v>
      </c>
      <c r="J1888" s="74">
        <f>'12-2017'!J1978</f>
        <v>0</v>
      </c>
    </row>
    <row r="1889" spans="1:10" s="58" customFormat="1" ht="17.25" hidden="1" customHeight="1">
      <c r="A1889" s="10">
        <f>'12-2017'!A1979</f>
        <v>0</v>
      </c>
      <c r="B1889" s="11" t="str">
        <f>'12-2017'!B1979</f>
        <v xml:space="preserve"> - Mạ kẽm bảo vệ bề mặt (trọng lượng 1.584kg/mét dài)</v>
      </c>
      <c r="C1889" s="12" t="str">
        <f>'12-2017'!C1979</f>
        <v>mét</v>
      </c>
      <c r="D1889" s="13">
        <f>'12-2017'!O1979</f>
        <v>73156000</v>
      </c>
      <c r="E1889" s="13">
        <f>'12-2017'!P1979</f>
        <v>73156000</v>
      </c>
      <c r="F1889" s="130">
        <f t="shared" si="77"/>
        <v>0</v>
      </c>
      <c r="H1889" s="74">
        <f>'12-2017'!H1979</f>
        <v>0</v>
      </c>
      <c r="I1889" s="74">
        <f>'12-2017'!I1979</f>
        <v>0</v>
      </c>
      <c r="J1889" s="74">
        <f>'12-2017'!J1979</f>
        <v>0</v>
      </c>
    </row>
    <row r="1890" spans="1:10" s="58" customFormat="1" ht="17.25" hidden="1" customHeight="1">
      <c r="A1890" s="10">
        <f>'12-2017'!A1980</f>
        <v>34</v>
      </c>
      <c r="B1890" s="11" t="str">
        <f>'12-2017'!B1980</f>
        <v>Cầu thép NT5.2CV 1/1, bề rộng mặt cầu 05m, chiều dài nhịp tối đa 24m, tải trọng 0,65xHL93</v>
      </c>
      <c r="C1890" s="12">
        <f>'12-2017'!C1980</f>
        <v>0</v>
      </c>
      <c r="D1890" s="13">
        <f>'12-2017'!O1980</f>
        <v>0</v>
      </c>
      <c r="E1890" s="13">
        <f>'12-2017'!P1980</f>
        <v>0</v>
      </c>
      <c r="F1890" s="130">
        <f t="shared" si="77"/>
        <v>0</v>
      </c>
      <c r="H1890" s="74">
        <f>'12-2017'!H1980</f>
        <v>0</v>
      </c>
      <c r="I1890" s="74">
        <f>'12-2017'!I1980</f>
        <v>0</v>
      </c>
      <c r="J1890" s="74">
        <f>'12-2017'!J1980</f>
        <v>0</v>
      </c>
    </row>
    <row r="1891" spans="1:10" s="58" customFormat="1" ht="17.25" hidden="1" customHeight="1">
      <c r="A1891" s="10">
        <f>'12-2017'!A1981</f>
        <v>0</v>
      </c>
      <c r="B1891" s="11" t="str">
        <f>'12-2017'!B1981</f>
        <v xml:space="preserve"> - Sơn bảo vệ bề mặt (trọng lượng 1.800kg/mét dài)</v>
      </c>
      <c r="C1891" s="12" t="str">
        <f>'12-2017'!C1981</f>
        <v>mét</v>
      </c>
      <c r="D1891" s="13">
        <f>'12-2017'!O1981</f>
        <v>67762224</v>
      </c>
      <c r="E1891" s="13">
        <f>'12-2017'!P1981</f>
        <v>67762224</v>
      </c>
      <c r="F1891" s="130">
        <f t="shared" si="77"/>
        <v>0</v>
      </c>
      <c r="H1891" s="74">
        <f>'12-2017'!H1981</f>
        <v>0</v>
      </c>
      <c r="I1891" s="74">
        <f>'12-2017'!I1981</f>
        <v>0</v>
      </c>
      <c r="J1891" s="74">
        <f>'12-2017'!J1981</f>
        <v>0</v>
      </c>
    </row>
    <row r="1892" spans="1:10" s="58" customFormat="1" ht="17.25" hidden="1" customHeight="1">
      <c r="A1892" s="10">
        <f>'12-2017'!A1982</f>
        <v>0</v>
      </c>
      <c r="B1892" s="11" t="str">
        <f>'12-2017'!B1982</f>
        <v xml:space="preserve"> - Mạ kẽm bảo vệ bề mặt (trọng lượng 1.800kg/mét dài)</v>
      </c>
      <c r="C1892" s="12" t="str">
        <f>'12-2017'!C1982</f>
        <v>mét</v>
      </c>
      <c r="D1892" s="13">
        <f>'12-2017'!O1982</f>
        <v>83164000</v>
      </c>
      <c r="E1892" s="13">
        <f>'12-2017'!P1982</f>
        <v>83164000</v>
      </c>
      <c r="F1892" s="130">
        <f t="shared" si="77"/>
        <v>0</v>
      </c>
      <c r="H1892" s="74">
        <f>'12-2017'!H1982</f>
        <v>0</v>
      </c>
      <c r="I1892" s="74">
        <f>'12-2017'!I1982</f>
        <v>0</v>
      </c>
      <c r="J1892" s="74">
        <f>'12-2017'!J1982</f>
        <v>0</v>
      </c>
    </row>
    <row r="1893" spans="1:10" s="58" customFormat="1" ht="17.25" hidden="1" customHeight="1">
      <c r="A1893" s="10">
        <f>'12-2017'!A1983</f>
        <v>35</v>
      </c>
      <c r="B1893" s="11" t="str">
        <f>'12-2017'!B1983</f>
        <v>Cầu thép NT5.2CV 2/1, bề rộng mặt cầu 05m, chiều dài nhịp tối đa 30m, tải trọng 0,65xHL93</v>
      </c>
      <c r="C1893" s="12">
        <f>'12-2017'!C1983</f>
        <v>0</v>
      </c>
      <c r="D1893" s="13">
        <f>'12-2017'!O1983</f>
        <v>0</v>
      </c>
      <c r="E1893" s="13">
        <f>'12-2017'!P1983</f>
        <v>0</v>
      </c>
      <c r="F1893" s="130">
        <f t="shared" ref="F1893:F1907" si="78">E1893-D1893</f>
        <v>0</v>
      </c>
      <c r="H1893" s="74">
        <f>'12-2017'!H1983</f>
        <v>0</v>
      </c>
      <c r="I1893" s="74">
        <f>'12-2017'!I1983</f>
        <v>0</v>
      </c>
      <c r="J1893" s="74">
        <f>'12-2017'!J1983</f>
        <v>0</v>
      </c>
    </row>
    <row r="1894" spans="1:10" s="58" customFormat="1" ht="17.25" hidden="1" customHeight="1">
      <c r="A1894" s="10">
        <f>'12-2017'!A1984</f>
        <v>0</v>
      </c>
      <c r="B1894" s="11" t="str">
        <f>'12-2017'!B1984</f>
        <v xml:space="preserve"> - Sơn bảo vệ bề mặt (trọng lượng 1.960kg/mét dài)</v>
      </c>
      <c r="C1894" s="12" t="str">
        <f>'12-2017'!C1984</f>
        <v>mét</v>
      </c>
      <c r="D1894" s="13">
        <f>'12-2017'!O1984</f>
        <v>73787718</v>
      </c>
      <c r="E1894" s="13">
        <f>'12-2017'!P1984</f>
        <v>73787718</v>
      </c>
      <c r="F1894" s="130">
        <f t="shared" si="78"/>
        <v>0</v>
      </c>
      <c r="H1894" s="74">
        <f>'12-2017'!H1984</f>
        <v>0</v>
      </c>
      <c r="I1894" s="74">
        <f>'12-2017'!I1984</f>
        <v>0</v>
      </c>
      <c r="J1894" s="74">
        <f>'12-2017'!J1984</f>
        <v>0</v>
      </c>
    </row>
    <row r="1895" spans="1:10" s="58" customFormat="1" ht="17.25" hidden="1" customHeight="1">
      <c r="A1895" s="10">
        <f>'12-2017'!A1985</f>
        <v>0</v>
      </c>
      <c r="B1895" s="11" t="str">
        <f>'12-2017'!B1985</f>
        <v xml:space="preserve"> - Mạ kẽm bảo vệ bề mặt (trọng lượng 1.960kg/mét dài)</v>
      </c>
      <c r="C1895" s="12" t="str">
        <f>'12-2017'!C1985</f>
        <v>mét</v>
      </c>
      <c r="D1895" s="13">
        <f>'12-2017'!O1985</f>
        <v>90558000</v>
      </c>
      <c r="E1895" s="13">
        <f>'12-2017'!P1985</f>
        <v>90558000</v>
      </c>
      <c r="F1895" s="130">
        <f t="shared" si="78"/>
        <v>0</v>
      </c>
      <c r="H1895" s="74">
        <f>'12-2017'!H1985</f>
        <v>0</v>
      </c>
      <c r="I1895" s="74">
        <f>'12-2017'!I1985</f>
        <v>0</v>
      </c>
      <c r="J1895" s="74">
        <f>'12-2017'!J1985</f>
        <v>0</v>
      </c>
    </row>
    <row r="1896" spans="1:10" s="58" customFormat="1" ht="17.25" hidden="1" customHeight="1">
      <c r="A1896" s="10">
        <f>'12-2017'!A1986</f>
        <v>36</v>
      </c>
      <c r="B1896" s="11" t="str">
        <f>'12-2017'!B1986</f>
        <v>Cầu thép NT5.2CV 3/1, bề rộng mặt cầu 05m, chiều dài nhịp tối đa 33m, tải trọng 0,65xHL93</v>
      </c>
      <c r="C1896" s="12">
        <f>'12-2017'!C1986</f>
        <v>0</v>
      </c>
      <c r="D1896" s="13">
        <f>'12-2017'!O1986</f>
        <v>0</v>
      </c>
      <c r="E1896" s="13">
        <f>'12-2017'!P1986</f>
        <v>0</v>
      </c>
      <c r="F1896" s="130">
        <f t="shared" si="78"/>
        <v>0</v>
      </c>
      <c r="H1896" s="74">
        <f>'12-2017'!H1986</f>
        <v>0</v>
      </c>
      <c r="I1896" s="74">
        <f>'12-2017'!I1986</f>
        <v>0</v>
      </c>
      <c r="J1896" s="74">
        <f>'12-2017'!J1986</f>
        <v>0</v>
      </c>
    </row>
    <row r="1897" spans="1:10" s="58" customFormat="1" ht="17.25" hidden="1" customHeight="1">
      <c r="A1897" s="10">
        <f>'12-2017'!A1987</f>
        <v>0</v>
      </c>
      <c r="B1897" s="11" t="str">
        <f>'12-2017'!B1987</f>
        <v xml:space="preserve"> - Sơn bảo vệ bề mặt (trọng lượng 2.530kg/mét dài)</v>
      </c>
      <c r="C1897" s="12" t="str">
        <f>'12-2017'!C1987</f>
        <v>mét</v>
      </c>
      <c r="D1897" s="13">
        <f>'12-2017'!O1987</f>
        <v>94943712</v>
      </c>
      <c r="E1897" s="13">
        <f>'12-2017'!P1987</f>
        <v>94943712</v>
      </c>
      <c r="F1897" s="130">
        <f t="shared" si="78"/>
        <v>0</v>
      </c>
      <c r="H1897" s="74">
        <f>'12-2017'!H1987</f>
        <v>0</v>
      </c>
      <c r="I1897" s="74">
        <f>'12-2017'!I1987</f>
        <v>0</v>
      </c>
      <c r="J1897" s="74">
        <f>'12-2017'!J1987</f>
        <v>0</v>
      </c>
    </row>
    <row r="1898" spans="1:10" s="58" customFormat="1" ht="17.25" hidden="1" customHeight="1">
      <c r="A1898" s="10">
        <f>'12-2017'!A1988</f>
        <v>0</v>
      </c>
      <c r="B1898" s="11" t="str">
        <f>'12-2017'!B1988</f>
        <v xml:space="preserve"> - Mạ kẽm bảo vệ bề mặt (trọng lượng 2.530kg/mét dài)</v>
      </c>
      <c r="C1898" s="12" t="str">
        <f>'12-2017'!C1988</f>
        <v>mét</v>
      </c>
      <c r="D1898" s="13">
        <f>'12-2017'!O1988</f>
        <v>116828000</v>
      </c>
      <c r="E1898" s="13">
        <f>'12-2017'!P1988</f>
        <v>116828000</v>
      </c>
      <c r="F1898" s="130">
        <f t="shared" si="78"/>
        <v>0</v>
      </c>
      <c r="H1898" s="74">
        <f>'12-2017'!H1988</f>
        <v>0</v>
      </c>
      <c r="I1898" s="74">
        <f>'12-2017'!I1988</f>
        <v>0</v>
      </c>
      <c r="J1898" s="74">
        <f>'12-2017'!J1988</f>
        <v>0</v>
      </c>
    </row>
    <row r="1899" spans="1:10" s="58" customFormat="1" ht="17.25" hidden="1" customHeight="1">
      <c r="A1899" s="10">
        <f>'12-2017'!A1989</f>
        <v>37</v>
      </c>
      <c r="B1899" s="11" t="str">
        <f>'12-2017'!B1989</f>
        <v>Cầu thép NT5.2CV 3/1, bề rộng mặt cầu 05m, chiều dài nhịp tối đa 33m, tải trọng HL93</v>
      </c>
      <c r="C1899" s="12">
        <f>'12-2017'!C1989</f>
        <v>0</v>
      </c>
      <c r="D1899" s="13">
        <f>'12-2017'!O1989</f>
        <v>0</v>
      </c>
      <c r="E1899" s="13">
        <f>'12-2017'!P1989</f>
        <v>0</v>
      </c>
      <c r="F1899" s="130">
        <f t="shared" si="78"/>
        <v>0</v>
      </c>
      <c r="H1899" s="74">
        <f>'12-2017'!H1989</f>
        <v>0</v>
      </c>
      <c r="I1899" s="74">
        <f>'12-2017'!I1989</f>
        <v>0</v>
      </c>
      <c r="J1899" s="74">
        <f>'12-2017'!J1989</f>
        <v>0</v>
      </c>
    </row>
    <row r="1900" spans="1:10" s="58" customFormat="1" ht="17.25" hidden="1" customHeight="1">
      <c r="A1900" s="10">
        <f>'12-2017'!A1990</f>
        <v>0</v>
      </c>
      <c r="B1900" s="11" t="str">
        <f>'12-2017'!B1990</f>
        <v xml:space="preserve"> - Sơn bảo vệ bề mặt (trọng lượng 2.878kg/mét dài)</v>
      </c>
      <c r="C1900" s="12" t="str">
        <f>'12-2017'!C1990</f>
        <v>mét</v>
      </c>
      <c r="D1900" s="13">
        <f>'12-2017'!O1990</f>
        <v>108340909</v>
      </c>
      <c r="E1900" s="13">
        <f>'12-2017'!P1990</f>
        <v>108340909</v>
      </c>
      <c r="F1900" s="130">
        <f t="shared" si="78"/>
        <v>0</v>
      </c>
      <c r="H1900" s="74">
        <f>'12-2017'!H1990</f>
        <v>0</v>
      </c>
      <c r="I1900" s="74">
        <f>'12-2017'!I1990</f>
        <v>0</v>
      </c>
      <c r="J1900" s="74">
        <f>'12-2017'!J1990</f>
        <v>0</v>
      </c>
    </row>
    <row r="1901" spans="1:10" s="58" customFormat="1" ht="17.25" hidden="1" customHeight="1">
      <c r="A1901" s="10">
        <f>'12-2017'!A1991</f>
        <v>0</v>
      </c>
      <c r="B1901" s="11" t="str">
        <f>'12-2017'!B1991</f>
        <v xml:space="preserve"> - Mạ kẽm bảo vệ bề mặt (trọng lượng 2.878kg/mét dài)</v>
      </c>
      <c r="C1901" s="12" t="str">
        <f>'12-2017'!C1991</f>
        <v>mét</v>
      </c>
      <c r="D1901" s="13">
        <f>'12-2017'!O1991</f>
        <v>132898000</v>
      </c>
      <c r="E1901" s="13">
        <f>'12-2017'!P1991</f>
        <v>132898000</v>
      </c>
      <c r="F1901" s="130">
        <f t="shared" si="78"/>
        <v>0</v>
      </c>
      <c r="H1901" s="74">
        <f>'12-2017'!H1991</f>
        <v>0</v>
      </c>
      <c r="I1901" s="74">
        <f>'12-2017'!I1991</f>
        <v>0</v>
      </c>
      <c r="J1901" s="74">
        <f>'12-2017'!J1991</f>
        <v>0</v>
      </c>
    </row>
    <row r="1902" spans="1:10" s="58" customFormat="1" ht="17.25" hidden="1" customHeight="1">
      <c r="A1902" s="10">
        <f>'12-2017'!A1992</f>
        <v>0</v>
      </c>
      <c r="B1902" s="11" t="str">
        <f>'12-2017'!B1992</f>
        <v xml:space="preserve">Đoạn nối nhịp; Đoạn sàn đầu cầu : </v>
      </c>
      <c r="C1902" s="12">
        <f>'12-2017'!C1992</f>
        <v>0</v>
      </c>
      <c r="D1902" s="13">
        <f>'12-2017'!O1992</f>
        <v>0</v>
      </c>
      <c r="E1902" s="13">
        <f>'12-2017'!P1992</f>
        <v>0</v>
      </c>
      <c r="F1902" s="130">
        <f t="shared" si="78"/>
        <v>0</v>
      </c>
      <c r="H1902" s="74">
        <f>'12-2017'!H1992</f>
        <v>0</v>
      </c>
      <c r="I1902" s="74">
        <f>'12-2017'!I1992</f>
        <v>0</v>
      </c>
      <c r="J1902" s="74">
        <f>'12-2017'!J1992</f>
        <v>0</v>
      </c>
    </row>
    <row r="1903" spans="1:10" s="58" customFormat="1" ht="17.25" hidden="1" customHeight="1">
      <c r="A1903" s="10">
        <f>'12-2017'!A1993</f>
        <v>38</v>
      </c>
      <c r="B1903" s="11" t="str">
        <f>'12-2017'!B1993</f>
        <v>Cầu NT5.2  loại CV,CM, SC,SD,LK mạ kẽm</v>
      </c>
      <c r="C1903" s="12">
        <f>'12-2017'!C1993</f>
        <v>0</v>
      </c>
      <c r="D1903" s="13">
        <f>'12-2017'!O1993</f>
        <v>0</v>
      </c>
      <c r="E1903" s="13">
        <f>'12-2017'!P1993</f>
        <v>0</v>
      </c>
      <c r="F1903" s="130">
        <f t="shared" si="78"/>
        <v>0</v>
      </c>
      <c r="H1903" s="74">
        <f>'12-2017'!H1993</f>
        <v>0</v>
      </c>
      <c r="I1903" s="74">
        <f>'12-2017'!I1993</f>
        <v>0</v>
      </c>
      <c r="J1903" s="74">
        <f>'12-2017'!J1993</f>
        <v>0</v>
      </c>
    </row>
    <row r="1904" spans="1:10" s="58" customFormat="1" ht="17.25" hidden="1" customHeight="1">
      <c r="A1904" s="10">
        <f>'12-2017'!A1994</f>
        <v>0</v>
      </c>
      <c r="B1904" s="11" t="str">
        <f>'12-2017'!B1994</f>
        <v>01 Đoạn nối nhịp (trọng lượng 407kg/mét dài)</v>
      </c>
      <c r="C1904" s="12" t="str">
        <f>'12-2017'!C1994</f>
        <v>đoạn</v>
      </c>
      <c r="D1904" s="13">
        <f>'12-2017'!O1994</f>
        <v>16545454</v>
      </c>
      <c r="E1904" s="13">
        <f>'12-2017'!P1994</f>
        <v>16545454</v>
      </c>
      <c r="F1904" s="130">
        <f t="shared" si="78"/>
        <v>0</v>
      </c>
      <c r="H1904" s="74">
        <f>'12-2017'!H1994</f>
        <v>0</v>
      </c>
      <c r="I1904" s="74">
        <f>'12-2017'!I1994</f>
        <v>0</v>
      </c>
      <c r="J1904" s="74">
        <f>'12-2017'!J1994</f>
        <v>0</v>
      </c>
    </row>
    <row r="1905" spans="1:10" s="58" customFormat="1" ht="17.25" hidden="1" customHeight="1">
      <c r="A1905" s="10">
        <f>'12-2017'!A1995</f>
        <v>0</v>
      </c>
      <c r="B1905" s="11" t="str">
        <f>'12-2017'!B1995</f>
        <v>01 Đoạn sàn đầu cầu (trọng lượng 1975kg/mét dài)</v>
      </c>
      <c r="C1905" s="12" t="str">
        <f>'12-2017'!C1995</f>
        <v>đoạn</v>
      </c>
      <c r="D1905" s="13">
        <f>'12-2017'!O1995</f>
        <v>72906335</v>
      </c>
      <c r="E1905" s="13">
        <f>'12-2017'!P1995</f>
        <v>72906335</v>
      </c>
      <c r="F1905" s="130">
        <f t="shared" si="78"/>
        <v>0</v>
      </c>
      <c r="H1905" s="74">
        <f>'12-2017'!H1995</f>
        <v>0</v>
      </c>
      <c r="I1905" s="74">
        <f>'12-2017'!I1995</f>
        <v>0</v>
      </c>
      <c r="J1905" s="74">
        <f>'12-2017'!J1995</f>
        <v>0</v>
      </c>
    </row>
    <row r="1906" spans="1:10" s="58" customFormat="1" ht="17.25" hidden="1" customHeight="1">
      <c r="A1906" s="10">
        <f>'12-2017'!A1996</f>
        <v>39</v>
      </c>
      <c r="B1906" s="11" t="str">
        <f>'12-2017'!B1996</f>
        <v>Cầu NT5.2  loại CV,CM, SC,SD,LK sơn</v>
      </c>
      <c r="C1906" s="12">
        <f>'12-2017'!C1996</f>
        <v>0</v>
      </c>
      <c r="D1906" s="13">
        <f>'12-2017'!O1996</f>
        <v>0</v>
      </c>
      <c r="E1906" s="13">
        <f>'12-2017'!P1996</f>
        <v>0</v>
      </c>
      <c r="F1906" s="130">
        <f t="shared" si="78"/>
        <v>0</v>
      </c>
      <c r="H1906" s="74">
        <f>'12-2017'!H1996</f>
        <v>0</v>
      </c>
      <c r="I1906" s="74">
        <f>'12-2017'!I1996</f>
        <v>0</v>
      </c>
      <c r="J1906" s="74">
        <f>'12-2017'!J1996</f>
        <v>0</v>
      </c>
    </row>
    <row r="1907" spans="1:10" s="58" customFormat="1" ht="17.25" hidden="1" customHeight="1">
      <c r="A1907" s="10">
        <f>'12-2017'!A1997</f>
        <v>0</v>
      </c>
      <c r="B1907" s="11" t="str">
        <f>'12-2017'!B1997</f>
        <v>01 Đoạn nối nhịp (trọng lượng 407kg/mét dài)</v>
      </c>
      <c r="C1907" s="12" t="str">
        <f>'12-2017'!C1997</f>
        <v>đoạn</v>
      </c>
      <c r="D1907" s="13">
        <f>'12-2017'!O1997</f>
        <v>13490909</v>
      </c>
      <c r="E1907" s="13">
        <f>'12-2017'!P1997</f>
        <v>13490909</v>
      </c>
      <c r="F1907" s="130">
        <f t="shared" si="78"/>
        <v>0</v>
      </c>
      <c r="H1907" s="74">
        <f>'12-2017'!H1997</f>
        <v>0</v>
      </c>
      <c r="I1907" s="74">
        <f>'12-2017'!I1997</f>
        <v>0</v>
      </c>
      <c r="J1907" s="74">
        <f>'12-2017'!J1997</f>
        <v>0</v>
      </c>
    </row>
    <row r="1908" spans="1:10" s="58" customFormat="1" ht="17.25" hidden="1" customHeight="1">
      <c r="A1908" s="10">
        <f>'12-2017'!A1998</f>
        <v>0</v>
      </c>
      <c r="B1908" s="11" t="str">
        <f>'12-2017'!B1998</f>
        <v>01 Đoạn sàn đầu cầu (trọng lượng 1.975kg/mét dài)</v>
      </c>
      <c r="C1908" s="12" t="str">
        <f>'12-2017'!C1998</f>
        <v>đoạn</v>
      </c>
      <c r="D1908" s="13">
        <f>'12-2017'!O1998</f>
        <v>58060802</v>
      </c>
      <c r="E1908" s="13">
        <f>'12-2017'!P1998</f>
        <v>58060802</v>
      </c>
      <c r="F1908" s="130">
        <f t="shared" ref="F1908:F1935" si="79">E1908-D1908</f>
        <v>0</v>
      </c>
      <c r="H1908" s="74">
        <f>'12-2017'!H1998</f>
        <v>0</v>
      </c>
      <c r="I1908" s="74">
        <f>'12-2017'!I1998</f>
        <v>0</v>
      </c>
      <c r="J1908" s="74">
        <f>'12-2017'!J1998</f>
        <v>0</v>
      </c>
    </row>
    <row r="1909" spans="1:10" s="58" customFormat="1" ht="17.25" hidden="1" customHeight="1">
      <c r="A1909" s="10">
        <f>'12-2017'!A1999</f>
        <v>40</v>
      </c>
      <c r="B1909" s="11" t="str">
        <f>'12-2017'!B1999</f>
        <v>Cầu NT5.5  loại CV,CM, SC,SD,LK mạ kẽm</v>
      </c>
      <c r="C1909" s="12">
        <f>'12-2017'!C1999</f>
        <v>0</v>
      </c>
      <c r="D1909" s="13">
        <f>'12-2017'!O1999</f>
        <v>0</v>
      </c>
      <c r="E1909" s="13">
        <f>'12-2017'!P1999</f>
        <v>0</v>
      </c>
      <c r="F1909" s="130">
        <f t="shared" si="79"/>
        <v>0</v>
      </c>
      <c r="H1909" s="74">
        <f>'12-2017'!H1999</f>
        <v>0</v>
      </c>
      <c r="I1909" s="74">
        <f>'12-2017'!I1999</f>
        <v>0</v>
      </c>
      <c r="J1909" s="74">
        <f>'12-2017'!J1999</f>
        <v>0</v>
      </c>
    </row>
    <row r="1910" spans="1:10" s="58" customFormat="1" ht="17.25" hidden="1" customHeight="1">
      <c r="A1910" s="10">
        <f>'12-2017'!A2000</f>
        <v>0</v>
      </c>
      <c r="B1910" s="11" t="str">
        <f>'12-2017'!B2000</f>
        <v>01 Đoạn nối nhịp (trọng lượng 420kg/mét dài)</v>
      </c>
      <c r="C1910" s="12" t="str">
        <f>'12-2017'!C2000</f>
        <v>đoạn</v>
      </c>
      <c r="D1910" s="13">
        <f>'12-2017'!O2000</f>
        <v>17866666</v>
      </c>
      <c r="E1910" s="13">
        <f>'12-2017'!P2000</f>
        <v>17866666</v>
      </c>
      <c r="F1910" s="130">
        <f t="shared" si="79"/>
        <v>0</v>
      </c>
      <c r="H1910" s="74">
        <f>'12-2017'!H2000</f>
        <v>0</v>
      </c>
      <c r="I1910" s="74">
        <f>'12-2017'!I2000</f>
        <v>0</v>
      </c>
      <c r="J1910" s="74">
        <f>'12-2017'!J2000</f>
        <v>0</v>
      </c>
    </row>
    <row r="1911" spans="1:10" s="58" customFormat="1" ht="17.25" hidden="1" customHeight="1">
      <c r="A1911" s="10">
        <f>'12-2017'!A2001</f>
        <v>0</v>
      </c>
      <c r="B1911" s="11" t="str">
        <f>'12-2017'!B2001</f>
        <v>01 Đoạn sàn đầu cầu (trọng lượng 2,034kg/mét dài)</v>
      </c>
      <c r="C1911" s="12" t="str">
        <f>'12-2017'!C2001</f>
        <v>đoạn</v>
      </c>
      <c r="D1911" s="13">
        <f>'12-2017'!O2001</f>
        <v>82700000</v>
      </c>
      <c r="E1911" s="13">
        <f>'12-2017'!P2001</f>
        <v>82700000</v>
      </c>
      <c r="F1911" s="130">
        <f t="shared" si="79"/>
        <v>0</v>
      </c>
      <c r="H1911" s="74">
        <f>'12-2017'!H2001</f>
        <v>0</v>
      </c>
      <c r="I1911" s="74">
        <f>'12-2017'!I2001</f>
        <v>0</v>
      </c>
      <c r="J1911" s="74">
        <f>'12-2017'!J2001</f>
        <v>0</v>
      </c>
    </row>
    <row r="1912" spans="1:10" s="58" customFormat="1" ht="17.25" hidden="1" customHeight="1">
      <c r="A1912" s="10">
        <f>'12-2017'!A2002</f>
        <v>41</v>
      </c>
      <c r="B1912" s="11" t="str">
        <f>'12-2017'!B2002</f>
        <v>Cầu NT5.5  loại CV,CM, SC,SD,LK sơn</v>
      </c>
      <c r="C1912" s="12">
        <f>'12-2017'!C2002</f>
        <v>0</v>
      </c>
      <c r="D1912" s="13">
        <f>'12-2017'!O2002</f>
        <v>0</v>
      </c>
      <c r="E1912" s="13">
        <f>'12-2017'!P2002</f>
        <v>0</v>
      </c>
      <c r="F1912" s="130">
        <f t="shared" si="79"/>
        <v>0</v>
      </c>
      <c r="H1912" s="74">
        <f>'12-2017'!H2002</f>
        <v>0</v>
      </c>
      <c r="I1912" s="74">
        <f>'12-2017'!I2002</f>
        <v>0</v>
      </c>
      <c r="J1912" s="74">
        <f>'12-2017'!J2002</f>
        <v>0</v>
      </c>
    </row>
    <row r="1913" spans="1:10" s="58" customFormat="1" ht="17.25" hidden="1" customHeight="1">
      <c r="A1913" s="10">
        <f>'12-2017'!A2003</f>
        <v>0</v>
      </c>
      <c r="B1913" s="11" t="str">
        <f>'12-2017'!B2003</f>
        <v>01 Đoạn nối nhịp (trọng lượng 420kg/mét dài)</v>
      </c>
      <c r="C1913" s="12" t="str">
        <f>'12-2017'!C2003</f>
        <v>đoạn</v>
      </c>
      <c r="D1913" s="13">
        <f>'12-2017'!O2003</f>
        <v>14812121</v>
      </c>
      <c r="E1913" s="13">
        <f>'12-2017'!P2003</f>
        <v>14812121</v>
      </c>
      <c r="F1913" s="130">
        <f t="shared" si="79"/>
        <v>0</v>
      </c>
      <c r="H1913" s="74">
        <f>'12-2017'!H2003</f>
        <v>0</v>
      </c>
      <c r="I1913" s="74">
        <f>'12-2017'!I2003</f>
        <v>0</v>
      </c>
      <c r="J1913" s="74">
        <f>'12-2017'!J2003</f>
        <v>0</v>
      </c>
    </row>
    <row r="1914" spans="1:10" s="58" customFormat="1" ht="17.25" hidden="1" customHeight="1">
      <c r="A1914" s="10">
        <f>'12-2017'!A2004</f>
        <v>0</v>
      </c>
      <c r="B1914" s="11" t="str">
        <f>'12-2017'!B2004</f>
        <v>01 Đoạn sàn đầu cầu (trọng lượng 2,034kg/mét dài)</v>
      </c>
      <c r="C1914" s="12" t="str">
        <f>'12-2017'!C2004</f>
        <v>đoạn</v>
      </c>
      <c r="D1914" s="13">
        <f>'12-2017'!O2004</f>
        <v>67436363</v>
      </c>
      <c r="E1914" s="13">
        <f>'12-2017'!P2004</f>
        <v>67436363</v>
      </c>
      <c r="F1914" s="130">
        <f t="shared" si="79"/>
        <v>0</v>
      </c>
      <c r="H1914" s="74">
        <f>'12-2017'!H2004</f>
        <v>0</v>
      </c>
      <c r="I1914" s="74">
        <f>'12-2017'!I2004</f>
        <v>0</v>
      </c>
      <c r="J1914" s="74">
        <f>'12-2017'!J2004</f>
        <v>0</v>
      </c>
    </row>
    <row r="1915" spans="1:10" s="58" customFormat="1" ht="17.25" hidden="1" customHeight="1">
      <c r="A1915" s="10">
        <f>'12-2017'!A2005</f>
        <v>42</v>
      </c>
      <c r="B1915" s="11" t="str">
        <f>'12-2017'!B2005</f>
        <v>Cầu NT6.2  loại CV,CM, SC,SD,LK mạ kẽm</v>
      </c>
      <c r="C1915" s="12">
        <f>'12-2017'!C2005</f>
        <v>0</v>
      </c>
      <c r="D1915" s="13">
        <f>'12-2017'!O2005</f>
        <v>0</v>
      </c>
      <c r="E1915" s="13">
        <f>'12-2017'!P2005</f>
        <v>0</v>
      </c>
      <c r="F1915" s="130">
        <f t="shared" si="79"/>
        <v>0</v>
      </c>
      <c r="H1915" s="74">
        <f>'12-2017'!H2005</f>
        <v>0</v>
      </c>
      <c r="I1915" s="74">
        <f>'12-2017'!I2005</f>
        <v>0</v>
      </c>
      <c r="J1915" s="74">
        <f>'12-2017'!J2005</f>
        <v>0</v>
      </c>
    </row>
    <row r="1916" spans="1:10" s="58" customFormat="1" ht="17.25" hidden="1" customHeight="1">
      <c r="A1916" s="10">
        <f>'12-2017'!A2006</f>
        <v>0</v>
      </c>
      <c r="B1916" s="11" t="str">
        <f>'12-2017'!B2006</f>
        <v>01 Đoạn nối nhịp (trọng lượng 475kg/mét dài)</v>
      </c>
      <c r="C1916" s="12" t="str">
        <f>'12-2017'!C2006</f>
        <v>đoạn</v>
      </c>
      <c r="D1916" s="13">
        <f>'12-2017'!O2006</f>
        <v>19327272</v>
      </c>
      <c r="E1916" s="13">
        <f>'12-2017'!P2006</f>
        <v>19327272</v>
      </c>
      <c r="F1916" s="130">
        <f t="shared" si="79"/>
        <v>0</v>
      </c>
      <c r="H1916" s="74">
        <f>'12-2017'!H2006</f>
        <v>0</v>
      </c>
      <c r="I1916" s="74">
        <f>'12-2017'!I2006</f>
        <v>0</v>
      </c>
      <c r="J1916" s="74">
        <f>'12-2017'!J2006</f>
        <v>0</v>
      </c>
    </row>
    <row r="1917" spans="1:10" s="58" customFormat="1" ht="17.25" hidden="1" customHeight="1">
      <c r="A1917" s="10">
        <f>'12-2017'!A2007</f>
        <v>0</v>
      </c>
      <c r="B1917" s="11" t="str">
        <f>'12-2017'!B2007</f>
        <v>01 Đoạn sàn đầu cầu (trọng lượng 2.376kg/mét dài)</v>
      </c>
      <c r="C1917" s="12" t="str">
        <f>'12-2017'!C2007</f>
        <v>đoạn</v>
      </c>
      <c r="D1917" s="13">
        <f>'12-2017'!O2007</f>
        <v>78781818</v>
      </c>
      <c r="E1917" s="13">
        <f>'12-2017'!P2007</f>
        <v>78781818</v>
      </c>
      <c r="F1917" s="130">
        <f t="shared" si="79"/>
        <v>0</v>
      </c>
      <c r="H1917" s="74">
        <f>'12-2017'!H2007</f>
        <v>0</v>
      </c>
      <c r="I1917" s="74">
        <f>'12-2017'!I2007</f>
        <v>0</v>
      </c>
      <c r="J1917" s="74">
        <f>'12-2017'!J2007</f>
        <v>0</v>
      </c>
    </row>
    <row r="1918" spans="1:10" s="58" customFormat="1" ht="17.25" hidden="1" customHeight="1">
      <c r="A1918" s="10">
        <f>'12-2017'!A2008</f>
        <v>43</v>
      </c>
      <c r="B1918" s="11" t="str">
        <f>'12-2017'!B2008</f>
        <v>Cầu NT6.2  loại CV,CM, SC,SD,LK sơn</v>
      </c>
      <c r="C1918" s="12">
        <f>'12-2017'!C2008</f>
        <v>0</v>
      </c>
      <c r="D1918" s="13">
        <f>'12-2017'!O2008</f>
        <v>0</v>
      </c>
      <c r="E1918" s="13">
        <f>'12-2017'!P2008</f>
        <v>0</v>
      </c>
      <c r="F1918" s="130">
        <f t="shared" si="79"/>
        <v>0</v>
      </c>
      <c r="H1918" s="74">
        <f>'12-2017'!H2008</f>
        <v>0</v>
      </c>
      <c r="I1918" s="74">
        <f>'12-2017'!I2008</f>
        <v>0</v>
      </c>
      <c r="J1918" s="74">
        <f>'12-2017'!J2008</f>
        <v>0</v>
      </c>
    </row>
    <row r="1919" spans="1:10" s="58" customFormat="1" ht="17.25" hidden="1" customHeight="1">
      <c r="A1919" s="10">
        <f>'12-2017'!A2009</f>
        <v>0</v>
      </c>
      <c r="B1919" s="11" t="str">
        <f>'12-2017'!B2009</f>
        <v>01 Đoạn nối nhịp (trọng lượng 475kg/mét dài)</v>
      </c>
      <c r="C1919" s="12" t="str">
        <f>'12-2017'!C2009</f>
        <v>đoạn</v>
      </c>
      <c r="D1919" s="13">
        <f>'12-2017'!O2009</f>
        <v>15763636</v>
      </c>
      <c r="E1919" s="13">
        <f>'12-2017'!P2009</f>
        <v>15763636</v>
      </c>
      <c r="F1919" s="130">
        <f t="shared" si="79"/>
        <v>0</v>
      </c>
      <c r="H1919" s="74">
        <f>'12-2017'!H2009</f>
        <v>0</v>
      </c>
      <c r="I1919" s="74">
        <f>'12-2017'!I2009</f>
        <v>0</v>
      </c>
      <c r="J1919" s="74">
        <f>'12-2017'!J2009</f>
        <v>0</v>
      </c>
    </row>
    <row r="1920" spans="1:10" s="58" customFormat="1" ht="17.25" hidden="1" customHeight="1">
      <c r="A1920" s="10">
        <f>'12-2017'!A2010</f>
        <v>0</v>
      </c>
      <c r="B1920" s="11" t="str">
        <f>'12-2017'!B2010</f>
        <v>01 Đoạn sàn đầu cầu (trọng lượng 2.376kg/mét dài)</v>
      </c>
      <c r="C1920" s="12" t="str">
        <f>'12-2017'!C2010</f>
        <v>đoạn</v>
      </c>
      <c r="D1920" s="13">
        <f>'12-2017'!O2010</f>
        <v>78781818</v>
      </c>
      <c r="E1920" s="13">
        <f>'12-2017'!P2010</f>
        <v>78781818</v>
      </c>
      <c r="F1920" s="130">
        <f t="shared" si="79"/>
        <v>0</v>
      </c>
      <c r="H1920" s="74">
        <f>'12-2017'!H2010</f>
        <v>0</v>
      </c>
      <c r="I1920" s="74">
        <f>'12-2017'!I2010</f>
        <v>0</v>
      </c>
      <c r="J1920" s="74">
        <f>'12-2017'!J2010</f>
        <v>0</v>
      </c>
    </row>
    <row r="1921" spans="1:10" s="58" customFormat="1" ht="17.25" hidden="1" customHeight="1">
      <c r="A1921" s="10">
        <f>'12-2017'!A2011</f>
        <v>44</v>
      </c>
      <c r="B1921" s="11" t="str">
        <f>'12-2017'!B2011</f>
        <v>Gối cầu CV,CM, SC,SD,LK kẽm</v>
      </c>
      <c r="C1921" s="12" t="str">
        <f>'12-2017'!C2011</f>
        <v xml:space="preserve">cái </v>
      </c>
      <c r="D1921" s="13">
        <f>'12-2017'!O2011</f>
        <v>1490909</v>
      </c>
      <c r="E1921" s="13">
        <f>'12-2017'!P2011</f>
        <v>1490909</v>
      </c>
      <c r="F1921" s="130">
        <f t="shared" si="79"/>
        <v>0</v>
      </c>
      <c r="H1921" s="74">
        <f>'12-2017'!H2011</f>
        <v>0</v>
      </c>
      <c r="I1921" s="74">
        <f>'12-2017'!I2011</f>
        <v>0</v>
      </c>
      <c r="J1921" s="74">
        <f>'12-2017'!J2011</f>
        <v>0</v>
      </c>
    </row>
    <row r="1922" spans="1:10" s="58" customFormat="1" ht="17.25" hidden="1" customHeight="1">
      <c r="A1922" s="10">
        <f>'12-2017'!A2012</f>
        <v>45</v>
      </c>
      <c r="B1922" s="11" t="str">
        <f>'12-2017'!B2012</f>
        <v>Gối cầu CV,CM, SC,SD,LK sơn</v>
      </c>
      <c r="C1922" s="12" t="str">
        <f>'12-2017'!C2012</f>
        <v xml:space="preserve">cái </v>
      </c>
      <c r="D1922" s="13">
        <f>'12-2017'!O2012</f>
        <v>1145454</v>
      </c>
      <c r="E1922" s="13">
        <f>'12-2017'!P2012</f>
        <v>1145454</v>
      </c>
      <c r="F1922" s="130">
        <f t="shared" si="79"/>
        <v>0</v>
      </c>
      <c r="H1922" s="74">
        <f>'12-2017'!H2012</f>
        <v>0</v>
      </c>
      <c r="I1922" s="74">
        <f>'12-2017'!I2012</f>
        <v>0</v>
      </c>
      <c r="J1922" s="74">
        <f>'12-2017'!J2012</f>
        <v>0</v>
      </c>
    </row>
    <row r="1923" spans="1:10" s="58" customFormat="1" ht="17.25" hidden="1" customHeight="1">
      <c r="A1923" s="10">
        <f>'12-2017'!A2013</f>
        <v>46</v>
      </c>
      <c r="B1923" s="11" t="str">
        <f>'12-2017'!B2013</f>
        <v>Tháp treo cầu (2 tháp) CV,CM, SC,SD,LK kẽm</v>
      </c>
      <c r="C1923" s="12" t="str">
        <f>'12-2017'!C2013</f>
        <v xml:space="preserve">cái </v>
      </c>
      <c r="D1923" s="13">
        <f>'12-2017'!O2013</f>
        <v>200000000</v>
      </c>
      <c r="E1923" s="13">
        <f>'12-2017'!P2013</f>
        <v>200000000</v>
      </c>
      <c r="F1923" s="130">
        <f t="shared" si="79"/>
        <v>0</v>
      </c>
      <c r="H1923" s="74">
        <f>'12-2017'!H2013</f>
        <v>0</v>
      </c>
      <c r="I1923" s="74">
        <f>'12-2017'!I2013</f>
        <v>0</v>
      </c>
      <c r="J1923" s="74">
        <f>'12-2017'!J2013</f>
        <v>0</v>
      </c>
    </row>
    <row r="1924" spans="1:10" s="58" customFormat="1" ht="17.25" hidden="1" customHeight="1">
      <c r="A1924" s="10">
        <f>'12-2017'!A2014</f>
        <v>47</v>
      </c>
      <c r="B1924" s="11" t="str">
        <f>'12-2017'!B2014</f>
        <v xml:space="preserve">Lắp đặt tháp treo cầu (2 tháp) CV,CM, SC,SD,LK </v>
      </c>
      <c r="C1924" s="12" t="str">
        <f>'12-2017'!C2014</f>
        <v xml:space="preserve">cái </v>
      </c>
      <c r="D1924" s="13">
        <f>'12-2017'!O2014</f>
        <v>55099090</v>
      </c>
      <c r="E1924" s="13">
        <f>'12-2017'!P2014</f>
        <v>55099090</v>
      </c>
      <c r="F1924" s="130">
        <f t="shared" si="79"/>
        <v>0</v>
      </c>
      <c r="H1924" s="74">
        <f>'12-2017'!H2014</f>
        <v>0</v>
      </c>
      <c r="I1924" s="74">
        <f>'12-2017'!I2014</f>
        <v>0</v>
      </c>
      <c r="J1924" s="74">
        <f>'12-2017'!J2014</f>
        <v>0</v>
      </c>
    </row>
    <row r="1925" spans="1:10" s="73" customFormat="1" ht="17.25" customHeight="1">
      <c r="A1925" s="17" t="str">
        <f>'12-2017'!A2015</f>
        <v>XXIII</v>
      </c>
      <c r="B1925" s="9" t="str">
        <f>'12-2017'!B2015</f>
        <v xml:space="preserve">CÁC LOẠI VẬT LIỆU KHÁC </v>
      </c>
      <c r="C1925" s="8"/>
      <c r="D1925" s="22"/>
      <c r="E1925" s="22"/>
      <c r="F1925" s="131"/>
      <c r="H1925" s="78">
        <f>'12-2017'!H2015</f>
        <v>0</v>
      </c>
      <c r="I1925" s="78">
        <f>'12-2017'!I2015</f>
        <v>0</v>
      </c>
      <c r="J1925" s="78">
        <f>'12-2017'!J2015</f>
        <v>0</v>
      </c>
    </row>
    <row r="1926" spans="1:10" s="58" customFormat="1" ht="17.25" hidden="1" customHeight="1">
      <c r="A1926" s="10">
        <f>'12-2017'!A2016</f>
        <v>1</v>
      </c>
      <c r="B1926" s="11" t="str">
        <f>'12-2017'!B2016</f>
        <v>Đất đèn</v>
      </c>
      <c r="C1926" s="12" t="str">
        <f>'12-2017'!C2016</f>
        <v>đ/kg</v>
      </c>
      <c r="D1926" s="13">
        <f>'12-2017'!O2016</f>
        <v>14000</v>
      </c>
      <c r="E1926" s="13">
        <f>'12-2017'!P2016</f>
        <v>14000</v>
      </c>
      <c r="F1926" s="130">
        <f t="shared" si="79"/>
        <v>0</v>
      </c>
      <c r="H1926" s="74">
        <f>'12-2017'!H2016</f>
        <v>0</v>
      </c>
      <c r="I1926" s="74">
        <f>'12-2017'!I2016</f>
        <v>0</v>
      </c>
      <c r="J1926" s="74">
        <f>'12-2017'!J2016</f>
        <v>0</v>
      </c>
    </row>
    <row r="1927" spans="1:10" s="58" customFormat="1" ht="17.25" hidden="1" customHeight="1">
      <c r="A1927" s="10">
        <f>'12-2017'!A2017</f>
        <v>2</v>
      </c>
      <c r="B1927" s="11" t="str">
        <f>'12-2017'!B2017</f>
        <v>Giấy nhám Trung Quốc (20cm x 30cm)</v>
      </c>
      <c r="C1927" s="12" t="str">
        <f>'12-2017'!C2017</f>
        <v>đ/tấm</v>
      </c>
      <c r="D1927" s="13">
        <f>'12-2017'!O2017</f>
        <v>1000</v>
      </c>
      <c r="E1927" s="13">
        <f>'12-2017'!P2017</f>
        <v>1000</v>
      </c>
      <c r="F1927" s="130">
        <f t="shared" si="79"/>
        <v>0</v>
      </c>
      <c r="H1927" s="74">
        <f>'12-2017'!H2017</f>
        <v>0</v>
      </c>
      <c r="I1927" s="74">
        <f>'12-2017'!I2017</f>
        <v>0</v>
      </c>
      <c r="J1927" s="74">
        <f>'12-2017'!J2017</f>
        <v>0</v>
      </c>
    </row>
    <row r="1928" spans="1:10" s="58" customFormat="1" ht="17.25" hidden="1" customHeight="1">
      <c r="A1928" s="10">
        <f>'12-2017'!A2018</f>
        <v>3</v>
      </c>
      <c r="B1928" s="11" t="str">
        <f>'12-2017'!B2018</f>
        <v>Chổi bông cỏ</v>
      </c>
      <c r="C1928" s="12" t="str">
        <f>'12-2017'!C2018</f>
        <v>đ/kg</v>
      </c>
      <c r="D1928" s="13">
        <f>'12-2017'!O2018</f>
        <v>63636.363636363632</v>
      </c>
      <c r="E1928" s="13">
        <f>'12-2017'!P2018</f>
        <v>63636.363636363632</v>
      </c>
      <c r="F1928" s="130">
        <f t="shared" si="79"/>
        <v>0</v>
      </c>
      <c r="H1928" s="74">
        <f>'12-2017'!H2018</f>
        <v>0</v>
      </c>
      <c r="I1928" s="74">
        <f>'12-2017'!I2018</f>
        <v>0</v>
      </c>
      <c r="J1928" s="74">
        <f>'12-2017'!J2018</f>
        <v>0</v>
      </c>
    </row>
    <row r="1929" spans="1:10" s="58" customFormat="1" ht="17.25" hidden="1" customHeight="1">
      <c r="A1929" s="10">
        <f>'12-2017'!A2019</f>
        <v>4</v>
      </c>
      <c r="B1929" s="11" t="str">
        <f>'12-2017'!B2019</f>
        <v>Bột màu Trung Quốc màu xanh</v>
      </c>
      <c r="C1929" s="12" t="str">
        <f>'12-2017'!C2019</f>
        <v>đ/kg</v>
      </c>
      <c r="D1929" s="13">
        <f>'12-2017'!O2019</f>
        <v>34545.454545454544</v>
      </c>
      <c r="E1929" s="13">
        <f>'12-2017'!P2019</f>
        <v>34545.454545454544</v>
      </c>
      <c r="F1929" s="130">
        <f t="shared" si="79"/>
        <v>0</v>
      </c>
      <c r="H1929" s="74">
        <f>'12-2017'!H2019</f>
        <v>0</v>
      </c>
      <c r="I1929" s="74">
        <f>'12-2017'!I2019</f>
        <v>0</v>
      </c>
      <c r="J1929" s="74">
        <f>'12-2017'!J2019</f>
        <v>0</v>
      </c>
    </row>
    <row r="1930" spans="1:10" s="58" customFormat="1" ht="17.25" hidden="1" customHeight="1">
      <c r="A1930" s="10">
        <f>'12-2017'!A2020</f>
        <v>5</v>
      </c>
      <c r="B1930" s="11" t="str">
        <f>'12-2017'!B2020</f>
        <v>Bột màu Trung Quốc màu vàng</v>
      </c>
      <c r="C1930" s="12" t="str">
        <f>'12-2017'!C2020</f>
        <v>đ/kg</v>
      </c>
      <c r="D1930" s="13">
        <f>'12-2017'!O2020</f>
        <v>24545.454545454544</v>
      </c>
      <c r="E1930" s="13">
        <f>'12-2017'!P2020</f>
        <v>24545.454545454544</v>
      </c>
      <c r="F1930" s="130">
        <f t="shared" si="79"/>
        <v>0</v>
      </c>
      <c r="H1930" s="74">
        <f>'12-2017'!H2020</f>
        <v>0</v>
      </c>
      <c r="I1930" s="74">
        <f>'12-2017'!I2020</f>
        <v>0</v>
      </c>
      <c r="J1930" s="74">
        <f>'12-2017'!J2020</f>
        <v>0</v>
      </c>
    </row>
    <row r="1931" spans="1:10" s="58" customFormat="1" ht="17.25" hidden="1" customHeight="1">
      <c r="A1931" s="10">
        <f>'12-2017'!A2021</f>
        <v>6</v>
      </c>
      <c r="B1931" s="11" t="str">
        <f>'12-2017'!B2021</f>
        <v>Đinh các loại</v>
      </c>
      <c r="C1931" s="12" t="str">
        <f>'12-2017'!C2021</f>
        <v>đ/kg</v>
      </c>
      <c r="D1931" s="13">
        <f>'12-2017'!O2021</f>
        <v>14545</v>
      </c>
      <c r="E1931" s="13">
        <f>'12-2017'!P2021</f>
        <v>14545</v>
      </c>
      <c r="F1931" s="130">
        <f t="shared" si="79"/>
        <v>0</v>
      </c>
      <c r="H1931" s="74">
        <f>'12-2017'!H2021</f>
        <v>0</v>
      </c>
      <c r="I1931" s="74">
        <f>'12-2017'!I2021</f>
        <v>0</v>
      </c>
      <c r="J1931" s="74">
        <f>'12-2017'!J2021</f>
        <v>0</v>
      </c>
    </row>
    <row r="1932" spans="1:10" s="58" customFormat="1" ht="17.25" hidden="1" customHeight="1">
      <c r="A1932" s="10">
        <f>'12-2017'!A2022</f>
        <v>7</v>
      </c>
      <c r="B1932" s="11" t="str">
        <f>'12-2017'!B2022</f>
        <v xml:space="preserve">Dây buộc </v>
      </c>
      <c r="C1932" s="12" t="str">
        <f>'12-2017'!C2022</f>
        <v>đ/kg</v>
      </c>
      <c r="D1932" s="13">
        <f>'12-2017'!O2022</f>
        <v>14545</v>
      </c>
      <c r="E1932" s="13">
        <f>'12-2017'!P2022</f>
        <v>14545</v>
      </c>
      <c r="F1932" s="130">
        <f t="shared" si="79"/>
        <v>0</v>
      </c>
      <c r="H1932" s="74">
        <f>'12-2017'!H2022</f>
        <v>0</v>
      </c>
      <c r="I1932" s="74">
        <f>'12-2017'!I2022</f>
        <v>0</v>
      </c>
      <c r="J1932" s="74">
        <f>'12-2017'!J2022</f>
        <v>0</v>
      </c>
    </row>
    <row r="1933" spans="1:10" s="58" customFormat="1" ht="17.25" hidden="1" customHeight="1">
      <c r="A1933" s="10">
        <f>'12-2017'!A2023</f>
        <v>8</v>
      </c>
      <c r="B1933" s="11" t="str">
        <f>'12-2017'!B2023</f>
        <v>Lưới B40 (khổ 0,8; 1,0; 1,2; 1,5; 1,8; 2,0; 2,2; 2,4m)</v>
      </c>
      <c r="C1933" s="12" t="str">
        <f>'12-2017'!C2023</f>
        <v>đ/kg</v>
      </c>
      <c r="D1933" s="13">
        <f>'12-2017'!O2023</f>
        <v>14273</v>
      </c>
      <c r="E1933" s="13">
        <f>'12-2017'!P2023</f>
        <v>14273</v>
      </c>
      <c r="F1933" s="130">
        <f t="shared" si="79"/>
        <v>0</v>
      </c>
      <c r="H1933" s="74">
        <f>'12-2017'!H2023</f>
        <v>0</v>
      </c>
      <c r="I1933" s="74">
        <f>'12-2017'!I2023</f>
        <v>0</v>
      </c>
      <c r="J1933" s="74">
        <f>'12-2017'!J2023</f>
        <v>0</v>
      </c>
    </row>
    <row r="1934" spans="1:10" s="58" customFormat="1" ht="17.25" hidden="1" customHeight="1">
      <c r="A1934" s="10">
        <f>'12-2017'!A2024</f>
        <v>9</v>
      </c>
      <c r="B1934" s="11" t="str">
        <f>'12-2017'!B2024</f>
        <v>Kẽm gai (1kg/6m)</v>
      </c>
      <c r="C1934" s="12" t="str">
        <f>'12-2017'!C2024</f>
        <v>đ/kg</v>
      </c>
      <c r="D1934" s="13">
        <f>'12-2017'!O2024</f>
        <v>14545</v>
      </c>
      <c r="E1934" s="13">
        <f>'12-2017'!P2024</f>
        <v>14545</v>
      </c>
      <c r="F1934" s="130">
        <f t="shared" si="79"/>
        <v>0</v>
      </c>
      <c r="H1934" s="74">
        <f>'12-2017'!H2024</f>
        <v>0</v>
      </c>
      <c r="I1934" s="74">
        <f>'12-2017'!I2024</f>
        <v>0</v>
      </c>
      <c r="J1934" s="74">
        <f>'12-2017'!J2024</f>
        <v>0</v>
      </c>
    </row>
    <row r="1935" spans="1:10" s="58" customFormat="1" ht="17.25" hidden="1" customHeight="1">
      <c r="A1935" s="10">
        <f>'12-2017'!A2025</f>
        <v>10</v>
      </c>
      <c r="B1935" s="11" t="str">
        <f>'12-2017'!B2025</f>
        <v>Vôi cục</v>
      </c>
      <c r="C1935" s="12" t="str">
        <f>'12-2017'!C2025</f>
        <v>đ/kg</v>
      </c>
      <c r="D1935" s="13">
        <f>'12-2017'!O2025</f>
        <v>2800</v>
      </c>
      <c r="E1935" s="13">
        <f>'12-2017'!P2025</f>
        <v>2800</v>
      </c>
      <c r="F1935" s="130">
        <f t="shared" si="79"/>
        <v>0</v>
      </c>
      <c r="H1935" s="74">
        <f>'12-2017'!H2025</f>
        <v>0</v>
      </c>
      <c r="I1935" s="74">
        <f>'12-2017'!I2025</f>
        <v>0</v>
      </c>
      <c r="J1935" s="74">
        <f>'12-2017'!J2025</f>
        <v>0</v>
      </c>
    </row>
    <row r="1936" spans="1:10" s="58" customFormat="1" ht="17.25" hidden="1">
      <c r="A1936" s="10"/>
      <c r="B1936" s="222"/>
      <c r="C1936" s="223"/>
      <c r="D1936" s="224"/>
      <c r="E1936" s="224"/>
      <c r="F1936" s="225"/>
      <c r="H1936" s="74"/>
      <c r="I1936" s="74"/>
      <c r="J1936" s="74"/>
    </row>
    <row r="1937" spans="1:10" s="58" customFormat="1" ht="17.25" hidden="1">
      <c r="A1937" s="10"/>
      <c r="B1937" s="222"/>
      <c r="C1937" s="223"/>
      <c r="D1937" s="224"/>
      <c r="E1937" s="224"/>
      <c r="F1937" s="225"/>
      <c r="H1937" s="74"/>
      <c r="I1937" s="74"/>
      <c r="J1937" s="74"/>
    </row>
    <row r="1938" spans="1:10" s="58" customFormat="1" ht="17.25" hidden="1">
      <c r="A1938" s="10"/>
      <c r="B1938" s="222"/>
      <c r="C1938" s="223"/>
      <c r="D1938" s="224"/>
      <c r="E1938" s="224"/>
      <c r="F1938" s="225"/>
      <c r="H1938" s="74"/>
      <c r="I1938" s="74"/>
      <c r="J1938" s="74"/>
    </row>
    <row r="1939" spans="1:10" s="58" customFormat="1" ht="17.25" hidden="1">
      <c r="A1939" s="10">
        <f>'12-2017'!A2016</f>
        <v>1</v>
      </c>
      <c r="B1939" s="11" t="str">
        <f>'12-2017'!B2016</f>
        <v>Đất đèn</v>
      </c>
      <c r="C1939" s="12" t="str">
        <f>'12-2017'!C2016</f>
        <v>đ/kg</v>
      </c>
      <c r="D1939" s="13">
        <f>'12-2017'!O2016</f>
        <v>14000</v>
      </c>
      <c r="E1939" s="13">
        <f>'12-2017'!P2016</f>
        <v>14000</v>
      </c>
      <c r="F1939" s="130">
        <f t="shared" ref="F1939:F1947" si="80">E1939-D1939</f>
        <v>0</v>
      </c>
      <c r="H1939" s="74">
        <f>'12-2017'!H2016</f>
        <v>0</v>
      </c>
      <c r="I1939" s="74">
        <f>'12-2017'!I2016</f>
        <v>0</v>
      </c>
      <c r="J1939" s="74">
        <f>'12-2017'!J2016</f>
        <v>0</v>
      </c>
    </row>
    <row r="1940" spans="1:10" s="58" customFormat="1" ht="17.25" hidden="1">
      <c r="A1940" s="10">
        <f>'12-2017'!A2017</f>
        <v>2</v>
      </c>
      <c r="B1940" s="11" t="str">
        <f>'12-2017'!B2017</f>
        <v>Giấy nhám Trung Quốc (20cm x 30cm)</v>
      </c>
      <c r="C1940" s="12" t="str">
        <f>'12-2017'!C2017</f>
        <v>đ/tấm</v>
      </c>
      <c r="D1940" s="13">
        <f>'12-2017'!O2017</f>
        <v>1000</v>
      </c>
      <c r="E1940" s="13">
        <f>'12-2017'!P2017</f>
        <v>1000</v>
      </c>
      <c r="F1940" s="130">
        <f t="shared" si="80"/>
        <v>0</v>
      </c>
      <c r="H1940" s="74">
        <f>'12-2017'!H2017</f>
        <v>0</v>
      </c>
      <c r="I1940" s="74">
        <f>'12-2017'!I2017</f>
        <v>0</v>
      </c>
      <c r="J1940" s="74">
        <f>'12-2017'!J2017</f>
        <v>0</v>
      </c>
    </row>
    <row r="1941" spans="1:10" s="58" customFormat="1" ht="17.25" hidden="1">
      <c r="A1941" s="10">
        <f>'12-2017'!A2018</f>
        <v>3</v>
      </c>
      <c r="B1941" s="11" t="str">
        <f>'12-2017'!B2018</f>
        <v>Chổi bông cỏ</v>
      </c>
      <c r="C1941" s="12" t="str">
        <f>'12-2017'!C2018</f>
        <v>đ/kg</v>
      </c>
      <c r="D1941" s="13">
        <f>'12-2017'!O2018</f>
        <v>63636.363636363632</v>
      </c>
      <c r="E1941" s="13">
        <f>'12-2017'!P2018</f>
        <v>63636.363636363632</v>
      </c>
      <c r="F1941" s="130">
        <f t="shared" si="80"/>
        <v>0</v>
      </c>
      <c r="H1941" s="74">
        <f>'12-2017'!H2018</f>
        <v>0</v>
      </c>
      <c r="I1941" s="74">
        <f>'12-2017'!I2018</f>
        <v>0</v>
      </c>
      <c r="J1941" s="74">
        <f>'12-2017'!J2018</f>
        <v>0</v>
      </c>
    </row>
    <row r="1942" spans="1:10" s="58" customFormat="1" ht="17.25" hidden="1">
      <c r="A1942" s="10">
        <f>'12-2017'!A2019</f>
        <v>4</v>
      </c>
      <c r="B1942" s="11" t="str">
        <f>'12-2017'!B2019</f>
        <v>Bột màu Trung Quốc màu xanh</v>
      </c>
      <c r="C1942" s="12" t="str">
        <f>'12-2017'!C2019</f>
        <v>đ/kg</v>
      </c>
      <c r="D1942" s="13">
        <f>'12-2017'!O2019</f>
        <v>34545.454545454544</v>
      </c>
      <c r="E1942" s="13">
        <f>'12-2017'!P2019</f>
        <v>34545.454545454544</v>
      </c>
      <c r="F1942" s="130">
        <f t="shared" si="80"/>
        <v>0</v>
      </c>
      <c r="H1942" s="74">
        <f>'12-2017'!H2019</f>
        <v>0</v>
      </c>
      <c r="I1942" s="74">
        <f>'12-2017'!I2019</f>
        <v>0</v>
      </c>
      <c r="J1942" s="74">
        <f>'12-2017'!J2019</f>
        <v>0</v>
      </c>
    </row>
    <row r="1943" spans="1:10" s="58" customFormat="1" ht="17.25" hidden="1">
      <c r="A1943" s="10">
        <f>'12-2017'!A2020</f>
        <v>5</v>
      </c>
      <c r="B1943" s="11" t="str">
        <f>'12-2017'!B2020</f>
        <v>Bột màu Trung Quốc màu vàng</v>
      </c>
      <c r="C1943" s="12" t="str">
        <f>'12-2017'!C2020</f>
        <v>đ/kg</v>
      </c>
      <c r="D1943" s="13">
        <f>'12-2017'!O2020</f>
        <v>24545.454545454544</v>
      </c>
      <c r="E1943" s="13">
        <f>'12-2017'!P2020</f>
        <v>24545.454545454544</v>
      </c>
      <c r="F1943" s="130">
        <f t="shared" si="80"/>
        <v>0</v>
      </c>
      <c r="H1943" s="74">
        <f>'12-2017'!H2020</f>
        <v>0</v>
      </c>
      <c r="I1943" s="74">
        <f>'12-2017'!I2020</f>
        <v>0</v>
      </c>
      <c r="J1943" s="74">
        <f>'12-2017'!J2020</f>
        <v>0</v>
      </c>
    </row>
    <row r="1944" spans="1:10" s="58" customFormat="1" ht="17.25" hidden="1">
      <c r="A1944" s="10">
        <f>'12-2017'!A2021</f>
        <v>6</v>
      </c>
      <c r="B1944" s="11" t="str">
        <f>'12-2017'!B2021</f>
        <v>Đinh các loại</v>
      </c>
      <c r="C1944" s="12" t="str">
        <f>'12-2017'!C2021</f>
        <v>đ/kg</v>
      </c>
      <c r="D1944" s="13">
        <f>'12-2017'!O2021</f>
        <v>14545</v>
      </c>
      <c r="E1944" s="13">
        <f>'12-2017'!P2021</f>
        <v>14545</v>
      </c>
      <c r="F1944" s="130">
        <f t="shared" si="80"/>
        <v>0</v>
      </c>
      <c r="H1944" s="74">
        <f>'12-2017'!H2021</f>
        <v>0</v>
      </c>
      <c r="I1944" s="74">
        <f>'12-2017'!I2021</f>
        <v>0</v>
      </c>
      <c r="J1944" s="74">
        <f>'12-2017'!J2021</f>
        <v>0</v>
      </c>
    </row>
    <row r="1945" spans="1:10" s="58" customFormat="1" ht="17.25" hidden="1">
      <c r="A1945" s="10">
        <f>'12-2017'!A2022</f>
        <v>7</v>
      </c>
      <c r="B1945" s="11" t="str">
        <f>'12-2017'!B2022</f>
        <v xml:space="preserve">Dây buộc </v>
      </c>
      <c r="C1945" s="12" t="str">
        <f>'12-2017'!C2022</f>
        <v>đ/kg</v>
      </c>
      <c r="D1945" s="13">
        <f>'12-2017'!O2022</f>
        <v>14545</v>
      </c>
      <c r="E1945" s="13">
        <f>'12-2017'!P2022</f>
        <v>14545</v>
      </c>
      <c r="F1945" s="130">
        <f t="shared" si="80"/>
        <v>0</v>
      </c>
      <c r="H1945" s="74">
        <f>'12-2017'!H2022</f>
        <v>0</v>
      </c>
      <c r="I1945" s="74">
        <f>'12-2017'!I2022</f>
        <v>0</v>
      </c>
      <c r="J1945" s="74">
        <f>'12-2017'!J2022</f>
        <v>0</v>
      </c>
    </row>
    <row r="1946" spans="1:10" s="58" customFormat="1" ht="17.25" hidden="1">
      <c r="A1946" s="10">
        <f>'12-2017'!A2023</f>
        <v>8</v>
      </c>
      <c r="B1946" s="11" t="str">
        <f>'12-2017'!B2023</f>
        <v>Lưới B40 (khổ 0,8; 1,0; 1,2; 1,5; 1,8; 2,0; 2,2; 2,4m)</v>
      </c>
      <c r="C1946" s="12" t="str">
        <f>'12-2017'!C2023</f>
        <v>đ/kg</v>
      </c>
      <c r="D1946" s="13">
        <f>'12-2017'!O2023</f>
        <v>14273</v>
      </c>
      <c r="E1946" s="13">
        <f>'12-2017'!P2023</f>
        <v>14273</v>
      </c>
      <c r="F1946" s="130">
        <f t="shared" si="80"/>
        <v>0</v>
      </c>
      <c r="H1946" s="74">
        <f>'12-2017'!H2023</f>
        <v>0</v>
      </c>
      <c r="I1946" s="74">
        <f>'12-2017'!I2023</f>
        <v>0</v>
      </c>
      <c r="J1946" s="74">
        <f>'12-2017'!J2023</f>
        <v>0</v>
      </c>
    </row>
    <row r="1947" spans="1:10" s="58" customFormat="1" ht="17.25" hidden="1">
      <c r="A1947" s="10">
        <f>'12-2017'!A2024</f>
        <v>9</v>
      </c>
      <c r="B1947" s="11" t="str">
        <f>'12-2017'!B2024</f>
        <v>Kẽm gai (1kg/6m)</v>
      </c>
      <c r="C1947" s="12" t="str">
        <f>'12-2017'!C2024</f>
        <v>đ/kg</v>
      </c>
      <c r="D1947" s="13">
        <f>'12-2017'!O2024</f>
        <v>14545</v>
      </c>
      <c r="E1947" s="13">
        <f>'12-2017'!P2024</f>
        <v>14545</v>
      </c>
      <c r="F1947" s="130">
        <f t="shared" si="80"/>
        <v>0</v>
      </c>
      <c r="H1947" s="74">
        <f>'12-2017'!H2024</f>
        <v>0</v>
      </c>
      <c r="I1947" s="74">
        <f>'12-2017'!I2024</f>
        <v>0</v>
      </c>
      <c r="J1947" s="74">
        <f>'12-2017'!J2024</f>
        <v>0</v>
      </c>
    </row>
    <row r="1948" spans="1:10" s="58" customFormat="1" ht="17.25" hidden="1">
      <c r="A1948" s="10">
        <f>'12-2017'!A2025</f>
        <v>10</v>
      </c>
      <c r="B1948" s="11" t="str">
        <f>'12-2017'!B2025</f>
        <v>Vôi cục</v>
      </c>
      <c r="C1948" s="12" t="str">
        <f>'12-2017'!C2025</f>
        <v>đ/kg</v>
      </c>
      <c r="D1948" s="13">
        <f>'12-2017'!O2025</f>
        <v>2800</v>
      </c>
      <c r="E1948" s="13">
        <f>'12-2017'!P2025</f>
        <v>2800</v>
      </c>
      <c r="F1948" s="130">
        <f t="shared" ref="F1948:F1958" si="81">E1948-D1948</f>
        <v>0</v>
      </c>
      <c r="H1948" s="74">
        <f>'12-2017'!H2025</f>
        <v>0</v>
      </c>
      <c r="I1948" s="74">
        <f>'12-2017'!I2025</f>
        <v>0</v>
      </c>
      <c r="J1948" s="74">
        <f>'12-2017'!J2025</f>
        <v>0</v>
      </c>
    </row>
    <row r="1949" spans="1:10" s="58" customFormat="1" ht="17.25" hidden="1">
      <c r="A1949" s="10">
        <f>'12-2017'!A2026</f>
        <v>11</v>
      </c>
      <c r="B1949" s="11" t="str">
        <f>'12-2017'!B2026</f>
        <v>A dao Việt Nam (keo 1/2 kg)</v>
      </c>
      <c r="C1949" s="12" t="str">
        <f>'12-2017'!C2026</f>
        <v>đ/keo</v>
      </c>
      <c r="D1949" s="13">
        <f>'12-2017'!O2026</f>
        <v>12727.272727272726</v>
      </c>
      <c r="E1949" s="13">
        <f>'12-2017'!P2026</f>
        <v>12727.272727272726</v>
      </c>
      <c r="F1949" s="130">
        <f t="shared" si="81"/>
        <v>0</v>
      </c>
      <c r="H1949" s="74">
        <f>'12-2017'!H2026</f>
        <v>0</v>
      </c>
      <c r="I1949" s="74">
        <f>'12-2017'!I2026</f>
        <v>0</v>
      </c>
      <c r="J1949" s="74">
        <f>'12-2017'!J2026</f>
        <v>0</v>
      </c>
    </row>
    <row r="1950" spans="1:10" s="58" customFormat="1" ht="17.25" hidden="1">
      <c r="A1950" s="10">
        <f>'12-2017'!A2027</f>
        <v>12</v>
      </c>
      <c r="B1950" s="11" t="str">
        <f>'12-2017'!B2027</f>
        <v>Cửa nhựa Hân Vương có khóa, khuôn bao 0,75x1,9m</v>
      </c>
      <c r="C1950" s="12" t="str">
        <f>'12-2017'!C2027</f>
        <v>đ/bộ</v>
      </c>
      <c r="D1950" s="13">
        <f>'12-2017'!O2027</f>
        <v>409090.90909090906</v>
      </c>
      <c r="E1950" s="13">
        <f>'12-2017'!P2027</f>
        <v>409090.90909090906</v>
      </c>
      <c r="F1950" s="130">
        <f t="shared" si="81"/>
        <v>0</v>
      </c>
      <c r="H1950" s="74">
        <f>'12-2017'!H2027</f>
        <v>0</v>
      </c>
      <c r="I1950" s="74">
        <f>'12-2017'!I2027</f>
        <v>0</v>
      </c>
      <c r="J1950" s="74">
        <f>'12-2017'!J2027</f>
        <v>0</v>
      </c>
    </row>
    <row r="1951" spans="1:10" s="58" customFormat="1" ht="17.25" hidden="1">
      <c r="A1951" s="10">
        <f>'12-2017'!A2028</f>
        <v>13</v>
      </c>
      <c r="B1951" s="11" t="str">
        <f>'12-2017'!B2028</f>
        <v xml:space="preserve">Que hàn Việt Nam fi 3,2 và fi 4 (hộp 5kg) </v>
      </c>
      <c r="C1951" s="12" t="str">
        <f>'12-2017'!C2028</f>
        <v>đ/kg</v>
      </c>
      <c r="D1951" s="13">
        <f>'12-2017'!O2028</f>
        <v>17273</v>
      </c>
      <c r="E1951" s="13">
        <f>'12-2017'!P2028</f>
        <v>17273</v>
      </c>
      <c r="F1951" s="130">
        <f t="shared" si="81"/>
        <v>0</v>
      </c>
      <c r="H1951" s="74">
        <f>'12-2017'!H2028</f>
        <v>0</v>
      </c>
      <c r="I1951" s="74">
        <f>'12-2017'!I2028</f>
        <v>0</v>
      </c>
      <c r="J1951" s="74">
        <f>'12-2017'!J2028</f>
        <v>0</v>
      </c>
    </row>
    <row r="1952" spans="1:10" s="73" customFormat="1" ht="17.25">
      <c r="A1952" s="17" t="str">
        <f>'12-2017'!A2029</f>
        <v>XXIV</v>
      </c>
      <c r="B1952" s="9" t="str">
        <f>'12-2017'!B2029</f>
        <v>NHIÊN LIỆU :</v>
      </c>
      <c r="C1952" s="8"/>
      <c r="D1952" s="22"/>
      <c r="E1952" s="22"/>
      <c r="F1952" s="131"/>
      <c r="H1952" s="74">
        <f>'12-2017'!H2029</f>
        <v>0</v>
      </c>
      <c r="I1952" s="74">
        <f>'12-2017'!I2029</f>
        <v>0</v>
      </c>
      <c r="J1952" s="74">
        <f>'12-2017'!J2029</f>
        <v>0</v>
      </c>
    </row>
    <row r="1953" spans="1:10" s="73" customFormat="1" ht="17.25">
      <c r="A1953" s="17"/>
      <c r="B1953" s="295" t="str">
        <f>'12-2017'!B2030</f>
        <v>* Xăng dầu Petrolimex: Cty TNHH MTV Xăng Dầu An Giang. Áp dụng kể từ 15 giờ 00 ngày 20/11/2017 trên địa bàn tỉnh An Giang.</v>
      </c>
      <c r="C1953" s="296"/>
      <c r="D1953" s="296"/>
      <c r="E1953" s="296"/>
      <c r="F1953" s="297"/>
      <c r="H1953" s="74">
        <f>'12-2017'!H2030</f>
        <v>0</v>
      </c>
      <c r="I1953" s="74">
        <f>'12-2017'!I2030</f>
        <v>0</v>
      </c>
      <c r="J1953" s="74">
        <f>'12-2017'!J2030</f>
        <v>0</v>
      </c>
    </row>
    <row r="1954" spans="1:10" s="58" customFormat="1" ht="17.25">
      <c r="A1954" s="10">
        <f>'12-2017'!A2031</f>
        <v>1</v>
      </c>
      <c r="B1954" s="11" t="str">
        <f>'12-2017'!B2031</f>
        <v>Xăng không chì RON 95-III</v>
      </c>
      <c r="C1954" s="12" t="str">
        <f>'12-2017'!C2031</f>
        <v>đ/lít</v>
      </c>
      <c r="D1954" s="13">
        <f>'12-2017'!O2031</f>
        <v>16709</v>
      </c>
      <c r="E1954" s="13">
        <f>'12-2017'!P2031</f>
        <v>17709</v>
      </c>
      <c r="F1954" s="130">
        <f t="shared" si="81"/>
        <v>1000</v>
      </c>
      <c r="H1954" s="74">
        <f>'12-2017'!H2031</f>
        <v>0</v>
      </c>
      <c r="I1954" s="74">
        <f>'12-2017'!I2031</f>
        <v>17709</v>
      </c>
      <c r="J1954" s="74">
        <f>'12-2017'!J2031</f>
        <v>17709</v>
      </c>
    </row>
    <row r="1955" spans="1:10" s="58" customFormat="1" ht="17.25">
      <c r="A1955" s="10">
        <f>'12-2017'!A2032</f>
        <v>2</v>
      </c>
      <c r="B1955" s="11" t="str">
        <f>'12-2017'!B2032</f>
        <v>Xăng không chì RON 92-II</v>
      </c>
      <c r="C1955" s="12" t="str">
        <f>'12-2017'!C2032</f>
        <v>đ/lít</v>
      </c>
      <c r="D1955" s="13">
        <f>'12-2017'!O2032</f>
        <v>16073</v>
      </c>
      <c r="E1955" s="13">
        <f>'12-2017'!P2032</f>
        <v>17073</v>
      </c>
      <c r="F1955" s="130">
        <f t="shared" si="81"/>
        <v>1000</v>
      </c>
      <c r="H1955" s="74">
        <f>'12-2017'!H2032</f>
        <v>0</v>
      </c>
      <c r="I1955" s="74">
        <f>'12-2017'!I2032</f>
        <v>17073</v>
      </c>
      <c r="J1955" s="74">
        <f>'12-2017'!J2032</f>
        <v>17073</v>
      </c>
    </row>
    <row r="1956" spans="1:10" s="58" customFormat="1" ht="17.25">
      <c r="A1956" s="10">
        <f>'12-2017'!A2033</f>
        <v>3</v>
      </c>
      <c r="B1956" s="11" t="str">
        <f>'12-2017'!B2033</f>
        <v>Xăng sinh học E5 RON 92-II</v>
      </c>
      <c r="C1956" s="12" t="str">
        <f>'12-2017'!C2033</f>
        <v>đ/lít</v>
      </c>
      <c r="D1956" s="13">
        <f>'12-2017'!O2033</f>
        <v>15864</v>
      </c>
      <c r="E1956" s="13">
        <f>'12-2017'!P2033</f>
        <v>16909</v>
      </c>
      <c r="F1956" s="130">
        <f t="shared" si="81"/>
        <v>1045</v>
      </c>
      <c r="H1956" s="74">
        <f>'12-2017'!H2033</f>
        <v>0</v>
      </c>
      <c r="I1956" s="74">
        <f>'12-2017'!I2033</f>
        <v>16909</v>
      </c>
      <c r="J1956" s="74">
        <f>'12-2017'!J2033</f>
        <v>16909</v>
      </c>
    </row>
    <row r="1957" spans="1:10" s="58" customFormat="1" ht="17.25">
      <c r="A1957" s="10">
        <f>'12-2017'!A2034</f>
        <v>4</v>
      </c>
      <c r="B1957" s="11" t="str">
        <f>'12-2017'!B2034</f>
        <v>Dầu Diesel 0,05%S</v>
      </c>
      <c r="C1957" s="12" t="str">
        <f>'12-2017'!C2034</f>
        <v>đ/lít</v>
      </c>
      <c r="D1957" s="13">
        <f>'12-2017'!O2034</f>
        <v>12718</v>
      </c>
      <c r="E1957" s="13">
        <f>'12-2017'!P2034</f>
        <v>13827</v>
      </c>
      <c r="F1957" s="130">
        <f t="shared" si="81"/>
        <v>1109</v>
      </c>
      <c r="H1957" s="74">
        <f>'12-2017'!H2034</f>
        <v>0</v>
      </c>
      <c r="I1957" s="74">
        <f>'12-2017'!I2034</f>
        <v>13827</v>
      </c>
      <c r="J1957" s="74">
        <f>'12-2017'!J2034</f>
        <v>13827</v>
      </c>
    </row>
    <row r="1958" spans="1:10" s="58" customFormat="1" ht="17.25">
      <c r="A1958" s="10">
        <f>'12-2017'!A2035</f>
        <v>5</v>
      </c>
      <c r="B1958" s="11" t="str">
        <f>'12-2017'!B2035</f>
        <v>Dầu hỏa</v>
      </c>
      <c r="C1958" s="12" t="str">
        <f>'12-2017'!C2035</f>
        <v>đ/lít</v>
      </c>
      <c r="D1958" s="13">
        <f>'12-2017'!O2035</f>
        <v>11482</v>
      </c>
      <c r="E1958" s="13">
        <f>'12-2017'!P2035</f>
        <v>12618</v>
      </c>
      <c r="F1958" s="130">
        <f t="shared" si="81"/>
        <v>1136</v>
      </c>
      <c r="H1958" s="74">
        <f>'12-2017'!H2035</f>
        <v>0</v>
      </c>
      <c r="I1958" s="74">
        <f>'12-2017'!I2035</f>
        <v>12618</v>
      </c>
      <c r="J1958" s="74">
        <f>'12-2017'!J2035</f>
        <v>12618</v>
      </c>
    </row>
    <row r="1959" spans="1:10" s="58" customFormat="1" ht="33" customHeight="1">
      <c r="A1959" s="10"/>
      <c r="B1959" s="237" t="str">
        <f>'12-2017'!B2036</f>
        <v>* Xăng dầu Petrolimex: Cty TNHH MTV Xăng Dầu An Giang. Áp dụng kể từ 15 giờ 00 ngày 05/12/2017 trên địa bàn tỉnh An Giang.</v>
      </c>
      <c r="C1959" s="238"/>
      <c r="D1959" s="238"/>
      <c r="E1959" s="238"/>
      <c r="F1959" s="239"/>
      <c r="H1959" s="74">
        <f>'12-2017'!H2036</f>
        <v>0</v>
      </c>
      <c r="I1959" s="74">
        <f>'12-2017'!I2036</f>
        <v>0</v>
      </c>
      <c r="J1959" s="74">
        <f>'12-2017'!J2036</f>
        <v>0</v>
      </c>
    </row>
    <row r="1960" spans="1:10" s="58" customFormat="1" ht="17.25">
      <c r="A1960" s="10">
        <f>'12-2017'!A2037</f>
        <v>1</v>
      </c>
      <c r="B1960" s="11" t="str">
        <f>'12-2017'!B2037</f>
        <v>Xăng không chì RON 95-III</v>
      </c>
      <c r="C1960" s="12" t="str">
        <f>'12-2017'!C2037</f>
        <v>đ/lít</v>
      </c>
      <c r="D1960" s="13">
        <f>'12-2017'!O2037</f>
        <v>17709</v>
      </c>
      <c r="E1960" s="13">
        <f>'12-2017'!P2037</f>
        <v>17709</v>
      </c>
      <c r="F1960" s="130">
        <f>E1960-D1960</f>
        <v>0</v>
      </c>
      <c r="H1960" s="74">
        <f>'12-2017'!H2037</f>
        <v>0</v>
      </c>
      <c r="I1960" s="74">
        <f>'12-2017'!I2037</f>
        <v>17709</v>
      </c>
      <c r="J1960" s="74">
        <f>'12-2017'!J2037</f>
        <v>17709</v>
      </c>
    </row>
    <row r="1961" spans="1:10" s="58" customFormat="1" ht="17.25">
      <c r="A1961" s="10">
        <f>'12-2017'!A2038</f>
        <v>2</v>
      </c>
      <c r="B1961" s="11" t="str">
        <f>'12-2017'!B2038</f>
        <v>Xăng không chì RON 92-II</v>
      </c>
      <c r="C1961" s="12" t="str">
        <f>'12-2017'!C2038</f>
        <v>đ/lít</v>
      </c>
      <c r="D1961" s="13">
        <f>'12-2017'!O2038</f>
        <v>17073</v>
      </c>
      <c r="E1961" s="13">
        <f>'12-2017'!P2038</f>
        <v>17073</v>
      </c>
      <c r="F1961" s="130">
        <f>E1961-D1961</f>
        <v>0</v>
      </c>
      <c r="H1961" s="74">
        <f>'12-2017'!H2038</f>
        <v>0</v>
      </c>
      <c r="I1961" s="74">
        <f>'12-2017'!I2038</f>
        <v>17073</v>
      </c>
      <c r="J1961" s="74">
        <f>'12-2017'!J2038</f>
        <v>17073</v>
      </c>
    </row>
    <row r="1962" spans="1:10" s="58" customFormat="1" ht="17.25">
      <c r="A1962" s="10">
        <f>'12-2017'!A2039</f>
        <v>3</v>
      </c>
      <c r="B1962" s="11" t="str">
        <f>'12-2017'!B2039</f>
        <v>Xăng sinh học E5 RON 92-II</v>
      </c>
      <c r="C1962" s="12" t="str">
        <f>'12-2017'!C2039</f>
        <v>đ/lít</v>
      </c>
      <c r="D1962" s="13">
        <f>'12-2017'!O2039</f>
        <v>16909</v>
      </c>
      <c r="E1962" s="13">
        <f>'12-2017'!P2039</f>
        <v>16909</v>
      </c>
      <c r="F1962" s="130">
        <f>E1962-D1962</f>
        <v>0</v>
      </c>
      <c r="H1962" s="74">
        <f>'12-2017'!H2039</f>
        <v>0</v>
      </c>
      <c r="I1962" s="74">
        <f>'12-2017'!I2039</f>
        <v>16909</v>
      </c>
      <c r="J1962" s="74">
        <f>'12-2017'!J2039</f>
        <v>16909</v>
      </c>
    </row>
    <row r="1963" spans="1:10" s="58" customFormat="1" ht="17.25">
      <c r="A1963" s="10">
        <f>'12-2017'!A2040</f>
        <v>4</v>
      </c>
      <c r="B1963" s="11" t="str">
        <f>'12-2017'!B2040</f>
        <v>Dầu Diesel 0,05%S</v>
      </c>
      <c r="C1963" s="12" t="str">
        <f>'12-2017'!C2040</f>
        <v>đ/lít</v>
      </c>
      <c r="D1963" s="13">
        <f>'12-2017'!O2040</f>
        <v>13827</v>
      </c>
      <c r="E1963" s="13">
        <f>'12-2017'!P2040</f>
        <v>13964</v>
      </c>
      <c r="F1963" s="130">
        <f>E1963-D1963</f>
        <v>137</v>
      </c>
      <c r="H1963" s="74">
        <f>'12-2017'!H2040</f>
        <v>0</v>
      </c>
      <c r="I1963" s="74">
        <f>'12-2017'!I2040</f>
        <v>13964</v>
      </c>
      <c r="J1963" s="74">
        <f>'12-2017'!J2040</f>
        <v>13964</v>
      </c>
    </row>
    <row r="1964" spans="1:10" s="58" customFormat="1" ht="17.25">
      <c r="A1964" s="10">
        <f>'12-2017'!A2041</f>
        <v>5</v>
      </c>
      <c r="B1964" s="11" t="str">
        <f>'12-2017'!B2041</f>
        <v>Dầu hỏa</v>
      </c>
      <c r="C1964" s="12" t="str">
        <f>'12-2017'!C2041</f>
        <v>đ/lít</v>
      </c>
      <c r="D1964" s="13">
        <f>'12-2017'!O2041</f>
        <v>12618</v>
      </c>
      <c r="E1964" s="13">
        <f>'12-2017'!P2041</f>
        <v>12618</v>
      </c>
      <c r="F1964" s="130">
        <f>E1964-D1964</f>
        <v>0</v>
      </c>
      <c r="H1964" s="74">
        <f>'12-2017'!H2041</f>
        <v>0</v>
      </c>
      <c r="I1964" s="74">
        <f>'12-2017'!I2041</f>
        <v>12618</v>
      </c>
      <c r="J1964" s="74">
        <f>'12-2017'!J2041</f>
        <v>12618</v>
      </c>
    </row>
    <row r="1965" spans="1:10">
      <c r="H1965" s="74">
        <f>'12-2017'!H2066</f>
        <v>0</v>
      </c>
      <c r="I1965" s="74">
        <f>'12-2017'!I2066</f>
        <v>0</v>
      </c>
      <c r="J1965" s="74">
        <f>'12-2017'!J2066</f>
        <v>0</v>
      </c>
    </row>
    <row r="1966" spans="1:10">
      <c r="H1966" s="74">
        <f>'12-2017'!H2067</f>
        <v>0</v>
      </c>
      <c r="I1966" s="74">
        <f>'12-2017'!I2067</f>
        <v>0</v>
      </c>
      <c r="J1966" s="74">
        <f>'12-2017'!J2067</f>
        <v>0</v>
      </c>
    </row>
    <row r="1967" spans="1:10">
      <c r="H1967" s="74">
        <f>'12-2017'!H2068</f>
        <v>0</v>
      </c>
      <c r="I1967" s="74">
        <f>'12-2017'!I2068</f>
        <v>0</v>
      </c>
      <c r="J1967" s="74">
        <f>'12-2017'!J2068</f>
        <v>0</v>
      </c>
    </row>
    <row r="1968" spans="1:10">
      <c r="H1968" s="74">
        <f>'12-2017'!H2069</f>
        <v>0</v>
      </c>
      <c r="I1968" s="74">
        <f>'12-2017'!I2069</f>
        <v>0</v>
      </c>
      <c r="J1968" s="74">
        <f>'12-2017'!J2069</f>
        <v>0</v>
      </c>
    </row>
    <row r="1969" spans="8:10">
      <c r="H1969" s="74">
        <f>'12-2017'!H2070</f>
        <v>0</v>
      </c>
      <c r="I1969" s="74">
        <f>'12-2017'!I2070</f>
        <v>0</v>
      </c>
      <c r="J1969" s="74">
        <f>'12-2017'!J2070</f>
        <v>0</v>
      </c>
    </row>
    <row r="1970" spans="8:10">
      <c r="H1970" s="74">
        <f>'12-2017'!H2071</f>
        <v>0</v>
      </c>
      <c r="I1970" s="74">
        <f>'12-2017'!I2071</f>
        <v>0</v>
      </c>
      <c r="J1970" s="74">
        <f>'12-2017'!J2071</f>
        <v>0</v>
      </c>
    </row>
    <row r="1971" spans="8:10">
      <c r="H1971" s="74">
        <f>'12-2017'!H2072</f>
        <v>0</v>
      </c>
      <c r="I1971" s="74">
        <f>'12-2017'!I2072</f>
        <v>0</v>
      </c>
      <c r="J1971" s="74">
        <f>'12-2017'!J2072</f>
        <v>0</v>
      </c>
    </row>
    <row r="1972" spans="8:10">
      <c r="H1972" s="74">
        <f>'12-2017'!H2073</f>
        <v>0</v>
      </c>
      <c r="I1972" s="74">
        <f>'12-2017'!I2073</f>
        <v>0</v>
      </c>
      <c r="J1972" s="74">
        <f>'12-2017'!J2073</f>
        <v>0</v>
      </c>
    </row>
    <row r="1973" spans="8:10">
      <c r="H1973" s="74">
        <f>'12-2017'!H2074</f>
        <v>0</v>
      </c>
      <c r="I1973" s="74">
        <f>'12-2017'!I2074</f>
        <v>0</v>
      </c>
      <c r="J1973" s="74">
        <f>'12-2017'!J2074</f>
        <v>0</v>
      </c>
    </row>
    <row r="1974" spans="8:10">
      <c r="H1974" s="74">
        <f>'12-2017'!H2075</f>
        <v>0</v>
      </c>
      <c r="I1974" s="74">
        <f>'12-2017'!I2075</f>
        <v>0</v>
      </c>
      <c r="J1974" s="74">
        <f>'12-2017'!J2075</f>
        <v>0</v>
      </c>
    </row>
    <row r="1975" spans="8:10">
      <c r="H1975" s="74">
        <f>'12-2017'!H2076</f>
        <v>0</v>
      </c>
      <c r="I1975" s="74">
        <f>'12-2017'!I2076</f>
        <v>0</v>
      </c>
      <c r="J1975" s="74">
        <f>'12-2017'!J2076</f>
        <v>0</v>
      </c>
    </row>
    <row r="1976" spans="8:10">
      <c r="H1976" s="74">
        <f>'12-2017'!H2077</f>
        <v>0</v>
      </c>
      <c r="I1976" s="74">
        <f>'12-2017'!I2077</f>
        <v>0</v>
      </c>
      <c r="J1976" s="74">
        <f>'12-2017'!J2077</f>
        <v>0</v>
      </c>
    </row>
    <row r="1977" spans="8:10">
      <c r="H1977" s="74">
        <f>'12-2017'!H2078</f>
        <v>0</v>
      </c>
      <c r="I1977" s="74">
        <f>'12-2017'!I2078</f>
        <v>0</v>
      </c>
      <c r="J1977" s="74">
        <f>'12-2017'!J2078</f>
        <v>0</v>
      </c>
    </row>
    <row r="1978" spans="8:10">
      <c r="H1978" s="74">
        <f>'12-2017'!H2079</f>
        <v>0</v>
      </c>
      <c r="I1978" s="74">
        <f>'12-2017'!I2079</f>
        <v>0</v>
      </c>
      <c r="J1978" s="74">
        <f>'12-2017'!J2079</f>
        <v>0</v>
      </c>
    </row>
    <row r="1979" spans="8:10">
      <c r="H1979" s="74">
        <f>'12-2017'!H2080</f>
        <v>0</v>
      </c>
      <c r="I1979" s="74">
        <f>'12-2017'!I2080</f>
        <v>0</v>
      </c>
      <c r="J1979" s="74">
        <f>'12-2017'!J2080</f>
        <v>0</v>
      </c>
    </row>
    <row r="1980" spans="8:10">
      <c r="H1980" s="74">
        <f>'12-2017'!H2081</f>
        <v>0</v>
      </c>
      <c r="I1980" s="74">
        <f>'12-2017'!I2081</f>
        <v>0</v>
      </c>
      <c r="J1980" s="74">
        <f>'12-2017'!J2081</f>
        <v>0</v>
      </c>
    </row>
    <row r="1981" spans="8:10">
      <c r="H1981" s="74">
        <f>'12-2017'!H2082</f>
        <v>0</v>
      </c>
      <c r="I1981" s="74">
        <f>'12-2017'!I2082</f>
        <v>0</v>
      </c>
      <c r="J1981" s="74">
        <f>'12-2017'!J2082</f>
        <v>0</v>
      </c>
    </row>
    <row r="1982" spans="8:10">
      <c r="H1982" s="74">
        <f>'12-2017'!H2083</f>
        <v>0</v>
      </c>
      <c r="I1982" s="74">
        <f>'12-2017'!I2083</f>
        <v>0</v>
      </c>
      <c r="J1982" s="74">
        <f>'12-2017'!J2083</f>
        <v>0</v>
      </c>
    </row>
    <row r="1983" spans="8:10">
      <c r="H1983" s="74">
        <f>'12-2017'!H2084</f>
        <v>0</v>
      </c>
      <c r="I1983" s="74">
        <f>'12-2017'!I2084</f>
        <v>0</v>
      </c>
      <c r="J1983" s="74">
        <f>'12-2017'!J2084</f>
        <v>0</v>
      </c>
    </row>
    <row r="1984" spans="8:10">
      <c r="H1984" s="74">
        <f>'12-2017'!H2085</f>
        <v>0</v>
      </c>
      <c r="I1984" s="74">
        <f>'12-2017'!I2085</f>
        <v>0</v>
      </c>
      <c r="J1984" s="74">
        <f>'12-2017'!J2085</f>
        <v>0</v>
      </c>
    </row>
    <row r="1985" spans="8:10">
      <c r="H1985" s="74">
        <f>'12-2017'!H2086</f>
        <v>0</v>
      </c>
      <c r="I1985" s="74">
        <f>'12-2017'!I2086</f>
        <v>0</v>
      </c>
      <c r="J1985" s="74">
        <f>'12-2017'!J2086</f>
        <v>0</v>
      </c>
    </row>
    <row r="1986" spans="8:10">
      <c r="H1986" s="74">
        <f>'12-2017'!H2087</f>
        <v>0</v>
      </c>
      <c r="I1986" s="74">
        <f>'12-2017'!I2087</f>
        <v>0</v>
      </c>
      <c r="J1986" s="74">
        <f>'12-2017'!J2087</f>
        <v>0</v>
      </c>
    </row>
    <row r="1987" spans="8:10">
      <c r="H1987" s="74">
        <f>'12-2017'!H2088</f>
        <v>0</v>
      </c>
      <c r="I1987" s="74">
        <f>'12-2017'!I2088</f>
        <v>0</v>
      </c>
      <c r="J1987" s="74">
        <f>'12-2017'!J2088</f>
        <v>0</v>
      </c>
    </row>
    <row r="1988" spans="8:10">
      <c r="H1988" s="74">
        <f>'12-2017'!H2089</f>
        <v>0</v>
      </c>
      <c r="I1988" s="74">
        <f>'12-2017'!I2089</f>
        <v>0</v>
      </c>
      <c r="J1988" s="74">
        <f>'12-2017'!J2089</f>
        <v>0</v>
      </c>
    </row>
    <row r="1989" spans="8:10">
      <c r="H1989" s="74">
        <f>'12-2017'!H2090</f>
        <v>0</v>
      </c>
      <c r="I1989" s="74">
        <f>'12-2017'!I2090</f>
        <v>0</v>
      </c>
      <c r="J1989" s="74">
        <f>'12-2017'!J2090</f>
        <v>0</v>
      </c>
    </row>
    <row r="1990" spans="8:10">
      <c r="H1990" s="74">
        <f>'12-2017'!H2091</f>
        <v>0</v>
      </c>
      <c r="I1990" s="74">
        <f>'12-2017'!I2091</f>
        <v>0</v>
      </c>
      <c r="J1990" s="74">
        <f>'12-2017'!J2091</f>
        <v>0</v>
      </c>
    </row>
    <row r="1991" spans="8:10">
      <c r="H1991" s="74">
        <f>'12-2017'!H2092</f>
        <v>0</v>
      </c>
      <c r="I1991" s="74">
        <f>'12-2017'!I2092</f>
        <v>0</v>
      </c>
      <c r="J1991" s="74">
        <f>'12-2017'!J2092</f>
        <v>0</v>
      </c>
    </row>
    <row r="1992" spans="8:10">
      <c r="H1992" s="74">
        <f>'12-2017'!H2093</f>
        <v>0</v>
      </c>
      <c r="I1992" s="74">
        <f>'12-2017'!I2093</f>
        <v>0</v>
      </c>
      <c r="J1992" s="74">
        <f>'12-2017'!J2093</f>
        <v>0</v>
      </c>
    </row>
    <row r="1993" spans="8:10">
      <c r="H1993" s="74">
        <f>'12-2017'!H2094</f>
        <v>0</v>
      </c>
      <c r="I1993" s="74">
        <f>'12-2017'!I2094</f>
        <v>0</v>
      </c>
      <c r="J1993" s="74">
        <f>'12-2017'!J2094</f>
        <v>0</v>
      </c>
    </row>
    <row r="1994" spans="8:10">
      <c r="H1994" s="74">
        <f>'12-2017'!H2095</f>
        <v>0</v>
      </c>
      <c r="I1994" s="74">
        <f>'12-2017'!I2095</f>
        <v>0</v>
      </c>
      <c r="J1994" s="74">
        <f>'12-2017'!J2095</f>
        <v>0</v>
      </c>
    </row>
    <row r="1995" spans="8:10">
      <c r="H1995" s="74">
        <f>'12-2017'!H2096</f>
        <v>0</v>
      </c>
      <c r="I1995" s="74">
        <f>'12-2017'!I2096</f>
        <v>0</v>
      </c>
      <c r="J1995" s="74">
        <f>'12-2017'!J2096</f>
        <v>0</v>
      </c>
    </row>
    <row r="1996" spans="8:10">
      <c r="H1996" s="74">
        <f>'12-2017'!H2097</f>
        <v>0</v>
      </c>
      <c r="I1996" s="74">
        <f>'12-2017'!I2097</f>
        <v>0</v>
      </c>
      <c r="J1996" s="74">
        <f>'12-2017'!J2097</f>
        <v>0</v>
      </c>
    </row>
    <row r="1997" spans="8:10">
      <c r="H1997" s="74">
        <f>'12-2017'!H2098</f>
        <v>0</v>
      </c>
      <c r="I1997" s="74">
        <f>'12-2017'!I2098</f>
        <v>0</v>
      </c>
      <c r="J1997" s="74">
        <f>'12-2017'!J2098</f>
        <v>0</v>
      </c>
    </row>
    <row r="1998" spans="8:10">
      <c r="H1998" s="74">
        <f>'12-2017'!H2099</f>
        <v>0</v>
      </c>
      <c r="I1998" s="74">
        <f>'12-2017'!I2099</f>
        <v>0</v>
      </c>
      <c r="J1998" s="74">
        <f>'12-2017'!J2099</f>
        <v>0</v>
      </c>
    </row>
    <row r="1999" spans="8:10">
      <c r="H1999" s="74">
        <f>'12-2017'!H2100</f>
        <v>0</v>
      </c>
      <c r="I1999" s="74">
        <f>'12-2017'!I2100</f>
        <v>0</v>
      </c>
      <c r="J1999" s="74">
        <f>'12-2017'!J2100</f>
        <v>0</v>
      </c>
    </row>
    <row r="2000" spans="8:10">
      <c r="H2000" s="74">
        <f>'12-2017'!H2101</f>
        <v>0</v>
      </c>
      <c r="I2000" s="74">
        <f>'12-2017'!I2101</f>
        <v>0</v>
      </c>
      <c r="J2000" s="74">
        <f>'12-2017'!J2101</f>
        <v>0</v>
      </c>
    </row>
    <row r="2001" spans="8:10">
      <c r="H2001" s="74">
        <f>'12-2017'!H2102</f>
        <v>0</v>
      </c>
      <c r="I2001" s="74">
        <f>'12-2017'!I2102</f>
        <v>0</v>
      </c>
      <c r="J2001" s="74">
        <f>'12-2017'!J2102</f>
        <v>0</v>
      </c>
    </row>
    <row r="2002" spans="8:10">
      <c r="H2002" s="74">
        <f>'12-2017'!H2103</f>
        <v>0</v>
      </c>
      <c r="I2002" s="74">
        <f>'12-2017'!I2103</f>
        <v>0</v>
      </c>
      <c r="J2002" s="74">
        <f>'12-2017'!J2103</f>
        <v>0</v>
      </c>
    </row>
    <row r="2003" spans="8:10">
      <c r="H2003" s="74">
        <f>'12-2017'!H2104</f>
        <v>0</v>
      </c>
      <c r="I2003" s="74">
        <f>'12-2017'!I2104</f>
        <v>0</v>
      </c>
      <c r="J2003" s="74">
        <f>'12-2017'!J2104</f>
        <v>0</v>
      </c>
    </row>
    <row r="2004" spans="8:10">
      <c r="H2004" s="74">
        <f>'12-2017'!H2105</f>
        <v>0</v>
      </c>
      <c r="I2004" s="74">
        <f>'12-2017'!I2105</f>
        <v>0</v>
      </c>
      <c r="J2004" s="74">
        <f>'12-2017'!J2105</f>
        <v>0</v>
      </c>
    </row>
    <row r="2005" spans="8:10">
      <c r="H2005" s="74">
        <f>'12-2017'!H2106</f>
        <v>0</v>
      </c>
      <c r="I2005" s="74">
        <f>'12-2017'!I2106</f>
        <v>0</v>
      </c>
      <c r="J2005" s="74">
        <f>'12-2017'!J2106</f>
        <v>0</v>
      </c>
    </row>
    <row r="2006" spans="8:10">
      <c r="H2006" s="74">
        <f>'12-2017'!H2107</f>
        <v>0</v>
      </c>
      <c r="I2006" s="74">
        <f>'12-2017'!I2107</f>
        <v>0</v>
      </c>
      <c r="J2006" s="74">
        <f>'12-2017'!J2107</f>
        <v>0</v>
      </c>
    </row>
    <row r="2007" spans="8:10">
      <c r="H2007" s="74">
        <f>'12-2017'!H2108</f>
        <v>0</v>
      </c>
      <c r="I2007" s="74">
        <f>'12-2017'!I2108</f>
        <v>0</v>
      </c>
      <c r="J2007" s="74">
        <f>'12-2017'!J2108</f>
        <v>0</v>
      </c>
    </row>
    <row r="2008" spans="8:10">
      <c r="H2008" s="74">
        <f>'12-2017'!H2109</f>
        <v>0</v>
      </c>
      <c r="I2008" s="74">
        <f>'12-2017'!I2109</f>
        <v>0</v>
      </c>
      <c r="J2008" s="74">
        <f>'12-2017'!J2109</f>
        <v>0</v>
      </c>
    </row>
    <row r="2009" spans="8:10">
      <c r="H2009" s="74">
        <f>'12-2017'!H2110</f>
        <v>0</v>
      </c>
      <c r="I2009" s="74">
        <f>'12-2017'!I2110</f>
        <v>0</v>
      </c>
      <c r="J2009" s="74">
        <f>'12-2017'!J2110</f>
        <v>0</v>
      </c>
    </row>
    <row r="2010" spans="8:10">
      <c r="H2010" s="74">
        <f>'12-2017'!H2111</f>
        <v>0</v>
      </c>
      <c r="I2010" s="74">
        <f>'12-2017'!I2111</f>
        <v>0</v>
      </c>
      <c r="J2010" s="74">
        <f>'12-2017'!J2111</f>
        <v>0</v>
      </c>
    </row>
    <row r="2011" spans="8:10">
      <c r="H2011" s="74">
        <f>'12-2017'!H2112</f>
        <v>0</v>
      </c>
      <c r="I2011" s="74">
        <f>'12-2017'!I2112</f>
        <v>0</v>
      </c>
      <c r="J2011" s="74">
        <f>'12-2017'!J2112</f>
        <v>0</v>
      </c>
    </row>
    <row r="2012" spans="8:10">
      <c r="H2012" s="74">
        <f>'12-2017'!H2113</f>
        <v>0</v>
      </c>
      <c r="I2012" s="74">
        <f>'12-2017'!I2113</f>
        <v>0</v>
      </c>
      <c r="J2012" s="74">
        <f>'12-2017'!J2113</f>
        <v>0</v>
      </c>
    </row>
    <row r="2013" spans="8:10">
      <c r="H2013" s="74">
        <f>'12-2017'!H2114</f>
        <v>0</v>
      </c>
      <c r="I2013" s="74">
        <f>'12-2017'!I2114</f>
        <v>0</v>
      </c>
      <c r="J2013" s="74">
        <f>'12-2017'!J2114</f>
        <v>0</v>
      </c>
    </row>
    <row r="2014" spans="8:10">
      <c r="H2014" s="74">
        <f>'12-2017'!H2115</f>
        <v>0</v>
      </c>
      <c r="I2014" s="74">
        <f>'12-2017'!I2115</f>
        <v>0</v>
      </c>
      <c r="J2014" s="74">
        <f>'12-2017'!J2115</f>
        <v>0</v>
      </c>
    </row>
    <row r="2015" spans="8:10">
      <c r="H2015" s="74">
        <f>'12-2017'!H2116</f>
        <v>0</v>
      </c>
      <c r="I2015" s="74">
        <f>'12-2017'!I2116</f>
        <v>0</v>
      </c>
      <c r="J2015" s="74">
        <f>'12-2017'!J2116</f>
        <v>0</v>
      </c>
    </row>
    <row r="2016" spans="8:10">
      <c r="H2016" s="74">
        <f>'12-2017'!H2117</f>
        <v>0</v>
      </c>
      <c r="I2016" s="74">
        <f>'12-2017'!I2117</f>
        <v>0</v>
      </c>
      <c r="J2016" s="74">
        <f>'12-2017'!J2117</f>
        <v>0</v>
      </c>
    </row>
    <row r="2017" spans="8:10">
      <c r="H2017" s="74">
        <f>'12-2017'!H2118</f>
        <v>0</v>
      </c>
      <c r="I2017" s="74">
        <f>'12-2017'!I2118</f>
        <v>0</v>
      </c>
      <c r="J2017" s="74">
        <f>'12-2017'!J2118</f>
        <v>0</v>
      </c>
    </row>
    <row r="2018" spans="8:10">
      <c r="H2018" s="74">
        <f>'12-2017'!H2119</f>
        <v>0</v>
      </c>
      <c r="I2018" s="74">
        <f>'12-2017'!I2119</f>
        <v>0</v>
      </c>
      <c r="J2018" s="74">
        <f>'12-2017'!J2119</f>
        <v>0</v>
      </c>
    </row>
    <row r="2019" spans="8:10">
      <c r="H2019" s="74">
        <f>'12-2017'!H2120</f>
        <v>0</v>
      </c>
      <c r="I2019" s="74">
        <f>'12-2017'!I2120</f>
        <v>0</v>
      </c>
      <c r="J2019" s="74">
        <f>'12-2017'!J2120</f>
        <v>0</v>
      </c>
    </row>
    <row r="2020" spans="8:10">
      <c r="H2020" s="74">
        <f>'12-2017'!H2121</f>
        <v>0</v>
      </c>
      <c r="I2020" s="74">
        <f>'12-2017'!I2121</f>
        <v>0</v>
      </c>
      <c r="J2020" s="74">
        <f>'12-2017'!J2121</f>
        <v>0</v>
      </c>
    </row>
    <row r="2021" spans="8:10">
      <c r="H2021" s="74">
        <f>'12-2017'!H2122</f>
        <v>0</v>
      </c>
      <c r="I2021" s="74">
        <f>'12-2017'!I2122</f>
        <v>0</v>
      </c>
      <c r="J2021" s="74">
        <f>'12-2017'!J2122</f>
        <v>0</v>
      </c>
    </row>
    <row r="2022" spans="8:10">
      <c r="H2022" s="74">
        <f>'12-2017'!H2123</f>
        <v>0</v>
      </c>
      <c r="I2022" s="74">
        <f>'12-2017'!I2123</f>
        <v>0</v>
      </c>
      <c r="J2022" s="74">
        <f>'12-2017'!J2123</f>
        <v>0</v>
      </c>
    </row>
    <row r="2023" spans="8:10">
      <c r="H2023" s="74">
        <f>'12-2017'!H2124</f>
        <v>0</v>
      </c>
      <c r="I2023" s="74">
        <f>'12-2017'!I2124</f>
        <v>0</v>
      </c>
      <c r="J2023" s="74">
        <f>'12-2017'!J2124</f>
        <v>0</v>
      </c>
    </row>
    <row r="2024" spans="8:10">
      <c r="H2024" s="74">
        <f>'12-2017'!H2125</f>
        <v>0</v>
      </c>
      <c r="I2024" s="74">
        <f>'12-2017'!I2125</f>
        <v>0</v>
      </c>
      <c r="J2024" s="74">
        <f>'12-2017'!J2125</f>
        <v>0</v>
      </c>
    </row>
    <row r="2025" spans="8:10">
      <c r="H2025" s="74">
        <f>'12-2017'!H2126</f>
        <v>0</v>
      </c>
      <c r="I2025" s="74">
        <f>'12-2017'!I2126</f>
        <v>0</v>
      </c>
      <c r="J2025" s="74">
        <f>'12-2017'!J2126</f>
        <v>0</v>
      </c>
    </row>
    <row r="2026" spans="8:10">
      <c r="H2026" s="74">
        <f>'12-2017'!H2127</f>
        <v>0</v>
      </c>
      <c r="I2026" s="74">
        <f>'12-2017'!I2127</f>
        <v>0</v>
      </c>
      <c r="J2026" s="74">
        <f>'12-2017'!J2127</f>
        <v>0</v>
      </c>
    </row>
    <row r="2027" spans="8:10">
      <c r="H2027" s="74">
        <f>'12-2017'!H2128</f>
        <v>0</v>
      </c>
      <c r="I2027" s="74">
        <f>'12-2017'!I2128</f>
        <v>0</v>
      </c>
      <c r="J2027" s="74">
        <f>'12-2017'!J2128</f>
        <v>0</v>
      </c>
    </row>
    <row r="2028" spans="8:10">
      <c r="H2028" s="74">
        <f>'12-2017'!H2129</f>
        <v>0</v>
      </c>
      <c r="I2028" s="74">
        <f>'12-2017'!I2129</f>
        <v>0</v>
      </c>
      <c r="J2028" s="74">
        <f>'12-2017'!J2129</f>
        <v>0</v>
      </c>
    </row>
    <row r="2029" spans="8:10">
      <c r="H2029" s="74">
        <f>'12-2017'!H2130</f>
        <v>0</v>
      </c>
      <c r="I2029" s="74">
        <f>'12-2017'!I2130</f>
        <v>0</v>
      </c>
      <c r="J2029" s="74">
        <f>'12-2017'!J2130</f>
        <v>0</v>
      </c>
    </row>
    <row r="2030" spans="8:10">
      <c r="H2030" s="74">
        <f>'12-2017'!H2131</f>
        <v>0</v>
      </c>
      <c r="I2030" s="74">
        <f>'12-2017'!I2131</f>
        <v>0</v>
      </c>
      <c r="J2030" s="74">
        <f>'12-2017'!J2131</f>
        <v>0</v>
      </c>
    </row>
    <row r="2031" spans="8:10">
      <c r="H2031" s="74">
        <f>'12-2017'!H2132</f>
        <v>0</v>
      </c>
      <c r="I2031" s="74">
        <f>'12-2017'!I2132</f>
        <v>0</v>
      </c>
      <c r="J2031" s="74">
        <f>'12-2017'!J2132</f>
        <v>0</v>
      </c>
    </row>
    <row r="2032" spans="8:10">
      <c r="H2032" s="74">
        <f>'12-2017'!H2133</f>
        <v>0</v>
      </c>
      <c r="I2032" s="74">
        <f>'12-2017'!I2133</f>
        <v>0</v>
      </c>
      <c r="J2032" s="74">
        <f>'12-2017'!J2133</f>
        <v>0</v>
      </c>
    </row>
    <row r="2033" spans="8:10">
      <c r="H2033" s="74">
        <f>'12-2017'!H2134</f>
        <v>0</v>
      </c>
      <c r="I2033" s="74">
        <f>'12-2017'!I2134</f>
        <v>0</v>
      </c>
      <c r="J2033" s="74">
        <f>'12-2017'!J2134</f>
        <v>0</v>
      </c>
    </row>
    <row r="2034" spans="8:10">
      <c r="H2034" s="74">
        <f>'12-2017'!H2135</f>
        <v>0</v>
      </c>
      <c r="I2034" s="74">
        <f>'12-2017'!I2135</f>
        <v>0</v>
      </c>
      <c r="J2034" s="74">
        <f>'12-2017'!J2135</f>
        <v>0</v>
      </c>
    </row>
    <row r="2035" spans="8:10">
      <c r="H2035" s="74">
        <f>'12-2017'!H2136</f>
        <v>0</v>
      </c>
      <c r="I2035" s="74">
        <f>'12-2017'!I2136</f>
        <v>0</v>
      </c>
      <c r="J2035" s="74">
        <f>'12-2017'!J2136</f>
        <v>0</v>
      </c>
    </row>
    <row r="2036" spans="8:10">
      <c r="H2036" s="74">
        <f>'12-2017'!H2137</f>
        <v>0</v>
      </c>
      <c r="I2036" s="74">
        <f>'12-2017'!I2137</f>
        <v>0</v>
      </c>
      <c r="J2036" s="74">
        <f>'12-2017'!J2137</f>
        <v>0</v>
      </c>
    </row>
    <row r="2037" spans="8:10">
      <c r="H2037" s="74">
        <f>'12-2017'!H2138</f>
        <v>0</v>
      </c>
      <c r="I2037" s="74">
        <f>'12-2017'!I2138</f>
        <v>0</v>
      </c>
      <c r="J2037" s="74">
        <f>'12-2017'!J2138</f>
        <v>0</v>
      </c>
    </row>
    <row r="2038" spans="8:10">
      <c r="H2038" s="74">
        <f>'12-2017'!H2139</f>
        <v>0</v>
      </c>
      <c r="I2038" s="74">
        <f>'12-2017'!I2139</f>
        <v>0</v>
      </c>
      <c r="J2038" s="74">
        <f>'12-2017'!J2139</f>
        <v>0</v>
      </c>
    </row>
    <row r="2039" spans="8:10">
      <c r="H2039" s="74">
        <f>'12-2017'!H2140</f>
        <v>0</v>
      </c>
      <c r="I2039" s="74">
        <f>'12-2017'!I2140</f>
        <v>0</v>
      </c>
      <c r="J2039" s="74">
        <f>'12-2017'!J2140</f>
        <v>0</v>
      </c>
    </row>
    <row r="2040" spans="8:10">
      <c r="H2040" s="74">
        <f>'12-2017'!H2141</f>
        <v>0</v>
      </c>
      <c r="I2040" s="74">
        <f>'12-2017'!I2141</f>
        <v>0</v>
      </c>
      <c r="J2040" s="74">
        <f>'12-2017'!J2141</f>
        <v>0</v>
      </c>
    </row>
    <row r="2041" spans="8:10">
      <c r="H2041" s="74">
        <f>'12-2017'!H2142</f>
        <v>0</v>
      </c>
      <c r="I2041" s="74">
        <f>'12-2017'!I2142</f>
        <v>0</v>
      </c>
      <c r="J2041" s="74">
        <f>'12-2017'!J2142</f>
        <v>0</v>
      </c>
    </row>
    <row r="2042" spans="8:10">
      <c r="H2042" s="74">
        <f>'12-2017'!H2143</f>
        <v>0</v>
      </c>
      <c r="I2042" s="74">
        <f>'12-2017'!I2143</f>
        <v>0</v>
      </c>
      <c r="J2042" s="74">
        <f>'12-2017'!J2143</f>
        <v>0</v>
      </c>
    </row>
    <row r="2043" spans="8:10">
      <c r="H2043" s="74">
        <f>'12-2017'!H2144</f>
        <v>0</v>
      </c>
      <c r="I2043" s="74">
        <f>'12-2017'!I2144</f>
        <v>0</v>
      </c>
      <c r="J2043" s="74">
        <f>'12-2017'!J2144</f>
        <v>0</v>
      </c>
    </row>
    <row r="2044" spans="8:10">
      <c r="H2044" s="74">
        <f>'12-2017'!H2145</f>
        <v>0</v>
      </c>
      <c r="I2044" s="74">
        <f>'12-2017'!I2145</f>
        <v>0</v>
      </c>
      <c r="J2044" s="74">
        <f>'12-2017'!J2145</f>
        <v>0</v>
      </c>
    </row>
    <row r="2045" spans="8:10">
      <c r="H2045" s="74">
        <f>'12-2017'!H2146</f>
        <v>0</v>
      </c>
      <c r="I2045" s="74">
        <f>'12-2017'!I2146</f>
        <v>0</v>
      </c>
      <c r="J2045" s="74">
        <f>'12-2017'!J2146</f>
        <v>0</v>
      </c>
    </row>
    <row r="2046" spans="8:10">
      <c r="H2046" s="74">
        <f>'12-2017'!H2147</f>
        <v>0</v>
      </c>
      <c r="I2046" s="74">
        <f>'12-2017'!I2147</f>
        <v>0</v>
      </c>
      <c r="J2046" s="74">
        <f>'12-2017'!J2147</f>
        <v>0</v>
      </c>
    </row>
    <row r="2047" spans="8:10">
      <c r="H2047" s="74">
        <f>'12-2017'!H2148</f>
        <v>0</v>
      </c>
      <c r="I2047" s="74">
        <f>'12-2017'!I2148</f>
        <v>0</v>
      </c>
      <c r="J2047" s="74">
        <f>'12-2017'!J2148</f>
        <v>0</v>
      </c>
    </row>
    <row r="2048" spans="8:10">
      <c r="H2048" s="74">
        <f>'12-2017'!H2149</f>
        <v>0</v>
      </c>
      <c r="I2048" s="74">
        <f>'12-2017'!I2149</f>
        <v>0</v>
      </c>
      <c r="J2048" s="74">
        <f>'12-2017'!J2149</f>
        <v>0</v>
      </c>
    </row>
    <row r="2049" spans="8:10">
      <c r="H2049" s="74">
        <f>'12-2017'!H2150</f>
        <v>0</v>
      </c>
      <c r="I2049" s="74">
        <f>'12-2017'!I2150</f>
        <v>0</v>
      </c>
      <c r="J2049" s="74">
        <f>'12-2017'!J2150</f>
        <v>0</v>
      </c>
    </row>
    <row r="2050" spans="8:10">
      <c r="H2050" s="74">
        <f>'12-2017'!H2151</f>
        <v>0</v>
      </c>
      <c r="I2050" s="74">
        <f>'12-2017'!I2151</f>
        <v>0</v>
      </c>
      <c r="J2050" s="74">
        <f>'12-2017'!J2151</f>
        <v>0</v>
      </c>
    </row>
    <row r="2051" spans="8:10">
      <c r="H2051" s="74">
        <f>'12-2017'!H2152</f>
        <v>0</v>
      </c>
      <c r="I2051" s="74">
        <f>'12-2017'!I2152</f>
        <v>0</v>
      </c>
      <c r="J2051" s="74">
        <f>'12-2017'!J2152</f>
        <v>0</v>
      </c>
    </row>
    <row r="2052" spans="8:10">
      <c r="H2052" s="74">
        <f>'12-2017'!H2153</f>
        <v>0</v>
      </c>
      <c r="I2052" s="74">
        <f>'12-2017'!I2153</f>
        <v>0</v>
      </c>
      <c r="J2052" s="74">
        <f>'12-2017'!J2153</f>
        <v>0</v>
      </c>
    </row>
    <row r="2053" spans="8:10">
      <c r="H2053" s="74">
        <f>'12-2017'!H2154</f>
        <v>0</v>
      </c>
      <c r="I2053" s="74">
        <f>'12-2017'!I2154</f>
        <v>0</v>
      </c>
      <c r="J2053" s="74">
        <f>'12-2017'!J2154</f>
        <v>0</v>
      </c>
    </row>
    <row r="2054" spans="8:10">
      <c r="H2054" s="74">
        <f>'12-2017'!H2155</f>
        <v>0</v>
      </c>
      <c r="I2054" s="74">
        <f>'12-2017'!I2155</f>
        <v>0</v>
      </c>
      <c r="J2054" s="74">
        <f>'12-2017'!J2155</f>
        <v>0</v>
      </c>
    </row>
    <row r="2055" spans="8:10">
      <c r="H2055" s="74">
        <f>'12-2017'!H2156</f>
        <v>0</v>
      </c>
      <c r="I2055" s="74">
        <f>'12-2017'!I2156</f>
        <v>0</v>
      </c>
      <c r="J2055" s="74">
        <f>'12-2017'!J2156</f>
        <v>0</v>
      </c>
    </row>
    <row r="2056" spans="8:10">
      <c r="H2056" s="74">
        <f>'12-2017'!H2157</f>
        <v>0</v>
      </c>
      <c r="I2056" s="74">
        <f>'12-2017'!I2157</f>
        <v>0</v>
      </c>
      <c r="J2056" s="74">
        <f>'12-2017'!J2157</f>
        <v>0</v>
      </c>
    </row>
    <row r="2057" spans="8:10">
      <c r="H2057" s="74">
        <f>'12-2017'!H2158</f>
        <v>0</v>
      </c>
      <c r="I2057" s="74">
        <f>'12-2017'!I2158</f>
        <v>0</v>
      </c>
      <c r="J2057" s="74">
        <f>'12-2017'!J2158</f>
        <v>0</v>
      </c>
    </row>
    <row r="2058" spans="8:10">
      <c r="H2058" s="74">
        <f>'12-2017'!H2159</f>
        <v>0</v>
      </c>
      <c r="I2058" s="74">
        <f>'12-2017'!I2159</f>
        <v>0</v>
      </c>
      <c r="J2058" s="74">
        <f>'12-2017'!J2159</f>
        <v>0</v>
      </c>
    </row>
    <row r="2059" spans="8:10">
      <c r="H2059" s="74">
        <f>'12-2017'!H2160</f>
        <v>0</v>
      </c>
      <c r="I2059" s="74">
        <f>'12-2017'!I2160</f>
        <v>0</v>
      </c>
      <c r="J2059" s="74">
        <f>'12-2017'!J2160</f>
        <v>0</v>
      </c>
    </row>
    <row r="2060" spans="8:10">
      <c r="H2060" s="74">
        <f>'12-2017'!H2161</f>
        <v>0</v>
      </c>
      <c r="I2060" s="74">
        <f>'12-2017'!I2161</f>
        <v>0</v>
      </c>
      <c r="J2060" s="74">
        <f>'12-2017'!J2161</f>
        <v>0</v>
      </c>
    </row>
    <row r="2061" spans="8:10">
      <c r="H2061" s="74">
        <f>'12-2017'!H2162</f>
        <v>0</v>
      </c>
      <c r="I2061" s="74">
        <f>'12-2017'!I2162</f>
        <v>0</v>
      </c>
      <c r="J2061" s="74">
        <f>'12-2017'!J2162</f>
        <v>0</v>
      </c>
    </row>
    <row r="2062" spans="8:10">
      <c r="H2062" s="74">
        <f>'12-2017'!H2163</f>
        <v>0</v>
      </c>
      <c r="I2062" s="74">
        <f>'12-2017'!I2163</f>
        <v>0</v>
      </c>
      <c r="J2062" s="74">
        <f>'12-2017'!J2163</f>
        <v>0</v>
      </c>
    </row>
    <row r="2063" spans="8:10">
      <c r="H2063" s="74">
        <f>'12-2017'!H2164</f>
        <v>0</v>
      </c>
      <c r="I2063" s="74">
        <f>'12-2017'!I2164</f>
        <v>0</v>
      </c>
      <c r="J2063" s="74">
        <f>'12-2017'!J2164</f>
        <v>0</v>
      </c>
    </row>
    <row r="2064" spans="8:10">
      <c r="H2064" s="74">
        <f>'12-2017'!H2165</f>
        <v>0</v>
      </c>
      <c r="I2064" s="74">
        <f>'12-2017'!I2165</f>
        <v>0</v>
      </c>
      <c r="J2064" s="74">
        <f>'12-2017'!J2165</f>
        <v>0</v>
      </c>
    </row>
    <row r="2065" spans="8:10">
      <c r="H2065" s="74">
        <f>'12-2017'!H2166</f>
        <v>0</v>
      </c>
      <c r="I2065" s="74">
        <f>'12-2017'!I2166</f>
        <v>0</v>
      </c>
      <c r="J2065" s="74">
        <f>'12-2017'!J2166</f>
        <v>0</v>
      </c>
    </row>
    <row r="2066" spans="8:10">
      <c r="H2066" s="74">
        <f>'12-2017'!H2167</f>
        <v>0</v>
      </c>
      <c r="I2066" s="74">
        <f>'12-2017'!I2167</f>
        <v>0</v>
      </c>
      <c r="J2066" s="74">
        <f>'12-2017'!J2167</f>
        <v>0</v>
      </c>
    </row>
    <row r="2067" spans="8:10">
      <c r="H2067" s="74">
        <f>'12-2017'!H2168</f>
        <v>0</v>
      </c>
      <c r="I2067" s="74">
        <f>'12-2017'!I2168</f>
        <v>0</v>
      </c>
      <c r="J2067" s="74">
        <f>'12-2017'!J2168</f>
        <v>0</v>
      </c>
    </row>
    <row r="2068" spans="8:10">
      <c r="H2068" s="74">
        <f>'12-2017'!H2169</f>
        <v>0</v>
      </c>
      <c r="I2068" s="74">
        <f>'12-2017'!I2169</f>
        <v>0</v>
      </c>
      <c r="J2068" s="74">
        <f>'12-2017'!J2169</f>
        <v>0</v>
      </c>
    </row>
    <row r="2069" spans="8:10">
      <c r="H2069" s="74">
        <f>'12-2017'!H2170</f>
        <v>0</v>
      </c>
      <c r="I2069" s="74">
        <f>'12-2017'!I2170</f>
        <v>0</v>
      </c>
      <c r="J2069" s="74">
        <f>'12-2017'!J2170</f>
        <v>0</v>
      </c>
    </row>
    <row r="2070" spans="8:10">
      <c r="H2070" s="74">
        <f>'12-2017'!H2171</f>
        <v>0</v>
      </c>
      <c r="I2070" s="74">
        <f>'12-2017'!I2171</f>
        <v>0</v>
      </c>
      <c r="J2070" s="74">
        <f>'12-2017'!J2171</f>
        <v>0</v>
      </c>
    </row>
    <row r="2071" spans="8:10">
      <c r="H2071" s="74">
        <f>'12-2017'!H2172</f>
        <v>0</v>
      </c>
      <c r="I2071" s="74">
        <f>'12-2017'!I2172</f>
        <v>0</v>
      </c>
      <c r="J2071" s="74">
        <f>'12-2017'!J2172</f>
        <v>0</v>
      </c>
    </row>
    <row r="2072" spans="8:10">
      <c r="H2072" s="74">
        <f>'12-2017'!H2173</f>
        <v>0</v>
      </c>
      <c r="I2072" s="74">
        <f>'12-2017'!I2173</f>
        <v>0</v>
      </c>
      <c r="J2072" s="74">
        <f>'12-2017'!J2173</f>
        <v>0</v>
      </c>
    </row>
    <row r="2073" spans="8:10">
      <c r="H2073" s="74">
        <f>'12-2017'!H2174</f>
        <v>0</v>
      </c>
      <c r="I2073" s="74">
        <f>'12-2017'!I2174</f>
        <v>0</v>
      </c>
      <c r="J2073" s="74">
        <f>'12-2017'!J2174</f>
        <v>0</v>
      </c>
    </row>
    <row r="2074" spans="8:10">
      <c r="H2074" s="74">
        <f>'12-2017'!H2175</f>
        <v>0</v>
      </c>
      <c r="I2074" s="74">
        <f>'12-2017'!I2175</f>
        <v>0</v>
      </c>
      <c r="J2074" s="74">
        <f>'12-2017'!J2175</f>
        <v>0</v>
      </c>
    </row>
    <row r="2075" spans="8:10">
      <c r="H2075" s="74">
        <f>'12-2017'!H2176</f>
        <v>0</v>
      </c>
      <c r="I2075" s="74">
        <f>'12-2017'!I2176</f>
        <v>0</v>
      </c>
      <c r="J2075" s="74">
        <f>'12-2017'!J2176</f>
        <v>0</v>
      </c>
    </row>
    <row r="2076" spans="8:10">
      <c r="H2076" s="74">
        <f>'12-2017'!H2177</f>
        <v>0</v>
      </c>
      <c r="I2076" s="74">
        <f>'12-2017'!I2177</f>
        <v>0</v>
      </c>
      <c r="J2076" s="74">
        <f>'12-2017'!J2177</f>
        <v>0</v>
      </c>
    </row>
    <row r="2077" spans="8:10">
      <c r="H2077" s="74">
        <f>'12-2017'!H2178</f>
        <v>0</v>
      </c>
      <c r="I2077" s="74">
        <f>'12-2017'!I2178</f>
        <v>0</v>
      </c>
      <c r="J2077" s="74">
        <f>'12-2017'!J2178</f>
        <v>0</v>
      </c>
    </row>
    <row r="2078" spans="8:10">
      <c r="H2078" s="74">
        <f>'12-2017'!H2179</f>
        <v>0</v>
      </c>
      <c r="I2078" s="74">
        <f>'12-2017'!I2179</f>
        <v>0</v>
      </c>
      <c r="J2078" s="74">
        <f>'12-2017'!J2179</f>
        <v>0</v>
      </c>
    </row>
    <row r="2079" spans="8:10">
      <c r="H2079" s="74">
        <f>'12-2017'!H2180</f>
        <v>0</v>
      </c>
      <c r="I2079" s="74">
        <f>'12-2017'!I2180</f>
        <v>0</v>
      </c>
      <c r="J2079" s="74">
        <f>'12-2017'!J2180</f>
        <v>0</v>
      </c>
    </row>
    <row r="2080" spans="8:10">
      <c r="H2080" s="74">
        <f>'12-2017'!H2181</f>
        <v>0</v>
      </c>
      <c r="I2080" s="74">
        <f>'12-2017'!I2181</f>
        <v>0</v>
      </c>
      <c r="J2080" s="74">
        <f>'12-2017'!J2181</f>
        <v>0</v>
      </c>
    </row>
    <row r="2081" spans="8:10">
      <c r="H2081" s="74">
        <f>'12-2017'!H2182</f>
        <v>0</v>
      </c>
      <c r="I2081" s="74">
        <f>'12-2017'!I2182</f>
        <v>0</v>
      </c>
      <c r="J2081" s="74">
        <f>'12-2017'!J2182</f>
        <v>0</v>
      </c>
    </row>
    <row r="2082" spans="8:10">
      <c r="H2082" s="74">
        <f>'12-2017'!H2183</f>
        <v>0</v>
      </c>
      <c r="I2082" s="74">
        <f>'12-2017'!I2183</f>
        <v>0</v>
      </c>
      <c r="J2082" s="74">
        <f>'12-2017'!J2183</f>
        <v>0</v>
      </c>
    </row>
    <row r="2083" spans="8:10">
      <c r="H2083" s="74">
        <f>'12-2017'!H2184</f>
        <v>0</v>
      </c>
      <c r="I2083" s="74">
        <f>'12-2017'!I2184</f>
        <v>0</v>
      </c>
      <c r="J2083" s="74">
        <f>'12-2017'!J2184</f>
        <v>0</v>
      </c>
    </row>
    <row r="2084" spans="8:10">
      <c r="H2084" s="74">
        <f>'12-2017'!H2185</f>
        <v>0</v>
      </c>
      <c r="I2084" s="74">
        <f>'12-2017'!I2185</f>
        <v>0</v>
      </c>
      <c r="J2084" s="74">
        <f>'12-2017'!J2185</f>
        <v>0</v>
      </c>
    </row>
    <row r="2085" spans="8:10">
      <c r="H2085" s="74">
        <f>'12-2017'!H2186</f>
        <v>0</v>
      </c>
      <c r="I2085" s="74">
        <f>'12-2017'!I2186</f>
        <v>0</v>
      </c>
      <c r="J2085" s="74">
        <f>'12-2017'!J2186</f>
        <v>0</v>
      </c>
    </row>
    <row r="2086" spans="8:10">
      <c r="H2086" s="74">
        <f>'12-2017'!H2187</f>
        <v>0</v>
      </c>
      <c r="I2086" s="74">
        <f>'12-2017'!I2187</f>
        <v>0</v>
      </c>
      <c r="J2086" s="74">
        <f>'12-2017'!J2187</f>
        <v>0</v>
      </c>
    </row>
    <row r="2087" spans="8:10">
      <c r="H2087" s="74">
        <f>'12-2017'!H2188</f>
        <v>0</v>
      </c>
      <c r="I2087" s="74">
        <f>'12-2017'!I2188</f>
        <v>0</v>
      </c>
      <c r="J2087" s="74">
        <f>'12-2017'!J2188</f>
        <v>0</v>
      </c>
    </row>
    <row r="2088" spans="8:10">
      <c r="H2088" s="74">
        <f>'12-2017'!H2189</f>
        <v>0</v>
      </c>
      <c r="I2088" s="74">
        <f>'12-2017'!I2189</f>
        <v>0</v>
      </c>
      <c r="J2088" s="74">
        <f>'12-2017'!J2189</f>
        <v>0</v>
      </c>
    </row>
    <row r="2089" spans="8:10">
      <c r="H2089" s="74">
        <f>'12-2017'!H2190</f>
        <v>0</v>
      </c>
      <c r="I2089" s="74">
        <f>'12-2017'!I2190</f>
        <v>0</v>
      </c>
      <c r="J2089" s="74">
        <f>'12-2017'!J2190</f>
        <v>0</v>
      </c>
    </row>
    <row r="2090" spans="8:10">
      <c r="H2090" s="74">
        <f>'12-2017'!H2191</f>
        <v>0</v>
      </c>
      <c r="I2090" s="74">
        <f>'12-2017'!I2191</f>
        <v>0</v>
      </c>
      <c r="J2090" s="74">
        <f>'12-2017'!J2191</f>
        <v>0</v>
      </c>
    </row>
    <row r="2091" spans="8:10">
      <c r="H2091" s="74">
        <f>'12-2017'!H2192</f>
        <v>0</v>
      </c>
      <c r="I2091" s="74">
        <f>'12-2017'!I2192</f>
        <v>0</v>
      </c>
      <c r="J2091" s="74">
        <f>'12-2017'!J2192</f>
        <v>0</v>
      </c>
    </row>
    <row r="2092" spans="8:10">
      <c r="H2092" s="74">
        <f>'12-2017'!H2193</f>
        <v>0</v>
      </c>
      <c r="I2092" s="74">
        <f>'12-2017'!I2193</f>
        <v>0</v>
      </c>
      <c r="J2092" s="74">
        <f>'12-2017'!J2193</f>
        <v>0</v>
      </c>
    </row>
    <row r="2093" spans="8:10">
      <c r="H2093" s="74">
        <f>'12-2017'!H2194</f>
        <v>0</v>
      </c>
      <c r="I2093" s="74">
        <f>'12-2017'!I2194</f>
        <v>0</v>
      </c>
      <c r="J2093" s="74">
        <f>'12-2017'!J2194</f>
        <v>0</v>
      </c>
    </row>
    <row r="2094" spans="8:10">
      <c r="H2094" s="74">
        <f>'12-2017'!H2195</f>
        <v>0</v>
      </c>
      <c r="I2094" s="74">
        <f>'12-2017'!I2195</f>
        <v>0</v>
      </c>
      <c r="J2094" s="74">
        <f>'12-2017'!J2195</f>
        <v>0</v>
      </c>
    </row>
    <row r="2095" spans="8:10">
      <c r="H2095" s="74">
        <f>'12-2017'!H2196</f>
        <v>0</v>
      </c>
      <c r="I2095" s="74">
        <f>'12-2017'!I2196</f>
        <v>0</v>
      </c>
      <c r="J2095" s="74">
        <f>'12-2017'!J2196</f>
        <v>0</v>
      </c>
    </row>
    <row r="2096" spans="8:10">
      <c r="H2096" s="74">
        <f>'12-2017'!H2197</f>
        <v>0</v>
      </c>
      <c r="I2096" s="74">
        <f>'12-2017'!I2197</f>
        <v>0</v>
      </c>
      <c r="J2096" s="74">
        <f>'12-2017'!J2197</f>
        <v>0</v>
      </c>
    </row>
    <row r="2097" spans="8:10">
      <c r="H2097" s="74">
        <f>'12-2017'!H2198</f>
        <v>0</v>
      </c>
      <c r="I2097" s="74">
        <f>'12-2017'!I2198</f>
        <v>0</v>
      </c>
      <c r="J2097" s="74">
        <f>'12-2017'!J2198</f>
        <v>0</v>
      </c>
    </row>
    <row r="2098" spans="8:10">
      <c r="H2098" s="74">
        <f>'12-2017'!H2199</f>
        <v>0</v>
      </c>
      <c r="I2098" s="74">
        <f>'12-2017'!I2199</f>
        <v>0</v>
      </c>
      <c r="J2098" s="74">
        <f>'12-2017'!J2199</f>
        <v>0</v>
      </c>
    </row>
    <row r="2099" spans="8:10">
      <c r="H2099" s="74">
        <f>'12-2017'!H2200</f>
        <v>0</v>
      </c>
      <c r="I2099" s="74">
        <f>'12-2017'!I2200</f>
        <v>0</v>
      </c>
      <c r="J2099" s="74">
        <f>'12-2017'!J2200</f>
        <v>0</v>
      </c>
    </row>
    <row r="2100" spans="8:10">
      <c r="H2100" s="74">
        <f>'12-2017'!H2201</f>
        <v>0</v>
      </c>
      <c r="I2100" s="74">
        <f>'12-2017'!I2201</f>
        <v>0</v>
      </c>
      <c r="J2100" s="74">
        <f>'12-2017'!J2201</f>
        <v>0</v>
      </c>
    </row>
    <row r="2101" spans="8:10">
      <c r="H2101" s="74">
        <f>'12-2017'!H2202</f>
        <v>0</v>
      </c>
      <c r="I2101" s="74">
        <f>'12-2017'!I2202</f>
        <v>0</v>
      </c>
      <c r="J2101" s="74">
        <f>'12-2017'!J2202</f>
        <v>0</v>
      </c>
    </row>
    <row r="2102" spans="8:10">
      <c r="H2102" s="74">
        <f>'12-2017'!H2203</f>
        <v>0</v>
      </c>
      <c r="I2102" s="74">
        <f>'12-2017'!I2203</f>
        <v>0</v>
      </c>
      <c r="J2102" s="74">
        <f>'12-2017'!J2203</f>
        <v>0</v>
      </c>
    </row>
    <row r="2103" spans="8:10">
      <c r="H2103" s="74">
        <f>'12-2017'!H2204</f>
        <v>0</v>
      </c>
      <c r="I2103" s="74">
        <f>'12-2017'!I2204</f>
        <v>0</v>
      </c>
      <c r="J2103" s="74">
        <f>'12-2017'!J2204</f>
        <v>0</v>
      </c>
    </row>
    <row r="2104" spans="8:10">
      <c r="H2104" s="74">
        <f>'12-2017'!H2205</f>
        <v>0</v>
      </c>
      <c r="I2104" s="74">
        <f>'12-2017'!I2205</f>
        <v>0</v>
      </c>
      <c r="J2104" s="74">
        <f>'12-2017'!J2205</f>
        <v>0</v>
      </c>
    </row>
    <row r="2105" spans="8:10">
      <c r="H2105" s="74">
        <f>'12-2017'!H2206</f>
        <v>0</v>
      </c>
      <c r="I2105" s="74">
        <f>'12-2017'!I2206</f>
        <v>0</v>
      </c>
      <c r="J2105" s="74">
        <f>'12-2017'!J2206</f>
        <v>0</v>
      </c>
    </row>
    <row r="2106" spans="8:10">
      <c r="H2106" s="74">
        <f>'12-2017'!H2207</f>
        <v>0</v>
      </c>
      <c r="I2106" s="74">
        <f>'12-2017'!I2207</f>
        <v>0</v>
      </c>
      <c r="J2106" s="74">
        <f>'12-2017'!J2207</f>
        <v>0</v>
      </c>
    </row>
    <row r="2107" spans="8:10">
      <c r="H2107" s="74">
        <f>'12-2017'!H2208</f>
        <v>0</v>
      </c>
      <c r="I2107" s="74">
        <f>'12-2017'!I2208</f>
        <v>0</v>
      </c>
      <c r="J2107" s="74">
        <f>'12-2017'!J2208</f>
        <v>0</v>
      </c>
    </row>
    <row r="2108" spans="8:10">
      <c r="H2108" s="74">
        <f>'12-2017'!H2209</f>
        <v>0</v>
      </c>
      <c r="I2108" s="74">
        <f>'12-2017'!I2209</f>
        <v>0</v>
      </c>
      <c r="J2108" s="74">
        <f>'12-2017'!J2209</f>
        <v>0</v>
      </c>
    </row>
    <row r="2109" spans="8:10">
      <c r="H2109" s="74">
        <f>'12-2017'!H2210</f>
        <v>0</v>
      </c>
      <c r="I2109" s="74">
        <f>'12-2017'!I2210</f>
        <v>0</v>
      </c>
      <c r="J2109" s="74">
        <f>'12-2017'!J2210</f>
        <v>0</v>
      </c>
    </row>
    <row r="2110" spans="8:10">
      <c r="H2110" s="74">
        <f>'12-2017'!H2211</f>
        <v>0</v>
      </c>
      <c r="I2110" s="74">
        <f>'12-2017'!I2211</f>
        <v>0</v>
      </c>
      <c r="J2110" s="74">
        <f>'12-2017'!J2211</f>
        <v>0</v>
      </c>
    </row>
    <row r="2111" spans="8:10">
      <c r="H2111" s="74">
        <f>'12-2017'!H2212</f>
        <v>0</v>
      </c>
      <c r="I2111" s="74">
        <f>'12-2017'!I2212</f>
        <v>0</v>
      </c>
      <c r="J2111" s="74">
        <f>'12-2017'!J2212</f>
        <v>0</v>
      </c>
    </row>
    <row r="2112" spans="8:10">
      <c r="H2112" s="74">
        <f>'12-2017'!H2213</f>
        <v>0</v>
      </c>
      <c r="I2112" s="74">
        <f>'12-2017'!I2213</f>
        <v>0</v>
      </c>
      <c r="J2112" s="74">
        <f>'12-2017'!J2213</f>
        <v>0</v>
      </c>
    </row>
    <row r="2113" spans="8:10">
      <c r="H2113" s="74">
        <f>'12-2017'!H2214</f>
        <v>0</v>
      </c>
      <c r="I2113" s="74">
        <f>'12-2017'!I2214</f>
        <v>0</v>
      </c>
      <c r="J2113" s="74">
        <f>'12-2017'!J2214</f>
        <v>0</v>
      </c>
    </row>
    <row r="2114" spans="8:10">
      <c r="H2114" s="74">
        <f>'12-2017'!H2215</f>
        <v>0</v>
      </c>
      <c r="I2114" s="74">
        <f>'12-2017'!I2215</f>
        <v>0</v>
      </c>
      <c r="J2114" s="74">
        <f>'12-2017'!J2215</f>
        <v>0</v>
      </c>
    </row>
    <row r="2115" spans="8:10">
      <c r="H2115" s="74">
        <f>'12-2017'!H2216</f>
        <v>0</v>
      </c>
      <c r="I2115" s="74">
        <f>'12-2017'!I2216</f>
        <v>0</v>
      </c>
      <c r="J2115" s="74">
        <f>'12-2017'!J2216</f>
        <v>0</v>
      </c>
    </row>
    <row r="2116" spans="8:10">
      <c r="H2116" s="74">
        <f>'12-2017'!H2217</f>
        <v>0</v>
      </c>
      <c r="I2116" s="74">
        <f>'12-2017'!I2217</f>
        <v>0</v>
      </c>
      <c r="J2116" s="74">
        <f>'12-2017'!J2217</f>
        <v>0</v>
      </c>
    </row>
    <row r="2117" spans="8:10">
      <c r="H2117" s="74">
        <f>'12-2017'!H2218</f>
        <v>0</v>
      </c>
      <c r="I2117" s="74">
        <f>'12-2017'!I2218</f>
        <v>0</v>
      </c>
      <c r="J2117" s="74">
        <f>'12-2017'!J2218</f>
        <v>0</v>
      </c>
    </row>
    <row r="2118" spans="8:10">
      <c r="H2118" s="74">
        <f>'12-2017'!H2219</f>
        <v>0</v>
      </c>
      <c r="I2118" s="74">
        <f>'12-2017'!I2219</f>
        <v>0</v>
      </c>
      <c r="J2118" s="74">
        <f>'12-2017'!J2219</f>
        <v>0</v>
      </c>
    </row>
    <row r="2119" spans="8:10">
      <c r="H2119" s="74">
        <f>'12-2017'!H2220</f>
        <v>0</v>
      </c>
      <c r="I2119" s="74">
        <f>'12-2017'!I2220</f>
        <v>0</v>
      </c>
      <c r="J2119" s="74">
        <f>'12-2017'!J2220</f>
        <v>0</v>
      </c>
    </row>
    <row r="2120" spans="8:10">
      <c r="H2120" s="74">
        <f>'12-2017'!H2221</f>
        <v>0</v>
      </c>
      <c r="I2120" s="74">
        <f>'12-2017'!I2221</f>
        <v>0</v>
      </c>
      <c r="J2120" s="74">
        <f>'12-2017'!J2221</f>
        <v>0</v>
      </c>
    </row>
    <row r="2121" spans="8:10">
      <c r="H2121" s="74">
        <f>'12-2017'!H2222</f>
        <v>0</v>
      </c>
      <c r="I2121" s="74">
        <f>'12-2017'!I2222</f>
        <v>0</v>
      </c>
      <c r="J2121" s="74">
        <f>'12-2017'!J2222</f>
        <v>0</v>
      </c>
    </row>
    <row r="2122" spans="8:10">
      <c r="H2122" s="74">
        <f>'12-2017'!H2223</f>
        <v>0</v>
      </c>
      <c r="I2122" s="74">
        <f>'12-2017'!I2223</f>
        <v>0</v>
      </c>
      <c r="J2122" s="74">
        <f>'12-2017'!J2223</f>
        <v>0</v>
      </c>
    </row>
    <row r="2123" spans="8:10">
      <c r="H2123" s="74">
        <f>'12-2017'!H2224</f>
        <v>0</v>
      </c>
      <c r="I2123" s="74">
        <f>'12-2017'!I2224</f>
        <v>0</v>
      </c>
      <c r="J2123" s="74">
        <f>'12-2017'!J2224</f>
        <v>0</v>
      </c>
    </row>
    <row r="2124" spans="8:10">
      <c r="H2124" s="74">
        <f>'12-2017'!H2225</f>
        <v>0</v>
      </c>
      <c r="I2124" s="74">
        <f>'12-2017'!I2225</f>
        <v>0</v>
      </c>
      <c r="J2124" s="74">
        <f>'12-2017'!J2225</f>
        <v>0</v>
      </c>
    </row>
    <row r="2125" spans="8:10">
      <c r="H2125" s="74">
        <f>'12-2017'!H2226</f>
        <v>0</v>
      </c>
      <c r="I2125" s="74">
        <f>'12-2017'!I2226</f>
        <v>0</v>
      </c>
      <c r="J2125" s="74">
        <f>'12-2017'!J2226</f>
        <v>0</v>
      </c>
    </row>
    <row r="2126" spans="8:10">
      <c r="H2126" s="74">
        <f>'12-2017'!H2227</f>
        <v>0</v>
      </c>
      <c r="I2126" s="74">
        <f>'12-2017'!I2227</f>
        <v>0</v>
      </c>
      <c r="J2126" s="74">
        <f>'12-2017'!J2227</f>
        <v>0</v>
      </c>
    </row>
    <row r="2127" spans="8:10">
      <c r="H2127" s="74">
        <f>'12-2017'!H2228</f>
        <v>0</v>
      </c>
      <c r="I2127" s="74">
        <f>'12-2017'!I2228</f>
        <v>0</v>
      </c>
      <c r="J2127" s="74">
        <f>'12-2017'!J2228</f>
        <v>0</v>
      </c>
    </row>
    <row r="2128" spans="8:10">
      <c r="H2128" s="74">
        <f>'12-2017'!H2229</f>
        <v>0</v>
      </c>
      <c r="I2128" s="74">
        <f>'12-2017'!I2229</f>
        <v>0</v>
      </c>
      <c r="J2128" s="74">
        <f>'12-2017'!J2229</f>
        <v>0</v>
      </c>
    </row>
    <row r="2129" spans="8:10">
      <c r="H2129" s="74">
        <f>'12-2017'!H2230</f>
        <v>0</v>
      </c>
      <c r="I2129" s="74">
        <f>'12-2017'!I2230</f>
        <v>0</v>
      </c>
      <c r="J2129" s="74">
        <f>'12-2017'!J2230</f>
        <v>0</v>
      </c>
    </row>
    <row r="2130" spans="8:10">
      <c r="H2130" s="74">
        <f>'12-2017'!H2231</f>
        <v>0</v>
      </c>
      <c r="I2130" s="74">
        <f>'12-2017'!I2231</f>
        <v>0</v>
      </c>
      <c r="J2130" s="74">
        <f>'12-2017'!J2231</f>
        <v>0</v>
      </c>
    </row>
    <row r="2131" spans="8:10">
      <c r="H2131" s="74">
        <f>'12-2017'!H2232</f>
        <v>0</v>
      </c>
      <c r="I2131" s="74">
        <f>'12-2017'!I2232</f>
        <v>0</v>
      </c>
      <c r="J2131" s="74">
        <f>'12-2017'!J2232</f>
        <v>0</v>
      </c>
    </row>
    <row r="2132" spans="8:10">
      <c r="H2132" s="74">
        <f>'12-2017'!H2233</f>
        <v>0</v>
      </c>
      <c r="I2132" s="74">
        <f>'12-2017'!I2233</f>
        <v>0</v>
      </c>
      <c r="J2132" s="74">
        <f>'12-2017'!J2233</f>
        <v>0</v>
      </c>
    </row>
    <row r="2133" spans="8:10">
      <c r="H2133" s="74">
        <f>'12-2017'!H2234</f>
        <v>0</v>
      </c>
      <c r="I2133" s="74">
        <f>'12-2017'!I2234</f>
        <v>0</v>
      </c>
      <c r="J2133" s="74">
        <f>'12-2017'!J2234</f>
        <v>0</v>
      </c>
    </row>
    <row r="2134" spans="8:10">
      <c r="H2134" s="74">
        <f>'12-2017'!H2235</f>
        <v>0</v>
      </c>
      <c r="I2134" s="74">
        <f>'12-2017'!I2235</f>
        <v>0</v>
      </c>
      <c r="J2134" s="74">
        <f>'12-2017'!J2235</f>
        <v>0</v>
      </c>
    </row>
    <row r="2135" spans="8:10">
      <c r="H2135" s="74">
        <f>'12-2017'!H2236</f>
        <v>0</v>
      </c>
      <c r="I2135" s="74">
        <f>'12-2017'!I2236</f>
        <v>0</v>
      </c>
      <c r="J2135" s="74">
        <f>'12-2017'!J2236</f>
        <v>0</v>
      </c>
    </row>
    <row r="2136" spans="8:10">
      <c r="H2136" s="74">
        <f>'12-2017'!H2237</f>
        <v>0</v>
      </c>
      <c r="I2136" s="74">
        <f>'12-2017'!I2237</f>
        <v>0</v>
      </c>
      <c r="J2136" s="74">
        <f>'12-2017'!J2237</f>
        <v>0</v>
      </c>
    </row>
    <row r="2137" spans="8:10">
      <c r="H2137" s="74">
        <f>'12-2017'!H2238</f>
        <v>0</v>
      </c>
      <c r="I2137" s="74">
        <f>'12-2017'!I2238</f>
        <v>0</v>
      </c>
      <c r="J2137" s="74">
        <f>'12-2017'!J2238</f>
        <v>0</v>
      </c>
    </row>
    <row r="2138" spans="8:10">
      <c r="H2138" s="74">
        <f>'12-2017'!H2239</f>
        <v>0</v>
      </c>
      <c r="I2138" s="74">
        <f>'12-2017'!I2239</f>
        <v>0</v>
      </c>
      <c r="J2138" s="74">
        <f>'12-2017'!J2239</f>
        <v>0</v>
      </c>
    </row>
    <row r="2139" spans="8:10">
      <c r="H2139" s="74">
        <f>'12-2017'!H2240</f>
        <v>0</v>
      </c>
      <c r="I2139" s="74">
        <f>'12-2017'!I2240</f>
        <v>0</v>
      </c>
      <c r="J2139" s="74">
        <f>'12-2017'!J2240</f>
        <v>0</v>
      </c>
    </row>
    <row r="2140" spans="8:10">
      <c r="H2140" s="74">
        <f>'12-2017'!H2241</f>
        <v>0</v>
      </c>
      <c r="I2140" s="74">
        <f>'12-2017'!I2241</f>
        <v>0</v>
      </c>
      <c r="J2140" s="74">
        <f>'12-2017'!J2241</f>
        <v>0</v>
      </c>
    </row>
    <row r="2141" spans="8:10">
      <c r="H2141" s="74">
        <f>'12-2017'!H2242</f>
        <v>0</v>
      </c>
      <c r="I2141" s="74">
        <f>'12-2017'!I2242</f>
        <v>0</v>
      </c>
      <c r="J2141" s="74">
        <f>'12-2017'!J2242</f>
        <v>0</v>
      </c>
    </row>
    <row r="2142" spans="8:10">
      <c r="H2142" s="74">
        <f>'12-2017'!H2243</f>
        <v>0</v>
      </c>
      <c r="I2142" s="74">
        <f>'12-2017'!I2243</f>
        <v>0</v>
      </c>
      <c r="J2142" s="74">
        <f>'12-2017'!J2243</f>
        <v>0</v>
      </c>
    </row>
    <row r="2143" spans="8:10">
      <c r="H2143" s="74">
        <f>'12-2017'!H2244</f>
        <v>0</v>
      </c>
      <c r="I2143" s="74">
        <f>'12-2017'!I2244</f>
        <v>0</v>
      </c>
      <c r="J2143" s="74">
        <f>'12-2017'!J2244</f>
        <v>0</v>
      </c>
    </row>
    <row r="2144" spans="8:10">
      <c r="H2144" s="74">
        <f>'12-2017'!H2245</f>
        <v>0</v>
      </c>
      <c r="I2144" s="74">
        <f>'12-2017'!I2245</f>
        <v>0</v>
      </c>
      <c r="J2144" s="74">
        <f>'12-2017'!J2245</f>
        <v>0</v>
      </c>
    </row>
    <row r="2145" spans="8:10">
      <c r="H2145" s="74">
        <f>'12-2017'!H2246</f>
        <v>0</v>
      </c>
      <c r="I2145" s="74">
        <f>'12-2017'!I2246</f>
        <v>0</v>
      </c>
      <c r="J2145" s="74">
        <f>'12-2017'!J2246</f>
        <v>0</v>
      </c>
    </row>
    <row r="2146" spans="8:10">
      <c r="H2146" s="74">
        <f>'12-2017'!H2247</f>
        <v>0</v>
      </c>
      <c r="I2146" s="74">
        <f>'12-2017'!I2247</f>
        <v>0</v>
      </c>
      <c r="J2146" s="74">
        <f>'12-2017'!J2247</f>
        <v>0</v>
      </c>
    </row>
    <row r="2147" spans="8:10">
      <c r="H2147" s="74">
        <f>'12-2017'!H2248</f>
        <v>0</v>
      </c>
      <c r="I2147" s="74">
        <f>'12-2017'!I2248</f>
        <v>0</v>
      </c>
      <c r="J2147" s="74">
        <f>'12-2017'!J2248</f>
        <v>0</v>
      </c>
    </row>
    <row r="2148" spans="8:10">
      <c r="H2148" s="74">
        <f>'12-2017'!H2249</f>
        <v>0</v>
      </c>
      <c r="I2148" s="74">
        <f>'12-2017'!I2249</f>
        <v>0</v>
      </c>
      <c r="J2148" s="74">
        <f>'12-2017'!J2249</f>
        <v>0</v>
      </c>
    </row>
    <row r="2149" spans="8:10">
      <c r="H2149" s="74">
        <f>'12-2017'!H2250</f>
        <v>0</v>
      </c>
      <c r="I2149" s="74">
        <f>'12-2017'!I2250</f>
        <v>0</v>
      </c>
      <c r="J2149" s="74">
        <f>'12-2017'!J2250</f>
        <v>0</v>
      </c>
    </row>
    <row r="2150" spans="8:10">
      <c r="H2150" s="74">
        <f>'12-2017'!H2251</f>
        <v>0</v>
      </c>
      <c r="I2150" s="74">
        <f>'12-2017'!I2251</f>
        <v>0</v>
      </c>
      <c r="J2150" s="74">
        <f>'12-2017'!J2251</f>
        <v>0</v>
      </c>
    </row>
    <row r="2151" spans="8:10">
      <c r="H2151" s="74">
        <f>'12-2017'!H2252</f>
        <v>0</v>
      </c>
      <c r="I2151" s="74">
        <f>'12-2017'!I2252</f>
        <v>0</v>
      </c>
      <c r="J2151" s="74">
        <f>'12-2017'!J2252</f>
        <v>0</v>
      </c>
    </row>
    <row r="2152" spans="8:10">
      <c r="H2152" s="74">
        <f>'12-2017'!H2253</f>
        <v>0</v>
      </c>
      <c r="I2152" s="74">
        <f>'12-2017'!I2253</f>
        <v>0</v>
      </c>
      <c r="J2152" s="74">
        <f>'12-2017'!J2253</f>
        <v>0</v>
      </c>
    </row>
    <row r="2153" spans="8:10">
      <c r="H2153" s="74">
        <f>'12-2017'!H2254</f>
        <v>0</v>
      </c>
      <c r="I2153" s="74">
        <f>'12-2017'!I2254</f>
        <v>0</v>
      </c>
      <c r="J2153" s="74">
        <f>'12-2017'!J2254</f>
        <v>0</v>
      </c>
    </row>
    <row r="2154" spans="8:10">
      <c r="H2154" s="74">
        <f>'12-2017'!H2255</f>
        <v>0</v>
      </c>
      <c r="I2154" s="74">
        <f>'12-2017'!I2255</f>
        <v>0</v>
      </c>
      <c r="J2154" s="74">
        <f>'12-2017'!J2255</f>
        <v>0</v>
      </c>
    </row>
    <row r="2155" spans="8:10">
      <c r="H2155" s="74">
        <f>'12-2017'!H2256</f>
        <v>0</v>
      </c>
      <c r="I2155" s="74">
        <f>'12-2017'!I2256</f>
        <v>0</v>
      </c>
      <c r="J2155" s="74">
        <f>'12-2017'!J2256</f>
        <v>0</v>
      </c>
    </row>
    <row r="2156" spans="8:10">
      <c r="H2156" s="74">
        <f>'12-2017'!H2257</f>
        <v>0</v>
      </c>
      <c r="I2156" s="74">
        <f>'12-2017'!I2257</f>
        <v>0</v>
      </c>
      <c r="J2156" s="74">
        <f>'12-2017'!J2257</f>
        <v>0</v>
      </c>
    </row>
    <row r="2157" spans="8:10">
      <c r="H2157" s="74">
        <f>'12-2017'!H2258</f>
        <v>0</v>
      </c>
      <c r="I2157" s="74">
        <f>'12-2017'!I2258</f>
        <v>0</v>
      </c>
      <c r="J2157" s="74">
        <f>'12-2017'!J2258</f>
        <v>0</v>
      </c>
    </row>
    <row r="2158" spans="8:10">
      <c r="H2158" s="74">
        <f>'12-2017'!H2259</f>
        <v>0</v>
      </c>
      <c r="I2158" s="74">
        <f>'12-2017'!I2259</f>
        <v>0</v>
      </c>
      <c r="J2158" s="74">
        <f>'12-2017'!J2259</f>
        <v>0</v>
      </c>
    </row>
    <row r="2159" spans="8:10">
      <c r="H2159" s="74">
        <f>'12-2017'!H2260</f>
        <v>0</v>
      </c>
      <c r="I2159" s="74">
        <f>'12-2017'!I2260</f>
        <v>0</v>
      </c>
      <c r="J2159" s="74">
        <f>'12-2017'!J2260</f>
        <v>0</v>
      </c>
    </row>
    <row r="2160" spans="8:10">
      <c r="H2160" s="74">
        <f>'12-2017'!H2261</f>
        <v>0</v>
      </c>
      <c r="I2160" s="74">
        <f>'12-2017'!I2261</f>
        <v>0</v>
      </c>
      <c r="J2160" s="74">
        <f>'12-2017'!J2261</f>
        <v>0</v>
      </c>
    </row>
    <row r="2161" spans="8:10">
      <c r="H2161" s="74">
        <f>'12-2017'!H2262</f>
        <v>0</v>
      </c>
      <c r="I2161" s="74">
        <f>'12-2017'!I2262</f>
        <v>0</v>
      </c>
      <c r="J2161" s="74">
        <f>'12-2017'!J2262</f>
        <v>0</v>
      </c>
    </row>
    <row r="2162" spans="8:10">
      <c r="H2162" s="74">
        <f>'12-2017'!H2263</f>
        <v>0</v>
      </c>
      <c r="I2162" s="74">
        <f>'12-2017'!I2263</f>
        <v>0</v>
      </c>
      <c r="J2162" s="74">
        <f>'12-2017'!J2263</f>
        <v>0</v>
      </c>
    </row>
    <row r="2163" spans="8:10">
      <c r="H2163" s="74">
        <f>'12-2017'!H2264</f>
        <v>0</v>
      </c>
      <c r="I2163" s="74">
        <f>'12-2017'!I2264</f>
        <v>0</v>
      </c>
      <c r="J2163" s="74">
        <f>'12-2017'!J2264</f>
        <v>0</v>
      </c>
    </row>
    <row r="2164" spans="8:10">
      <c r="H2164" s="74">
        <f>'12-2017'!H2265</f>
        <v>0</v>
      </c>
      <c r="I2164" s="74">
        <f>'12-2017'!I2265</f>
        <v>0</v>
      </c>
      <c r="J2164" s="74">
        <f>'12-2017'!J2265</f>
        <v>0</v>
      </c>
    </row>
    <row r="2165" spans="8:10">
      <c r="H2165" s="74">
        <f>'12-2017'!H2266</f>
        <v>0</v>
      </c>
      <c r="I2165" s="74">
        <f>'12-2017'!I2266</f>
        <v>0</v>
      </c>
      <c r="J2165" s="74">
        <f>'12-2017'!J2266</f>
        <v>0</v>
      </c>
    </row>
    <row r="2166" spans="8:10">
      <c r="H2166" s="74">
        <f>'12-2017'!H2267</f>
        <v>0</v>
      </c>
      <c r="I2166" s="74">
        <f>'12-2017'!I2267</f>
        <v>0</v>
      </c>
      <c r="J2166" s="74">
        <f>'12-2017'!J2267</f>
        <v>0</v>
      </c>
    </row>
    <row r="2167" spans="8:10">
      <c r="H2167" s="74">
        <f>'12-2017'!H2268</f>
        <v>0</v>
      </c>
      <c r="I2167" s="74">
        <f>'12-2017'!I2268</f>
        <v>0</v>
      </c>
      <c r="J2167" s="74">
        <f>'12-2017'!J2268</f>
        <v>0</v>
      </c>
    </row>
    <row r="2168" spans="8:10">
      <c r="H2168" s="74">
        <f>'12-2017'!H2269</f>
        <v>0</v>
      </c>
      <c r="I2168" s="74">
        <f>'12-2017'!I2269</f>
        <v>0</v>
      </c>
      <c r="J2168" s="74">
        <f>'12-2017'!J2269</f>
        <v>0</v>
      </c>
    </row>
    <row r="2169" spans="8:10">
      <c r="H2169" s="74">
        <f>'12-2017'!H2270</f>
        <v>0</v>
      </c>
      <c r="I2169" s="74">
        <f>'12-2017'!I2270</f>
        <v>0</v>
      </c>
      <c r="J2169" s="74">
        <f>'12-2017'!J2270</f>
        <v>0</v>
      </c>
    </row>
    <row r="2170" spans="8:10">
      <c r="H2170" s="74">
        <f>'12-2017'!H2271</f>
        <v>0</v>
      </c>
      <c r="I2170" s="74">
        <f>'12-2017'!I2271</f>
        <v>0</v>
      </c>
      <c r="J2170" s="74">
        <f>'12-2017'!J2271</f>
        <v>0</v>
      </c>
    </row>
    <row r="2171" spans="8:10">
      <c r="H2171" s="74">
        <f>'12-2017'!H2272</f>
        <v>0</v>
      </c>
      <c r="I2171" s="74">
        <f>'12-2017'!I2272</f>
        <v>0</v>
      </c>
      <c r="J2171" s="74">
        <f>'12-2017'!J2272</f>
        <v>0</v>
      </c>
    </row>
    <row r="2172" spans="8:10">
      <c r="H2172" s="74">
        <f>'12-2017'!H2273</f>
        <v>0</v>
      </c>
      <c r="I2172" s="74">
        <f>'12-2017'!I2273</f>
        <v>0</v>
      </c>
      <c r="J2172" s="74">
        <f>'12-2017'!J2273</f>
        <v>0</v>
      </c>
    </row>
    <row r="2173" spans="8:10">
      <c r="H2173" s="74">
        <f>'12-2017'!H2274</f>
        <v>0</v>
      </c>
      <c r="I2173" s="74">
        <f>'12-2017'!I2274</f>
        <v>0</v>
      </c>
      <c r="J2173" s="74">
        <f>'12-2017'!J2274</f>
        <v>0</v>
      </c>
    </row>
    <row r="2174" spans="8:10">
      <c r="H2174" s="74">
        <f>'12-2017'!H2275</f>
        <v>0</v>
      </c>
      <c r="I2174" s="74">
        <f>'12-2017'!I2275</f>
        <v>0</v>
      </c>
      <c r="J2174" s="74">
        <f>'12-2017'!J2275</f>
        <v>0</v>
      </c>
    </row>
    <row r="2175" spans="8:10">
      <c r="H2175" s="74">
        <f>'12-2017'!H2276</f>
        <v>0</v>
      </c>
      <c r="I2175" s="74">
        <f>'12-2017'!I2276</f>
        <v>0</v>
      </c>
      <c r="J2175" s="74">
        <f>'12-2017'!J2276</f>
        <v>0</v>
      </c>
    </row>
    <row r="2176" spans="8:10">
      <c r="H2176" s="74">
        <f>'12-2017'!H2277</f>
        <v>0</v>
      </c>
      <c r="I2176" s="74">
        <f>'12-2017'!I2277</f>
        <v>0</v>
      </c>
      <c r="J2176" s="74">
        <f>'12-2017'!J2277</f>
        <v>0</v>
      </c>
    </row>
    <row r="2177" spans="8:10">
      <c r="H2177" s="74">
        <f>'12-2017'!H2278</f>
        <v>0</v>
      </c>
      <c r="I2177" s="74">
        <f>'12-2017'!I2278</f>
        <v>0</v>
      </c>
      <c r="J2177" s="74">
        <f>'12-2017'!J2278</f>
        <v>0</v>
      </c>
    </row>
    <row r="2178" spans="8:10">
      <c r="H2178" s="74">
        <f>'12-2017'!H2279</f>
        <v>0</v>
      </c>
      <c r="I2178" s="74">
        <f>'12-2017'!I2279</f>
        <v>0</v>
      </c>
      <c r="J2178" s="74">
        <f>'12-2017'!J2279</f>
        <v>0</v>
      </c>
    </row>
    <row r="2179" spans="8:10">
      <c r="H2179" s="74">
        <f>'12-2017'!H2280</f>
        <v>0</v>
      </c>
      <c r="I2179" s="74">
        <f>'12-2017'!I2280</f>
        <v>0</v>
      </c>
      <c r="J2179" s="74">
        <f>'12-2017'!J2280</f>
        <v>0</v>
      </c>
    </row>
    <row r="2180" spans="8:10">
      <c r="H2180" s="74">
        <f>'12-2017'!H2281</f>
        <v>0</v>
      </c>
      <c r="I2180" s="74">
        <f>'12-2017'!I2281</f>
        <v>0</v>
      </c>
      <c r="J2180" s="74">
        <f>'12-2017'!J2281</f>
        <v>0</v>
      </c>
    </row>
    <row r="2181" spans="8:10">
      <c r="H2181" s="74">
        <f>'12-2017'!H2282</f>
        <v>0</v>
      </c>
      <c r="I2181" s="74">
        <f>'12-2017'!I2282</f>
        <v>0</v>
      </c>
      <c r="J2181" s="74">
        <f>'12-2017'!J2282</f>
        <v>0</v>
      </c>
    </row>
    <row r="2182" spans="8:10">
      <c r="H2182" s="74">
        <f>'12-2017'!H2283</f>
        <v>0</v>
      </c>
      <c r="I2182" s="74">
        <f>'12-2017'!I2283</f>
        <v>0</v>
      </c>
      <c r="J2182" s="74">
        <f>'12-2017'!J2283</f>
        <v>0</v>
      </c>
    </row>
    <row r="2183" spans="8:10">
      <c r="H2183" s="74">
        <f>'12-2017'!H2284</f>
        <v>0</v>
      </c>
      <c r="I2183" s="74">
        <f>'12-2017'!I2284</f>
        <v>0</v>
      </c>
      <c r="J2183" s="74">
        <f>'12-2017'!J2284</f>
        <v>0</v>
      </c>
    </row>
    <row r="2184" spans="8:10">
      <c r="H2184" s="74">
        <f>'12-2017'!H2285</f>
        <v>0</v>
      </c>
      <c r="I2184" s="74">
        <f>'12-2017'!I2285</f>
        <v>0</v>
      </c>
      <c r="J2184" s="74">
        <f>'12-2017'!J2285</f>
        <v>0</v>
      </c>
    </row>
    <row r="2185" spans="8:10">
      <c r="H2185" s="74">
        <f>'12-2017'!H2286</f>
        <v>0</v>
      </c>
      <c r="I2185" s="74">
        <f>'12-2017'!I2286</f>
        <v>0</v>
      </c>
      <c r="J2185" s="74">
        <f>'12-2017'!J2286</f>
        <v>0</v>
      </c>
    </row>
    <row r="2186" spans="8:10">
      <c r="H2186" s="74">
        <f>'12-2017'!H2287</f>
        <v>0</v>
      </c>
      <c r="I2186" s="74">
        <f>'12-2017'!I2287</f>
        <v>0</v>
      </c>
      <c r="J2186" s="74">
        <f>'12-2017'!J2287</f>
        <v>0</v>
      </c>
    </row>
    <row r="2187" spans="8:10">
      <c r="H2187" s="74">
        <f>'12-2017'!H2288</f>
        <v>0</v>
      </c>
      <c r="I2187" s="74">
        <f>'12-2017'!I2288</f>
        <v>0</v>
      </c>
      <c r="J2187" s="74">
        <f>'12-2017'!J2288</f>
        <v>0</v>
      </c>
    </row>
    <row r="2188" spans="8:10">
      <c r="H2188" s="74">
        <f>'12-2017'!H2289</f>
        <v>0</v>
      </c>
      <c r="I2188" s="74">
        <f>'12-2017'!I2289</f>
        <v>0</v>
      </c>
      <c r="J2188" s="74">
        <f>'12-2017'!J2289</f>
        <v>0</v>
      </c>
    </row>
    <row r="2189" spans="8:10">
      <c r="H2189" s="74">
        <f>'12-2017'!H2290</f>
        <v>0</v>
      </c>
      <c r="I2189" s="74">
        <f>'12-2017'!I2290</f>
        <v>0</v>
      </c>
      <c r="J2189" s="74">
        <f>'12-2017'!J2290</f>
        <v>0</v>
      </c>
    </row>
    <row r="2190" spans="8:10">
      <c r="H2190" s="74">
        <f>'12-2017'!H2291</f>
        <v>0</v>
      </c>
      <c r="I2190" s="74">
        <f>'12-2017'!I2291</f>
        <v>0</v>
      </c>
      <c r="J2190" s="74">
        <f>'12-2017'!J2291</f>
        <v>0</v>
      </c>
    </row>
    <row r="2191" spans="8:10">
      <c r="H2191" s="74">
        <f>'12-2017'!H2292</f>
        <v>0</v>
      </c>
      <c r="I2191" s="74">
        <f>'12-2017'!I2292</f>
        <v>0</v>
      </c>
      <c r="J2191" s="74">
        <f>'12-2017'!J2292</f>
        <v>0</v>
      </c>
    </row>
    <row r="2192" spans="8:10">
      <c r="H2192" s="74">
        <f>'12-2017'!H2293</f>
        <v>0</v>
      </c>
      <c r="I2192" s="74">
        <f>'12-2017'!I2293</f>
        <v>0</v>
      </c>
      <c r="J2192" s="74">
        <f>'12-2017'!J2293</f>
        <v>0</v>
      </c>
    </row>
    <row r="2193" spans="8:10">
      <c r="H2193" s="74">
        <f>'12-2017'!H2294</f>
        <v>0</v>
      </c>
      <c r="I2193" s="74">
        <f>'12-2017'!I2294</f>
        <v>0</v>
      </c>
      <c r="J2193" s="74">
        <f>'12-2017'!J2294</f>
        <v>0</v>
      </c>
    </row>
    <row r="2194" spans="8:10">
      <c r="H2194" s="74">
        <f>'12-2017'!H2295</f>
        <v>0</v>
      </c>
      <c r="I2194" s="74">
        <f>'12-2017'!I2295</f>
        <v>0</v>
      </c>
      <c r="J2194" s="74">
        <f>'12-2017'!J2295</f>
        <v>0</v>
      </c>
    </row>
    <row r="2195" spans="8:10">
      <c r="H2195" s="74">
        <f>'12-2017'!H2296</f>
        <v>0</v>
      </c>
      <c r="I2195" s="74">
        <f>'12-2017'!I2296</f>
        <v>0</v>
      </c>
      <c r="J2195" s="74">
        <f>'12-2017'!J2296</f>
        <v>0</v>
      </c>
    </row>
    <row r="2196" spans="8:10">
      <c r="H2196" s="74">
        <f>'12-2017'!H2297</f>
        <v>0</v>
      </c>
      <c r="I2196" s="74">
        <f>'12-2017'!I2297</f>
        <v>0</v>
      </c>
      <c r="J2196" s="74">
        <f>'12-2017'!J2297</f>
        <v>0</v>
      </c>
    </row>
    <row r="2197" spans="8:10">
      <c r="H2197" s="74">
        <f>'12-2017'!H2298</f>
        <v>0</v>
      </c>
      <c r="I2197" s="74">
        <f>'12-2017'!I2298</f>
        <v>0</v>
      </c>
      <c r="J2197" s="74">
        <f>'12-2017'!J2298</f>
        <v>0</v>
      </c>
    </row>
    <row r="2198" spans="8:10">
      <c r="H2198" s="74">
        <f>'12-2017'!H2299</f>
        <v>0</v>
      </c>
      <c r="I2198" s="74">
        <f>'12-2017'!I2299</f>
        <v>0</v>
      </c>
      <c r="J2198" s="74">
        <f>'12-2017'!J2299</f>
        <v>0</v>
      </c>
    </row>
    <row r="2199" spans="8:10">
      <c r="H2199" s="74">
        <f>'12-2017'!H2300</f>
        <v>0</v>
      </c>
      <c r="I2199" s="74">
        <f>'12-2017'!I2300</f>
        <v>0</v>
      </c>
      <c r="J2199" s="74">
        <f>'12-2017'!J2300</f>
        <v>0</v>
      </c>
    </row>
    <row r="2200" spans="8:10">
      <c r="H2200" s="74">
        <f>'12-2017'!H2301</f>
        <v>0</v>
      </c>
      <c r="I2200" s="74">
        <f>'12-2017'!I2301</f>
        <v>0</v>
      </c>
      <c r="J2200" s="74">
        <f>'12-2017'!J2301</f>
        <v>0</v>
      </c>
    </row>
    <row r="2201" spans="8:10">
      <c r="H2201" s="74">
        <f>'12-2017'!H2302</f>
        <v>0</v>
      </c>
      <c r="I2201" s="74">
        <f>'12-2017'!I2302</f>
        <v>0</v>
      </c>
      <c r="J2201" s="74">
        <f>'12-2017'!J2302</f>
        <v>0</v>
      </c>
    </row>
    <row r="2202" spans="8:10">
      <c r="H2202" s="74">
        <f>'12-2017'!H2303</f>
        <v>0</v>
      </c>
      <c r="I2202" s="74">
        <f>'12-2017'!I2303</f>
        <v>0</v>
      </c>
      <c r="J2202" s="74">
        <f>'12-2017'!J2303</f>
        <v>0</v>
      </c>
    </row>
    <row r="2203" spans="8:10">
      <c r="H2203" s="74">
        <f>'12-2017'!H2304</f>
        <v>0</v>
      </c>
      <c r="I2203" s="74">
        <f>'12-2017'!I2304</f>
        <v>0</v>
      </c>
      <c r="J2203" s="74">
        <f>'12-2017'!J2304</f>
        <v>0</v>
      </c>
    </row>
    <row r="2204" spans="8:10">
      <c r="H2204" s="74">
        <f>'12-2017'!H2305</f>
        <v>0</v>
      </c>
      <c r="I2204" s="74">
        <f>'12-2017'!I2305</f>
        <v>0</v>
      </c>
      <c r="J2204" s="74">
        <f>'12-2017'!J2305</f>
        <v>0</v>
      </c>
    </row>
    <row r="2205" spans="8:10">
      <c r="H2205" s="74">
        <f>'12-2017'!H2306</f>
        <v>0</v>
      </c>
      <c r="I2205" s="74">
        <f>'12-2017'!I2306</f>
        <v>0</v>
      </c>
      <c r="J2205" s="74">
        <f>'12-2017'!J2306</f>
        <v>0</v>
      </c>
    </row>
    <row r="2206" spans="8:10">
      <c r="H2206" s="74">
        <f>'12-2017'!H2307</f>
        <v>0</v>
      </c>
      <c r="I2206" s="74">
        <f>'12-2017'!I2307</f>
        <v>0</v>
      </c>
      <c r="J2206" s="74">
        <f>'12-2017'!J2307</f>
        <v>0</v>
      </c>
    </row>
    <row r="2207" spans="8:10">
      <c r="H2207" s="74">
        <f>'12-2017'!H2308</f>
        <v>0</v>
      </c>
      <c r="I2207" s="74">
        <f>'12-2017'!I2308</f>
        <v>0</v>
      </c>
      <c r="J2207" s="74">
        <f>'12-2017'!J2308</f>
        <v>0</v>
      </c>
    </row>
    <row r="2208" spans="8:10">
      <c r="H2208" s="74">
        <f>'12-2017'!H2309</f>
        <v>0</v>
      </c>
      <c r="I2208" s="74">
        <f>'12-2017'!I2309</f>
        <v>0</v>
      </c>
      <c r="J2208" s="74">
        <f>'12-2017'!J2309</f>
        <v>0</v>
      </c>
    </row>
    <row r="2209" spans="8:10">
      <c r="H2209" s="74">
        <f>'12-2017'!H2310</f>
        <v>0</v>
      </c>
      <c r="I2209" s="74">
        <f>'12-2017'!I2310</f>
        <v>0</v>
      </c>
      <c r="J2209" s="74">
        <f>'12-2017'!J2310</f>
        <v>0</v>
      </c>
    </row>
    <row r="2210" spans="8:10">
      <c r="H2210" s="74">
        <f>'12-2017'!H2311</f>
        <v>0</v>
      </c>
      <c r="I2210" s="74">
        <f>'12-2017'!I2311</f>
        <v>0</v>
      </c>
      <c r="J2210" s="74">
        <f>'12-2017'!J2311</f>
        <v>0</v>
      </c>
    </row>
    <row r="2211" spans="8:10">
      <c r="H2211" s="74">
        <f>'12-2017'!H2312</f>
        <v>0</v>
      </c>
      <c r="I2211" s="74">
        <f>'12-2017'!I2312</f>
        <v>0</v>
      </c>
      <c r="J2211" s="74">
        <f>'12-2017'!J2312</f>
        <v>0</v>
      </c>
    </row>
    <row r="2212" spans="8:10">
      <c r="H2212" s="74">
        <f>'12-2017'!H2313</f>
        <v>0</v>
      </c>
      <c r="I2212" s="74">
        <f>'12-2017'!I2313</f>
        <v>0</v>
      </c>
      <c r="J2212" s="74">
        <f>'12-2017'!J2313</f>
        <v>0</v>
      </c>
    </row>
    <row r="2213" spans="8:10">
      <c r="H2213" s="74">
        <f>'12-2017'!H2314</f>
        <v>0</v>
      </c>
      <c r="I2213" s="74">
        <f>'12-2017'!I2314</f>
        <v>0</v>
      </c>
      <c r="J2213" s="74">
        <f>'12-2017'!J2314</f>
        <v>0</v>
      </c>
    </row>
    <row r="2214" spans="8:10">
      <c r="H2214" s="74">
        <f>'12-2017'!H2315</f>
        <v>0</v>
      </c>
      <c r="I2214" s="74">
        <f>'12-2017'!I2315</f>
        <v>0</v>
      </c>
      <c r="J2214" s="74">
        <f>'12-2017'!J2315</f>
        <v>0</v>
      </c>
    </row>
    <row r="2215" spans="8:10">
      <c r="H2215" s="74">
        <f>'12-2017'!H2316</f>
        <v>0</v>
      </c>
      <c r="I2215" s="74">
        <f>'12-2017'!I2316</f>
        <v>0</v>
      </c>
      <c r="J2215" s="74">
        <f>'12-2017'!J2316</f>
        <v>0</v>
      </c>
    </row>
    <row r="2216" spans="8:10">
      <c r="H2216" s="74">
        <f>'12-2017'!H2317</f>
        <v>0</v>
      </c>
      <c r="I2216" s="74">
        <f>'12-2017'!I2317</f>
        <v>0</v>
      </c>
      <c r="J2216" s="74">
        <f>'12-2017'!J2317</f>
        <v>0</v>
      </c>
    </row>
    <row r="2217" spans="8:10">
      <c r="H2217" s="74">
        <f>'12-2017'!H2318</f>
        <v>0</v>
      </c>
      <c r="I2217" s="74">
        <f>'12-2017'!I2318</f>
        <v>0</v>
      </c>
      <c r="J2217" s="74">
        <f>'12-2017'!J2318</f>
        <v>0</v>
      </c>
    </row>
    <row r="2218" spans="8:10">
      <c r="H2218" s="74">
        <f>'12-2017'!H2319</f>
        <v>0</v>
      </c>
      <c r="I2218" s="74">
        <f>'12-2017'!I2319</f>
        <v>0</v>
      </c>
      <c r="J2218" s="74">
        <f>'12-2017'!J2319</f>
        <v>0</v>
      </c>
    </row>
    <row r="2219" spans="8:10">
      <c r="H2219" s="74">
        <f>'12-2017'!H2320</f>
        <v>0</v>
      </c>
      <c r="I2219" s="74">
        <f>'12-2017'!I2320</f>
        <v>0</v>
      </c>
      <c r="J2219" s="74">
        <f>'12-2017'!J2320</f>
        <v>0</v>
      </c>
    </row>
    <row r="2220" spans="8:10">
      <c r="H2220" s="74">
        <f>'12-2017'!H2321</f>
        <v>0</v>
      </c>
      <c r="I2220" s="74">
        <f>'12-2017'!I2321</f>
        <v>0</v>
      </c>
      <c r="J2220" s="74">
        <f>'12-2017'!J2321</f>
        <v>0</v>
      </c>
    </row>
    <row r="2221" spans="8:10">
      <c r="H2221" s="74">
        <f>'12-2017'!H2322</f>
        <v>0</v>
      </c>
      <c r="I2221" s="74">
        <f>'12-2017'!I2322</f>
        <v>0</v>
      </c>
      <c r="J2221" s="74">
        <f>'12-2017'!J2322</f>
        <v>0</v>
      </c>
    </row>
    <row r="2222" spans="8:10">
      <c r="H2222" s="74">
        <f>'12-2017'!H2323</f>
        <v>0</v>
      </c>
      <c r="I2222" s="74">
        <f>'12-2017'!I2323</f>
        <v>0</v>
      </c>
      <c r="J2222" s="74">
        <f>'12-2017'!J2323</f>
        <v>0</v>
      </c>
    </row>
    <row r="2223" spans="8:10">
      <c r="H2223" s="74">
        <f>'12-2017'!H2324</f>
        <v>0</v>
      </c>
      <c r="I2223" s="74">
        <f>'12-2017'!I2324</f>
        <v>0</v>
      </c>
      <c r="J2223" s="74">
        <f>'12-2017'!J2324</f>
        <v>0</v>
      </c>
    </row>
    <row r="2224" spans="8:10">
      <c r="H2224" s="74">
        <f>'12-2017'!H2325</f>
        <v>0</v>
      </c>
      <c r="I2224" s="74">
        <f>'12-2017'!I2325</f>
        <v>0</v>
      </c>
      <c r="J2224" s="74">
        <f>'12-2017'!J2325</f>
        <v>0</v>
      </c>
    </row>
    <row r="2225" spans="8:10">
      <c r="H2225" s="74">
        <f>'12-2017'!H2326</f>
        <v>0</v>
      </c>
      <c r="I2225" s="74">
        <f>'12-2017'!I2326</f>
        <v>0</v>
      </c>
      <c r="J2225" s="74">
        <f>'12-2017'!J2326</f>
        <v>0</v>
      </c>
    </row>
    <row r="2226" spans="8:10">
      <c r="H2226" s="74">
        <f>'12-2017'!H2327</f>
        <v>0</v>
      </c>
      <c r="I2226" s="74">
        <f>'12-2017'!I2327</f>
        <v>0</v>
      </c>
      <c r="J2226" s="74">
        <f>'12-2017'!J2327</f>
        <v>0</v>
      </c>
    </row>
    <row r="2227" spans="8:10">
      <c r="H2227" s="74">
        <f>'12-2017'!H2328</f>
        <v>0</v>
      </c>
      <c r="I2227" s="74">
        <f>'12-2017'!I2328</f>
        <v>0</v>
      </c>
      <c r="J2227" s="74">
        <f>'12-2017'!J2328</f>
        <v>0</v>
      </c>
    </row>
    <row r="2228" spans="8:10">
      <c r="H2228" s="74">
        <f>'12-2017'!H2329</f>
        <v>0</v>
      </c>
      <c r="I2228" s="74">
        <f>'12-2017'!I2329</f>
        <v>0</v>
      </c>
      <c r="J2228" s="74">
        <f>'12-2017'!J2329</f>
        <v>0</v>
      </c>
    </row>
    <row r="2229" spans="8:10">
      <c r="H2229" s="74">
        <f>'12-2017'!H2330</f>
        <v>0</v>
      </c>
      <c r="I2229" s="74">
        <f>'12-2017'!I2330</f>
        <v>0</v>
      </c>
      <c r="J2229" s="74">
        <f>'12-2017'!J2330</f>
        <v>0</v>
      </c>
    </row>
    <row r="2230" spans="8:10">
      <c r="H2230" s="74">
        <f>'12-2017'!H2331</f>
        <v>0</v>
      </c>
      <c r="I2230" s="74">
        <f>'12-2017'!I2331</f>
        <v>0</v>
      </c>
      <c r="J2230" s="74">
        <f>'12-2017'!J2331</f>
        <v>0</v>
      </c>
    </row>
    <row r="2231" spans="8:10">
      <c r="H2231" s="74">
        <f>'12-2017'!H2332</f>
        <v>0</v>
      </c>
      <c r="I2231" s="74">
        <f>'12-2017'!I2332</f>
        <v>0</v>
      </c>
      <c r="J2231" s="74">
        <f>'12-2017'!J2332</f>
        <v>0</v>
      </c>
    </row>
    <row r="2232" spans="8:10">
      <c r="H2232" s="74">
        <f>'12-2017'!H2333</f>
        <v>0</v>
      </c>
      <c r="I2232" s="74">
        <f>'12-2017'!I2333</f>
        <v>0</v>
      </c>
      <c r="J2232" s="74">
        <f>'12-2017'!J2333</f>
        <v>0</v>
      </c>
    </row>
    <row r="2233" spans="8:10">
      <c r="H2233" s="74">
        <f>'12-2017'!H2334</f>
        <v>0</v>
      </c>
      <c r="I2233" s="74">
        <f>'12-2017'!I2334</f>
        <v>0</v>
      </c>
      <c r="J2233" s="74">
        <f>'12-2017'!J2334</f>
        <v>0</v>
      </c>
    </row>
    <row r="2234" spans="8:10">
      <c r="H2234" s="74">
        <f>'12-2017'!H2335</f>
        <v>0</v>
      </c>
      <c r="I2234" s="74">
        <f>'12-2017'!I2335</f>
        <v>0</v>
      </c>
      <c r="J2234" s="74">
        <f>'12-2017'!J2335</f>
        <v>0</v>
      </c>
    </row>
    <row r="2235" spans="8:10">
      <c r="H2235" s="74">
        <f>'12-2017'!H2336</f>
        <v>0</v>
      </c>
      <c r="I2235" s="74">
        <f>'12-2017'!I2336</f>
        <v>0</v>
      </c>
      <c r="J2235" s="74">
        <f>'12-2017'!J2336</f>
        <v>0</v>
      </c>
    </row>
    <row r="2236" spans="8:10">
      <c r="H2236" s="74">
        <f>'12-2017'!H2337</f>
        <v>0</v>
      </c>
      <c r="I2236" s="74">
        <f>'12-2017'!I2337</f>
        <v>0</v>
      </c>
      <c r="J2236" s="74">
        <f>'12-2017'!J2337</f>
        <v>0</v>
      </c>
    </row>
    <row r="2237" spans="8:10">
      <c r="H2237" s="74">
        <f>'12-2017'!H2338</f>
        <v>0</v>
      </c>
      <c r="I2237" s="74">
        <f>'12-2017'!I2338</f>
        <v>0</v>
      </c>
      <c r="J2237" s="74">
        <f>'12-2017'!J2338</f>
        <v>0</v>
      </c>
    </row>
    <row r="2238" spans="8:10">
      <c r="H2238" s="74">
        <f>'12-2017'!H2339</f>
        <v>0</v>
      </c>
      <c r="I2238" s="74">
        <f>'12-2017'!I2339</f>
        <v>0</v>
      </c>
      <c r="J2238" s="74">
        <f>'12-2017'!J2339</f>
        <v>0</v>
      </c>
    </row>
    <row r="2239" spans="8:10">
      <c r="H2239" s="74">
        <f>'12-2017'!H2340</f>
        <v>0</v>
      </c>
      <c r="I2239" s="74">
        <f>'12-2017'!I2340</f>
        <v>0</v>
      </c>
      <c r="J2239" s="74">
        <f>'12-2017'!J2340</f>
        <v>0</v>
      </c>
    </row>
    <row r="2240" spans="8:10">
      <c r="H2240" s="74">
        <f>'12-2017'!H2341</f>
        <v>0</v>
      </c>
      <c r="I2240" s="74">
        <f>'12-2017'!I2341</f>
        <v>0</v>
      </c>
      <c r="J2240" s="74">
        <f>'12-2017'!J2341</f>
        <v>0</v>
      </c>
    </row>
    <row r="2241" spans="8:10">
      <c r="H2241" s="74">
        <f>'12-2017'!H2342</f>
        <v>0</v>
      </c>
      <c r="I2241" s="74">
        <f>'12-2017'!I2342</f>
        <v>0</v>
      </c>
      <c r="J2241" s="74">
        <f>'12-2017'!J2342</f>
        <v>0</v>
      </c>
    </row>
    <row r="2242" spans="8:10">
      <c r="H2242" s="74">
        <f>'12-2017'!H2343</f>
        <v>0</v>
      </c>
      <c r="I2242" s="74">
        <f>'12-2017'!I2343</f>
        <v>0</v>
      </c>
      <c r="J2242" s="74">
        <f>'12-2017'!J2343</f>
        <v>0</v>
      </c>
    </row>
    <row r="2243" spans="8:10">
      <c r="H2243" s="74">
        <f>'12-2017'!H2344</f>
        <v>0</v>
      </c>
      <c r="I2243" s="74">
        <f>'12-2017'!I2344</f>
        <v>0</v>
      </c>
      <c r="J2243" s="74">
        <f>'12-2017'!J2344</f>
        <v>0</v>
      </c>
    </row>
    <row r="2244" spans="8:10">
      <c r="H2244" s="74">
        <f>'12-2017'!H2345</f>
        <v>0</v>
      </c>
      <c r="I2244" s="74">
        <f>'12-2017'!I2345</f>
        <v>0</v>
      </c>
      <c r="J2244" s="74">
        <f>'12-2017'!J2345</f>
        <v>0</v>
      </c>
    </row>
    <row r="2245" spans="8:10">
      <c r="H2245" s="74">
        <f>'12-2017'!H2346</f>
        <v>0</v>
      </c>
      <c r="I2245" s="74">
        <f>'12-2017'!I2346</f>
        <v>0</v>
      </c>
      <c r="J2245" s="74">
        <f>'12-2017'!J2346</f>
        <v>0</v>
      </c>
    </row>
    <row r="2246" spans="8:10">
      <c r="H2246" s="74">
        <f>'12-2017'!H2347</f>
        <v>0</v>
      </c>
      <c r="I2246" s="74">
        <f>'12-2017'!I2347</f>
        <v>0</v>
      </c>
      <c r="J2246" s="74">
        <f>'12-2017'!J2347</f>
        <v>0</v>
      </c>
    </row>
    <row r="2247" spans="8:10">
      <c r="H2247" s="74">
        <f>'12-2017'!H2348</f>
        <v>0</v>
      </c>
      <c r="I2247" s="74">
        <f>'12-2017'!I2348</f>
        <v>0</v>
      </c>
      <c r="J2247" s="74">
        <f>'12-2017'!J2348</f>
        <v>0</v>
      </c>
    </row>
    <row r="2248" spans="8:10">
      <c r="H2248" s="74">
        <f>'12-2017'!H2349</f>
        <v>0</v>
      </c>
      <c r="I2248" s="74">
        <f>'12-2017'!I2349</f>
        <v>0</v>
      </c>
      <c r="J2248" s="74">
        <f>'12-2017'!J2349</f>
        <v>0</v>
      </c>
    </row>
    <row r="2249" spans="8:10">
      <c r="H2249" s="74">
        <f>'12-2017'!H2350</f>
        <v>0</v>
      </c>
      <c r="I2249" s="74">
        <f>'12-2017'!I2350</f>
        <v>0</v>
      </c>
      <c r="J2249" s="74">
        <f>'12-2017'!J2350</f>
        <v>0</v>
      </c>
    </row>
    <row r="2250" spans="8:10">
      <c r="H2250" s="74">
        <f>'12-2017'!H2351</f>
        <v>0</v>
      </c>
      <c r="I2250" s="74">
        <f>'12-2017'!I2351</f>
        <v>0</v>
      </c>
      <c r="J2250" s="74">
        <f>'12-2017'!J2351</f>
        <v>0</v>
      </c>
    </row>
    <row r="2251" spans="8:10">
      <c r="H2251" s="74">
        <f>'12-2017'!H2352</f>
        <v>0</v>
      </c>
      <c r="I2251" s="74">
        <f>'12-2017'!I2352</f>
        <v>0</v>
      </c>
      <c r="J2251" s="74">
        <f>'12-2017'!J2352</f>
        <v>0</v>
      </c>
    </row>
    <row r="2252" spans="8:10">
      <c r="H2252" s="74">
        <f>'12-2017'!H2353</f>
        <v>0</v>
      </c>
      <c r="I2252" s="74">
        <f>'12-2017'!I2353</f>
        <v>0</v>
      </c>
      <c r="J2252" s="74">
        <f>'12-2017'!J2353</f>
        <v>0</v>
      </c>
    </row>
    <row r="2253" spans="8:10">
      <c r="H2253" s="74">
        <f>'12-2017'!H2354</f>
        <v>0</v>
      </c>
      <c r="I2253" s="74">
        <f>'12-2017'!I2354</f>
        <v>0</v>
      </c>
      <c r="J2253" s="74">
        <f>'12-2017'!J2354</f>
        <v>0</v>
      </c>
    </row>
    <row r="2254" spans="8:10">
      <c r="H2254" s="74">
        <f>'12-2017'!H2355</f>
        <v>0</v>
      </c>
      <c r="I2254" s="74">
        <f>'12-2017'!I2355</f>
        <v>0</v>
      </c>
      <c r="J2254" s="74">
        <f>'12-2017'!J2355</f>
        <v>0</v>
      </c>
    </row>
    <row r="2255" spans="8:10">
      <c r="H2255" s="74">
        <f>'12-2017'!H2356</f>
        <v>0</v>
      </c>
      <c r="I2255" s="74">
        <f>'12-2017'!I2356</f>
        <v>0</v>
      </c>
      <c r="J2255" s="74">
        <f>'12-2017'!J2356</f>
        <v>0</v>
      </c>
    </row>
    <row r="2256" spans="8:10">
      <c r="H2256" s="74">
        <f>'12-2017'!H2357</f>
        <v>0</v>
      </c>
      <c r="I2256" s="74">
        <f>'12-2017'!I2357</f>
        <v>0</v>
      </c>
      <c r="J2256" s="74">
        <f>'12-2017'!J2357</f>
        <v>0</v>
      </c>
    </row>
    <row r="2257" spans="8:10">
      <c r="H2257" s="74">
        <f>'12-2017'!H2358</f>
        <v>0</v>
      </c>
      <c r="I2257" s="74">
        <f>'12-2017'!I2358</f>
        <v>0</v>
      </c>
      <c r="J2257" s="74">
        <f>'12-2017'!J2358</f>
        <v>0</v>
      </c>
    </row>
    <row r="2258" spans="8:10">
      <c r="H2258" s="74">
        <f>'12-2017'!H2359</f>
        <v>0</v>
      </c>
      <c r="I2258" s="74">
        <f>'12-2017'!I2359</f>
        <v>0</v>
      </c>
      <c r="J2258" s="74">
        <f>'12-2017'!J2359</f>
        <v>0</v>
      </c>
    </row>
    <row r="2259" spans="8:10">
      <c r="H2259" s="74">
        <f>'12-2017'!H2360</f>
        <v>0</v>
      </c>
      <c r="I2259" s="74">
        <f>'12-2017'!I2360</f>
        <v>0</v>
      </c>
      <c r="J2259" s="74">
        <f>'12-2017'!J2360</f>
        <v>0</v>
      </c>
    </row>
    <row r="2260" spans="8:10">
      <c r="H2260" s="74">
        <f>'12-2017'!H2361</f>
        <v>0</v>
      </c>
      <c r="I2260" s="74">
        <f>'12-2017'!I2361</f>
        <v>0</v>
      </c>
      <c r="J2260" s="74">
        <f>'12-2017'!J2361</f>
        <v>0</v>
      </c>
    </row>
    <row r="2261" spans="8:10">
      <c r="H2261" s="74">
        <f>'12-2017'!H2362</f>
        <v>0</v>
      </c>
      <c r="I2261" s="74">
        <f>'12-2017'!I2362</f>
        <v>0</v>
      </c>
      <c r="J2261" s="74">
        <f>'12-2017'!J2362</f>
        <v>0</v>
      </c>
    </row>
    <row r="2262" spans="8:10">
      <c r="H2262" s="74">
        <f>'12-2017'!H2363</f>
        <v>0</v>
      </c>
      <c r="I2262" s="74">
        <f>'12-2017'!I2363</f>
        <v>0</v>
      </c>
      <c r="J2262" s="74">
        <f>'12-2017'!J2363</f>
        <v>0</v>
      </c>
    </row>
    <row r="2263" spans="8:10">
      <c r="H2263" s="74">
        <f>'12-2017'!H2364</f>
        <v>0</v>
      </c>
      <c r="I2263" s="74">
        <f>'12-2017'!I2364</f>
        <v>0</v>
      </c>
      <c r="J2263" s="74">
        <f>'12-2017'!J2364</f>
        <v>0</v>
      </c>
    </row>
    <row r="2264" spans="8:10">
      <c r="H2264" s="74">
        <f>'12-2017'!H2365</f>
        <v>0</v>
      </c>
      <c r="I2264" s="74">
        <f>'12-2017'!I2365</f>
        <v>0</v>
      </c>
      <c r="J2264" s="74">
        <f>'12-2017'!J2365</f>
        <v>0</v>
      </c>
    </row>
    <row r="2265" spans="8:10">
      <c r="H2265" s="74">
        <f>'12-2017'!H2366</f>
        <v>0</v>
      </c>
      <c r="I2265" s="74">
        <f>'12-2017'!I2366</f>
        <v>0</v>
      </c>
      <c r="J2265" s="74">
        <f>'12-2017'!J2366</f>
        <v>0</v>
      </c>
    </row>
    <row r="2266" spans="8:10">
      <c r="H2266" s="74">
        <f>'12-2017'!H2367</f>
        <v>0</v>
      </c>
      <c r="I2266" s="74">
        <f>'12-2017'!I2367</f>
        <v>0</v>
      </c>
      <c r="J2266" s="74">
        <f>'12-2017'!J2367</f>
        <v>0</v>
      </c>
    </row>
    <row r="2267" spans="8:10">
      <c r="H2267" s="74">
        <f>'12-2017'!H2368</f>
        <v>0</v>
      </c>
      <c r="I2267" s="74">
        <f>'12-2017'!I2368</f>
        <v>0</v>
      </c>
      <c r="J2267" s="74">
        <f>'12-2017'!J2368</f>
        <v>0</v>
      </c>
    </row>
    <row r="2268" spans="8:10">
      <c r="H2268" s="74">
        <f>'12-2017'!H2369</f>
        <v>0</v>
      </c>
      <c r="I2268" s="74">
        <f>'12-2017'!I2369</f>
        <v>0</v>
      </c>
      <c r="J2268" s="74">
        <f>'12-2017'!J2369</f>
        <v>0</v>
      </c>
    </row>
    <row r="2269" spans="8:10">
      <c r="H2269" s="74">
        <f>'12-2017'!H2370</f>
        <v>0</v>
      </c>
      <c r="I2269" s="74">
        <f>'12-2017'!I2370</f>
        <v>0</v>
      </c>
      <c r="J2269" s="74">
        <f>'12-2017'!J2370</f>
        <v>0</v>
      </c>
    </row>
    <row r="2270" spans="8:10">
      <c r="H2270" s="74">
        <f>'12-2017'!H2371</f>
        <v>0</v>
      </c>
      <c r="I2270" s="74">
        <f>'12-2017'!I2371</f>
        <v>0</v>
      </c>
      <c r="J2270" s="74">
        <f>'12-2017'!J2371</f>
        <v>0</v>
      </c>
    </row>
    <row r="2271" spans="8:10">
      <c r="H2271" s="74">
        <f>'12-2017'!H2372</f>
        <v>0</v>
      </c>
      <c r="I2271" s="74">
        <f>'12-2017'!I2372</f>
        <v>0</v>
      </c>
      <c r="J2271" s="74">
        <f>'12-2017'!J2372</f>
        <v>0</v>
      </c>
    </row>
    <row r="2272" spans="8:10">
      <c r="H2272" s="74">
        <f>'12-2017'!H2373</f>
        <v>0</v>
      </c>
      <c r="I2272" s="74">
        <f>'12-2017'!I2373</f>
        <v>0</v>
      </c>
      <c r="J2272" s="74">
        <f>'12-2017'!J2373</f>
        <v>0</v>
      </c>
    </row>
    <row r="2273" spans="8:10">
      <c r="H2273" s="74">
        <f>'12-2017'!H2374</f>
        <v>0</v>
      </c>
      <c r="I2273" s="74">
        <f>'12-2017'!I2374</f>
        <v>0</v>
      </c>
      <c r="J2273" s="74">
        <f>'12-2017'!J2374</f>
        <v>0</v>
      </c>
    </row>
    <row r="2274" spans="8:10">
      <c r="H2274" s="74">
        <f>'12-2017'!H2375</f>
        <v>0</v>
      </c>
      <c r="I2274" s="74">
        <f>'12-2017'!I2375</f>
        <v>0</v>
      </c>
      <c r="J2274" s="74">
        <f>'12-2017'!J2375</f>
        <v>0</v>
      </c>
    </row>
    <row r="2275" spans="8:10">
      <c r="H2275" s="74">
        <f>'12-2017'!H2376</f>
        <v>0</v>
      </c>
      <c r="I2275" s="74">
        <f>'12-2017'!I2376</f>
        <v>0</v>
      </c>
      <c r="J2275" s="74">
        <f>'12-2017'!J2376</f>
        <v>0</v>
      </c>
    </row>
    <row r="2276" spans="8:10">
      <c r="H2276" s="74">
        <f>'12-2017'!H2377</f>
        <v>0</v>
      </c>
      <c r="I2276" s="74">
        <f>'12-2017'!I2377</f>
        <v>0</v>
      </c>
      <c r="J2276" s="74">
        <f>'12-2017'!J2377</f>
        <v>0</v>
      </c>
    </row>
    <row r="2277" spans="8:10">
      <c r="H2277" s="74">
        <f>'12-2017'!H2378</f>
        <v>0</v>
      </c>
      <c r="I2277" s="74">
        <f>'12-2017'!I2378</f>
        <v>0</v>
      </c>
      <c r="J2277" s="74">
        <f>'12-2017'!J2378</f>
        <v>0</v>
      </c>
    </row>
    <row r="2278" spans="8:10">
      <c r="H2278" s="74">
        <f>'12-2017'!H2379</f>
        <v>0</v>
      </c>
      <c r="I2278" s="74">
        <f>'12-2017'!I2379</f>
        <v>0</v>
      </c>
      <c r="J2278" s="74">
        <f>'12-2017'!J2379</f>
        <v>0</v>
      </c>
    </row>
    <row r="2279" spans="8:10">
      <c r="H2279" s="74">
        <f>'12-2017'!H2380</f>
        <v>0</v>
      </c>
      <c r="I2279" s="74">
        <f>'12-2017'!I2380</f>
        <v>0</v>
      </c>
      <c r="J2279" s="74">
        <f>'12-2017'!J2380</f>
        <v>0</v>
      </c>
    </row>
    <row r="2280" spans="8:10">
      <c r="H2280" s="74">
        <f>'12-2017'!H2381</f>
        <v>0</v>
      </c>
      <c r="I2280" s="74">
        <f>'12-2017'!I2381</f>
        <v>0</v>
      </c>
      <c r="J2280" s="74">
        <f>'12-2017'!J2381</f>
        <v>0</v>
      </c>
    </row>
    <row r="2281" spans="8:10">
      <c r="H2281" s="74">
        <f>'12-2017'!H2382</f>
        <v>0</v>
      </c>
      <c r="I2281" s="74">
        <f>'12-2017'!I2382</f>
        <v>0</v>
      </c>
      <c r="J2281" s="74">
        <f>'12-2017'!J2382</f>
        <v>0</v>
      </c>
    </row>
    <row r="2282" spans="8:10">
      <c r="H2282" s="74">
        <f>'12-2017'!H2383</f>
        <v>0</v>
      </c>
      <c r="I2282" s="74">
        <f>'12-2017'!I2383</f>
        <v>0</v>
      </c>
      <c r="J2282" s="74">
        <f>'12-2017'!J2383</f>
        <v>0</v>
      </c>
    </row>
    <row r="2283" spans="8:10">
      <c r="H2283" s="74">
        <f>'12-2017'!H2384</f>
        <v>0</v>
      </c>
      <c r="I2283" s="74">
        <f>'12-2017'!I2384</f>
        <v>0</v>
      </c>
      <c r="J2283" s="74">
        <f>'12-2017'!J2384</f>
        <v>0</v>
      </c>
    </row>
    <row r="2284" spans="8:10">
      <c r="H2284" s="74">
        <f>'12-2017'!H2385</f>
        <v>0</v>
      </c>
      <c r="I2284" s="74">
        <f>'12-2017'!I2385</f>
        <v>0</v>
      </c>
      <c r="J2284" s="74">
        <f>'12-2017'!J2385</f>
        <v>0</v>
      </c>
    </row>
    <row r="2285" spans="8:10">
      <c r="H2285" s="74">
        <f>'12-2017'!H2386</f>
        <v>0</v>
      </c>
      <c r="I2285" s="74">
        <f>'12-2017'!I2386</f>
        <v>0</v>
      </c>
      <c r="J2285" s="74">
        <f>'12-2017'!J2386</f>
        <v>0</v>
      </c>
    </row>
    <row r="2286" spans="8:10">
      <c r="H2286" s="74">
        <f>'12-2017'!H2387</f>
        <v>0</v>
      </c>
      <c r="I2286" s="74">
        <f>'12-2017'!I2387</f>
        <v>0</v>
      </c>
      <c r="J2286" s="74">
        <f>'12-2017'!J2387</f>
        <v>0</v>
      </c>
    </row>
    <row r="2287" spans="8:10">
      <c r="H2287" s="74">
        <f>'12-2017'!H2388</f>
        <v>0</v>
      </c>
      <c r="I2287" s="74">
        <f>'12-2017'!I2388</f>
        <v>0</v>
      </c>
      <c r="J2287" s="74">
        <f>'12-2017'!J2388</f>
        <v>0</v>
      </c>
    </row>
    <row r="2288" spans="8:10">
      <c r="H2288" s="74">
        <f>'12-2017'!H2389</f>
        <v>0</v>
      </c>
      <c r="I2288" s="74">
        <f>'12-2017'!I2389</f>
        <v>0</v>
      </c>
      <c r="J2288" s="74">
        <f>'12-2017'!J2389</f>
        <v>0</v>
      </c>
    </row>
    <row r="2289" spans="8:10">
      <c r="H2289" s="74">
        <f>'12-2017'!H2390</f>
        <v>0</v>
      </c>
      <c r="I2289" s="74">
        <f>'12-2017'!I2390</f>
        <v>0</v>
      </c>
      <c r="J2289" s="74">
        <f>'12-2017'!J2390</f>
        <v>0</v>
      </c>
    </row>
    <row r="2290" spans="8:10">
      <c r="H2290" s="74">
        <f>'12-2017'!H2391</f>
        <v>0</v>
      </c>
      <c r="I2290" s="74">
        <f>'12-2017'!I2391</f>
        <v>0</v>
      </c>
      <c r="J2290" s="74">
        <f>'12-2017'!J2391</f>
        <v>0</v>
      </c>
    </row>
    <row r="2291" spans="8:10">
      <c r="H2291" s="74">
        <f>'12-2017'!H2392</f>
        <v>0</v>
      </c>
      <c r="I2291" s="74">
        <f>'12-2017'!I2392</f>
        <v>0</v>
      </c>
      <c r="J2291" s="74">
        <f>'12-2017'!J2392</f>
        <v>0</v>
      </c>
    </row>
    <row r="2292" spans="8:10">
      <c r="H2292" s="74">
        <f>'12-2017'!H2393</f>
        <v>0</v>
      </c>
      <c r="I2292" s="74">
        <f>'12-2017'!I2393</f>
        <v>0</v>
      </c>
      <c r="J2292" s="74">
        <f>'12-2017'!J2393</f>
        <v>0</v>
      </c>
    </row>
    <row r="2293" spans="8:10">
      <c r="H2293" s="74">
        <f>'12-2017'!H2394</f>
        <v>0</v>
      </c>
      <c r="I2293" s="74">
        <f>'12-2017'!I2394</f>
        <v>0</v>
      </c>
      <c r="J2293" s="74">
        <f>'12-2017'!J2394</f>
        <v>0</v>
      </c>
    </row>
    <row r="2294" spans="8:10">
      <c r="H2294" s="74">
        <f>'12-2017'!H2395</f>
        <v>0</v>
      </c>
      <c r="I2294" s="74">
        <f>'12-2017'!I2395</f>
        <v>0</v>
      </c>
      <c r="J2294" s="74">
        <f>'12-2017'!J2395</f>
        <v>0</v>
      </c>
    </row>
    <row r="2295" spans="8:10">
      <c r="H2295" s="74">
        <f>'12-2017'!H2396</f>
        <v>0</v>
      </c>
      <c r="I2295" s="74">
        <f>'12-2017'!I2396</f>
        <v>0</v>
      </c>
      <c r="J2295" s="74">
        <f>'12-2017'!J2396</f>
        <v>0</v>
      </c>
    </row>
    <row r="2296" spans="8:10">
      <c r="H2296" s="74">
        <f>'12-2017'!H2397</f>
        <v>0</v>
      </c>
      <c r="I2296" s="74">
        <f>'12-2017'!I2397</f>
        <v>0</v>
      </c>
      <c r="J2296" s="74">
        <f>'12-2017'!J2397</f>
        <v>0</v>
      </c>
    </row>
    <row r="2297" spans="8:10">
      <c r="H2297" s="74">
        <f>'12-2017'!H2398</f>
        <v>0</v>
      </c>
      <c r="I2297" s="74">
        <f>'12-2017'!I2398</f>
        <v>0</v>
      </c>
      <c r="J2297" s="74">
        <f>'12-2017'!J2398</f>
        <v>0</v>
      </c>
    </row>
    <row r="2298" spans="8:10">
      <c r="H2298" s="74">
        <f>'12-2017'!H2399</f>
        <v>0</v>
      </c>
      <c r="I2298" s="74">
        <f>'12-2017'!I2399</f>
        <v>0</v>
      </c>
      <c r="J2298" s="74">
        <f>'12-2017'!J2399</f>
        <v>0</v>
      </c>
    </row>
    <row r="2299" spans="8:10">
      <c r="H2299" s="74">
        <f>'12-2017'!H2400</f>
        <v>0</v>
      </c>
      <c r="I2299" s="74">
        <f>'12-2017'!I2400</f>
        <v>0</v>
      </c>
      <c r="J2299" s="74">
        <f>'12-2017'!J2400</f>
        <v>0</v>
      </c>
    </row>
    <row r="2300" spans="8:10">
      <c r="H2300" s="74">
        <f>'12-2017'!H2401</f>
        <v>0</v>
      </c>
      <c r="I2300" s="74">
        <f>'12-2017'!I2401</f>
        <v>0</v>
      </c>
      <c r="J2300" s="74">
        <f>'12-2017'!J2401</f>
        <v>0</v>
      </c>
    </row>
    <row r="2301" spans="8:10">
      <c r="H2301" s="74">
        <f>'12-2017'!H2402</f>
        <v>0</v>
      </c>
      <c r="I2301" s="74">
        <f>'12-2017'!I2402</f>
        <v>0</v>
      </c>
      <c r="J2301" s="74">
        <f>'12-2017'!J2402</f>
        <v>0</v>
      </c>
    </row>
    <row r="2302" spans="8:10">
      <c r="H2302" s="74">
        <f>'12-2017'!H2403</f>
        <v>0</v>
      </c>
      <c r="I2302" s="74">
        <f>'12-2017'!I2403</f>
        <v>0</v>
      </c>
      <c r="J2302" s="74">
        <f>'12-2017'!J2403</f>
        <v>0</v>
      </c>
    </row>
    <row r="2303" spans="8:10">
      <c r="H2303" s="74">
        <f>'12-2017'!H2404</f>
        <v>0</v>
      </c>
      <c r="I2303" s="74">
        <f>'12-2017'!I2404</f>
        <v>0</v>
      </c>
      <c r="J2303" s="74">
        <f>'12-2017'!J2404</f>
        <v>0</v>
      </c>
    </row>
    <row r="2304" spans="8:10">
      <c r="H2304" s="74">
        <f>'12-2017'!H2405</f>
        <v>0</v>
      </c>
      <c r="I2304" s="74">
        <f>'12-2017'!I2405</f>
        <v>0</v>
      </c>
      <c r="J2304" s="74">
        <f>'12-2017'!J2405</f>
        <v>0</v>
      </c>
    </row>
    <row r="2305" spans="8:10">
      <c r="H2305" s="74">
        <f>'12-2017'!H2406</f>
        <v>0</v>
      </c>
      <c r="I2305" s="74">
        <f>'12-2017'!I2406</f>
        <v>0</v>
      </c>
      <c r="J2305" s="74">
        <f>'12-2017'!J2406</f>
        <v>0</v>
      </c>
    </row>
    <row r="2306" spans="8:10">
      <c r="H2306" s="74">
        <f>'12-2017'!H2407</f>
        <v>0</v>
      </c>
      <c r="I2306" s="74">
        <f>'12-2017'!I2407</f>
        <v>0</v>
      </c>
      <c r="J2306" s="74">
        <f>'12-2017'!J2407</f>
        <v>0</v>
      </c>
    </row>
    <row r="2307" spans="8:10">
      <c r="H2307" s="74">
        <f>'12-2017'!H2408</f>
        <v>0</v>
      </c>
      <c r="I2307" s="74">
        <f>'12-2017'!I2408</f>
        <v>0</v>
      </c>
      <c r="J2307" s="74">
        <f>'12-2017'!J2408</f>
        <v>0</v>
      </c>
    </row>
    <row r="2308" spans="8:10">
      <c r="H2308" s="74">
        <f>'12-2017'!H2409</f>
        <v>0</v>
      </c>
      <c r="I2308" s="74">
        <f>'12-2017'!I2409</f>
        <v>0</v>
      </c>
      <c r="J2308" s="74">
        <f>'12-2017'!J2409</f>
        <v>0</v>
      </c>
    </row>
    <row r="2309" spans="8:10">
      <c r="H2309" s="74">
        <f>'12-2017'!H2410</f>
        <v>0</v>
      </c>
      <c r="I2309" s="74">
        <f>'12-2017'!I2410</f>
        <v>0</v>
      </c>
      <c r="J2309" s="74">
        <f>'12-2017'!J2410</f>
        <v>0</v>
      </c>
    </row>
    <row r="2310" spans="8:10">
      <c r="H2310" s="74">
        <f>'12-2017'!H2411</f>
        <v>0</v>
      </c>
      <c r="I2310" s="74">
        <f>'12-2017'!I2411</f>
        <v>0</v>
      </c>
      <c r="J2310" s="74">
        <f>'12-2017'!J2411</f>
        <v>0</v>
      </c>
    </row>
    <row r="2311" spans="8:10">
      <c r="H2311" s="74">
        <f>'12-2017'!H2412</f>
        <v>0</v>
      </c>
      <c r="I2311" s="74">
        <f>'12-2017'!I2412</f>
        <v>0</v>
      </c>
      <c r="J2311" s="74">
        <f>'12-2017'!J2412</f>
        <v>0</v>
      </c>
    </row>
    <row r="2312" spans="8:10">
      <c r="H2312" s="74">
        <f>'12-2017'!H2413</f>
        <v>0</v>
      </c>
      <c r="I2312" s="74">
        <f>'12-2017'!I2413</f>
        <v>0</v>
      </c>
      <c r="J2312" s="74">
        <f>'12-2017'!J2413</f>
        <v>0</v>
      </c>
    </row>
    <row r="2313" spans="8:10">
      <c r="H2313" s="74">
        <f>'12-2017'!H2414</f>
        <v>0</v>
      </c>
      <c r="I2313" s="74">
        <f>'12-2017'!I2414</f>
        <v>0</v>
      </c>
      <c r="J2313" s="74">
        <f>'12-2017'!J2414</f>
        <v>0</v>
      </c>
    </row>
    <row r="2314" spans="8:10">
      <c r="H2314" s="74">
        <f>'12-2017'!H2415</f>
        <v>0</v>
      </c>
      <c r="I2314" s="74">
        <f>'12-2017'!I2415</f>
        <v>0</v>
      </c>
      <c r="J2314" s="74">
        <f>'12-2017'!J2415</f>
        <v>0</v>
      </c>
    </row>
    <row r="2315" spans="8:10">
      <c r="H2315" s="74">
        <f>'12-2017'!H2416</f>
        <v>0</v>
      </c>
      <c r="I2315" s="74">
        <f>'12-2017'!I2416</f>
        <v>0</v>
      </c>
      <c r="J2315" s="74">
        <f>'12-2017'!J2416</f>
        <v>0</v>
      </c>
    </row>
    <row r="2316" spans="8:10">
      <c r="H2316" s="74">
        <f>'12-2017'!H2417</f>
        <v>0</v>
      </c>
      <c r="I2316" s="74">
        <f>'12-2017'!I2417</f>
        <v>0</v>
      </c>
      <c r="J2316" s="74">
        <f>'12-2017'!J2417</f>
        <v>0</v>
      </c>
    </row>
    <row r="2317" spans="8:10">
      <c r="H2317" s="74">
        <f>'12-2017'!H2418</f>
        <v>0</v>
      </c>
      <c r="I2317" s="74">
        <f>'12-2017'!I2418</f>
        <v>0</v>
      </c>
      <c r="J2317" s="74">
        <f>'12-2017'!J2418</f>
        <v>0</v>
      </c>
    </row>
    <row r="2318" spans="8:10">
      <c r="H2318" s="74">
        <f>'12-2017'!H2419</f>
        <v>0</v>
      </c>
      <c r="I2318" s="74">
        <f>'12-2017'!I2419</f>
        <v>0</v>
      </c>
      <c r="J2318" s="74">
        <f>'12-2017'!J2419</f>
        <v>0</v>
      </c>
    </row>
    <row r="2319" spans="8:10">
      <c r="H2319" s="74">
        <f>'12-2017'!H2420</f>
        <v>0</v>
      </c>
      <c r="I2319" s="74">
        <f>'12-2017'!I2420</f>
        <v>0</v>
      </c>
      <c r="J2319" s="74">
        <f>'12-2017'!J2420</f>
        <v>0</v>
      </c>
    </row>
    <row r="2320" spans="8:10">
      <c r="H2320" s="74">
        <f>'12-2017'!H2421</f>
        <v>0</v>
      </c>
      <c r="I2320" s="74">
        <f>'12-2017'!I2421</f>
        <v>0</v>
      </c>
      <c r="J2320" s="74">
        <f>'12-2017'!J2421</f>
        <v>0</v>
      </c>
    </row>
    <row r="2321" spans="8:10">
      <c r="H2321" s="74">
        <f>'12-2017'!H2422</f>
        <v>0</v>
      </c>
      <c r="I2321" s="74">
        <f>'12-2017'!I2422</f>
        <v>0</v>
      </c>
      <c r="J2321" s="74">
        <f>'12-2017'!J2422</f>
        <v>0</v>
      </c>
    </row>
    <row r="2322" spans="8:10">
      <c r="H2322" s="74">
        <f>'12-2017'!H2423</f>
        <v>0</v>
      </c>
      <c r="I2322" s="74">
        <f>'12-2017'!I2423</f>
        <v>0</v>
      </c>
      <c r="J2322" s="74">
        <f>'12-2017'!J2423</f>
        <v>0</v>
      </c>
    </row>
    <row r="2323" spans="8:10">
      <c r="H2323" s="74">
        <f>'12-2017'!H2424</f>
        <v>0</v>
      </c>
      <c r="I2323" s="74">
        <f>'12-2017'!I2424</f>
        <v>0</v>
      </c>
      <c r="J2323" s="74">
        <f>'12-2017'!J2424</f>
        <v>0</v>
      </c>
    </row>
    <row r="2324" spans="8:10">
      <c r="H2324" s="74">
        <f>'12-2017'!H2425</f>
        <v>0</v>
      </c>
      <c r="I2324" s="74">
        <f>'12-2017'!I2425</f>
        <v>0</v>
      </c>
      <c r="J2324" s="74">
        <f>'12-2017'!J2425</f>
        <v>0</v>
      </c>
    </row>
    <row r="2325" spans="8:10">
      <c r="H2325" s="74">
        <f>'12-2017'!H2426</f>
        <v>0</v>
      </c>
      <c r="I2325" s="74">
        <f>'12-2017'!I2426</f>
        <v>0</v>
      </c>
      <c r="J2325" s="74">
        <f>'12-2017'!J2426</f>
        <v>0</v>
      </c>
    </row>
    <row r="2326" spans="8:10">
      <c r="H2326" s="74">
        <f>'12-2017'!H2427</f>
        <v>0</v>
      </c>
      <c r="I2326" s="74">
        <f>'12-2017'!I2427</f>
        <v>0</v>
      </c>
      <c r="J2326" s="74">
        <f>'12-2017'!J2427</f>
        <v>0</v>
      </c>
    </row>
    <row r="2327" spans="8:10">
      <c r="H2327" s="74">
        <f>'12-2017'!H2428</f>
        <v>0</v>
      </c>
      <c r="I2327" s="74">
        <f>'12-2017'!I2428</f>
        <v>0</v>
      </c>
      <c r="J2327" s="74">
        <f>'12-2017'!J2428</f>
        <v>0</v>
      </c>
    </row>
    <row r="2328" spans="8:10">
      <c r="H2328" s="74">
        <f>'12-2017'!H2429</f>
        <v>0</v>
      </c>
      <c r="I2328" s="74">
        <f>'12-2017'!I2429</f>
        <v>0</v>
      </c>
      <c r="J2328" s="74">
        <f>'12-2017'!J2429</f>
        <v>0</v>
      </c>
    </row>
    <row r="2329" spans="8:10">
      <c r="H2329" s="74">
        <f>'12-2017'!H2430</f>
        <v>0</v>
      </c>
      <c r="I2329" s="74">
        <f>'12-2017'!I2430</f>
        <v>0</v>
      </c>
      <c r="J2329" s="74">
        <f>'12-2017'!J2430</f>
        <v>0</v>
      </c>
    </row>
    <row r="2330" spans="8:10">
      <c r="H2330" s="74">
        <f>'12-2017'!H2431</f>
        <v>0</v>
      </c>
      <c r="I2330" s="74">
        <f>'12-2017'!I2431</f>
        <v>0</v>
      </c>
      <c r="J2330" s="74">
        <f>'12-2017'!J2431</f>
        <v>0</v>
      </c>
    </row>
    <row r="2331" spans="8:10">
      <c r="H2331" s="74">
        <f>'12-2017'!H2432</f>
        <v>0</v>
      </c>
      <c r="I2331" s="74">
        <f>'12-2017'!I2432</f>
        <v>0</v>
      </c>
      <c r="J2331" s="74">
        <f>'12-2017'!J2432</f>
        <v>0</v>
      </c>
    </row>
    <row r="2332" spans="8:10">
      <c r="H2332" s="74">
        <f>'12-2017'!H2433</f>
        <v>0</v>
      </c>
      <c r="I2332" s="74">
        <f>'12-2017'!I2433</f>
        <v>0</v>
      </c>
      <c r="J2332" s="74">
        <f>'12-2017'!J2433</f>
        <v>0</v>
      </c>
    </row>
    <row r="2333" spans="8:10">
      <c r="H2333" s="74">
        <f>'12-2017'!H2434</f>
        <v>0</v>
      </c>
      <c r="I2333" s="74">
        <f>'12-2017'!I2434</f>
        <v>0</v>
      </c>
      <c r="J2333" s="74">
        <f>'12-2017'!J2434</f>
        <v>0</v>
      </c>
    </row>
    <row r="2334" spans="8:10">
      <c r="H2334" s="74">
        <f>'12-2017'!H2435</f>
        <v>0</v>
      </c>
      <c r="I2334" s="74">
        <f>'12-2017'!I2435</f>
        <v>0</v>
      </c>
      <c r="J2334" s="74">
        <f>'12-2017'!J2435</f>
        <v>0</v>
      </c>
    </row>
    <row r="2335" spans="8:10">
      <c r="H2335" s="74">
        <f>'12-2017'!H2436</f>
        <v>0</v>
      </c>
      <c r="I2335" s="74">
        <f>'12-2017'!I2436</f>
        <v>0</v>
      </c>
      <c r="J2335" s="74">
        <f>'12-2017'!J2436</f>
        <v>0</v>
      </c>
    </row>
    <row r="2336" spans="8:10">
      <c r="H2336" s="74">
        <f>'12-2017'!H2437</f>
        <v>0</v>
      </c>
      <c r="I2336" s="74">
        <f>'12-2017'!I2437</f>
        <v>0</v>
      </c>
      <c r="J2336" s="74">
        <f>'12-2017'!J2437</f>
        <v>0</v>
      </c>
    </row>
    <row r="2337" spans="8:10">
      <c r="H2337" s="74">
        <f>'12-2017'!H2438</f>
        <v>0</v>
      </c>
      <c r="I2337" s="74">
        <f>'12-2017'!I2438</f>
        <v>0</v>
      </c>
      <c r="J2337" s="74">
        <f>'12-2017'!J2438</f>
        <v>0</v>
      </c>
    </row>
    <row r="2338" spans="8:10">
      <c r="H2338" s="74">
        <f>'12-2017'!H2439</f>
        <v>0</v>
      </c>
      <c r="I2338" s="74">
        <f>'12-2017'!I2439</f>
        <v>0</v>
      </c>
      <c r="J2338" s="74">
        <f>'12-2017'!J2439</f>
        <v>0</v>
      </c>
    </row>
    <row r="2339" spans="8:10">
      <c r="H2339" s="74">
        <f>'12-2017'!H2440</f>
        <v>0</v>
      </c>
      <c r="I2339" s="74">
        <f>'12-2017'!I2440</f>
        <v>0</v>
      </c>
      <c r="J2339" s="74">
        <f>'12-2017'!J2440</f>
        <v>0</v>
      </c>
    </row>
    <row r="2340" spans="8:10">
      <c r="H2340" s="74">
        <f>'12-2017'!H2441</f>
        <v>0</v>
      </c>
      <c r="I2340" s="74">
        <f>'12-2017'!I2441</f>
        <v>0</v>
      </c>
      <c r="J2340" s="74">
        <f>'12-2017'!J2441</f>
        <v>0</v>
      </c>
    </row>
    <row r="2341" spans="8:10">
      <c r="H2341" s="74">
        <f>'12-2017'!H2442</f>
        <v>0</v>
      </c>
      <c r="I2341" s="74">
        <f>'12-2017'!I2442</f>
        <v>0</v>
      </c>
      <c r="J2341" s="74">
        <f>'12-2017'!J2442</f>
        <v>0</v>
      </c>
    </row>
    <row r="2342" spans="8:10">
      <c r="H2342" s="74">
        <f>'12-2017'!H2443</f>
        <v>0</v>
      </c>
      <c r="I2342" s="74">
        <f>'12-2017'!I2443</f>
        <v>0</v>
      </c>
      <c r="J2342" s="74">
        <f>'12-2017'!J2443</f>
        <v>0</v>
      </c>
    </row>
    <row r="2343" spans="8:10">
      <c r="H2343" s="74">
        <f>'12-2017'!H2444</f>
        <v>0</v>
      </c>
      <c r="I2343" s="74">
        <f>'12-2017'!I2444</f>
        <v>0</v>
      </c>
      <c r="J2343" s="74">
        <f>'12-2017'!J2444</f>
        <v>0</v>
      </c>
    </row>
    <row r="2344" spans="8:10">
      <c r="H2344" s="74">
        <f>'12-2017'!H2445</f>
        <v>0</v>
      </c>
      <c r="I2344" s="74">
        <f>'12-2017'!I2445</f>
        <v>0</v>
      </c>
      <c r="J2344" s="74">
        <f>'12-2017'!J2445</f>
        <v>0</v>
      </c>
    </row>
    <row r="2345" spans="8:10">
      <c r="H2345" s="74">
        <f>'12-2017'!H2446</f>
        <v>0</v>
      </c>
      <c r="I2345" s="74">
        <f>'12-2017'!I2446</f>
        <v>0</v>
      </c>
      <c r="J2345" s="74">
        <f>'12-2017'!J2446</f>
        <v>0</v>
      </c>
    </row>
    <row r="2346" spans="8:10">
      <c r="H2346" s="74">
        <f>'12-2017'!H2447</f>
        <v>0</v>
      </c>
      <c r="I2346" s="74">
        <f>'12-2017'!I2447</f>
        <v>0</v>
      </c>
      <c r="J2346" s="74">
        <f>'12-2017'!J2447</f>
        <v>0</v>
      </c>
    </row>
    <row r="2347" spans="8:10">
      <c r="H2347" s="74">
        <f>'12-2017'!H2448</f>
        <v>0</v>
      </c>
      <c r="I2347" s="74">
        <f>'12-2017'!I2448</f>
        <v>0</v>
      </c>
      <c r="J2347" s="74">
        <f>'12-2017'!J2448</f>
        <v>0</v>
      </c>
    </row>
    <row r="2348" spans="8:10">
      <c r="H2348" s="74">
        <f>'12-2017'!H2449</f>
        <v>0</v>
      </c>
      <c r="I2348" s="74">
        <f>'12-2017'!I2449</f>
        <v>0</v>
      </c>
      <c r="J2348" s="74">
        <f>'12-2017'!J2449</f>
        <v>0</v>
      </c>
    </row>
    <row r="2349" spans="8:10">
      <c r="H2349" s="74">
        <f>'12-2017'!H2450</f>
        <v>0</v>
      </c>
      <c r="I2349" s="74">
        <f>'12-2017'!I2450</f>
        <v>0</v>
      </c>
      <c r="J2349" s="74">
        <f>'12-2017'!J2450</f>
        <v>0</v>
      </c>
    </row>
    <row r="2350" spans="8:10">
      <c r="H2350" s="74">
        <f>'12-2017'!H2451</f>
        <v>0</v>
      </c>
      <c r="I2350" s="74">
        <f>'12-2017'!I2451</f>
        <v>0</v>
      </c>
      <c r="J2350" s="74">
        <f>'12-2017'!J2451</f>
        <v>0</v>
      </c>
    </row>
    <row r="2351" spans="8:10">
      <c r="H2351" s="74">
        <f>'12-2017'!H2452</f>
        <v>0</v>
      </c>
      <c r="I2351" s="74">
        <f>'12-2017'!I2452</f>
        <v>0</v>
      </c>
      <c r="J2351" s="74">
        <f>'12-2017'!J2452</f>
        <v>0</v>
      </c>
    </row>
    <row r="2352" spans="8:10">
      <c r="H2352" s="74">
        <f>'12-2017'!H2453</f>
        <v>0</v>
      </c>
      <c r="I2352" s="74">
        <f>'12-2017'!I2453</f>
        <v>0</v>
      </c>
      <c r="J2352" s="74">
        <f>'12-2017'!J2453</f>
        <v>0</v>
      </c>
    </row>
    <row r="2353" spans="8:10">
      <c r="H2353" s="74">
        <f>'12-2017'!H2454</f>
        <v>0</v>
      </c>
      <c r="I2353" s="74">
        <f>'12-2017'!I2454</f>
        <v>0</v>
      </c>
      <c r="J2353" s="74">
        <f>'12-2017'!J2454</f>
        <v>0</v>
      </c>
    </row>
    <row r="2354" spans="8:10">
      <c r="H2354" s="74">
        <f>'12-2017'!H2455</f>
        <v>0</v>
      </c>
      <c r="I2354" s="74">
        <f>'12-2017'!I2455</f>
        <v>0</v>
      </c>
      <c r="J2354" s="74">
        <f>'12-2017'!J2455</f>
        <v>0</v>
      </c>
    </row>
    <row r="2355" spans="8:10">
      <c r="H2355" s="74">
        <f>'12-2017'!H2456</f>
        <v>0</v>
      </c>
      <c r="I2355" s="74">
        <f>'12-2017'!I2456</f>
        <v>0</v>
      </c>
      <c r="J2355" s="74">
        <f>'12-2017'!J2456</f>
        <v>0</v>
      </c>
    </row>
    <row r="2356" spans="8:10">
      <c r="H2356" s="74">
        <f>'12-2017'!H2457</f>
        <v>0</v>
      </c>
      <c r="I2356" s="74">
        <f>'12-2017'!I2457</f>
        <v>0</v>
      </c>
      <c r="J2356" s="74">
        <f>'12-2017'!J2457</f>
        <v>0</v>
      </c>
    </row>
    <row r="2357" spans="8:10">
      <c r="H2357" s="74">
        <f>'12-2017'!H2458</f>
        <v>0</v>
      </c>
      <c r="I2357" s="74">
        <f>'12-2017'!I2458</f>
        <v>0</v>
      </c>
      <c r="J2357" s="74">
        <f>'12-2017'!J2458</f>
        <v>0</v>
      </c>
    </row>
    <row r="2358" spans="8:10">
      <c r="H2358" s="74">
        <f>'12-2017'!H2459</f>
        <v>0</v>
      </c>
      <c r="I2358" s="74">
        <f>'12-2017'!I2459</f>
        <v>0</v>
      </c>
      <c r="J2358" s="74">
        <f>'12-2017'!J2459</f>
        <v>0</v>
      </c>
    </row>
    <row r="2359" spans="8:10">
      <c r="H2359" s="74">
        <f>'12-2017'!H2460</f>
        <v>0</v>
      </c>
      <c r="I2359" s="74">
        <f>'12-2017'!I2460</f>
        <v>0</v>
      </c>
      <c r="J2359" s="74">
        <f>'12-2017'!J2460</f>
        <v>0</v>
      </c>
    </row>
    <row r="2360" spans="8:10">
      <c r="H2360" s="74">
        <f>'12-2017'!H2461</f>
        <v>0</v>
      </c>
      <c r="I2360" s="74">
        <f>'12-2017'!I2461</f>
        <v>0</v>
      </c>
      <c r="J2360" s="74">
        <f>'12-2017'!J2461</f>
        <v>0</v>
      </c>
    </row>
    <row r="2361" spans="8:10">
      <c r="H2361" s="74">
        <f>'12-2017'!H2462</f>
        <v>0</v>
      </c>
      <c r="I2361" s="74">
        <f>'12-2017'!I2462</f>
        <v>0</v>
      </c>
      <c r="J2361" s="74">
        <f>'12-2017'!J2462</f>
        <v>0</v>
      </c>
    </row>
    <row r="2362" spans="8:10">
      <c r="H2362" s="74">
        <f>'12-2017'!H2463</f>
        <v>0</v>
      </c>
      <c r="I2362" s="74">
        <f>'12-2017'!I2463</f>
        <v>0</v>
      </c>
      <c r="J2362" s="74">
        <f>'12-2017'!J2463</f>
        <v>0</v>
      </c>
    </row>
    <row r="2363" spans="8:10">
      <c r="H2363" s="74">
        <f>'12-2017'!H2464</f>
        <v>0</v>
      </c>
      <c r="I2363" s="74">
        <f>'12-2017'!I2464</f>
        <v>0</v>
      </c>
      <c r="J2363" s="74">
        <f>'12-2017'!J2464</f>
        <v>0</v>
      </c>
    </row>
    <row r="2364" spans="8:10">
      <c r="H2364" s="74">
        <f>'12-2017'!H2465</f>
        <v>0</v>
      </c>
      <c r="I2364" s="74">
        <f>'12-2017'!I2465</f>
        <v>0</v>
      </c>
      <c r="J2364" s="74">
        <f>'12-2017'!J2465</f>
        <v>0</v>
      </c>
    </row>
    <row r="2365" spans="8:10">
      <c r="H2365" s="74">
        <f>'12-2017'!H2466</f>
        <v>0</v>
      </c>
      <c r="I2365" s="74">
        <f>'12-2017'!I2466</f>
        <v>0</v>
      </c>
      <c r="J2365" s="74">
        <f>'12-2017'!J2466</f>
        <v>0</v>
      </c>
    </row>
    <row r="2366" spans="8:10">
      <c r="H2366" s="74">
        <f>'12-2017'!H2467</f>
        <v>0</v>
      </c>
      <c r="I2366" s="74">
        <f>'12-2017'!I2467</f>
        <v>0</v>
      </c>
      <c r="J2366" s="74">
        <f>'12-2017'!J2467</f>
        <v>0</v>
      </c>
    </row>
    <row r="2367" spans="8:10">
      <c r="H2367" s="74">
        <f>'12-2017'!H2468</f>
        <v>0</v>
      </c>
      <c r="I2367" s="74">
        <f>'12-2017'!I2468</f>
        <v>0</v>
      </c>
      <c r="J2367" s="74">
        <f>'12-2017'!J2468</f>
        <v>0</v>
      </c>
    </row>
    <row r="2368" spans="8:10">
      <c r="H2368" s="74">
        <f>'12-2017'!H2469</f>
        <v>0</v>
      </c>
      <c r="I2368" s="74">
        <f>'12-2017'!I2469</f>
        <v>0</v>
      </c>
      <c r="J2368" s="74">
        <f>'12-2017'!J2469</f>
        <v>0</v>
      </c>
    </row>
    <row r="2369" spans="8:10">
      <c r="H2369" s="74">
        <f>'12-2017'!H2470</f>
        <v>0</v>
      </c>
      <c r="I2369" s="74">
        <f>'12-2017'!I2470</f>
        <v>0</v>
      </c>
      <c r="J2369" s="74">
        <f>'12-2017'!J2470</f>
        <v>0</v>
      </c>
    </row>
    <row r="2370" spans="8:10">
      <c r="H2370" s="74">
        <f>'12-2017'!H2471</f>
        <v>0</v>
      </c>
      <c r="I2370" s="74">
        <f>'12-2017'!I2471</f>
        <v>0</v>
      </c>
      <c r="J2370" s="74">
        <f>'12-2017'!J2471</f>
        <v>0</v>
      </c>
    </row>
    <row r="2371" spans="8:10">
      <c r="H2371" s="74">
        <f>'12-2017'!H2472</f>
        <v>0</v>
      </c>
      <c r="I2371" s="74">
        <f>'12-2017'!I2472</f>
        <v>0</v>
      </c>
      <c r="J2371" s="74">
        <f>'12-2017'!J2472</f>
        <v>0</v>
      </c>
    </row>
    <row r="2372" spans="8:10">
      <c r="H2372" s="74">
        <f>'12-2017'!H2473</f>
        <v>0</v>
      </c>
      <c r="I2372" s="74">
        <f>'12-2017'!I2473</f>
        <v>0</v>
      </c>
      <c r="J2372" s="74">
        <f>'12-2017'!J2473</f>
        <v>0</v>
      </c>
    </row>
    <row r="2373" spans="8:10">
      <c r="H2373" s="74">
        <f>'12-2017'!H2474</f>
        <v>0</v>
      </c>
      <c r="I2373" s="74">
        <f>'12-2017'!I2474</f>
        <v>0</v>
      </c>
      <c r="J2373" s="74">
        <f>'12-2017'!J2474</f>
        <v>0</v>
      </c>
    </row>
    <row r="2374" spans="8:10">
      <c r="H2374" s="74">
        <f>'12-2017'!H2475</f>
        <v>0</v>
      </c>
      <c r="I2374" s="74">
        <f>'12-2017'!I2475</f>
        <v>0</v>
      </c>
      <c r="J2374" s="74">
        <f>'12-2017'!J2475</f>
        <v>0</v>
      </c>
    </row>
    <row r="2375" spans="8:10">
      <c r="H2375" s="74">
        <f>'12-2017'!H2476</f>
        <v>0</v>
      </c>
      <c r="I2375" s="74">
        <f>'12-2017'!I2476</f>
        <v>0</v>
      </c>
      <c r="J2375" s="74">
        <f>'12-2017'!J2476</f>
        <v>0</v>
      </c>
    </row>
    <row r="2376" spans="8:10">
      <c r="H2376" s="74">
        <f>'12-2017'!H2477</f>
        <v>0</v>
      </c>
      <c r="I2376" s="74">
        <f>'12-2017'!I2477</f>
        <v>0</v>
      </c>
      <c r="J2376" s="74">
        <f>'12-2017'!J2477</f>
        <v>0</v>
      </c>
    </row>
    <row r="2377" spans="8:10">
      <c r="H2377" s="74">
        <f>'12-2017'!H2478</f>
        <v>0</v>
      </c>
      <c r="I2377" s="74">
        <f>'12-2017'!I2478</f>
        <v>0</v>
      </c>
      <c r="J2377" s="74">
        <f>'12-2017'!J2478</f>
        <v>0</v>
      </c>
    </row>
    <row r="2378" spans="8:10">
      <c r="H2378" s="74">
        <f>'12-2017'!H2479</f>
        <v>0</v>
      </c>
      <c r="I2378" s="74">
        <f>'12-2017'!I2479</f>
        <v>0</v>
      </c>
      <c r="J2378" s="74">
        <f>'12-2017'!J2479</f>
        <v>0</v>
      </c>
    </row>
    <row r="2379" spans="8:10">
      <c r="H2379" s="74">
        <f>'12-2017'!H2480</f>
        <v>0</v>
      </c>
      <c r="I2379" s="74">
        <f>'12-2017'!I2480</f>
        <v>0</v>
      </c>
      <c r="J2379" s="74">
        <f>'12-2017'!J2480</f>
        <v>0</v>
      </c>
    </row>
    <row r="2380" spans="8:10">
      <c r="H2380" s="74">
        <f>'12-2017'!H2481</f>
        <v>0</v>
      </c>
      <c r="I2380" s="74">
        <f>'12-2017'!I2481</f>
        <v>0</v>
      </c>
      <c r="J2380" s="74">
        <f>'12-2017'!J2481</f>
        <v>0</v>
      </c>
    </row>
    <row r="2381" spans="8:10">
      <c r="H2381" s="74">
        <f>'12-2017'!H2482</f>
        <v>0</v>
      </c>
      <c r="I2381" s="74">
        <f>'12-2017'!I2482</f>
        <v>0</v>
      </c>
      <c r="J2381" s="74">
        <f>'12-2017'!J2482</f>
        <v>0</v>
      </c>
    </row>
    <row r="2382" spans="8:10">
      <c r="H2382" s="74">
        <f>'12-2017'!H2483</f>
        <v>0</v>
      </c>
      <c r="I2382" s="74">
        <f>'12-2017'!I2483</f>
        <v>0</v>
      </c>
      <c r="J2382" s="74">
        <f>'12-2017'!J2483</f>
        <v>0</v>
      </c>
    </row>
    <row r="2383" spans="8:10">
      <c r="H2383" s="74">
        <f>'12-2017'!H2484</f>
        <v>0</v>
      </c>
      <c r="I2383" s="74">
        <f>'12-2017'!I2484</f>
        <v>0</v>
      </c>
      <c r="J2383" s="74">
        <f>'12-2017'!J2484</f>
        <v>0</v>
      </c>
    </row>
    <row r="2384" spans="8:10">
      <c r="H2384" s="74">
        <f>'12-2017'!H2485</f>
        <v>0</v>
      </c>
      <c r="I2384" s="74">
        <f>'12-2017'!I2485</f>
        <v>0</v>
      </c>
      <c r="J2384" s="74">
        <f>'12-2017'!J2485</f>
        <v>0</v>
      </c>
    </row>
  </sheetData>
  <mergeCells count="151">
    <mergeCell ref="B83:F83"/>
    <mergeCell ref="B85:F85"/>
    <mergeCell ref="B89:F89"/>
    <mergeCell ref="B91:F91"/>
    <mergeCell ref="B93:F93"/>
    <mergeCell ref="B95:F95"/>
    <mergeCell ref="B1191:F1191"/>
    <mergeCell ref="B322:F322"/>
    <mergeCell ref="B1735:F1735"/>
    <mergeCell ref="B1749:F1749"/>
    <mergeCell ref="B86:F86"/>
    <mergeCell ref="B446:F446"/>
    <mergeCell ref="B447:F447"/>
    <mergeCell ref="B457:F457"/>
    <mergeCell ref="B862:F862"/>
    <mergeCell ref="B901:F901"/>
    <mergeCell ref="B952:F952"/>
    <mergeCell ref="B1030:F1030"/>
    <mergeCell ref="B1096:F1096"/>
    <mergeCell ref="B1164:F1164"/>
    <mergeCell ref="B979:F979"/>
    <mergeCell ref="B984:F984"/>
    <mergeCell ref="B990:F990"/>
    <mergeCell ref="B1959:F1959"/>
    <mergeCell ref="B465:F465"/>
    <mergeCell ref="B489:F489"/>
    <mergeCell ref="B589:F589"/>
    <mergeCell ref="B506:F506"/>
    <mergeCell ref="B511:F511"/>
    <mergeCell ref="B514:F514"/>
    <mergeCell ref="B524:F524"/>
    <mergeCell ref="B529:F529"/>
    <mergeCell ref="B540:F540"/>
    <mergeCell ref="B541:F541"/>
    <mergeCell ref="B562:F562"/>
    <mergeCell ref="B580:F580"/>
    <mergeCell ref="B597:F597"/>
    <mergeCell ref="B606:F606"/>
    <mergeCell ref="B693:F693"/>
    <mergeCell ref="B621:F621"/>
    <mergeCell ref="B610:E610"/>
    <mergeCell ref="B675:F675"/>
    <mergeCell ref="B831:F831"/>
    <mergeCell ref="B802:F802"/>
    <mergeCell ref="B634:F634"/>
    <mergeCell ref="B645:F645"/>
    <mergeCell ref="B796:F796"/>
    <mergeCell ref="B661:F661"/>
    <mergeCell ref="B674:F674"/>
    <mergeCell ref="B1207:F1207"/>
    <mergeCell ref="B1213:F1213"/>
    <mergeCell ref="B1236:F1236"/>
    <mergeCell ref="B723:F723"/>
    <mergeCell ref="B718:F718"/>
    <mergeCell ref="B721:F721"/>
    <mergeCell ref="B722:F722"/>
    <mergeCell ref="B822:F822"/>
    <mergeCell ref="B842:F842"/>
    <mergeCell ref="B850:F850"/>
    <mergeCell ref="B1287:F1287"/>
    <mergeCell ref="B1314:F1314"/>
    <mergeCell ref="B1383:F1383"/>
    <mergeCell ref="B1402:F1402"/>
    <mergeCell ref="B1406:F1406"/>
    <mergeCell ref="B1416:F1416"/>
    <mergeCell ref="B1417:F1417"/>
    <mergeCell ref="B1434:F1434"/>
    <mergeCell ref="B1439:F1439"/>
    <mergeCell ref="B1790:F1790"/>
    <mergeCell ref="B1793:F1793"/>
    <mergeCell ref="B1796:F1796"/>
    <mergeCell ref="B1443:F1443"/>
    <mergeCell ref="B1454:F1454"/>
    <mergeCell ref="B1477:F1477"/>
    <mergeCell ref="B1513:F1513"/>
    <mergeCell ref="B1814:F1814"/>
    <mergeCell ref="B1697:F1697"/>
    <mergeCell ref="B1709:F1709"/>
    <mergeCell ref="B1720:F1720"/>
    <mergeCell ref="B1777:F1777"/>
    <mergeCell ref="B1562:F1562"/>
    <mergeCell ref="B1953:F1953"/>
    <mergeCell ref="B1852:F1852"/>
    <mergeCell ref="B1855:F1855"/>
    <mergeCell ref="B1858:F1858"/>
    <mergeCell ref="B1861:F1861"/>
    <mergeCell ref="B1818:F1818"/>
    <mergeCell ref="B1826:F1826"/>
    <mergeCell ref="B1833:F1833"/>
    <mergeCell ref="B1834:F1834"/>
    <mergeCell ref="B1840:F1840"/>
    <mergeCell ref="B1846:F1846"/>
    <mergeCell ref="B402:F402"/>
    <mergeCell ref="B435:F435"/>
    <mergeCell ref="B434:F434"/>
    <mergeCell ref="B418:F418"/>
    <mergeCell ref="B407:F407"/>
    <mergeCell ref="B1515:F1515"/>
    <mergeCell ref="B1696:F1696"/>
    <mergeCell ref="B1808:F1808"/>
    <mergeCell ref="B1811:F1811"/>
    <mergeCell ref="B1849:F1849"/>
    <mergeCell ref="B1843:F1843"/>
    <mergeCell ref="B1799:F1799"/>
    <mergeCell ref="B1802:F1802"/>
    <mergeCell ref="B1805:F1805"/>
    <mergeCell ref="B377:F377"/>
    <mergeCell ref="B385:F385"/>
    <mergeCell ref="B394:F394"/>
    <mergeCell ref="B395:F395"/>
    <mergeCell ref="B393:F393"/>
    <mergeCell ref="B283:F283"/>
    <mergeCell ref="B291:F291"/>
    <mergeCell ref="B296:F296"/>
    <mergeCell ref="B301:F301"/>
    <mergeCell ref="B317:F317"/>
    <mergeCell ref="B110:F110"/>
    <mergeCell ref="B207:F207"/>
    <mergeCell ref="B212:F212"/>
    <mergeCell ref="B251:F251"/>
    <mergeCell ref="B256:F256"/>
    <mergeCell ref="B298:F298"/>
    <mergeCell ref="B168:F168"/>
    <mergeCell ref="B71:F71"/>
    <mergeCell ref="B72:F72"/>
    <mergeCell ref="B167:F167"/>
    <mergeCell ref="B197:F197"/>
    <mergeCell ref="B118:F118"/>
    <mergeCell ref="B98:F98"/>
    <mergeCell ref="B121:F121"/>
    <mergeCell ref="B131:F131"/>
    <mergeCell ref="B137:F137"/>
    <mergeCell ref="B166:F166"/>
    <mergeCell ref="A1:F1"/>
    <mergeCell ref="B4:F4"/>
    <mergeCell ref="B6:F6"/>
    <mergeCell ref="B18:F18"/>
    <mergeCell ref="B34:F34"/>
    <mergeCell ref="B61:F61"/>
    <mergeCell ref="B5:F5"/>
    <mergeCell ref="B17:F17"/>
    <mergeCell ref="B75:F75"/>
    <mergeCell ref="B78:F78"/>
    <mergeCell ref="B81:F81"/>
    <mergeCell ref="B803:F803"/>
    <mergeCell ref="B120:F120"/>
    <mergeCell ref="B136:F136"/>
    <mergeCell ref="B99:F99"/>
    <mergeCell ref="B104:F104"/>
    <mergeCell ref="B300:F300"/>
    <mergeCell ref="B106:F106"/>
  </mergeCells>
  <pageMargins left="0.2" right="0.21" top="0.38" bottom="0.26" header="0.3" footer="0.3"/>
  <pageSetup paperSize="9" scale="62" orientation="portrait" r:id="rId1"/>
  <rowBreaks count="1" manualBreakCount="1">
    <brk id="1967"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dimension ref="A1:F147"/>
  <sheetViews>
    <sheetView view="pageBreakPreview" topLeftCell="A179" zoomScale="25" zoomScaleNormal="100" zoomScaleSheetLayoutView="25" workbookViewId="0">
      <selection activeCell="L234" sqref="L234"/>
    </sheetView>
  </sheetViews>
  <sheetFormatPr defaultRowHeight="18.75"/>
  <cols>
    <col min="1" max="1" width="8.5703125" style="79" customWidth="1"/>
    <col min="2" max="2" width="96.85546875" style="80" customWidth="1"/>
    <col min="3" max="3" width="34.42578125" style="81" customWidth="1"/>
    <col min="4" max="4" width="37.5703125" style="80" customWidth="1"/>
    <col min="5" max="5" width="25.5703125" style="80" customWidth="1"/>
    <col min="6" max="16384" width="9.140625" style="80"/>
  </cols>
  <sheetData>
    <row r="1" spans="1:6" ht="18.75" customHeight="1">
      <c r="A1" s="298" t="s">
        <v>2076</v>
      </c>
      <c r="B1" s="298"/>
      <c r="C1" s="298"/>
      <c r="D1" s="298"/>
      <c r="E1" s="298"/>
      <c r="F1" s="298"/>
    </row>
    <row r="2" spans="1:6">
      <c r="B2" s="81"/>
      <c r="D2" s="81"/>
    </row>
    <row r="3" spans="1:6" s="81" customFormat="1" ht="37.5">
      <c r="A3" s="96" t="s">
        <v>2</v>
      </c>
      <c r="B3" s="96" t="s">
        <v>1305</v>
      </c>
      <c r="C3" s="96" t="s">
        <v>1306</v>
      </c>
      <c r="D3" s="96" t="s">
        <v>1307</v>
      </c>
      <c r="E3" s="97"/>
      <c r="F3" s="98"/>
    </row>
    <row r="4" spans="1:6" s="82" customFormat="1" ht="19.5">
      <c r="A4" s="99" t="s">
        <v>10</v>
      </c>
      <c r="B4" s="100" t="s">
        <v>11</v>
      </c>
      <c r="C4" s="84"/>
      <c r="D4" s="101"/>
      <c r="E4" s="102"/>
      <c r="F4" s="103"/>
    </row>
    <row r="5" spans="1:6">
      <c r="A5" s="85">
        <v>1</v>
      </c>
      <c r="B5" s="132" t="s">
        <v>12</v>
      </c>
      <c r="C5" s="132" t="s">
        <v>1312</v>
      </c>
      <c r="D5" s="132" t="s">
        <v>1424</v>
      </c>
      <c r="E5" s="132"/>
      <c r="F5" s="104"/>
    </row>
    <row r="6" spans="1:6">
      <c r="A6" s="85">
        <v>2</v>
      </c>
      <c r="B6" s="132" t="s">
        <v>22</v>
      </c>
      <c r="C6" s="132" t="s">
        <v>1312</v>
      </c>
      <c r="D6" s="132" t="s">
        <v>1424</v>
      </c>
      <c r="E6" s="132"/>
      <c r="F6" s="104"/>
    </row>
    <row r="7" spans="1:6" ht="56.25">
      <c r="A7" s="85">
        <v>3</v>
      </c>
      <c r="B7" s="84" t="s">
        <v>1310</v>
      </c>
      <c r="C7" s="132" t="s">
        <v>1312</v>
      </c>
      <c r="D7" s="84" t="s">
        <v>1309</v>
      </c>
      <c r="E7" s="84"/>
      <c r="F7" s="104"/>
    </row>
    <row r="8" spans="1:6" ht="75">
      <c r="A8" s="85">
        <v>4</v>
      </c>
      <c r="B8" s="132" t="s">
        <v>1311</v>
      </c>
      <c r="C8" s="132" t="s">
        <v>1312</v>
      </c>
      <c r="D8" s="132" t="s">
        <v>1756</v>
      </c>
      <c r="E8" s="132"/>
      <c r="F8" s="104"/>
    </row>
    <row r="9" spans="1:6">
      <c r="A9" s="83" t="s">
        <v>33</v>
      </c>
      <c r="B9" s="256" t="str">
        <f>'so sanh'!B71:F71</f>
        <v>CÁT CÁC LOẠI:</v>
      </c>
      <c r="C9" s="257"/>
      <c r="D9" s="257"/>
      <c r="E9" s="258"/>
      <c r="F9" s="104"/>
    </row>
    <row r="10" spans="1:6">
      <c r="A10" s="85"/>
      <c r="B10" s="84" t="s">
        <v>34</v>
      </c>
      <c r="C10" s="100"/>
      <c r="D10" s="132"/>
      <c r="E10" s="84"/>
      <c r="F10" s="104"/>
    </row>
    <row r="11" spans="1:6">
      <c r="A11" s="85">
        <v>1</v>
      </c>
      <c r="B11" s="132" t="s">
        <v>1626</v>
      </c>
      <c r="C11" s="132" t="s">
        <v>1312</v>
      </c>
      <c r="D11" s="132" t="s">
        <v>1883</v>
      </c>
      <c r="E11" s="132"/>
      <c r="F11" s="104"/>
    </row>
    <row r="12" spans="1:6">
      <c r="A12" s="85">
        <v>2</v>
      </c>
      <c r="B12" s="132" t="s">
        <v>1627</v>
      </c>
      <c r="C12" s="132" t="s">
        <v>1312</v>
      </c>
      <c r="D12" s="132" t="s">
        <v>1884</v>
      </c>
      <c r="E12" s="132"/>
      <c r="F12" s="104"/>
    </row>
    <row r="13" spans="1:6">
      <c r="A13" s="85">
        <v>3</v>
      </c>
      <c r="B13" s="132" t="s">
        <v>1628</v>
      </c>
      <c r="C13" s="132" t="s">
        <v>1312</v>
      </c>
      <c r="D13" s="132" t="s">
        <v>1885</v>
      </c>
      <c r="E13" s="132"/>
      <c r="F13" s="104"/>
    </row>
    <row r="14" spans="1:6" ht="37.5">
      <c r="A14" s="85">
        <v>4</v>
      </c>
      <c r="B14" s="132" t="s">
        <v>1629</v>
      </c>
      <c r="C14" s="132" t="s">
        <v>1312</v>
      </c>
      <c r="D14" s="132" t="s">
        <v>1886</v>
      </c>
      <c r="E14" s="132"/>
      <c r="F14" s="104"/>
    </row>
    <row r="15" spans="1:6" ht="37.5">
      <c r="A15" s="85">
        <v>5</v>
      </c>
      <c r="B15" s="132" t="s">
        <v>1630</v>
      </c>
      <c r="C15" s="132" t="s">
        <v>1312</v>
      </c>
      <c r="D15" s="132" t="s">
        <v>1887</v>
      </c>
      <c r="E15" s="132"/>
      <c r="F15" s="104"/>
    </row>
    <row r="16" spans="1:6">
      <c r="A16" s="85">
        <v>6</v>
      </c>
      <c r="B16" s="132" t="s">
        <v>1631</v>
      </c>
      <c r="C16" s="132" t="s">
        <v>1312</v>
      </c>
      <c r="D16" s="132" t="s">
        <v>1888</v>
      </c>
      <c r="E16" s="132"/>
      <c r="F16" s="104"/>
    </row>
    <row r="17" spans="1:6" ht="37.5">
      <c r="A17" s="85">
        <v>7</v>
      </c>
      <c r="B17" s="132" t="s">
        <v>1632</v>
      </c>
      <c r="C17" s="132" t="s">
        <v>1312</v>
      </c>
      <c r="D17" s="132" t="s">
        <v>1888</v>
      </c>
      <c r="E17" s="132"/>
      <c r="F17" s="104"/>
    </row>
    <row r="18" spans="1:6">
      <c r="A18" s="106" t="s">
        <v>37</v>
      </c>
      <c r="B18" s="100" t="s">
        <v>38</v>
      </c>
      <c r="C18" s="132" t="s">
        <v>1312</v>
      </c>
      <c r="D18" s="84"/>
      <c r="E18" s="84"/>
      <c r="F18" s="104"/>
    </row>
    <row r="19" spans="1:6">
      <c r="A19" s="85">
        <v>1</v>
      </c>
      <c r="B19" s="132" t="s">
        <v>1313</v>
      </c>
      <c r="C19" s="132" t="s">
        <v>1312</v>
      </c>
      <c r="D19" s="132" t="s">
        <v>1458</v>
      </c>
      <c r="E19" s="132"/>
      <c r="F19" s="104"/>
    </row>
    <row r="20" spans="1:6" ht="37.5">
      <c r="A20" s="77">
        <v>2</v>
      </c>
      <c r="B20" s="76" t="s">
        <v>1315</v>
      </c>
      <c r="C20" s="76" t="s">
        <v>1312</v>
      </c>
      <c r="D20" s="76" t="s">
        <v>2078</v>
      </c>
      <c r="E20" s="76"/>
      <c r="F20" s="104"/>
    </row>
    <row r="21" spans="1:6" ht="56.25">
      <c r="A21" s="85">
        <v>3</v>
      </c>
      <c r="B21" s="132" t="s">
        <v>1316</v>
      </c>
      <c r="C21" s="132" t="s">
        <v>1312</v>
      </c>
      <c r="D21" s="132" t="s">
        <v>1756</v>
      </c>
      <c r="E21" s="132"/>
      <c r="F21" s="104"/>
    </row>
    <row r="22" spans="1:6" ht="75">
      <c r="A22" s="85">
        <v>4</v>
      </c>
      <c r="B22" s="132" t="s">
        <v>1317</v>
      </c>
      <c r="C22" s="132" t="s">
        <v>1312</v>
      </c>
      <c r="D22" s="132" t="s">
        <v>1756</v>
      </c>
      <c r="E22" s="132"/>
      <c r="F22" s="104"/>
    </row>
    <row r="23" spans="1:6">
      <c r="A23" s="106" t="s">
        <v>57</v>
      </c>
      <c r="B23" s="100" t="s">
        <v>58</v>
      </c>
      <c r="C23" s="100"/>
      <c r="D23" s="84"/>
      <c r="E23" s="84"/>
      <c r="F23" s="104"/>
    </row>
    <row r="24" spans="1:6" ht="37.5">
      <c r="A24" s="85">
        <v>1</v>
      </c>
      <c r="B24" s="84" t="s">
        <v>1318</v>
      </c>
      <c r="C24" s="84" t="s">
        <v>1312</v>
      </c>
      <c r="D24" s="84" t="s">
        <v>1314</v>
      </c>
      <c r="E24" s="84"/>
      <c r="F24" s="104"/>
    </row>
    <row r="25" spans="1:6" ht="37.5">
      <c r="A25" s="85">
        <v>2</v>
      </c>
      <c r="B25" s="84" t="s">
        <v>1319</v>
      </c>
      <c r="C25" s="84" t="s">
        <v>1312</v>
      </c>
      <c r="D25" s="84" t="s">
        <v>1314</v>
      </c>
      <c r="E25" s="84"/>
      <c r="F25" s="104"/>
    </row>
    <row r="26" spans="1:6">
      <c r="A26" s="106" t="s">
        <v>73</v>
      </c>
      <c r="B26" s="100" t="s">
        <v>74</v>
      </c>
      <c r="C26" s="100"/>
      <c r="D26" s="84"/>
      <c r="E26" s="84"/>
      <c r="F26" s="104"/>
    </row>
    <row r="27" spans="1:6" ht="37.5">
      <c r="A27" s="85">
        <v>1</v>
      </c>
      <c r="B27" s="84" t="s">
        <v>1320</v>
      </c>
      <c r="C27" s="84" t="s">
        <v>1312</v>
      </c>
      <c r="D27" s="84" t="s">
        <v>1633</v>
      </c>
      <c r="E27" s="84"/>
      <c r="F27" s="104"/>
    </row>
    <row r="28" spans="1:6" ht="37.5">
      <c r="A28" s="85">
        <v>2</v>
      </c>
      <c r="B28" s="132" t="s">
        <v>1321</v>
      </c>
      <c r="C28" s="132" t="s">
        <v>1312</v>
      </c>
      <c r="D28" s="132" t="s">
        <v>1459</v>
      </c>
      <c r="E28" s="132"/>
      <c r="F28" s="104"/>
    </row>
    <row r="29" spans="1:6" ht="56.25">
      <c r="A29" s="85">
        <v>4</v>
      </c>
      <c r="B29" s="132" t="s">
        <v>1322</v>
      </c>
      <c r="C29" s="132" t="s">
        <v>1312</v>
      </c>
      <c r="D29" s="132" t="s">
        <v>1458</v>
      </c>
      <c r="E29" s="132"/>
      <c r="F29" s="104"/>
    </row>
    <row r="30" spans="1:6" ht="56.25">
      <c r="A30" s="85">
        <v>5</v>
      </c>
      <c r="B30" s="132" t="s">
        <v>1323</v>
      </c>
      <c r="C30" s="132" t="s">
        <v>1312</v>
      </c>
      <c r="D30" s="132" t="s">
        <v>1889</v>
      </c>
      <c r="E30" s="132"/>
      <c r="F30" s="104"/>
    </row>
    <row r="31" spans="1:6" ht="37.5">
      <c r="A31" s="105">
        <v>6</v>
      </c>
      <c r="B31" s="132" t="s">
        <v>1324</v>
      </c>
      <c r="C31" s="132" t="s">
        <v>1312</v>
      </c>
      <c r="D31" s="132" t="s">
        <v>1756</v>
      </c>
      <c r="E31" s="132"/>
      <c r="F31" s="104"/>
    </row>
    <row r="32" spans="1:6">
      <c r="A32" s="106" t="s">
        <v>149</v>
      </c>
      <c r="B32" s="100" t="s">
        <v>150</v>
      </c>
      <c r="C32" s="100"/>
      <c r="D32" s="84"/>
      <c r="E32" s="84"/>
      <c r="F32" s="104"/>
    </row>
    <row r="33" spans="1:6" ht="37.5">
      <c r="A33" s="105">
        <v>1</v>
      </c>
      <c r="B33" s="132" t="s">
        <v>1325</v>
      </c>
      <c r="C33" s="132" t="s">
        <v>1308</v>
      </c>
      <c r="D33" s="132" t="s">
        <v>1756</v>
      </c>
      <c r="E33" s="132"/>
      <c r="F33" s="104"/>
    </row>
    <row r="34" spans="1:6" ht="67.5" customHeight="1">
      <c r="A34" s="77">
        <v>2</v>
      </c>
      <c r="B34" s="76" t="s">
        <v>1326</v>
      </c>
      <c r="C34" s="76" t="s">
        <v>1312</v>
      </c>
      <c r="D34" s="76" t="s">
        <v>2078</v>
      </c>
      <c r="E34" s="76"/>
      <c r="F34" s="104"/>
    </row>
    <row r="35" spans="1:6">
      <c r="A35" s="77">
        <v>3</v>
      </c>
      <c r="B35" s="76" t="s">
        <v>1327</v>
      </c>
      <c r="C35" s="76" t="s">
        <v>1312</v>
      </c>
      <c r="D35" s="76" t="s">
        <v>2078</v>
      </c>
      <c r="E35" s="76"/>
      <c r="F35" s="104"/>
    </row>
    <row r="36" spans="1:6">
      <c r="A36" s="105">
        <v>4</v>
      </c>
      <c r="B36" s="132" t="s">
        <v>1552</v>
      </c>
      <c r="C36" s="132" t="s">
        <v>1312</v>
      </c>
      <c r="D36" s="132" t="s">
        <v>1553</v>
      </c>
      <c r="E36" s="132"/>
      <c r="F36" s="104"/>
    </row>
    <row r="37" spans="1:6">
      <c r="A37" s="106" t="s">
        <v>160</v>
      </c>
      <c r="B37" s="100" t="s">
        <v>161</v>
      </c>
      <c r="C37" s="100"/>
      <c r="D37" s="84"/>
      <c r="E37" s="84"/>
      <c r="F37" s="104"/>
    </row>
    <row r="38" spans="1:6" s="229" customFormat="1" ht="56.25">
      <c r="A38" s="227">
        <v>1</v>
      </c>
      <c r="B38" s="76" t="s">
        <v>1328</v>
      </c>
      <c r="C38" s="76" t="s">
        <v>1312</v>
      </c>
      <c r="D38" s="76" t="s">
        <v>2078</v>
      </c>
      <c r="E38" s="76"/>
      <c r="F38" s="228"/>
    </row>
    <row r="39" spans="1:6" s="229" customFormat="1" ht="37.5">
      <c r="A39" s="227">
        <v>2</v>
      </c>
      <c r="B39" s="76" t="s">
        <v>1329</v>
      </c>
      <c r="C39" s="76" t="s">
        <v>1312</v>
      </c>
      <c r="D39" s="76" t="s">
        <v>2079</v>
      </c>
      <c r="E39" s="76"/>
      <c r="F39" s="228"/>
    </row>
    <row r="40" spans="1:6">
      <c r="A40" s="85">
        <v>3</v>
      </c>
      <c r="B40" s="132" t="s">
        <v>1635</v>
      </c>
      <c r="C40" s="132" t="s">
        <v>1312</v>
      </c>
      <c r="D40" s="132" t="s">
        <v>1756</v>
      </c>
      <c r="E40" s="132"/>
      <c r="F40" s="104"/>
    </row>
    <row r="41" spans="1:6" ht="37.5">
      <c r="A41" s="85">
        <v>4</v>
      </c>
      <c r="B41" s="132" t="s">
        <v>1330</v>
      </c>
      <c r="C41" s="132" t="s">
        <v>1312</v>
      </c>
      <c r="D41" s="132" t="s">
        <v>1890</v>
      </c>
      <c r="E41" s="132"/>
      <c r="F41" s="104"/>
    </row>
    <row r="42" spans="1:6" s="229" customFormat="1">
      <c r="A42" s="227">
        <v>5</v>
      </c>
      <c r="B42" s="76" t="s">
        <v>1636</v>
      </c>
      <c r="C42" s="76" t="s">
        <v>1312</v>
      </c>
      <c r="D42" s="76" t="s">
        <v>2080</v>
      </c>
      <c r="E42" s="76"/>
      <c r="F42" s="228"/>
    </row>
    <row r="43" spans="1:6" ht="56.25">
      <c r="A43" s="85">
        <v>6</v>
      </c>
      <c r="B43" s="132" t="s">
        <v>1332</v>
      </c>
      <c r="C43" s="132" t="s">
        <v>1312</v>
      </c>
      <c r="D43" s="132" t="s">
        <v>1757</v>
      </c>
      <c r="E43" s="132"/>
      <c r="F43" s="104"/>
    </row>
    <row r="44" spans="1:6">
      <c r="A44" s="106" t="s">
        <v>222</v>
      </c>
      <c r="B44" s="100" t="s">
        <v>223</v>
      </c>
      <c r="C44" s="84"/>
      <c r="D44" s="84"/>
      <c r="E44" s="84"/>
      <c r="F44" s="104"/>
    </row>
    <row r="45" spans="1:6" s="233" customFormat="1" ht="37.5">
      <c r="A45" s="230">
        <v>1</v>
      </c>
      <c r="B45" s="231" t="s">
        <v>1333</v>
      </c>
      <c r="C45" s="231" t="s">
        <v>1312</v>
      </c>
      <c r="D45" s="231" t="s">
        <v>1763</v>
      </c>
      <c r="E45" s="231"/>
      <c r="F45" s="232"/>
    </row>
    <row r="46" spans="1:6">
      <c r="A46" s="106" t="s">
        <v>260</v>
      </c>
      <c r="B46" s="100" t="s">
        <v>261</v>
      </c>
      <c r="D46" s="84"/>
      <c r="E46" s="84"/>
      <c r="F46" s="104"/>
    </row>
    <row r="47" spans="1:6" s="233" customFormat="1" ht="37.5">
      <c r="A47" s="230">
        <v>1</v>
      </c>
      <c r="B47" s="231" t="s">
        <v>1334</v>
      </c>
      <c r="C47" s="231" t="s">
        <v>1312</v>
      </c>
      <c r="D47" s="231" t="s">
        <v>1763</v>
      </c>
      <c r="E47" s="231"/>
      <c r="F47" s="232"/>
    </row>
    <row r="48" spans="1:6">
      <c r="A48" s="106" t="s">
        <v>269</v>
      </c>
      <c r="B48" s="100" t="s">
        <v>270</v>
      </c>
      <c r="C48" s="100"/>
      <c r="D48" s="84"/>
      <c r="E48" s="84"/>
      <c r="F48" s="104"/>
    </row>
    <row r="49" spans="1:6" s="233" customFormat="1" ht="37.5">
      <c r="A49" s="230">
        <v>1</v>
      </c>
      <c r="B49" s="231" t="s">
        <v>1335</v>
      </c>
      <c r="C49" s="231" t="s">
        <v>1308</v>
      </c>
      <c r="D49" s="231" t="s">
        <v>1763</v>
      </c>
      <c r="E49" s="231"/>
      <c r="F49" s="232"/>
    </row>
    <row r="50" spans="1:6" ht="67.5" customHeight="1">
      <c r="A50" s="77">
        <v>2</v>
      </c>
      <c r="B50" s="76" t="s">
        <v>1336</v>
      </c>
      <c r="C50" s="76" t="s">
        <v>1312</v>
      </c>
      <c r="D50" s="76" t="s">
        <v>2081</v>
      </c>
      <c r="E50" s="76"/>
      <c r="F50" s="104"/>
    </row>
    <row r="51" spans="1:6">
      <c r="A51" s="106" t="s">
        <v>285</v>
      </c>
      <c r="B51" s="100" t="s">
        <v>286</v>
      </c>
      <c r="C51" s="100"/>
      <c r="D51" s="84"/>
      <c r="E51" s="84"/>
      <c r="F51" s="104"/>
    </row>
    <row r="52" spans="1:6">
      <c r="A52" s="106"/>
      <c r="B52" s="100" t="s">
        <v>287</v>
      </c>
      <c r="C52" s="100"/>
      <c r="D52" s="84"/>
      <c r="E52" s="84"/>
      <c r="F52" s="104"/>
    </row>
    <row r="53" spans="1:6" s="132" customFormat="1" ht="56.25">
      <c r="A53" s="132">
        <v>1</v>
      </c>
      <c r="B53" s="132" t="s">
        <v>1337</v>
      </c>
      <c r="C53" s="132" t="s">
        <v>1312</v>
      </c>
      <c r="D53" s="132" t="s">
        <v>1459</v>
      </c>
    </row>
    <row r="54" spans="1:6">
      <c r="A54" s="107"/>
      <c r="B54" s="100" t="s">
        <v>290</v>
      </c>
      <c r="C54" s="84"/>
      <c r="D54" s="84"/>
      <c r="E54" s="84"/>
      <c r="F54" s="104"/>
    </row>
    <row r="55" spans="1:6">
      <c r="A55" s="107">
        <v>1</v>
      </c>
      <c r="B55" s="84" t="s">
        <v>291</v>
      </c>
      <c r="C55" s="84" t="s">
        <v>1312</v>
      </c>
      <c r="D55" s="84" t="s">
        <v>1338</v>
      </c>
      <c r="E55" s="84"/>
      <c r="F55" s="104"/>
    </row>
    <row r="56" spans="1:6">
      <c r="A56" s="85">
        <v>2</v>
      </c>
      <c r="B56" s="84" t="s">
        <v>297</v>
      </c>
      <c r="C56" s="84" t="s">
        <v>1312</v>
      </c>
      <c r="D56" s="84" t="s">
        <v>1338</v>
      </c>
      <c r="E56" s="84"/>
      <c r="F56" s="104"/>
    </row>
    <row r="57" spans="1:6">
      <c r="A57" s="85">
        <v>3</v>
      </c>
      <c r="B57" s="84" t="s">
        <v>298</v>
      </c>
      <c r="C57" s="84" t="s">
        <v>1312</v>
      </c>
      <c r="D57" s="84" t="s">
        <v>1338</v>
      </c>
      <c r="E57" s="84"/>
      <c r="F57" s="104"/>
    </row>
    <row r="58" spans="1:6">
      <c r="A58" s="85">
        <v>4</v>
      </c>
      <c r="B58" s="84" t="s">
        <v>299</v>
      </c>
      <c r="C58" s="84" t="s">
        <v>1312</v>
      </c>
      <c r="D58" s="84" t="s">
        <v>1338</v>
      </c>
      <c r="E58" s="84"/>
      <c r="F58" s="104"/>
    </row>
    <row r="59" spans="1:6" ht="37.5">
      <c r="A59" s="85">
        <v>5</v>
      </c>
      <c r="B59" s="132" t="s">
        <v>1339</v>
      </c>
      <c r="C59" s="132" t="s">
        <v>1312</v>
      </c>
      <c r="D59" s="132" t="s">
        <v>1756</v>
      </c>
      <c r="E59" s="132"/>
      <c r="F59" s="104"/>
    </row>
    <row r="60" spans="1:6" ht="37.5">
      <c r="A60" s="85">
        <v>7</v>
      </c>
      <c r="B60" s="132" t="s">
        <v>1340</v>
      </c>
      <c r="C60" s="132" t="s">
        <v>1312</v>
      </c>
      <c r="D60" s="132" t="s">
        <v>1756</v>
      </c>
      <c r="E60" s="132"/>
      <c r="F60" s="104"/>
    </row>
    <row r="61" spans="1:6" ht="56.25">
      <c r="A61" s="85">
        <v>10</v>
      </c>
      <c r="B61" s="84" t="s">
        <v>1341</v>
      </c>
      <c r="C61" s="132" t="s">
        <v>1312</v>
      </c>
      <c r="D61" s="84" t="s">
        <v>1342</v>
      </c>
      <c r="E61" s="84"/>
      <c r="F61" s="104"/>
    </row>
    <row r="62" spans="1:6" ht="37.5">
      <c r="A62" s="98">
        <v>11</v>
      </c>
      <c r="B62" s="86" t="s">
        <v>1343</v>
      </c>
      <c r="C62" s="132" t="s">
        <v>1312</v>
      </c>
      <c r="D62" s="86" t="s">
        <v>1344</v>
      </c>
      <c r="E62" s="86"/>
      <c r="F62" s="104"/>
    </row>
    <row r="63" spans="1:6">
      <c r="A63" s="85"/>
      <c r="B63" s="100" t="s">
        <v>332</v>
      </c>
      <c r="C63" s="84"/>
      <c r="D63" s="84"/>
      <c r="E63" s="84"/>
      <c r="F63" s="104"/>
    </row>
    <row r="64" spans="1:6" ht="37.5">
      <c r="A64" s="85">
        <v>4</v>
      </c>
      <c r="B64" s="132" t="s">
        <v>1345</v>
      </c>
      <c r="C64" s="132" t="s">
        <v>1312</v>
      </c>
      <c r="D64" s="132" t="s">
        <v>1756</v>
      </c>
      <c r="E64" s="132"/>
      <c r="F64" s="104"/>
    </row>
    <row r="65" spans="1:6" ht="37.5">
      <c r="A65" s="85">
        <v>5</v>
      </c>
      <c r="B65" s="84" t="s">
        <v>1346</v>
      </c>
      <c r="C65" s="84" t="s">
        <v>1312</v>
      </c>
      <c r="D65" s="84" t="s">
        <v>1347</v>
      </c>
      <c r="E65" s="84"/>
      <c r="F65" s="104"/>
    </row>
    <row r="66" spans="1:6" ht="37.5">
      <c r="A66" s="85">
        <v>6</v>
      </c>
      <c r="B66" s="84" t="s">
        <v>1348</v>
      </c>
      <c r="C66" s="132" t="s">
        <v>1312</v>
      </c>
      <c r="D66" s="84" t="s">
        <v>1349</v>
      </c>
      <c r="E66" s="84"/>
      <c r="F66" s="104"/>
    </row>
    <row r="67" spans="1:6">
      <c r="A67" s="87"/>
      <c r="B67" s="100" t="s">
        <v>353</v>
      </c>
      <c r="C67" s="84"/>
      <c r="D67" s="84"/>
      <c r="E67" s="84"/>
      <c r="F67" s="104"/>
    </row>
    <row r="68" spans="1:6" ht="37.5">
      <c r="A68" s="85">
        <v>1</v>
      </c>
      <c r="B68" s="132" t="s">
        <v>1350</v>
      </c>
      <c r="C68" s="132" t="s">
        <v>1312</v>
      </c>
      <c r="D68" s="132" t="s">
        <v>1460</v>
      </c>
      <c r="E68" s="132"/>
      <c r="F68" s="104"/>
    </row>
    <row r="69" spans="1:6" ht="37.5">
      <c r="A69" s="85">
        <v>2</v>
      </c>
      <c r="B69" s="132" t="s">
        <v>1351</v>
      </c>
      <c r="C69" s="132" t="s">
        <v>1312</v>
      </c>
      <c r="D69" s="132" t="s">
        <v>1756</v>
      </c>
      <c r="E69" s="132"/>
      <c r="F69" s="104"/>
    </row>
    <row r="70" spans="1:6" ht="37.5">
      <c r="A70" s="85">
        <v>4</v>
      </c>
      <c r="B70" s="84" t="s">
        <v>1352</v>
      </c>
      <c r="C70" s="84" t="s">
        <v>1312</v>
      </c>
      <c r="D70" s="84" t="s">
        <v>1461</v>
      </c>
      <c r="E70" s="84"/>
      <c r="F70" s="104"/>
    </row>
    <row r="71" spans="1:6">
      <c r="A71" s="106" t="s">
        <v>363</v>
      </c>
      <c r="B71" s="100" t="s">
        <v>364</v>
      </c>
      <c r="C71" s="100"/>
      <c r="D71" s="84"/>
      <c r="E71" s="84"/>
      <c r="F71" s="104"/>
    </row>
    <row r="72" spans="1:6">
      <c r="A72" s="106">
        <v>1</v>
      </c>
      <c r="B72" s="84" t="s">
        <v>1353</v>
      </c>
      <c r="C72" s="104"/>
      <c r="D72" s="108">
        <v>42064</v>
      </c>
      <c r="E72" s="84"/>
      <c r="F72" s="104"/>
    </row>
    <row r="73" spans="1:6" ht="37.5">
      <c r="A73" s="85">
        <v>2</v>
      </c>
      <c r="B73" s="84" t="s">
        <v>1354</v>
      </c>
      <c r="C73" s="84" t="s">
        <v>1312</v>
      </c>
      <c r="D73" s="84" t="s">
        <v>1355</v>
      </c>
      <c r="E73" s="84"/>
      <c r="F73" s="104"/>
    </row>
    <row r="74" spans="1:6">
      <c r="A74" s="85">
        <v>3</v>
      </c>
      <c r="B74" s="84" t="s">
        <v>1356</v>
      </c>
      <c r="C74" s="84" t="s">
        <v>1312</v>
      </c>
      <c r="D74" s="84" t="s">
        <v>1357</v>
      </c>
      <c r="E74" s="84"/>
      <c r="F74" s="104"/>
    </row>
    <row r="75" spans="1:6" ht="37.5">
      <c r="A75" s="85">
        <v>4</v>
      </c>
      <c r="B75" s="84" t="s">
        <v>1358</v>
      </c>
      <c r="C75" s="84" t="s">
        <v>1312</v>
      </c>
      <c r="D75" s="84" t="s">
        <v>1359</v>
      </c>
      <c r="E75" s="84"/>
      <c r="F75" s="104"/>
    </row>
    <row r="76" spans="1:6" ht="37.5">
      <c r="A76" s="85">
        <v>5</v>
      </c>
      <c r="B76" s="84" t="s">
        <v>1360</v>
      </c>
      <c r="C76" s="84" t="s">
        <v>1312</v>
      </c>
      <c r="D76" s="84" t="s">
        <v>1361</v>
      </c>
      <c r="E76" s="84"/>
      <c r="F76" s="104"/>
    </row>
    <row r="77" spans="1:6" s="88" customFormat="1" ht="19.5">
      <c r="A77" s="106" t="s">
        <v>425</v>
      </c>
      <c r="B77" s="100" t="s">
        <v>426</v>
      </c>
      <c r="C77" s="100"/>
      <c r="D77" s="84"/>
      <c r="E77" s="84"/>
      <c r="F77" s="109"/>
    </row>
    <row r="78" spans="1:6" s="88" customFormat="1" ht="37.5">
      <c r="A78" s="85">
        <v>1</v>
      </c>
      <c r="B78" s="84" t="s">
        <v>1362</v>
      </c>
      <c r="C78" s="84" t="s">
        <v>1312</v>
      </c>
      <c r="D78" s="84" t="s">
        <v>2084</v>
      </c>
      <c r="E78" s="84"/>
      <c r="F78" s="109"/>
    </row>
    <row r="79" spans="1:6" s="88" customFormat="1" ht="37.5">
      <c r="A79" s="85">
        <v>2</v>
      </c>
      <c r="B79" s="132" t="s">
        <v>1364</v>
      </c>
      <c r="C79" s="132" t="s">
        <v>1554</v>
      </c>
      <c r="D79" s="132" t="s">
        <v>2083</v>
      </c>
      <c r="E79" s="132"/>
      <c r="F79" s="109"/>
    </row>
    <row r="80" spans="1:6" s="88" customFormat="1" ht="19.5">
      <c r="A80" s="106" t="s">
        <v>443</v>
      </c>
      <c r="B80" s="100" t="s">
        <v>1363</v>
      </c>
      <c r="C80" s="100"/>
      <c r="D80" s="84"/>
      <c r="E80" s="84"/>
      <c r="F80" s="109"/>
    </row>
    <row r="81" spans="1:6" s="88" customFormat="1" ht="37.5">
      <c r="A81" s="85">
        <v>1</v>
      </c>
      <c r="B81" s="132" t="s">
        <v>1364</v>
      </c>
      <c r="C81" s="132" t="s">
        <v>1554</v>
      </c>
      <c r="D81" s="132" t="s">
        <v>2083</v>
      </c>
      <c r="E81" s="132"/>
      <c r="F81" s="109"/>
    </row>
    <row r="82" spans="1:6" s="88" customFormat="1" ht="19.5">
      <c r="A82" s="106" t="s">
        <v>446</v>
      </c>
      <c r="B82" s="100" t="s">
        <v>447</v>
      </c>
      <c r="C82" s="100"/>
      <c r="D82" s="84"/>
      <c r="E82" s="84"/>
      <c r="F82" s="109"/>
    </row>
    <row r="83" spans="1:6" s="81" customFormat="1" ht="56.25">
      <c r="A83" s="85">
        <v>1</v>
      </c>
      <c r="B83" s="84" t="s">
        <v>1365</v>
      </c>
      <c r="C83" s="84" t="s">
        <v>1312</v>
      </c>
      <c r="D83" s="84" t="s">
        <v>2082</v>
      </c>
      <c r="E83" s="84"/>
      <c r="F83" s="98"/>
    </row>
    <row r="84" spans="1:6" s="81" customFormat="1">
      <c r="A84" s="106" t="s">
        <v>452</v>
      </c>
      <c r="B84" s="100" t="s">
        <v>453</v>
      </c>
      <c r="C84" s="100"/>
      <c r="D84" s="84"/>
      <c r="E84" s="84"/>
      <c r="F84" s="98"/>
    </row>
    <row r="85" spans="1:6" s="81" customFormat="1" ht="37.5">
      <c r="A85" s="85">
        <v>1</v>
      </c>
      <c r="B85" s="84" t="s">
        <v>1367</v>
      </c>
      <c r="C85" s="84" t="s">
        <v>1312</v>
      </c>
      <c r="D85" s="84" t="s">
        <v>1366</v>
      </c>
      <c r="E85" s="84"/>
      <c r="F85" s="98"/>
    </row>
    <row r="86" spans="1:6" s="81" customFormat="1">
      <c r="A86" s="106" t="s">
        <v>460</v>
      </c>
      <c r="B86" s="100" t="s">
        <v>461</v>
      </c>
      <c r="C86" s="100"/>
      <c r="D86" s="84"/>
      <c r="E86" s="84"/>
      <c r="F86" s="98"/>
    </row>
    <row r="87" spans="1:6" s="81" customFormat="1" ht="37.5">
      <c r="A87" s="106">
        <v>1</v>
      </c>
      <c r="B87" s="132" t="s">
        <v>1408</v>
      </c>
      <c r="C87" s="132" t="s">
        <v>1312</v>
      </c>
      <c r="D87" s="132" t="s">
        <v>1555</v>
      </c>
      <c r="E87" s="132"/>
      <c r="F87" s="98"/>
    </row>
    <row r="88" spans="1:6" s="81" customFormat="1" ht="37.5">
      <c r="A88" s="85">
        <v>2</v>
      </c>
      <c r="B88" s="132" t="s">
        <v>1425</v>
      </c>
      <c r="C88" s="132" t="s">
        <v>1312</v>
      </c>
      <c r="D88" s="132" t="s">
        <v>2085</v>
      </c>
      <c r="E88" s="132"/>
      <c r="F88" s="132"/>
    </row>
    <row r="89" spans="1:6" s="81" customFormat="1" ht="37.5">
      <c r="A89" s="85">
        <v>3</v>
      </c>
      <c r="B89" s="132" t="s">
        <v>1368</v>
      </c>
      <c r="C89" s="132" t="s">
        <v>1312</v>
      </c>
      <c r="D89" s="84" t="s">
        <v>1405</v>
      </c>
      <c r="E89" s="84"/>
      <c r="F89" s="84"/>
    </row>
    <row r="90" spans="1:6" s="81" customFormat="1" ht="56.25">
      <c r="A90" s="85">
        <v>4</v>
      </c>
      <c r="B90" s="132" t="s">
        <v>1465</v>
      </c>
      <c r="C90" s="132" t="s">
        <v>1312</v>
      </c>
      <c r="D90" s="132" t="s">
        <v>1556</v>
      </c>
      <c r="E90" s="132"/>
      <c r="F90" s="132"/>
    </row>
    <row r="91" spans="1:6" s="81" customFormat="1" ht="37.5">
      <c r="A91" s="85">
        <v>5</v>
      </c>
      <c r="B91" s="132" t="s">
        <v>1637</v>
      </c>
      <c r="C91" s="132" t="s">
        <v>1312</v>
      </c>
      <c r="D91" s="132" t="s">
        <v>1556</v>
      </c>
      <c r="E91" s="132"/>
      <c r="F91" s="132"/>
    </row>
    <row r="92" spans="1:6" s="81" customFormat="1">
      <c r="A92" s="85">
        <v>6</v>
      </c>
      <c r="B92" s="132" t="s">
        <v>2087</v>
      </c>
      <c r="C92" s="132" t="s">
        <v>1312</v>
      </c>
      <c r="D92" s="132" t="s">
        <v>2086</v>
      </c>
      <c r="E92" s="132"/>
      <c r="F92" s="132"/>
    </row>
    <row r="93" spans="1:6" s="81" customFormat="1" ht="37.5">
      <c r="A93" s="85">
        <v>7</v>
      </c>
      <c r="B93" s="132" t="s">
        <v>2089</v>
      </c>
      <c r="C93" s="132" t="s">
        <v>1312</v>
      </c>
      <c r="D93" s="132" t="s">
        <v>2088</v>
      </c>
      <c r="E93" s="132"/>
      <c r="F93" s="132"/>
    </row>
    <row r="94" spans="1:6" s="81" customFormat="1" ht="37.5">
      <c r="A94" s="85">
        <v>8</v>
      </c>
      <c r="B94" s="132" t="s">
        <v>2091</v>
      </c>
      <c r="C94" s="132" t="s">
        <v>1312</v>
      </c>
      <c r="D94" s="132" t="s">
        <v>2090</v>
      </c>
      <c r="E94" s="132"/>
      <c r="F94" s="132"/>
    </row>
    <row r="95" spans="1:6" ht="67.5" customHeight="1">
      <c r="A95" s="77">
        <v>9</v>
      </c>
      <c r="B95" s="76" t="s">
        <v>1899</v>
      </c>
      <c r="C95" s="76" t="s">
        <v>2093</v>
      </c>
      <c r="D95" s="76" t="s">
        <v>2092</v>
      </c>
      <c r="E95" s="76"/>
      <c r="F95" s="104"/>
    </row>
    <row r="96" spans="1:6" s="81" customFormat="1">
      <c r="A96" s="106" t="s">
        <v>476</v>
      </c>
      <c r="B96" s="100" t="s">
        <v>477</v>
      </c>
      <c r="C96" s="100"/>
      <c r="D96" s="84"/>
      <c r="E96" s="84"/>
      <c r="F96" s="98"/>
    </row>
    <row r="97" spans="1:6" s="81" customFormat="1" ht="37.5">
      <c r="A97" s="106">
        <v>1</v>
      </c>
      <c r="B97" s="84" t="s">
        <v>1369</v>
      </c>
      <c r="C97" s="84" t="s">
        <v>1312</v>
      </c>
      <c r="D97" s="84" t="s">
        <v>1370</v>
      </c>
      <c r="E97" s="84"/>
      <c r="F97" s="84"/>
    </row>
    <row r="98" spans="1:6" s="81" customFormat="1" ht="75" customHeight="1">
      <c r="A98" s="85">
        <v>2</v>
      </c>
      <c r="B98" s="84" t="s">
        <v>1371</v>
      </c>
      <c r="C98" s="84" t="s">
        <v>1312</v>
      </c>
      <c r="D98" s="84" t="s">
        <v>1372</v>
      </c>
      <c r="E98" s="84"/>
      <c r="F98" s="84"/>
    </row>
    <row r="99" spans="1:6" s="89" customFormat="1" ht="37.5">
      <c r="A99" s="85">
        <v>3</v>
      </c>
      <c r="B99" s="84" t="s">
        <v>1373</v>
      </c>
      <c r="C99" s="84" t="s">
        <v>1312</v>
      </c>
      <c r="D99" s="84" t="s">
        <v>1374</v>
      </c>
      <c r="E99" s="84"/>
      <c r="F99" s="110"/>
    </row>
    <row r="100" spans="1:6" s="89" customFormat="1" ht="83.45" customHeight="1">
      <c r="A100" s="85">
        <v>4</v>
      </c>
      <c r="B100" s="84" t="s">
        <v>1375</v>
      </c>
      <c r="C100" s="84" t="s">
        <v>1312</v>
      </c>
      <c r="D100" s="84" t="s">
        <v>1376</v>
      </c>
      <c r="E100" s="84"/>
      <c r="F100" s="84"/>
    </row>
    <row r="101" spans="1:6" s="81" customFormat="1" ht="37.5">
      <c r="A101" s="105">
        <v>5</v>
      </c>
      <c r="B101" s="84" t="s">
        <v>1377</v>
      </c>
      <c r="C101" s="84" t="s">
        <v>1312</v>
      </c>
      <c r="D101" s="84" t="s">
        <v>1378</v>
      </c>
      <c r="E101" s="84"/>
      <c r="F101" s="98"/>
    </row>
    <row r="102" spans="1:6" s="81" customFormat="1" ht="56.25">
      <c r="A102" s="105">
        <v>6</v>
      </c>
      <c r="B102" s="84" t="s">
        <v>1379</v>
      </c>
      <c r="C102" s="84" t="s">
        <v>1312</v>
      </c>
      <c r="D102" s="84" t="s">
        <v>1380</v>
      </c>
      <c r="E102" s="84"/>
      <c r="F102" s="98"/>
    </row>
    <row r="103" spans="1:6" s="81" customFormat="1">
      <c r="A103" s="106" t="s">
        <v>771</v>
      </c>
      <c r="B103" s="100" t="s">
        <v>772</v>
      </c>
      <c r="C103" s="100"/>
      <c r="D103" s="84"/>
      <c r="E103" s="84"/>
      <c r="F103" s="98"/>
    </row>
    <row r="104" spans="1:6" s="81" customFormat="1">
      <c r="A104" s="85">
        <v>1</v>
      </c>
      <c r="B104" s="84" t="s">
        <v>1381</v>
      </c>
      <c r="C104" s="84" t="s">
        <v>1312</v>
      </c>
      <c r="D104" s="84" t="s">
        <v>1382</v>
      </c>
      <c r="E104" s="84"/>
      <c r="F104" s="98"/>
    </row>
    <row r="105" spans="1:6" s="88" customFormat="1" ht="37.5">
      <c r="A105" s="85">
        <v>2</v>
      </c>
      <c r="B105" s="84" t="s">
        <v>1383</v>
      </c>
      <c r="C105" s="84" t="s">
        <v>1312</v>
      </c>
      <c r="D105" s="84" t="s">
        <v>1384</v>
      </c>
      <c r="E105" s="84"/>
      <c r="F105" s="109"/>
    </row>
    <row r="106" spans="1:6" s="81" customFormat="1">
      <c r="A106" s="106" t="s">
        <v>785</v>
      </c>
      <c r="B106" s="100" t="s">
        <v>786</v>
      </c>
      <c r="C106" s="100"/>
      <c r="D106" s="84"/>
      <c r="E106" s="84"/>
      <c r="F106" s="98"/>
    </row>
    <row r="107" spans="1:6" s="81" customFormat="1" ht="37.5">
      <c r="A107" s="85">
        <v>1</v>
      </c>
      <c r="B107" s="84" t="s">
        <v>1385</v>
      </c>
      <c r="C107" s="98"/>
      <c r="D107" s="84" t="s">
        <v>1366</v>
      </c>
      <c r="E107" s="84"/>
      <c r="F107" s="98"/>
    </row>
    <row r="108" spans="1:6" s="81" customFormat="1" ht="56.25">
      <c r="A108" s="85">
        <v>3</v>
      </c>
      <c r="B108" s="84" t="s">
        <v>1386</v>
      </c>
      <c r="C108" s="84" t="s">
        <v>1312</v>
      </c>
      <c r="D108" s="84" t="s">
        <v>1366</v>
      </c>
      <c r="E108" s="84"/>
      <c r="F108" s="98"/>
    </row>
    <row r="109" spans="1:6" s="88" customFormat="1" ht="37.5">
      <c r="A109" s="85">
        <v>4</v>
      </c>
      <c r="B109" s="84" t="s">
        <v>1387</v>
      </c>
      <c r="C109" s="84" t="s">
        <v>1312</v>
      </c>
      <c r="D109" s="84" t="s">
        <v>1388</v>
      </c>
      <c r="E109" s="84"/>
      <c r="F109" s="109"/>
    </row>
    <row r="110" spans="1:6" s="88" customFormat="1" ht="58.5" customHeight="1">
      <c r="A110" s="85">
        <v>5</v>
      </c>
      <c r="B110" s="84" t="s">
        <v>1389</v>
      </c>
      <c r="C110" s="84" t="s">
        <v>1312</v>
      </c>
      <c r="D110" s="84" t="s">
        <v>1366</v>
      </c>
      <c r="E110" s="84"/>
      <c r="F110" s="84"/>
    </row>
    <row r="111" spans="1:6" s="88" customFormat="1" ht="79.5" customHeight="1">
      <c r="A111" s="85">
        <v>6</v>
      </c>
      <c r="B111" s="84" t="s">
        <v>1390</v>
      </c>
      <c r="C111" s="84" t="s">
        <v>1312</v>
      </c>
      <c r="D111" s="84" t="s">
        <v>1347</v>
      </c>
      <c r="E111" s="84"/>
      <c r="F111" s="84"/>
    </row>
    <row r="112" spans="1:6" s="88" customFormat="1" ht="19.5">
      <c r="A112" s="85">
        <v>7</v>
      </c>
      <c r="B112" s="111" t="s">
        <v>1391</v>
      </c>
      <c r="C112" s="84" t="s">
        <v>1312</v>
      </c>
      <c r="D112" s="111" t="s">
        <v>1331</v>
      </c>
      <c r="E112" s="112"/>
      <c r="F112" s="84"/>
    </row>
    <row r="113" spans="1:6" s="81" customFormat="1" ht="71.099999999999994" customHeight="1">
      <c r="A113" s="85">
        <v>8</v>
      </c>
      <c r="B113" s="84" t="s">
        <v>1392</v>
      </c>
      <c r="C113" s="84" t="s">
        <v>1312</v>
      </c>
      <c r="D113" s="111" t="s">
        <v>1393</v>
      </c>
      <c r="E113" s="84"/>
      <c r="F113" s="98"/>
    </row>
    <row r="114" spans="1:6" s="88" customFormat="1" ht="56.25">
      <c r="A114" s="85">
        <v>10</v>
      </c>
      <c r="B114" s="84" t="s">
        <v>882</v>
      </c>
      <c r="C114" s="84" t="s">
        <v>1312</v>
      </c>
      <c r="D114" s="111" t="s">
        <v>1394</v>
      </c>
      <c r="E114" s="84"/>
      <c r="F114" s="109"/>
    </row>
    <row r="115" spans="1:6" s="88" customFormat="1" ht="19.5">
      <c r="A115" s="106" t="s">
        <v>928</v>
      </c>
      <c r="B115" s="100" t="s">
        <v>929</v>
      </c>
      <c r="C115" s="100"/>
      <c r="D115" s="84"/>
      <c r="E115" s="84"/>
      <c r="F115" s="84"/>
    </row>
    <row r="116" spans="1:6" s="88" customFormat="1" ht="56.25">
      <c r="A116" s="85">
        <v>1</v>
      </c>
      <c r="B116" s="84" t="s">
        <v>1395</v>
      </c>
      <c r="C116" s="84" t="s">
        <v>1312</v>
      </c>
      <c r="D116" s="84" t="s">
        <v>1396</v>
      </c>
      <c r="E116" s="84"/>
      <c r="F116" s="109"/>
    </row>
    <row r="117" spans="1:6" s="90" customFormat="1" ht="37.5">
      <c r="A117" s="85">
        <v>2</v>
      </c>
      <c r="B117" s="84" t="s">
        <v>1397</v>
      </c>
      <c r="C117" s="84" t="s">
        <v>1312</v>
      </c>
      <c r="D117" s="84" t="s">
        <v>1398</v>
      </c>
      <c r="E117" s="84"/>
      <c r="F117" s="113"/>
    </row>
    <row r="118" spans="1:6" s="81" customFormat="1" ht="37.5">
      <c r="A118" s="85">
        <v>4</v>
      </c>
      <c r="B118" s="84" t="s">
        <v>1399</v>
      </c>
      <c r="C118" s="84" t="s">
        <v>1312</v>
      </c>
      <c r="D118" s="84" t="s">
        <v>1331</v>
      </c>
      <c r="E118" s="84"/>
      <c r="F118" s="98"/>
    </row>
    <row r="119" spans="1:6" s="81" customFormat="1" ht="56.25">
      <c r="A119" s="85">
        <v>5</v>
      </c>
      <c r="B119" s="84" t="s">
        <v>1400</v>
      </c>
      <c r="C119" s="132" t="s">
        <v>1312</v>
      </c>
      <c r="D119" s="84" t="s">
        <v>1401</v>
      </c>
      <c r="E119" s="84"/>
      <c r="F119" s="98"/>
    </row>
    <row r="120" spans="1:6" s="81" customFormat="1" ht="37.5">
      <c r="A120" s="85"/>
      <c r="B120" s="132" t="s">
        <v>1728</v>
      </c>
      <c r="C120" s="132"/>
      <c r="D120" s="132" t="s">
        <v>1758</v>
      </c>
      <c r="E120" s="132"/>
      <c r="F120" s="98"/>
    </row>
    <row r="121" spans="1:6" s="81" customFormat="1">
      <c r="A121" s="106" t="s">
        <v>967</v>
      </c>
      <c r="B121" s="100" t="s">
        <v>968</v>
      </c>
      <c r="C121" s="100"/>
      <c r="D121" s="84"/>
      <c r="E121" s="84"/>
      <c r="F121" s="98"/>
    </row>
    <row r="122" spans="1:6" s="81" customFormat="1" ht="37.5">
      <c r="A122" s="114">
        <v>1</v>
      </c>
      <c r="B122" s="84" t="s">
        <v>1402</v>
      </c>
      <c r="C122" s="84" t="s">
        <v>1312</v>
      </c>
      <c r="D122" s="84" t="s">
        <v>1403</v>
      </c>
      <c r="E122" s="84"/>
      <c r="F122" s="98"/>
    </row>
    <row r="123" spans="1:6" s="81" customFormat="1">
      <c r="A123" s="106" t="s">
        <v>1054</v>
      </c>
      <c r="B123" s="100" t="s">
        <v>1055</v>
      </c>
      <c r="C123" s="100"/>
      <c r="D123" s="84"/>
      <c r="E123" s="84"/>
      <c r="F123" s="98"/>
    </row>
    <row r="124" spans="1:6" s="81" customFormat="1">
      <c r="A124" s="106" t="s">
        <v>1071</v>
      </c>
      <c r="B124" s="100" t="s">
        <v>1072</v>
      </c>
      <c r="C124" s="100"/>
      <c r="D124" s="84"/>
      <c r="E124" s="84"/>
      <c r="F124" s="98"/>
    </row>
    <row r="125" spans="1:6" s="81" customFormat="1" ht="37.5">
      <c r="A125" s="77">
        <v>1</v>
      </c>
      <c r="B125" s="76" t="s">
        <v>1404</v>
      </c>
      <c r="C125" s="76" t="s">
        <v>1308</v>
      </c>
      <c r="D125" s="76" t="s">
        <v>1891</v>
      </c>
      <c r="E125" s="76"/>
      <c r="F125" s="133"/>
    </row>
    <row r="126" spans="1:6" s="81" customFormat="1" ht="37.5">
      <c r="A126" s="77">
        <v>2</v>
      </c>
      <c r="B126" s="76" t="s">
        <v>1404</v>
      </c>
      <c r="C126" s="76" t="s">
        <v>1308</v>
      </c>
      <c r="D126" s="76" t="s">
        <v>1942</v>
      </c>
      <c r="E126" s="76"/>
      <c r="F126" s="133"/>
    </row>
    <row r="127" spans="1:6" s="81" customFormat="1">
      <c r="A127" s="79"/>
    </row>
    <row r="128" spans="1:6" s="81" customFormat="1">
      <c r="A128" s="79"/>
    </row>
    <row r="129" spans="1:5" s="81" customFormat="1">
      <c r="A129" s="79"/>
    </row>
    <row r="130" spans="1:5" s="81" customFormat="1">
      <c r="A130" s="79"/>
    </row>
    <row r="131" spans="1:5" s="81" customFormat="1">
      <c r="A131" s="79"/>
    </row>
    <row r="132" spans="1:5" s="81" customFormat="1">
      <c r="A132" s="79"/>
    </row>
    <row r="133" spans="1:5" s="81" customFormat="1">
      <c r="A133" s="79"/>
    </row>
    <row r="134" spans="1:5" s="81" customFormat="1">
      <c r="A134" s="79"/>
    </row>
    <row r="135" spans="1:5" s="81" customFormat="1">
      <c r="A135" s="79"/>
    </row>
    <row r="136" spans="1:5" s="81" customFormat="1">
      <c r="A136" s="79"/>
    </row>
    <row r="137" spans="1:5" s="81" customFormat="1">
      <c r="A137" s="79"/>
    </row>
    <row r="138" spans="1:5" s="81" customFormat="1">
      <c r="A138" s="79"/>
    </row>
    <row r="139" spans="1:5" s="81" customFormat="1">
      <c r="A139" s="79"/>
    </row>
    <row r="140" spans="1:5" s="91" customFormat="1">
      <c r="A140" s="79"/>
      <c r="B140" s="81"/>
      <c r="C140" s="81"/>
      <c r="D140" s="81"/>
      <c r="E140" s="81"/>
    </row>
    <row r="141" spans="1:5">
      <c r="B141" s="81"/>
      <c r="D141" s="81"/>
      <c r="E141" s="81"/>
    </row>
    <row r="142" spans="1:5">
      <c r="B142" s="81"/>
      <c r="D142" s="81"/>
      <c r="E142" s="81"/>
    </row>
    <row r="143" spans="1:5">
      <c r="B143" s="81"/>
      <c r="D143" s="81"/>
      <c r="E143" s="81"/>
    </row>
    <row r="144" spans="1:5">
      <c r="B144" s="81"/>
      <c r="D144" s="81"/>
      <c r="E144" s="81"/>
    </row>
    <row r="145" spans="1:5">
      <c r="B145" s="81"/>
      <c r="D145" s="81"/>
      <c r="E145" s="81"/>
    </row>
    <row r="146" spans="1:5">
      <c r="B146" s="81"/>
      <c r="D146" s="81"/>
      <c r="E146" s="81"/>
    </row>
    <row r="147" spans="1:5">
      <c r="A147" s="92"/>
      <c r="B147" s="93"/>
      <c r="C147" s="94"/>
      <c r="D147" s="95"/>
      <c r="E147" s="91"/>
    </row>
  </sheetData>
  <mergeCells count="2">
    <mergeCell ref="B9:E9"/>
    <mergeCell ref="A1:F1"/>
  </mergeCells>
  <pageMargins left="0.2" right="0.21"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12-2017</vt:lpstr>
      <vt:lpstr>so sanh</vt:lpstr>
      <vt:lpstr>dv dk</vt:lpstr>
      <vt:lpstr>Sheet1</vt:lpstr>
      <vt:lpstr>'12-2017'!Print_Area</vt:lpstr>
      <vt:lpstr>'dv dk'!Print_Area</vt:lpstr>
      <vt:lpstr>'so sanh'!Print_Area</vt:lpstr>
      <vt:lpstr>'12-2017'!Print_Titles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FPT</dc:creator>
  <cp:lastModifiedBy>WIN7</cp:lastModifiedBy>
  <cp:lastPrinted>2017-12-28T03:10:57Z</cp:lastPrinted>
  <dcterms:created xsi:type="dcterms:W3CDTF">2016-12-14T07:25:16Z</dcterms:created>
  <dcterms:modified xsi:type="dcterms:W3CDTF">2018-01-16T03:45:28Z</dcterms:modified>
</cp:coreProperties>
</file>