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0260" windowHeight="8115" activeTab="1"/>
  </bookViews>
  <sheets>
    <sheet name="Tong hop" sheetId="2" r:id="rId1"/>
    <sheet name="DM 2017 (UBND)" sheetId="1" r:id="rId2"/>
    <sheet name="DM 2017 (SKH)" sheetId="5" state="hidden" r:id="rId3"/>
    <sheet name="DM GD+YT+NTM" sheetId="6" state="hidden" r:id="rId4"/>
    <sheet name="DM bo" sheetId="4" state="hidden" r:id="rId5"/>
    <sheet name="B19.NSDP" sheetId="3" state="hidden" r:id="rId6"/>
  </sheets>
  <externalReferences>
    <externalReference r:id="rId7"/>
    <externalReference r:id="rId8"/>
  </externalReferences>
  <definedNames>
    <definedName name="_____NSO2" localSheetId="5" hidden="1">{"'Sheet1'!$L$16"}</definedName>
    <definedName name="_____NSO2" hidden="1">{"'Sheet1'!$L$16"}</definedName>
    <definedName name="____a1" localSheetId="5" hidden="1">{"'Sheet1'!$L$16"}</definedName>
    <definedName name="____a1" hidden="1">{"'Sheet1'!$L$16"}</definedName>
    <definedName name="____B1" localSheetId="5" hidden="1">{"'Sheet1'!$L$16"}</definedName>
    <definedName name="____B1" hidden="1">{"'Sheet1'!$L$16"}</definedName>
    <definedName name="____ban2" localSheetId="5" hidden="1">{"'Sheet1'!$L$16"}</definedName>
    <definedName name="____ban2" hidden="1">{"'Sheet1'!$L$16"}</definedName>
    <definedName name="____h1" localSheetId="5" hidden="1">{"'Sheet1'!$L$16"}</definedName>
    <definedName name="____h1" hidden="1">{"'Sheet1'!$L$16"}</definedName>
    <definedName name="____hu1" localSheetId="5" hidden="1">{"'Sheet1'!$L$16"}</definedName>
    <definedName name="____hu1" hidden="1">{"'Sheet1'!$L$16"}</definedName>
    <definedName name="____hu2" localSheetId="5" hidden="1">{"'Sheet1'!$L$16"}</definedName>
    <definedName name="____hu2" hidden="1">{"'Sheet1'!$L$16"}</definedName>
    <definedName name="____hu5" localSheetId="5" hidden="1">{"'Sheet1'!$L$16"}</definedName>
    <definedName name="____hu5" hidden="1">{"'Sheet1'!$L$16"}</definedName>
    <definedName name="____hu6" localSheetId="5" hidden="1">{"'Sheet1'!$L$16"}</definedName>
    <definedName name="____hu6" hidden="1">{"'Sheet1'!$L$16"}</definedName>
    <definedName name="____M36" localSheetId="5" hidden="1">{"'Sheet1'!$L$16"}</definedName>
    <definedName name="____M36" hidden="1">{"'Sheet1'!$L$16"}</definedName>
    <definedName name="____NSO2" localSheetId="5" hidden="1">{"'Sheet1'!$L$16"}</definedName>
    <definedName name="____NSO2" hidden="1">{"'Sheet1'!$L$16"}</definedName>
    <definedName name="____PA3" localSheetId="5" hidden="1">{"'Sheet1'!$L$16"}</definedName>
    <definedName name="____PA3" hidden="1">{"'Sheet1'!$L$16"}</definedName>
    <definedName name="____Pl2" localSheetId="5" hidden="1">{"'Sheet1'!$L$16"}</definedName>
    <definedName name="____Pl2" hidden="1">{"'Sheet1'!$L$16"}</definedName>
    <definedName name="____Tru21" localSheetId="5" hidden="1">{"'Sheet1'!$L$16"}</definedName>
    <definedName name="____Tru21" hidden="1">{"'Sheet1'!$L$16"}</definedName>
    <definedName name="___a1" localSheetId="5" hidden="1">{"'Sheet1'!$L$16"}</definedName>
    <definedName name="___a1" hidden="1">{"'Sheet1'!$L$16"}</definedName>
    <definedName name="___B1" localSheetId="5" hidden="1">{"'Sheet1'!$L$16"}</definedName>
    <definedName name="___B1" hidden="1">{"'Sheet1'!$L$16"}</definedName>
    <definedName name="___ban2" localSheetId="5" hidden="1">{"'Sheet1'!$L$16"}</definedName>
    <definedName name="___ban2" hidden="1">{"'Sheet1'!$L$16"}</definedName>
    <definedName name="___h1" localSheetId="5" hidden="1">{"'Sheet1'!$L$16"}</definedName>
    <definedName name="___h1" hidden="1">{"'Sheet1'!$L$16"}</definedName>
    <definedName name="___hu1" localSheetId="5" hidden="1">{"'Sheet1'!$L$16"}</definedName>
    <definedName name="___hu1" hidden="1">{"'Sheet1'!$L$16"}</definedName>
    <definedName name="___hu2" localSheetId="5" hidden="1">{"'Sheet1'!$L$16"}</definedName>
    <definedName name="___hu2" hidden="1">{"'Sheet1'!$L$16"}</definedName>
    <definedName name="___hu5" localSheetId="5" hidden="1">{"'Sheet1'!$L$16"}</definedName>
    <definedName name="___hu5" hidden="1">{"'Sheet1'!$L$16"}</definedName>
    <definedName name="___hu6" localSheetId="5" hidden="1">{"'Sheet1'!$L$16"}</definedName>
    <definedName name="___hu6" hidden="1">{"'Sheet1'!$L$16"}</definedName>
    <definedName name="___M36" localSheetId="5" hidden="1">{"'Sheet1'!$L$16"}</definedName>
    <definedName name="___M36" hidden="1">{"'Sheet1'!$L$16"}</definedName>
    <definedName name="___NSO2" localSheetId="5" hidden="1">{"'Sheet1'!$L$16"}</definedName>
    <definedName name="___NSO2" hidden="1">{"'Sheet1'!$L$16"}</definedName>
    <definedName name="___PA3" localSheetId="5" hidden="1">{"'Sheet1'!$L$16"}</definedName>
    <definedName name="___PA3" hidden="1">{"'Sheet1'!$L$16"}</definedName>
    <definedName name="___Pl2" localSheetId="5" hidden="1">{"'Sheet1'!$L$16"}</definedName>
    <definedName name="___Pl2" hidden="1">{"'Sheet1'!$L$16"}</definedName>
    <definedName name="___Tru21" localSheetId="5" hidden="1">{"'Sheet1'!$L$16"}</definedName>
    <definedName name="___Tru21" hidden="1">{"'Sheet1'!$L$16"}</definedName>
    <definedName name="___vl2" localSheetId="5" hidden="1">{"'Sheet1'!$L$16"}</definedName>
    <definedName name="___vl2" hidden="1">{"'Sheet1'!$L$16"}</definedName>
    <definedName name="__a1" localSheetId="5" hidden="1">{"'Sheet1'!$L$16"}</definedName>
    <definedName name="__a1" hidden="1">{"'Sheet1'!$L$16"}</definedName>
    <definedName name="__B1" localSheetId="5" hidden="1">{"'Sheet1'!$L$16"}</definedName>
    <definedName name="__B1" hidden="1">{"'Sheet1'!$L$16"}</definedName>
    <definedName name="__ban2" localSheetId="5" hidden="1">{"'Sheet1'!$L$16"}</definedName>
    <definedName name="__ban2" hidden="1">{"'Sheet1'!$L$16"}</definedName>
    <definedName name="__h1" localSheetId="5" hidden="1">{"'Sheet1'!$L$16"}</definedName>
    <definedName name="__h1" hidden="1">{"'Sheet1'!$L$16"}</definedName>
    <definedName name="__hu1" localSheetId="5" hidden="1">{"'Sheet1'!$L$16"}</definedName>
    <definedName name="__hu1" hidden="1">{"'Sheet1'!$L$16"}</definedName>
    <definedName name="__hu2" localSheetId="5" hidden="1">{"'Sheet1'!$L$16"}</definedName>
    <definedName name="__hu2" hidden="1">{"'Sheet1'!$L$16"}</definedName>
    <definedName name="__hu5" localSheetId="5" hidden="1">{"'Sheet1'!$L$16"}</definedName>
    <definedName name="__hu5" hidden="1">{"'Sheet1'!$L$16"}</definedName>
    <definedName name="__hu6" localSheetId="5" hidden="1">{"'Sheet1'!$L$16"}</definedName>
    <definedName name="__hu6" hidden="1">{"'Sheet1'!$L$16"}</definedName>
    <definedName name="__M36" localSheetId="5" hidden="1">{"'Sheet1'!$L$16"}</definedName>
    <definedName name="__M36" hidden="1">{"'Sheet1'!$L$16"}</definedName>
    <definedName name="__NSO2" localSheetId="5" hidden="1">{"'Sheet1'!$L$16"}</definedName>
    <definedName name="__NSO2" hidden="1">{"'Sheet1'!$L$16"}</definedName>
    <definedName name="__PA3" localSheetId="5" hidden="1">{"'Sheet1'!$L$16"}</definedName>
    <definedName name="__PA3" hidden="1">{"'Sheet1'!$L$16"}</definedName>
    <definedName name="__Pl2" localSheetId="5" hidden="1">{"'Sheet1'!$L$16"}</definedName>
    <definedName name="__Pl2" hidden="1">{"'Sheet1'!$L$16"}</definedName>
    <definedName name="__Tru21" localSheetId="5" hidden="1">{"'Sheet1'!$L$16"}</definedName>
    <definedName name="__Tru21" hidden="1">{"'Sheet1'!$L$16"}</definedName>
    <definedName name="__vl2" localSheetId="5" hidden="1">{"'Sheet1'!$L$16"}</definedName>
    <definedName name="__vl2" hidden="1">{"'Sheet1'!$L$16"}</definedName>
    <definedName name="_a1" localSheetId="5" hidden="1">{"'Sheet1'!$L$16"}</definedName>
    <definedName name="_a1" hidden="1">{"'Sheet1'!$L$16"}</definedName>
    <definedName name="_B1" localSheetId="5" hidden="1">{"'Sheet1'!$L$16"}</definedName>
    <definedName name="_B1" hidden="1">{"'Sheet1'!$L$16"}</definedName>
    <definedName name="_ban2" localSheetId="5" hidden="1">{"'Sheet1'!$L$16"}</definedName>
    <definedName name="_ban2" hidden="1">{"'Sheet1'!$L$16"}</definedName>
    <definedName name="_Fill" localSheetId="2" hidden="1">#REF!</definedName>
    <definedName name="_Fill" localSheetId="1" hidden="1">#REF!</definedName>
    <definedName name="_Fill" localSheetId="3" hidden="1">#REF!</definedName>
    <definedName name="_Fill" hidden="1">#REF!</definedName>
    <definedName name="_xlnm._FilterDatabase" localSheetId="5" hidden="1">B19.NSDP!$A$11:$W$597</definedName>
    <definedName name="_xlnm._FilterDatabase" localSheetId="2" hidden="1">'DM 2017 (SKH)'!$A$11:$X$427</definedName>
    <definedName name="_xlnm._FilterDatabase" localSheetId="1" hidden="1">'DM 2017 (UBND)'!$A$11:$X$417</definedName>
    <definedName name="_xlnm._FilterDatabase" localSheetId="3" hidden="1">'DM GD+YT+NTM'!$A$11:$X$181</definedName>
    <definedName name="_xlnm._FilterDatabase" hidden="1">#REF!</definedName>
    <definedName name="_gon4" localSheetId="5">#REF!</definedName>
    <definedName name="_h1" localSheetId="5" hidden="1">{"'Sheet1'!$L$16"}</definedName>
    <definedName name="_h1" hidden="1">{"'Sheet1'!$L$16"}</definedName>
    <definedName name="_hu1" localSheetId="5" hidden="1">{"'Sheet1'!$L$16"}</definedName>
    <definedName name="_hu1" hidden="1">{"'Sheet1'!$L$16"}</definedName>
    <definedName name="_hu2" localSheetId="5" hidden="1">{"'Sheet1'!$L$16"}</definedName>
    <definedName name="_hu2" hidden="1">{"'Sheet1'!$L$16"}</definedName>
    <definedName name="_hu5" localSheetId="5" hidden="1">{"'Sheet1'!$L$16"}</definedName>
    <definedName name="_hu5" hidden="1">{"'Sheet1'!$L$16"}</definedName>
    <definedName name="_hu6" localSheetId="5" hidden="1">{"'Sheet1'!$L$16"}</definedName>
    <definedName name="_hu6" hidden="1">{"'Sheet1'!$L$16"}</definedName>
    <definedName name="_Key1" localSheetId="5" hidden="1">#REF!</definedName>
    <definedName name="_Key1" localSheetId="2" hidden="1">#REF!</definedName>
    <definedName name="_Key1" localSheetId="1" hidden="1">#REF!</definedName>
    <definedName name="_Key1" localSheetId="3" hidden="1">#REF!</definedName>
    <definedName name="_Key1" hidden="1">#REF!</definedName>
    <definedName name="_Key2" localSheetId="5" hidden="1">#REF!</definedName>
    <definedName name="_Key2" localSheetId="2" hidden="1">#REF!</definedName>
    <definedName name="_Key2" localSheetId="1" hidden="1">#REF!</definedName>
    <definedName name="_Key2" localSheetId="3" hidden="1">#REF!</definedName>
    <definedName name="_Key2" hidden="1">#REF!</definedName>
    <definedName name="_M36" localSheetId="5" hidden="1">{"'Sheet1'!$L$16"}</definedName>
    <definedName name="_M36" hidden="1">{"'Sheet1'!$L$16"}</definedName>
    <definedName name="_NSO2" localSheetId="5" hidden="1">{"'Sheet1'!$L$16"}</definedName>
    <definedName name="_NSO2" hidden="1">{"'Sheet1'!$L$16"}</definedName>
    <definedName name="_Order1" hidden="1">255</definedName>
    <definedName name="_Order2" hidden="1">255</definedName>
    <definedName name="_PA3" localSheetId="5" hidden="1">{"'Sheet1'!$L$16"}</definedName>
    <definedName name="_PA3" hidden="1">{"'Sheet1'!$L$16"}</definedName>
    <definedName name="_Parse_Out" localSheetId="2" hidden="1">[1]Quantity!#REF!</definedName>
    <definedName name="_Parse_Out" localSheetId="1" hidden="1">[1]Quantity!#REF!</definedName>
    <definedName name="_Parse_Out" localSheetId="3" hidden="1">[1]Quantity!#REF!</definedName>
    <definedName name="_Parse_Out" hidden="1">[1]Quantity!#REF!</definedName>
    <definedName name="_phi10" localSheetId="5">#REF!</definedName>
    <definedName name="_Pl2" localSheetId="5" hidden="1">{"'Sheet1'!$L$16"}</definedName>
    <definedName name="_Pl2" hidden="1">{"'Sheet1'!$L$16"}</definedName>
    <definedName name="_Sort" localSheetId="2" hidden="1">#REF!</definedName>
    <definedName name="_Sort" localSheetId="1" hidden="1">#REF!</definedName>
    <definedName name="_Sort" localSheetId="3" hidden="1">#REF!</definedName>
    <definedName name="_Sort" hidden="1">#REF!</definedName>
    <definedName name="_Tru21" localSheetId="5" hidden="1">{"'Sheet1'!$L$16"}</definedName>
    <definedName name="_Tru21" hidden="1">{"'Sheet1'!$L$16"}</definedName>
    <definedName name="_vl2" localSheetId="5" hidden="1">{"'Sheet1'!$L$16"}</definedName>
    <definedName name="_vl2" hidden="1">{"'Sheet1'!$L$16"}</definedName>
    <definedName name="a" localSheetId="5" hidden="1">{"'Sheet1'!$L$16"}</definedName>
    <definedName name="a" hidden="1">{"'Sheet1'!$L$16"}</definedName>
    <definedName name="anscount" hidden="1">3</definedName>
    <definedName name="ATGT" localSheetId="5" hidden="1">{"'Sheet1'!$L$16"}</definedName>
    <definedName name="ATGT" hidden="1">{"'Sheet1'!$L$16"}</definedName>
    <definedName name="chitietbgiang2" localSheetId="5" hidden="1">{"'Sheet1'!$L$16"}</definedName>
    <definedName name="chitietbgiang2" hidden="1">{"'Sheet1'!$L$16"}</definedName>
    <definedName name="CoCauN" localSheetId="5" hidden="1">{"'Sheet1'!$L$16"}</definedName>
    <definedName name="CoCauN" hidden="1">{"'Sheet1'!$L$16"}</definedName>
    <definedName name="CTCT1" localSheetId="5" hidden="1">{"'Sheet1'!$L$16"}</definedName>
    <definedName name="CTCT1" hidden="1">{"'Sheet1'!$L$16"}</definedName>
    <definedName name="Document_array" localSheetId="5">{"Thuxm2.xls","Sheet1"}</definedName>
    <definedName name="ds" localSheetId="5" hidden="1">{#N/A,#N/A,FALSE,"Chi tiÆt"}</definedName>
    <definedName name="ds" hidden="1">{#N/A,#N/A,FALSE,"Chi tiÆt"}</definedName>
    <definedName name="DWPRICE" localSheetId="2" hidden="1">[2]Quantity!#REF!</definedName>
    <definedName name="DWPRICE" localSheetId="1" hidden="1">[2]Quantity!#REF!</definedName>
    <definedName name="DWPRICE" localSheetId="3" hidden="1">[2]Quantity!#REF!</definedName>
    <definedName name="DWPRICE" hidden="1">[2]Quantity!#REF!</definedName>
    <definedName name="emb" localSheetId="5">#REF!</definedName>
    <definedName name="g" localSheetId="5" hidden="1">{"'Sheet1'!$L$16"}</definedName>
    <definedName name="g" hidden="1">{"'Sheet1'!$L$16"}</definedName>
    <definedName name="hsd" localSheetId="5">#REF!</definedName>
    <definedName name="htlm" localSheetId="5" hidden="1">{"'Sheet1'!$L$16"}</definedName>
    <definedName name="htlm" hidden="1">{"'Sheet1'!$L$16"}</definedName>
    <definedName name="HTML_CodePage" hidden="1">950</definedName>
    <definedName name="HTML_Control" localSheetId="5"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5">#REF!</definedName>
    <definedName name="hu" localSheetId="5" hidden="1">{"'Sheet1'!$L$16"}</definedName>
    <definedName name="hu" hidden="1">{"'Sheet1'!$L$16"}</definedName>
    <definedName name="HUU" localSheetId="5" hidden="1">{"'Sheet1'!$L$16"}</definedName>
    <definedName name="HUU" hidden="1">{"'Sheet1'!$L$16"}</definedName>
    <definedName name="huy" localSheetId="5" hidden="1">{"'Sheet1'!$L$16"}</definedName>
    <definedName name="huy" hidden="1">{"'Sheet1'!$L$16"}</definedName>
    <definedName name="khongtruotgia" localSheetId="5" hidden="1">{"'Sheet1'!$L$16"}</definedName>
    <definedName name="khongtruotgia" hidden="1">{"'Sheet1'!$L$16"}</definedName>
    <definedName name="ksbn" localSheetId="5" hidden="1">{"'Sheet1'!$L$16"}</definedName>
    <definedName name="ksbn" hidden="1">{"'Sheet1'!$L$16"}</definedName>
    <definedName name="kshn" localSheetId="5" hidden="1">{"'Sheet1'!$L$16"}</definedName>
    <definedName name="kshn" hidden="1">{"'Sheet1'!$L$16"}</definedName>
    <definedName name="ksls" localSheetId="5" hidden="1">{"'Sheet1'!$L$16"}</definedName>
    <definedName name="ksls" hidden="1">{"'Sheet1'!$L$16"}</definedName>
    <definedName name="lan" localSheetId="5">#REF!</definedName>
    <definedName name="langson" localSheetId="5" hidden="1">{"'Sheet1'!$L$16"}</definedName>
    <definedName name="langson" hidden="1">{"'Sheet1'!$L$16"}</definedName>
    <definedName name="m" localSheetId="5" hidden="1">{"'Sheet1'!$L$16"}</definedName>
    <definedName name="m" hidden="1">{"'Sheet1'!$L$16"}</definedName>
    <definedName name="mo" localSheetId="5" hidden="1">{"'Sheet1'!$L$16"}</definedName>
    <definedName name="mo" hidden="1">{"'Sheet1'!$L$16"}</definedName>
    <definedName name="moi" localSheetId="5" hidden="1">{"'Sheet1'!$L$16"}</definedName>
    <definedName name="moi" hidden="1">{"'Sheet1'!$L$16"}</definedName>
    <definedName name="PAIII_" localSheetId="5" hidden="1">{"'Sheet1'!$L$16"}</definedName>
    <definedName name="PAIII_" hidden="1">{"'Sheet1'!$L$16"}</definedName>
    <definedName name="PMS" localSheetId="5" hidden="1">{"'Sheet1'!$L$16"}</definedName>
    <definedName name="PMS" hidden="1">{"'Sheet1'!$L$16"}</definedName>
    <definedName name="_xlnm.Print_Area" localSheetId="5">B19.NSDP!$A$1:$W$600</definedName>
    <definedName name="_xlnm.Print_Area" localSheetId="2">'DM 2017 (SKH)'!$A$1:$X$427</definedName>
    <definedName name="_xlnm.Print_Area" localSheetId="1">'DM 2017 (UBND)'!$A$1:$X$417</definedName>
    <definedName name="_xlnm.Print_Area" localSheetId="3">'DM GD+YT+NTM'!$A$1:$X$181</definedName>
    <definedName name="_xlnm.Print_Area" localSheetId="0">'Tong hop'!$A$1:$I$40</definedName>
    <definedName name="_xlnm.Print_Titles" localSheetId="5">B19.NSDP!$A:$W,B19.NSDP!$6:$11</definedName>
    <definedName name="_xlnm.Print_Titles" localSheetId="2">'DM 2017 (SKH)'!$A:$X,'DM 2017 (SKH)'!$6:$12</definedName>
    <definedName name="_xlnm.Print_Titles" localSheetId="1">'DM 2017 (UBND)'!$A:$X,'DM 2017 (UBND)'!$6:$12</definedName>
    <definedName name="_xlnm.Print_Titles" localSheetId="3">'DM GD+YT+NTM'!$A:$X,'DM GD+YT+NTM'!$6:$12</definedName>
    <definedName name="Print_Titles_MI" localSheetId="5">#REF!</definedName>
    <definedName name="_xlnm.Recorder" localSheetId="5">#REF!</definedName>
    <definedName name="tha" localSheetId="5" hidden="1">{"'Sheet1'!$L$16"}</definedName>
    <definedName name="tha" hidden="1">{"'Sheet1'!$L$16"}</definedName>
    <definedName name="ttttt" localSheetId="5" hidden="1">{"'Sheet1'!$L$16"}</definedName>
    <definedName name="ttttt" hidden="1">{"'Sheet1'!$L$16"}</definedName>
    <definedName name="TTTTTTTTT" localSheetId="5" hidden="1">{"'Sheet1'!$L$16"}</definedName>
    <definedName name="TTTTTTTTT" hidden="1">{"'Sheet1'!$L$16"}</definedName>
    <definedName name="ttttttttttt" localSheetId="5" hidden="1">{"'Sheet1'!$L$16"}</definedName>
    <definedName name="ttttttttttt" hidden="1">{"'Sheet1'!$L$16"}</definedName>
    <definedName name="tuyennhanh" localSheetId="5" hidden="1">{"'Sheet1'!$L$16"}</definedName>
    <definedName name="tuyennhanh" hidden="1">{"'Sheet1'!$L$16"}</definedName>
    <definedName name="u" localSheetId="5" hidden="1">{"'Sheet1'!$L$16"}</definedName>
    <definedName name="u" hidden="1">{"'Sheet1'!$L$16"}</definedName>
    <definedName name="ư" localSheetId="5" hidden="1">{"'Sheet1'!$L$16"}</definedName>
    <definedName name="ư" hidden="1">{"'Sheet1'!$L$16"}</definedName>
    <definedName name="v" localSheetId="5" hidden="1">{"'Sheet1'!$L$16"}</definedName>
    <definedName name="v" hidden="1">{"'Sheet1'!$L$16"}</definedName>
    <definedName name="vcoto" localSheetId="5" hidden="1">{"'Sheet1'!$L$16"}</definedName>
    <definedName name="vcoto" hidden="1">{"'Sheet1'!$L$16"}</definedName>
    <definedName name="Viet" localSheetId="5" hidden="1">{"'Sheet1'!$L$16"}</definedName>
    <definedName name="Viet" hidden="1">{"'Sheet1'!$L$16"}</definedName>
    <definedName name="wrn.aaa." localSheetId="5" hidden="1">{#N/A,#N/A,FALSE,"Sheet1";#N/A,#N/A,FALSE,"Sheet1";#N/A,#N/A,FALSE,"Sheet1"}</definedName>
    <definedName name="wrn.aaa." hidden="1">{#N/A,#N/A,FALSE,"Sheet1";#N/A,#N/A,FALSE,"Sheet1";#N/A,#N/A,FALSE,"Sheet1"}</definedName>
    <definedName name="wrn.chi._.tiÆt." localSheetId="5" hidden="1">{#N/A,#N/A,FALSE,"Chi tiÆt"}</definedName>
    <definedName name="wrn.chi._.tiÆt." hidden="1">{#N/A,#N/A,FALSE,"Chi tiÆt"}</definedName>
    <definedName name="wrn.cong." localSheetId="5" hidden="1">{#N/A,#N/A,FALSE,"Sheet1"}</definedName>
    <definedName name="wrn.cong." hidden="1">{#N/A,#N/A,FALSE,"Sheet1"}</definedName>
    <definedName name="wrn.vd." localSheetId="5" hidden="1">{#N/A,#N/A,TRUE,"BT M200 da 10x20"}</definedName>
    <definedName name="wrn.vd." hidden="1">{#N/A,#N/A,TRUE,"BT M200 da 10x20"}</definedName>
    <definedName name="x1pind" localSheetId="5">#REF!</definedName>
    <definedName name="xls" localSheetId="5" hidden="1">{"'Sheet1'!$L$16"}</definedName>
    <definedName name="xls" hidden="1">{"'Sheet1'!$L$16"}</definedName>
    <definedName name="xlttbninh" localSheetId="5" hidden="1">{"'Sheet1'!$L$16"}</definedName>
    <definedName name="xlttbninh" hidden="1">{"'Sheet1'!$L$16"}</definedName>
  </definedNames>
  <calcPr calcId="145621"/>
</workbook>
</file>

<file path=xl/calcChain.xml><?xml version="1.0" encoding="utf-8"?>
<calcChain xmlns="http://schemas.openxmlformats.org/spreadsheetml/2006/main">
  <c r="V56" i="1" l="1"/>
  <c r="U56" i="1"/>
  <c r="S56" i="1"/>
  <c r="R56" i="1"/>
  <c r="P56" i="1"/>
  <c r="O56" i="1"/>
  <c r="M56" i="1"/>
  <c r="L56" i="1"/>
  <c r="K56" i="1"/>
  <c r="H56" i="1"/>
  <c r="G56" i="1"/>
  <c r="Y56" i="1"/>
  <c r="U156" i="6" l="1"/>
  <c r="T152" i="6"/>
  <c r="T151" i="6"/>
  <c r="T150" i="6"/>
  <c r="T149" i="6"/>
  <c r="T148" i="6"/>
  <c r="T147" i="6"/>
  <c r="T146" i="6"/>
  <c r="T145" i="6"/>
  <c r="T144" i="6"/>
  <c r="V143" i="6"/>
  <c r="U143" i="6"/>
  <c r="T143" i="6" l="1"/>
  <c r="U337" i="1" l="1"/>
  <c r="AA337" i="1"/>
  <c r="T282" i="1" l="1"/>
  <c r="T281" i="1"/>
  <c r="T280" i="1"/>
  <c r="T279" i="1"/>
  <c r="T278" i="1"/>
  <c r="T277" i="1"/>
  <c r="T276" i="1"/>
  <c r="T275" i="1"/>
  <c r="T274" i="1"/>
  <c r="V273" i="1"/>
  <c r="U273" i="1"/>
  <c r="T273" i="1" l="1"/>
  <c r="AE385" i="1"/>
  <c r="T385" i="1"/>
  <c r="AE386" i="1"/>
  <c r="T386" i="1"/>
  <c r="Z416" i="1"/>
  <c r="Z415" i="1"/>
  <c r="Z413" i="1"/>
  <c r="Z412" i="1"/>
  <c r="Z411" i="1"/>
  <c r="Z410" i="1" s="1"/>
  <c r="AB410" i="1"/>
  <c r="Z409" i="1"/>
  <c r="Z408" i="1"/>
  <c r="AB407" i="1"/>
  <c r="AA407" i="1"/>
  <c r="Z406" i="1"/>
  <c r="Z405" i="1"/>
  <c r="Z404" i="1"/>
  <c r="Z403" i="1"/>
  <c r="AB402" i="1"/>
  <c r="AA402" i="1"/>
  <c r="Z400" i="1"/>
  <c r="Z399" i="1" s="1"/>
  <c r="AB399" i="1"/>
  <c r="AA399" i="1"/>
  <c r="Z396" i="1"/>
  <c r="Z395" i="1"/>
  <c r="Z394" i="1"/>
  <c r="Z393" i="1"/>
  <c r="Z392" i="1"/>
  <c r="Z391" i="1"/>
  <c r="Z390" i="1"/>
  <c r="Z389" i="1"/>
  <c r="Z388" i="1"/>
  <c r="Z387" i="1"/>
  <c r="Z384" i="1"/>
  <c r="Z383" i="1"/>
  <c r="Z382" i="1"/>
  <c r="Z381" i="1"/>
  <c r="Z380" i="1"/>
  <c r="AB379" i="1"/>
  <c r="AA379" i="1"/>
  <c r="Z378" i="1"/>
  <c r="Z377" i="1"/>
  <c r="Z376" i="1"/>
  <c r="Z375" i="1"/>
  <c r="Z374" i="1"/>
  <c r="Z373" i="1"/>
  <c r="Z372" i="1"/>
  <c r="Z371" i="1"/>
  <c r="Z370" i="1"/>
  <c r="AB369" i="1"/>
  <c r="AA369" i="1"/>
  <c r="Z368" i="1"/>
  <c r="Z367" i="1"/>
  <c r="Z366" i="1"/>
  <c r="Z365" i="1"/>
  <c r="Z364" i="1"/>
  <c r="Z363" i="1"/>
  <c r="Z362" i="1"/>
  <c r="Z361" i="1"/>
  <c r="AB360" i="1"/>
  <c r="AA360" i="1"/>
  <c r="Z358" i="1"/>
  <c r="Z357" i="1"/>
  <c r="Z356" i="1"/>
  <c r="Z355" i="1"/>
  <c r="Z354" i="1"/>
  <c r="AB353" i="1"/>
  <c r="AA353" i="1"/>
  <c r="Z353" i="1"/>
  <c r="Z351" i="1"/>
  <c r="AB350" i="1"/>
  <c r="Z350" i="1"/>
  <c r="Z348" i="1"/>
  <c r="Z347" i="1" s="1"/>
  <c r="AB347" i="1"/>
  <c r="AB342" i="1"/>
  <c r="Z342" i="1"/>
  <c r="Z341" i="1"/>
  <c r="AB340" i="1"/>
  <c r="Z340" i="1"/>
  <c r="Z339" i="1"/>
  <c r="Z338" i="1" s="1"/>
  <c r="Z337" i="1" s="1"/>
  <c r="AB338" i="1"/>
  <c r="Z336" i="1"/>
  <c r="Z335" i="1"/>
  <c r="Z334" i="1"/>
  <c r="AB333" i="1"/>
  <c r="AA333" i="1"/>
  <c r="Z332" i="1"/>
  <c r="AB331" i="1"/>
  <c r="AA331" i="1"/>
  <c r="AA329" i="1"/>
  <c r="Z329" i="1"/>
  <c r="Z328" i="1"/>
  <c r="Z327" i="1"/>
  <c r="AB326" i="1"/>
  <c r="AA326" i="1"/>
  <c r="Z324" i="1"/>
  <c r="Z323" i="1"/>
  <c r="Z322" i="1"/>
  <c r="Z321" i="1"/>
  <c r="Z320" i="1"/>
  <c r="Z319" i="1"/>
  <c r="Z318" i="1"/>
  <c r="Z316" i="1"/>
  <c r="Z315" i="1"/>
  <c r="Z314" i="1"/>
  <c r="AB313" i="1"/>
  <c r="AA313" i="1"/>
  <c r="Z311" i="1"/>
  <c r="Z310" i="1"/>
  <c r="Z309" i="1"/>
  <c r="Z308" i="1"/>
  <c r="Z307" i="1"/>
  <c r="Z306" i="1"/>
  <c r="AB305" i="1"/>
  <c r="AA305" i="1"/>
  <c r="Z303" i="1"/>
  <c r="Z302" i="1"/>
  <c r="Z301" i="1"/>
  <c r="Z300" i="1"/>
  <c r="Z299" i="1"/>
  <c r="Z298" i="1"/>
  <c r="Z297" i="1"/>
  <c r="Z296" i="1"/>
  <c r="Z295" i="1"/>
  <c r="AB294" i="1"/>
  <c r="AA294" i="1"/>
  <c r="Z293" i="1"/>
  <c r="Z292" i="1"/>
  <c r="Z291" i="1"/>
  <c r="Z290" i="1"/>
  <c r="Z289" i="1"/>
  <c r="AB288" i="1"/>
  <c r="AA288" i="1"/>
  <c r="AA287" i="1" s="1"/>
  <c r="Z286" i="1"/>
  <c r="Z285" i="1"/>
  <c r="AB284" i="1"/>
  <c r="AA284" i="1"/>
  <c r="Z282" i="1"/>
  <c r="Z281" i="1"/>
  <c r="Z280" i="1"/>
  <c r="Z279" i="1"/>
  <c r="Z278" i="1"/>
  <c r="Z277" i="1"/>
  <c r="Z276" i="1"/>
  <c r="Z275" i="1"/>
  <c r="Z274" i="1"/>
  <c r="AA273" i="1"/>
  <c r="Z272" i="1"/>
  <c r="Z271" i="1"/>
  <c r="Z270" i="1"/>
  <c r="Z269" i="1"/>
  <c r="Z268" i="1"/>
  <c r="Z267" i="1"/>
  <c r="Z266" i="1"/>
  <c r="AA265" i="1"/>
  <c r="Z264" i="1"/>
  <c r="Z263" i="1"/>
  <c r="Z262" i="1"/>
  <c r="Z261" i="1"/>
  <c r="Z260" i="1"/>
  <c r="Z259" i="1"/>
  <c r="AB258" i="1"/>
  <c r="AA258" i="1"/>
  <c r="Z257" i="1"/>
  <c r="Z256" i="1" s="1"/>
  <c r="Z16" i="1" s="1"/>
  <c r="AB256" i="1"/>
  <c r="AA256" i="1"/>
  <c r="Z254" i="1"/>
  <c r="Z253" i="1"/>
  <c r="AB252" i="1"/>
  <c r="AA252" i="1"/>
  <c r="Z250" i="1"/>
  <c r="Z249" i="1" s="1"/>
  <c r="AB249" i="1"/>
  <c r="AA249" i="1"/>
  <c r="Z248" i="1"/>
  <c r="Z247" i="1"/>
  <c r="Z246" i="1"/>
  <c r="Z245" i="1"/>
  <c r="AB244" i="1"/>
  <c r="AA244" i="1"/>
  <c r="AB243" i="1"/>
  <c r="AB240" i="1" s="1"/>
  <c r="Z242" i="1"/>
  <c r="Z241" i="1" s="1"/>
  <c r="AB241" i="1"/>
  <c r="AA241" i="1"/>
  <c r="Z239" i="1"/>
  <c r="Z238" i="1"/>
  <c r="Z237" i="1"/>
  <c r="Z236" i="1"/>
  <c r="Z235" i="1"/>
  <c r="Z234" i="1"/>
  <c r="Z233" i="1"/>
  <c r="Z232" i="1"/>
  <c r="Z231" i="1"/>
  <c r="Z230" i="1"/>
  <c r="Z229" i="1"/>
  <c r="Z228" i="1"/>
  <c r="Z227" i="1"/>
  <c r="Z226" i="1"/>
  <c r="Z225" i="1"/>
  <c r="Z224" i="1"/>
  <c r="Z223" i="1"/>
  <c r="Z222" i="1"/>
  <c r="Z221" i="1"/>
  <c r="Z220" i="1"/>
  <c r="Z219" i="1"/>
  <c r="Z218" i="1"/>
  <c r="Z217" i="1"/>
  <c r="Z216" i="1"/>
  <c r="Z215" i="1"/>
  <c r="Z214" i="1"/>
  <c r="AB213" i="1"/>
  <c r="AA213" i="1"/>
  <c r="Z212" i="1"/>
  <c r="Z211" i="1"/>
  <c r="Z210" i="1"/>
  <c r="Z209" i="1"/>
  <c r="Z208" i="1"/>
  <c r="Z207" i="1"/>
  <c r="AB206" i="1"/>
  <c r="AA206" i="1"/>
  <c r="Z205" i="1"/>
  <c r="Z204" i="1"/>
  <c r="Z203" i="1"/>
  <c r="Z202" i="1"/>
  <c r="Z201" i="1"/>
  <c r="Z200" i="1"/>
  <c r="Z199" i="1"/>
  <c r="Z198" i="1"/>
  <c r="AB197" i="1"/>
  <c r="AA197" i="1"/>
  <c r="AB196" i="1"/>
  <c r="Z195" i="1"/>
  <c r="Z194" i="1"/>
  <c r="Z193" i="1"/>
  <c r="Z192" i="1"/>
  <c r="Z191" i="1"/>
  <c r="Z190" i="1"/>
  <c r="Z189" i="1"/>
  <c r="Z188" i="1"/>
  <c r="Z187" i="1"/>
  <c r="Z186" i="1"/>
  <c r="Z185" i="1"/>
  <c r="Z184" i="1"/>
  <c r="Z183" i="1"/>
  <c r="Z182" i="1"/>
  <c r="Z181" i="1"/>
  <c r="Z180" i="1"/>
  <c r="Z179" i="1" s="1"/>
  <c r="AB179" i="1"/>
  <c r="AA179" i="1"/>
  <c r="Z177" i="1"/>
  <c r="Z176" i="1"/>
  <c r="Z174" i="1"/>
  <c r="Z173" i="1"/>
  <c r="AB172" i="1"/>
  <c r="AA172" i="1"/>
  <c r="Z171" i="1"/>
  <c r="Z170" i="1"/>
  <c r="Z169" i="1"/>
  <c r="Z168" i="1"/>
  <c r="Z167" i="1"/>
  <c r="Z166" i="1"/>
  <c r="Z164" i="1"/>
  <c r="Z163" i="1"/>
  <c r="AB162" i="1"/>
  <c r="AA162" i="1"/>
  <c r="Z161" i="1"/>
  <c r="Z160" i="1" s="1"/>
  <c r="AB160" i="1"/>
  <c r="AA160" i="1"/>
  <c r="Z158" i="1"/>
  <c r="Z157" i="1"/>
  <c r="Z156" i="1"/>
  <c r="Z155" i="1"/>
  <c r="Z154" i="1"/>
  <c r="Z153" i="1"/>
  <c r="Z152" i="1"/>
  <c r="Z151" i="1"/>
  <c r="AB150" i="1"/>
  <c r="AA150" i="1"/>
  <c r="Z147" i="1"/>
  <c r="Z146" i="1"/>
  <c r="Z145" i="1"/>
  <c r="AA144" i="1"/>
  <c r="Z144" i="1" s="1"/>
  <c r="Z143" i="1"/>
  <c r="Z142" i="1"/>
  <c r="Z141" i="1"/>
  <c r="Z140" i="1"/>
  <c r="Z139" i="1"/>
  <c r="Z138" i="1"/>
  <c r="AB137" i="1"/>
  <c r="Z136" i="1"/>
  <c r="Z135" i="1"/>
  <c r="Z134" i="1"/>
  <c r="AB133" i="1"/>
  <c r="AB132" i="1" s="1"/>
  <c r="AA133" i="1"/>
  <c r="Z131" i="1"/>
  <c r="Z130" i="1"/>
  <c r="Z129" i="1"/>
  <c r="AB128" i="1"/>
  <c r="AA128" i="1"/>
  <c r="Z126" i="1"/>
  <c r="Z125" i="1" s="1"/>
  <c r="AB125" i="1"/>
  <c r="AA125" i="1"/>
  <c r="Z124" i="1"/>
  <c r="Z123" i="1"/>
  <c r="AB122" i="1"/>
  <c r="AA122" i="1"/>
  <c r="Z121" i="1"/>
  <c r="Z120" i="1" s="1"/>
  <c r="AB120" i="1"/>
  <c r="AA120" i="1"/>
  <c r="AA119" i="1" s="1"/>
  <c r="AA118" i="1" s="1"/>
  <c r="Z117" i="1"/>
  <c r="Z116" i="1"/>
  <c r="Z115" i="1"/>
  <c r="AB114" i="1"/>
  <c r="AB111" i="1" s="1"/>
  <c r="AA114" i="1"/>
  <c r="Z113" i="1"/>
  <c r="Z112" i="1" s="1"/>
  <c r="AB112" i="1"/>
  <c r="AA112" i="1"/>
  <c r="AB109" i="1"/>
  <c r="AA109" i="1"/>
  <c r="Z109" i="1"/>
  <c r="Z107" i="1"/>
  <c r="Z106" i="1"/>
  <c r="Z105" i="1"/>
  <c r="Z104" i="1"/>
  <c r="Z103" i="1"/>
  <c r="Z102" i="1"/>
  <c r="Z101" i="1"/>
  <c r="Z100" i="1"/>
  <c r="Z99" i="1"/>
  <c r="Z98" i="1"/>
  <c r="AB97" i="1"/>
  <c r="AA97" i="1"/>
  <c r="Z96" i="1"/>
  <c r="Z95" i="1"/>
  <c r="Z94" i="1"/>
  <c r="Z93" i="1"/>
  <c r="Z92" i="1"/>
  <c r="Z91" i="1"/>
  <c r="Z90" i="1"/>
  <c r="Z89" i="1"/>
  <c r="AB88" i="1"/>
  <c r="AB85" i="1" s="1"/>
  <c r="AA88" i="1"/>
  <c r="Z87" i="1"/>
  <c r="Z86" i="1"/>
  <c r="AA85" i="1"/>
  <c r="Z84" i="1"/>
  <c r="Z83" i="1"/>
  <c r="Z82" i="1"/>
  <c r="Z81" i="1"/>
  <c r="Z80" i="1"/>
  <c r="Z79" i="1"/>
  <c r="Z78" i="1"/>
  <c r="AB77" i="1"/>
  <c r="AA77" i="1"/>
  <c r="Z75" i="1"/>
  <c r="Z74" i="1"/>
  <c r="Z73" i="1"/>
  <c r="Z72" i="1"/>
  <c r="AB71" i="1"/>
  <c r="AA71" i="1"/>
  <c r="Z69" i="1"/>
  <c r="Z67" i="1" s="1"/>
  <c r="AB67" i="1"/>
  <c r="AA67" i="1"/>
  <c r="Z66" i="1"/>
  <c r="Z65" i="1" s="1"/>
  <c r="AB65" i="1"/>
  <c r="AB64" i="1" s="1"/>
  <c r="AA65" i="1"/>
  <c r="AA64" i="1" s="1"/>
  <c r="AA62" i="1" s="1"/>
  <c r="Z60" i="1"/>
  <c r="Z59" i="1"/>
  <c r="Z58" i="1"/>
  <c r="Z57" i="1"/>
  <c r="Z56" i="1" s="1"/>
  <c r="AB56" i="1"/>
  <c r="AA56" i="1"/>
  <c r="Z55" i="1"/>
  <c r="Z54" i="1" s="1"/>
  <c r="AB54" i="1"/>
  <c r="AA54" i="1"/>
  <c r="AB53" i="1"/>
  <c r="AB52" i="1" s="1"/>
  <c r="Z51" i="1"/>
  <c r="Z50" i="1" s="1"/>
  <c r="AB50" i="1"/>
  <c r="AA50" i="1"/>
  <c r="AA46" i="1" s="1"/>
  <c r="Z49" i="1"/>
  <c r="Z48" i="1"/>
  <c r="AB47" i="1"/>
  <c r="Z47" i="1"/>
  <c r="AB46" i="1"/>
  <c r="Z45" i="1"/>
  <c r="AB44" i="1"/>
  <c r="AA44" i="1"/>
  <c r="Z44" i="1"/>
  <c r="Z43" i="1"/>
  <c r="Z42" i="1"/>
  <c r="Z41" i="1"/>
  <c r="Z40" i="1"/>
  <c r="Z38" i="1"/>
  <c r="AB37" i="1"/>
  <c r="Z37" i="1" s="1"/>
  <c r="Z36" i="1"/>
  <c r="Z35" i="1"/>
  <c r="Z34" i="1"/>
  <c r="Z33" i="1"/>
  <c r="Z32" i="1"/>
  <c r="Z31" i="1" s="1"/>
  <c r="AB31" i="1"/>
  <c r="AA31" i="1"/>
  <c r="Z30" i="1"/>
  <c r="AB29" i="1"/>
  <c r="AB28" i="1" s="1"/>
  <c r="AB22" i="1" s="1"/>
  <c r="AA29" i="1"/>
  <c r="Z27" i="1"/>
  <c r="Z26" i="1"/>
  <c r="Z25" i="1"/>
  <c r="Z24" i="1"/>
  <c r="AB23" i="1"/>
  <c r="AA23" i="1"/>
  <c r="AA14" i="1" s="1"/>
  <c r="AB20" i="1"/>
  <c r="AA20" i="1"/>
  <c r="Z20" i="1"/>
  <c r="AA18" i="1"/>
  <c r="AA17" i="1"/>
  <c r="AB16" i="1"/>
  <c r="AA16" i="1"/>
  <c r="AB14" i="1"/>
  <c r="Y317" i="1"/>
  <c r="Y325" i="5"/>
  <c r="U30" i="6"/>
  <c r="S30" i="6"/>
  <c r="R30" i="6"/>
  <c r="Q30" i="6"/>
  <c r="P30" i="6"/>
  <c r="O30" i="6"/>
  <c r="N30" i="6"/>
  <c r="M30" i="6"/>
  <c r="L30" i="6"/>
  <c r="K30" i="6"/>
  <c r="J30" i="6"/>
  <c r="I30" i="6"/>
  <c r="H30" i="6"/>
  <c r="G30" i="6"/>
  <c r="Y30" i="6"/>
  <c r="V30" i="6"/>
  <c r="T29" i="6"/>
  <c r="AA29" i="6"/>
  <c r="Y155" i="6"/>
  <c r="Y154" i="6" s="1"/>
  <c r="Y153" i="6" s="1"/>
  <c r="U346" i="5"/>
  <c r="G347" i="5"/>
  <c r="H347" i="5"/>
  <c r="I347" i="5"/>
  <c r="J347" i="5"/>
  <c r="J346" i="5" s="1"/>
  <c r="K347" i="5"/>
  <c r="L347" i="5"/>
  <c r="M347" i="5"/>
  <c r="N347" i="5"/>
  <c r="N346" i="5" s="1"/>
  <c r="O347" i="5"/>
  <c r="P347" i="5"/>
  <c r="R347" i="5"/>
  <c r="R346" i="5" s="1"/>
  <c r="S347" i="5"/>
  <c r="V347" i="5"/>
  <c r="V346" i="5" s="1"/>
  <c r="Q348" i="5"/>
  <c r="Q347" i="5" s="1"/>
  <c r="Q346" i="5" s="1"/>
  <c r="T348" i="5"/>
  <c r="T347" i="5" s="1"/>
  <c r="T346" i="5" s="1"/>
  <c r="G349" i="5"/>
  <c r="H349" i="5"/>
  <c r="I349" i="5"/>
  <c r="J349" i="5"/>
  <c r="K349" i="5"/>
  <c r="L349" i="5"/>
  <c r="M349" i="5"/>
  <c r="N349" i="5"/>
  <c r="O349" i="5"/>
  <c r="P349" i="5"/>
  <c r="R349" i="5"/>
  <c r="S349" i="5"/>
  <c r="V349" i="5"/>
  <c r="Q350" i="5"/>
  <c r="Q349" i="5" s="1"/>
  <c r="T350" i="5"/>
  <c r="T349" i="5" s="1"/>
  <c r="G351" i="5"/>
  <c r="H351" i="5"/>
  <c r="I351" i="5"/>
  <c r="J351" i="5"/>
  <c r="K351" i="5"/>
  <c r="L351" i="5"/>
  <c r="M351" i="5"/>
  <c r="N351" i="5"/>
  <c r="O351" i="5"/>
  <c r="P351" i="5"/>
  <c r="Q351" i="5"/>
  <c r="R351" i="5"/>
  <c r="S351" i="5"/>
  <c r="T351" i="5"/>
  <c r="V351" i="5"/>
  <c r="G356" i="5"/>
  <c r="H356" i="5"/>
  <c r="I356" i="5"/>
  <c r="J356" i="5"/>
  <c r="K356" i="5"/>
  <c r="L356" i="5"/>
  <c r="M356" i="5"/>
  <c r="N356" i="5"/>
  <c r="O356" i="5"/>
  <c r="P356" i="5"/>
  <c r="Q356" i="5"/>
  <c r="R356" i="5"/>
  <c r="S356" i="5"/>
  <c r="V356" i="5"/>
  <c r="T357" i="5"/>
  <c r="T356" i="5" s="1"/>
  <c r="G359" i="5"/>
  <c r="H359" i="5"/>
  <c r="I359" i="5"/>
  <c r="J359" i="5"/>
  <c r="K359" i="5"/>
  <c r="L359" i="5"/>
  <c r="M359" i="5"/>
  <c r="N359" i="5"/>
  <c r="O359" i="5"/>
  <c r="P359" i="5"/>
  <c r="Q359" i="5"/>
  <c r="R359" i="5"/>
  <c r="S359" i="5"/>
  <c r="T359" i="5"/>
  <c r="V359" i="5"/>
  <c r="G361" i="5"/>
  <c r="H361" i="5"/>
  <c r="I361" i="5"/>
  <c r="J361" i="5"/>
  <c r="K361" i="5"/>
  <c r="L361" i="5"/>
  <c r="M361" i="5"/>
  <c r="N361" i="5"/>
  <c r="O361" i="5"/>
  <c r="P361" i="5"/>
  <c r="Q361" i="5"/>
  <c r="R361" i="5"/>
  <c r="S361" i="5"/>
  <c r="T361" i="5"/>
  <c r="V361" i="5"/>
  <c r="T362" i="5"/>
  <c r="AA180" i="6"/>
  <c r="T180" i="6"/>
  <c r="Q180" i="6"/>
  <c r="AA179" i="6"/>
  <c r="T179" i="6"/>
  <c r="Q179" i="6"/>
  <c r="AA178" i="6"/>
  <c r="T178" i="6"/>
  <c r="Q178" i="6"/>
  <c r="AA177" i="6"/>
  <c r="T177" i="6"/>
  <c r="Q177" i="6"/>
  <c r="N177" i="6"/>
  <c r="AA176" i="6"/>
  <c r="T176" i="6"/>
  <c r="Q176" i="6"/>
  <c r="I175" i="6"/>
  <c r="Y175" i="6"/>
  <c r="V175" i="6"/>
  <c r="U175" i="6"/>
  <c r="S175" i="6"/>
  <c r="R175" i="6"/>
  <c r="P175" i="6"/>
  <c r="O175" i="6"/>
  <c r="M175" i="6"/>
  <c r="L175" i="6"/>
  <c r="K175" i="6"/>
  <c r="J175" i="6"/>
  <c r="H175" i="6"/>
  <c r="G175" i="6"/>
  <c r="AA174" i="6"/>
  <c r="T174" i="6"/>
  <c r="Q174" i="6"/>
  <c r="I174" i="6"/>
  <c r="I173" i="6" s="1"/>
  <c r="Y173" i="6"/>
  <c r="V173" i="6"/>
  <c r="U173" i="6"/>
  <c r="S173" i="6"/>
  <c r="R173" i="6"/>
  <c r="P173" i="6"/>
  <c r="O173" i="6"/>
  <c r="M173" i="6"/>
  <c r="L173" i="6"/>
  <c r="K173" i="6"/>
  <c r="J173" i="6"/>
  <c r="H173" i="6"/>
  <c r="G173" i="6"/>
  <c r="T170" i="6"/>
  <c r="T169" i="6" s="1"/>
  <c r="V169" i="6"/>
  <c r="S169" i="6"/>
  <c r="R169" i="6"/>
  <c r="Q169" i="6"/>
  <c r="P169" i="6"/>
  <c r="O169" i="6"/>
  <c r="N169" i="6"/>
  <c r="M169" i="6"/>
  <c r="L169" i="6"/>
  <c r="K169" i="6"/>
  <c r="J169" i="6"/>
  <c r="I169" i="6"/>
  <c r="H169" i="6"/>
  <c r="G169" i="6"/>
  <c r="T167" i="6"/>
  <c r="T166" i="6" s="1"/>
  <c r="V166" i="6"/>
  <c r="S166" i="6"/>
  <c r="R166" i="6"/>
  <c r="Q166" i="6"/>
  <c r="P166" i="6"/>
  <c r="O166" i="6"/>
  <c r="N166" i="6"/>
  <c r="M166" i="6"/>
  <c r="L166" i="6"/>
  <c r="K166" i="6"/>
  <c r="J166" i="6"/>
  <c r="I166" i="6"/>
  <c r="H166" i="6"/>
  <c r="G166" i="6"/>
  <c r="V161" i="6"/>
  <c r="T161" i="6"/>
  <c r="S161" i="6"/>
  <c r="R161" i="6"/>
  <c r="Q161" i="6"/>
  <c r="P161" i="6"/>
  <c r="O161" i="6"/>
  <c r="N161" i="6"/>
  <c r="M161" i="6"/>
  <c r="L161" i="6"/>
  <c r="K161" i="6"/>
  <c r="J161" i="6"/>
  <c r="I161" i="6"/>
  <c r="H161" i="6"/>
  <c r="G161" i="6"/>
  <c r="T160" i="6"/>
  <c r="T159" i="6" s="1"/>
  <c r="Q160" i="6"/>
  <c r="Q159" i="6" s="1"/>
  <c r="V159" i="6"/>
  <c r="S159" i="6"/>
  <c r="R159" i="6"/>
  <c r="P159" i="6"/>
  <c r="O159" i="6"/>
  <c r="N159" i="6"/>
  <c r="M159" i="6"/>
  <c r="L159" i="6"/>
  <c r="K159" i="6"/>
  <c r="J159" i="6"/>
  <c r="I159" i="6"/>
  <c r="H159" i="6"/>
  <c r="G159" i="6"/>
  <c r="T158" i="6"/>
  <c r="T157" i="6" s="1"/>
  <c r="T156" i="6" s="1"/>
  <c r="Q158" i="6"/>
  <c r="Q157" i="6" s="1"/>
  <c r="Q156" i="6" s="1"/>
  <c r="V157" i="6"/>
  <c r="V156" i="6" s="1"/>
  <c r="S157" i="6"/>
  <c r="S156" i="6" s="1"/>
  <c r="R157" i="6"/>
  <c r="R156" i="6" s="1"/>
  <c r="P157" i="6"/>
  <c r="P156" i="6" s="1"/>
  <c r="O157" i="6"/>
  <c r="O156" i="6" s="1"/>
  <c r="N157" i="6"/>
  <c r="N156" i="6" s="1"/>
  <c r="M157" i="6"/>
  <c r="M156" i="6" s="1"/>
  <c r="L157" i="6"/>
  <c r="L156" i="6" s="1"/>
  <c r="K157" i="6"/>
  <c r="K156" i="6" s="1"/>
  <c r="J157" i="6"/>
  <c r="J156" i="6" s="1"/>
  <c r="I157" i="6"/>
  <c r="I156" i="6" s="1"/>
  <c r="H157" i="6"/>
  <c r="H156" i="6" s="1"/>
  <c r="G157" i="6"/>
  <c r="G156" i="6" s="1"/>
  <c r="U155" i="6"/>
  <c r="U154" i="6" s="1"/>
  <c r="U153" i="6" s="1"/>
  <c r="Q152" i="6"/>
  <c r="Q151" i="6"/>
  <c r="Q150" i="6"/>
  <c r="Q149" i="6"/>
  <c r="K149" i="6"/>
  <c r="Q148" i="6"/>
  <c r="Q147" i="6"/>
  <c r="K147" i="6"/>
  <c r="Q146" i="6"/>
  <c r="L146" i="6"/>
  <c r="H146" i="6"/>
  <c r="H143" i="6" s="1"/>
  <c r="H142" i="6" s="1"/>
  <c r="Q145" i="6"/>
  <c r="L145" i="6"/>
  <c r="K145" i="6"/>
  <c r="Q144" i="6"/>
  <c r="U142" i="6"/>
  <c r="R143" i="6"/>
  <c r="R142" i="6" s="1"/>
  <c r="P143" i="6"/>
  <c r="P142" i="6" s="1"/>
  <c r="N143" i="6"/>
  <c r="N142" i="6" s="1"/>
  <c r="M143" i="6"/>
  <c r="M142" i="6" s="1"/>
  <c r="J143" i="6"/>
  <c r="J142" i="6" s="1"/>
  <c r="I143" i="6"/>
  <c r="I142" i="6" s="1"/>
  <c r="G143" i="6"/>
  <c r="Y142" i="6"/>
  <c r="AA141" i="6"/>
  <c r="T141" i="6"/>
  <c r="Q141" i="6"/>
  <c r="AA140" i="6"/>
  <c r="T140" i="6"/>
  <c r="Q140" i="6"/>
  <c r="K140" i="6"/>
  <c r="I140" i="6"/>
  <c r="AA139" i="6"/>
  <c r="T139" i="6"/>
  <c r="Q139" i="6"/>
  <c r="I139" i="6"/>
  <c r="AA138" i="6"/>
  <c r="T138" i="6"/>
  <c r="Q138" i="6"/>
  <c r="AA137" i="6"/>
  <c r="T137" i="6"/>
  <c r="Q137" i="6"/>
  <c r="L136" i="6"/>
  <c r="Y136" i="6"/>
  <c r="V136" i="6"/>
  <c r="U136" i="6"/>
  <c r="S136" i="6"/>
  <c r="R136" i="6"/>
  <c r="P136" i="6"/>
  <c r="O136" i="6"/>
  <c r="N136" i="6"/>
  <c r="M136" i="6"/>
  <c r="H136" i="6"/>
  <c r="G136" i="6"/>
  <c r="AA135" i="6"/>
  <c r="T135" i="6"/>
  <c r="T134" i="6" s="1"/>
  <c r="T16" i="6" s="1"/>
  <c r="Q135" i="6"/>
  <c r="Q134" i="6" s="1"/>
  <c r="Q16" i="6" s="1"/>
  <c r="J135" i="6"/>
  <c r="Y134" i="6"/>
  <c r="Y16" i="6" s="1"/>
  <c r="V134" i="6"/>
  <c r="V16" i="6" s="1"/>
  <c r="U134" i="6"/>
  <c r="U16" i="6" s="1"/>
  <c r="S134" i="6"/>
  <c r="S16" i="6" s="1"/>
  <c r="R134" i="6"/>
  <c r="R16" i="6" s="1"/>
  <c r="P134" i="6"/>
  <c r="P16" i="6" s="1"/>
  <c r="O134" i="6"/>
  <c r="O16" i="6" s="1"/>
  <c r="N134" i="6"/>
  <c r="N16" i="6" s="1"/>
  <c r="M134" i="6"/>
  <c r="M16" i="6" s="1"/>
  <c r="H134" i="6"/>
  <c r="H16" i="6" s="1"/>
  <c r="G134" i="6"/>
  <c r="T131" i="6"/>
  <c r="T130" i="6"/>
  <c r="Q130" i="6"/>
  <c r="I130" i="6"/>
  <c r="T129" i="6"/>
  <c r="Q129" i="6"/>
  <c r="I129" i="6"/>
  <c r="T128" i="6"/>
  <c r="Q128" i="6"/>
  <c r="I128" i="6"/>
  <c r="T127" i="6"/>
  <c r="Q127" i="6"/>
  <c r="I127" i="6"/>
  <c r="T126" i="6"/>
  <c r="Q126" i="6"/>
  <c r="I126" i="6"/>
  <c r="T125" i="6"/>
  <c r="Q125" i="6"/>
  <c r="I125" i="6"/>
  <c r="T124" i="6"/>
  <c r="Q124" i="6"/>
  <c r="I124" i="6"/>
  <c r="T123" i="6"/>
  <c r="Q123" i="6"/>
  <c r="I123" i="6"/>
  <c r="T122" i="6"/>
  <c r="Q122" i="6"/>
  <c r="I122" i="6"/>
  <c r="T121" i="6"/>
  <c r="Q121" i="6"/>
  <c r="I121" i="6"/>
  <c r="T120" i="6"/>
  <c r="Q120" i="6"/>
  <c r="I120" i="6"/>
  <c r="T119" i="6"/>
  <c r="Q119" i="6"/>
  <c r="I119" i="6"/>
  <c r="T118" i="6"/>
  <c r="Q118" i="6"/>
  <c r="L118" i="6"/>
  <c r="T117" i="6"/>
  <c r="Q117" i="6"/>
  <c r="L117" i="6"/>
  <c r="T116" i="6"/>
  <c r="Q116" i="6"/>
  <c r="L116" i="6"/>
  <c r="K116" i="6"/>
  <c r="K105" i="6" s="1"/>
  <c r="T115" i="6"/>
  <c r="Q115" i="6"/>
  <c r="I115" i="6"/>
  <c r="T114" i="6"/>
  <c r="Q114" i="6"/>
  <c r="T113" i="6"/>
  <c r="Q113" i="6"/>
  <c r="T112" i="6"/>
  <c r="Q112" i="6"/>
  <c r="H112" i="6"/>
  <c r="H105" i="6" s="1"/>
  <c r="T111" i="6"/>
  <c r="Q111" i="6"/>
  <c r="T110" i="6"/>
  <c r="Q110" i="6"/>
  <c r="T109" i="6"/>
  <c r="Q109" i="6"/>
  <c r="T108" i="6"/>
  <c r="Q108" i="6"/>
  <c r="L108" i="6"/>
  <c r="J108" i="6"/>
  <c r="J105" i="6" s="1"/>
  <c r="T107" i="6"/>
  <c r="Q107" i="6"/>
  <c r="L107" i="6"/>
  <c r="I107" i="6"/>
  <c r="T106" i="6"/>
  <c r="Q106" i="6"/>
  <c r="Y105" i="6"/>
  <c r="V105" i="6"/>
  <c r="U105" i="6"/>
  <c r="S105" i="6"/>
  <c r="R105" i="6"/>
  <c r="P105" i="6"/>
  <c r="O105" i="6"/>
  <c r="N105" i="6"/>
  <c r="M105" i="6"/>
  <c r="G105" i="6"/>
  <c r="T104" i="6"/>
  <c r="Q104" i="6"/>
  <c r="L104" i="6"/>
  <c r="J104" i="6"/>
  <c r="T103" i="6"/>
  <c r="Q103" i="6"/>
  <c r="L103" i="6"/>
  <c r="J103" i="6"/>
  <c r="T102" i="6"/>
  <c r="Q102" i="6"/>
  <c r="K102" i="6"/>
  <c r="T101" i="6"/>
  <c r="Q101" i="6"/>
  <c r="L101" i="6"/>
  <c r="K101" i="6"/>
  <c r="K98" i="6" s="1"/>
  <c r="I101" i="6"/>
  <c r="T100" i="6"/>
  <c r="Q100" i="6"/>
  <c r="L100" i="6"/>
  <c r="J100" i="6"/>
  <c r="J98" i="6" s="1"/>
  <c r="T99" i="6"/>
  <c r="Q99" i="6"/>
  <c r="I99" i="6"/>
  <c r="Y98" i="6"/>
  <c r="V98" i="6"/>
  <c r="U98" i="6"/>
  <c r="S98" i="6"/>
  <c r="R98" i="6"/>
  <c r="P98" i="6"/>
  <c r="O98" i="6"/>
  <c r="N98" i="6"/>
  <c r="M98" i="6"/>
  <c r="H98" i="6"/>
  <c r="G98" i="6"/>
  <c r="T97" i="6"/>
  <c r="Q97" i="6"/>
  <c r="L97" i="6"/>
  <c r="K97" i="6"/>
  <c r="T96" i="6"/>
  <c r="Q96" i="6"/>
  <c r="L96" i="6"/>
  <c r="T95" i="6"/>
  <c r="Q95" i="6"/>
  <c r="L95" i="6"/>
  <c r="T94" i="6"/>
  <c r="Q94" i="6"/>
  <c r="T93" i="6"/>
  <c r="Q93" i="6"/>
  <c r="L93" i="6"/>
  <c r="K93" i="6"/>
  <c r="K89" i="6" s="1"/>
  <c r="T92" i="6"/>
  <c r="Q92" i="6"/>
  <c r="L92" i="6"/>
  <c r="J92" i="6"/>
  <c r="I92" i="6"/>
  <c r="T91" i="6"/>
  <c r="Q91" i="6"/>
  <c r="T90" i="6"/>
  <c r="Q90" i="6"/>
  <c r="J90" i="6"/>
  <c r="I90" i="6"/>
  <c r="H90" i="6"/>
  <c r="L90" i="6" s="1"/>
  <c r="Y89" i="6"/>
  <c r="V89" i="6"/>
  <c r="U89" i="6"/>
  <c r="S89" i="6"/>
  <c r="R89" i="6"/>
  <c r="P89" i="6"/>
  <c r="O89" i="6"/>
  <c r="N89" i="6"/>
  <c r="M89" i="6"/>
  <c r="G89" i="6"/>
  <c r="T87" i="6"/>
  <c r="Q87" i="6"/>
  <c r="T86" i="6"/>
  <c r="Q86" i="6"/>
  <c r="T85" i="6"/>
  <c r="Q85" i="6"/>
  <c r="T84" i="6"/>
  <c r="Q84" i="6"/>
  <c r="T83" i="6"/>
  <c r="Q83" i="6"/>
  <c r="T82" i="6"/>
  <c r="Q82" i="6"/>
  <c r="T81" i="6"/>
  <c r="Q81" i="6"/>
  <c r="T80" i="6"/>
  <c r="Q80" i="6"/>
  <c r="T79" i="6"/>
  <c r="Q79" i="6"/>
  <c r="T78" i="6"/>
  <c r="T77" i="6"/>
  <c r="Q77" i="6"/>
  <c r="T76" i="6"/>
  <c r="Q76" i="6"/>
  <c r="T75" i="6"/>
  <c r="Q75" i="6"/>
  <c r="T74" i="6"/>
  <c r="Q74" i="6"/>
  <c r="T73" i="6"/>
  <c r="Q73" i="6"/>
  <c r="T72" i="6"/>
  <c r="Q72" i="6"/>
  <c r="Y71" i="6"/>
  <c r="V71" i="6"/>
  <c r="U71" i="6"/>
  <c r="S71" i="6"/>
  <c r="R71" i="6"/>
  <c r="P71" i="6"/>
  <c r="O71" i="6"/>
  <c r="N71" i="6"/>
  <c r="M71" i="6"/>
  <c r="L71" i="6"/>
  <c r="K71" i="6"/>
  <c r="J71" i="6"/>
  <c r="I71" i="6"/>
  <c r="H71" i="6"/>
  <c r="G71" i="6"/>
  <c r="T69" i="6"/>
  <c r="Q69" i="6"/>
  <c r="T68" i="6"/>
  <c r="Q68" i="6"/>
  <c r="I67" i="6"/>
  <c r="G67" i="6"/>
  <c r="T66" i="6"/>
  <c r="Q66" i="6"/>
  <c r="K66" i="6"/>
  <c r="K64" i="6" s="1"/>
  <c r="I66" i="6"/>
  <c r="G66" i="6"/>
  <c r="T65" i="6"/>
  <c r="Q65" i="6"/>
  <c r="Y64" i="6"/>
  <c r="V64" i="6"/>
  <c r="U64" i="6"/>
  <c r="S64" i="6"/>
  <c r="R64" i="6"/>
  <c r="P64" i="6"/>
  <c r="O64" i="6"/>
  <c r="N64" i="6"/>
  <c r="M64" i="6"/>
  <c r="L64" i="6"/>
  <c r="J64" i="6"/>
  <c r="H64" i="6"/>
  <c r="T63" i="6"/>
  <c r="Q63" i="6"/>
  <c r="T62" i="6"/>
  <c r="Q62" i="6"/>
  <c r="T61" i="6"/>
  <c r="Q61" i="6"/>
  <c r="I61" i="6"/>
  <c r="G61" i="6"/>
  <c r="G54" i="6" s="1"/>
  <c r="T60" i="6"/>
  <c r="Q60" i="6"/>
  <c r="I60" i="6"/>
  <c r="H60" i="6"/>
  <c r="T59" i="6"/>
  <c r="Q59" i="6"/>
  <c r="I59" i="6"/>
  <c r="H59" i="6"/>
  <c r="T58" i="6"/>
  <c r="Q58" i="6"/>
  <c r="L58" i="6"/>
  <c r="K58" i="6" s="1"/>
  <c r="I58" i="6"/>
  <c r="L57" i="6"/>
  <c r="K57" i="6" s="1"/>
  <c r="J57" i="6"/>
  <c r="I57" i="6" s="1"/>
  <c r="T56" i="6"/>
  <c r="Q56" i="6"/>
  <c r="J56" i="6"/>
  <c r="I56" i="6" s="1"/>
  <c r="H56" i="6"/>
  <c r="T55" i="6"/>
  <c r="Q55" i="6"/>
  <c r="J55" i="6"/>
  <c r="Y54" i="6"/>
  <c r="Y18" i="6" s="1"/>
  <c r="V54" i="6"/>
  <c r="U54" i="6"/>
  <c r="S54" i="6"/>
  <c r="R54" i="6"/>
  <c r="P54" i="6"/>
  <c r="O54" i="6"/>
  <c r="N54" i="6"/>
  <c r="M54" i="6"/>
  <c r="T53" i="6"/>
  <c r="Q53" i="6"/>
  <c r="Q52" i="6" s="1"/>
  <c r="L53" i="6"/>
  <c r="L52" i="6" s="1"/>
  <c r="K53" i="6"/>
  <c r="K52" i="6" s="1"/>
  <c r="J53" i="6"/>
  <c r="J52" i="6" s="1"/>
  <c r="Y52" i="6"/>
  <c r="V52" i="6"/>
  <c r="U52" i="6"/>
  <c r="T52" i="6"/>
  <c r="S52" i="6"/>
  <c r="R52" i="6"/>
  <c r="P52" i="6"/>
  <c r="O52" i="6"/>
  <c r="N52" i="6"/>
  <c r="M52" i="6"/>
  <c r="I52" i="6"/>
  <c r="H52" i="6"/>
  <c r="G52" i="6"/>
  <c r="T50" i="6"/>
  <c r="Q50" i="6"/>
  <c r="L50" i="6"/>
  <c r="K50" i="6"/>
  <c r="T49" i="6"/>
  <c r="Q49" i="6"/>
  <c r="L49" i="6"/>
  <c r="K49" i="6"/>
  <c r="T48" i="6"/>
  <c r="Q48" i="6"/>
  <c r="L48" i="6"/>
  <c r="K48" i="6"/>
  <c r="T47" i="6"/>
  <c r="Q47" i="6"/>
  <c r="L47" i="6"/>
  <c r="K47" i="6"/>
  <c r="T46" i="6"/>
  <c r="Q46" i="6"/>
  <c r="Q42" i="6" s="1"/>
  <c r="L46" i="6"/>
  <c r="I46" i="6"/>
  <c r="K46" i="6" s="1"/>
  <c r="K42" i="6" s="1"/>
  <c r="K14" i="6" s="1"/>
  <c r="T45" i="6"/>
  <c r="T44" i="6"/>
  <c r="T43" i="6"/>
  <c r="I43" i="6"/>
  <c r="I42" i="6" s="1"/>
  <c r="I14" i="6" s="1"/>
  <c r="G43" i="6"/>
  <c r="Y42" i="6"/>
  <c r="Y14" i="6" s="1"/>
  <c r="V42" i="6"/>
  <c r="U42" i="6"/>
  <c r="U14" i="6" s="1"/>
  <c r="S42" i="6"/>
  <c r="S14" i="6" s="1"/>
  <c r="R42" i="6"/>
  <c r="R14" i="6" s="1"/>
  <c r="P42" i="6"/>
  <c r="P14" i="6" s="1"/>
  <c r="O42" i="6"/>
  <c r="O14" i="6" s="1"/>
  <c r="N42" i="6"/>
  <c r="N14" i="6" s="1"/>
  <c r="M42" i="6"/>
  <c r="M14" i="6" s="1"/>
  <c r="J42" i="6"/>
  <c r="J14" i="6" s="1"/>
  <c r="H42" i="6"/>
  <c r="H14" i="6" s="1"/>
  <c r="G42" i="6"/>
  <c r="G14" i="6" s="1"/>
  <c r="AA39" i="6"/>
  <c r="T39" i="6"/>
  <c r="AA38" i="6"/>
  <c r="T38" i="6"/>
  <c r="AA37" i="6"/>
  <c r="T37" i="6"/>
  <c r="AA36" i="6"/>
  <c r="T36" i="6"/>
  <c r="AA35" i="6"/>
  <c r="T35" i="6"/>
  <c r="AA34" i="6"/>
  <c r="T34" i="6"/>
  <c r="AA33" i="6"/>
  <c r="T33" i="6"/>
  <c r="L33" i="6"/>
  <c r="L32" i="6" s="1"/>
  <c r="K33" i="6"/>
  <c r="K32" i="6" s="1"/>
  <c r="Y32" i="6"/>
  <c r="Y19" i="6" s="1"/>
  <c r="V32" i="6"/>
  <c r="U32" i="6"/>
  <c r="S32" i="6"/>
  <c r="R32" i="6"/>
  <c r="Q32" i="6"/>
  <c r="P32" i="6"/>
  <c r="O32" i="6"/>
  <c r="N32" i="6"/>
  <c r="M32" i="6"/>
  <c r="J32" i="6"/>
  <c r="I32" i="6"/>
  <c r="H32" i="6"/>
  <c r="G32" i="6"/>
  <c r="AA31" i="6"/>
  <c r="T31" i="6"/>
  <c r="T30" i="6" s="1"/>
  <c r="AA28" i="6"/>
  <c r="T28" i="6"/>
  <c r="AA27" i="6"/>
  <c r="T27" i="6"/>
  <c r="AA26" i="6"/>
  <c r="T26" i="6"/>
  <c r="Y25" i="6"/>
  <c r="Y17" i="6" s="1"/>
  <c r="V25" i="6"/>
  <c r="V17" i="6" s="1"/>
  <c r="U25" i="6"/>
  <c r="U17" i="6" s="1"/>
  <c r="S25" i="6"/>
  <c r="S17" i="6" s="1"/>
  <c r="R25" i="6"/>
  <c r="R17" i="6" s="1"/>
  <c r="Q25" i="6"/>
  <c r="P25" i="6"/>
  <c r="P17" i="6" s="1"/>
  <c r="O25" i="6"/>
  <c r="O17" i="6" s="1"/>
  <c r="N25" i="6"/>
  <c r="M25" i="6"/>
  <c r="M17" i="6" s="1"/>
  <c r="L25" i="6"/>
  <c r="K25" i="6"/>
  <c r="H25" i="6"/>
  <c r="G25" i="6"/>
  <c r="G17" i="6" s="1"/>
  <c r="T426" i="5"/>
  <c r="Q426" i="5"/>
  <c r="Q20" i="5" s="1"/>
  <c r="N426" i="5"/>
  <c r="N20" i="5" s="1"/>
  <c r="T425" i="5"/>
  <c r="Q425" i="5"/>
  <c r="N425" i="5"/>
  <c r="T423" i="5"/>
  <c r="Q423" i="5"/>
  <c r="N423" i="5"/>
  <c r="L423" i="5"/>
  <c r="K423" i="5" s="1"/>
  <c r="I423" i="5"/>
  <c r="T422" i="5"/>
  <c r="Q422" i="5"/>
  <c r="N422" i="5"/>
  <c r="L422" i="5"/>
  <c r="K422" i="5" s="1"/>
  <c r="I422" i="5"/>
  <c r="I419" i="5" s="1"/>
  <c r="G422" i="5"/>
  <c r="G419" i="5" s="1"/>
  <c r="T421" i="5"/>
  <c r="Q421" i="5"/>
  <c r="N421" i="5"/>
  <c r="L421" i="5"/>
  <c r="K421" i="5"/>
  <c r="U420" i="5"/>
  <c r="R420" i="5"/>
  <c r="K420" i="5"/>
  <c r="J420" i="5"/>
  <c r="J419" i="5" s="1"/>
  <c r="H420" i="5"/>
  <c r="Y419" i="5"/>
  <c r="V419" i="5"/>
  <c r="S419" i="5"/>
  <c r="P419" i="5"/>
  <c r="O419" i="5"/>
  <c r="M419" i="5"/>
  <c r="T418" i="5"/>
  <c r="Q418" i="5"/>
  <c r="N418" i="5"/>
  <c r="K418" i="5"/>
  <c r="I418" i="5"/>
  <c r="I416" i="5" s="1"/>
  <c r="G418" i="5"/>
  <c r="G416" i="5" s="1"/>
  <c r="T417" i="5"/>
  <c r="Q417" i="5"/>
  <c r="N417" i="5"/>
  <c r="L417" i="5"/>
  <c r="L416" i="5" s="1"/>
  <c r="K417" i="5"/>
  <c r="Y416" i="5"/>
  <c r="V416" i="5"/>
  <c r="U416" i="5"/>
  <c r="S416" i="5"/>
  <c r="R416" i="5"/>
  <c r="Q416" i="5"/>
  <c r="P416" i="5"/>
  <c r="O416" i="5"/>
  <c r="M416" i="5"/>
  <c r="K416" i="5"/>
  <c r="J416" i="5"/>
  <c r="H416" i="5"/>
  <c r="T415" i="5"/>
  <c r="O415" i="5"/>
  <c r="N415" i="5" s="1"/>
  <c r="L415" i="5"/>
  <c r="K415" i="5" s="1"/>
  <c r="I415" i="5"/>
  <c r="I411" i="5" s="1"/>
  <c r="T414" i="5"/>
  <c r="O414" i="5"/>
  <c r="N414" i="5"/>
  <c r="L414" i="5"/>
  <c r="K414" i="5"/>
  <c r="T413" i="5"/>
  <c r="Q413" i="5"/>
  <c r="L413" i="5"/>
  <c r="K413" i="5"/>
  <c r="T412" i="5"/>
  <c r="Q412" i="5"/>
  <c r="Q411" i="5" s="1"/>
  <c r="N412" i="5"/>
  <c r="L412" i="5"/>
  <c r="K412" i="5"/>
  <c r="Y411" i="5"/>
  <c r="Y410" i="5" s="1"/>
  <c r="V411" i="5"/>
  <c r="U411" i="5"/>
  <c r="S411" i="5"/>
  <c r="S410" i="5" s="1"/>
  <c r="R411" i="5"/>
  <c r="P411" i="5"/>
  <c r="M411" i="5"/>
  <c r="J411" i="5"/>
  <c r="J410" i="5" s="1"/>
  <c r="H411" i="5"/>
  <c r="G411" i="5"/>
  <c r="T409" i="5"/>
  <c r="Q409" i="5"/>
  <c r="Q408" i="5" s="1"/>
  <c r="Y408" i="5"/>
  <c r="V408" i="5"/>
  <c r="U408" i="5"/>
  <c r="T408" i="5"/>
  <c r="S408" i="5"/>
  <c r="R408" i="5"/>
  <c r="P408" i="5"/>
  <c r="O408" i="5"/>
  <c r="N408" i="5"/>
  <c r="M408" i="5"/>
  <c r="L408" i="5"/>
  <c r="K408" i="5"/>
  <c r="J408" i="5"/>
  <c r="I408" i="5"/>
  <c r="H408" i="5"/>
  <c r="G408" i="5"/>
  <c r="T405" i="5"/>
  <c r="T404" i="5"/>
  <c r="AA403" i="5"/>
  <c r="T403" i="5"/>
  <c r="Q403" i="5"/>
  <c r="AA402" i="5"/>
  <c r="T402" i="5"/>
  <c r="Q402" i="5"/>
  <c r="AA401" i="5"/>
  <c r="T401" i="5"/>
  <c r="Q401" i="5"/>
  <c r="AA400" i="5"/>
  <c r="T400" i="5"/>
  <c r="Q400" i="5"/>
  <c r="AA399" i="5"/>
  <c r="T399" i="5"/>
  <c r="Q399" i="5"/>
  <c r="AA398" i="5"/>
  <c r="T398" i="5"/>
  <c r="Q398" i="5"/>
  <c r="AA397" i="5"/>
  <c r="T397" i="5"/>
  <c r="Q397" i="5"/>
  <c r="N397" i="5"/>
  <c r="AA396" i="5"/>
  <c r="T396" i="5"/>
  <c r="Q396" i="5"/>
  <c r="T395" i="5"/>
  <c r="Q395" i="5"/>
  <c r="T394" i="5"/>
  <c r="Q394" i="5"/>
  <c r="T393" i="5"/>
  <c r="Q393" i="5"/>
  <c r="N393" i="5"/>
  <c r="I393" i="5"/>
  <c r="I390" i="5" s="1"/>
  <c r="T392" i="5"/>
  <c r="Q392" i="5"/>
  <c r="T391" i="5"/>
  <c r="Q391" i="5"/>
  <c r="N391" i="5"/>
  <c r="Y390" i="5"/>
  <c r="V390" i="5"/>
  <c r="U390" i="5"/>
  <c r="S390" i="5"/>
  <c r="R390" i="5"/>
  <c r="P390" i="5"/>
  <c r="O390" i="5"/>
  <c r="M390" i="5"/>
  <c r="L390" i="5"/>
  <c r="K390" i="5"/>
  <c r="J390" i="5"/>
  <c r="H390" i="5"/>
  <c r="G390" i="5"/>
  <c r="T389" i="5"/>
  <c r="Q389" i="5"/>
  <c r="T388" i="5"/>
  <c r="Q388" i="5"/>
  <c r="N388" i="5"/>
  <c r="T387" i="5"/>
  <c r="Q387" i="5"/>
  <c r="N387" i="5"/>
  <c r="T386" i="5"/>
  <c r="Q386" i="5"/>
  <c r="N386" i="5"/>
  <c r="T385" i="5"/>
  <c r="Q385" i="5"/>
  <c r="N385" i="5"/>
  <c r="I385" i="5"/>
  <c r="I380" i="5" s="1"/>
  <c r="T384" i="5"/>
  <c r="Q384" i="5"/>
  <c r="N384" i="5"/>
  <c r="T383" i="5"/>
  <c r="Q383" i="5"/>
  <c r="N383" i="5"/>
  <c r="T382" i="5"/>
  <c r="Q382" i="5"/>
  <c r="N382" i="5"/>
  <c r="T381" i="5"/>
  <c r="Q381" i="5"/>
  <c r="N381" i="5"/>
  <c r="Y380" i="5"/>
  <c r="V380" i="5"/>
  <c r="U380" i="5"/>
  <c r="S380" i="5"/>
  <c r="R380" i="5"/>
  <c r="P380" i="5"/>
  <c r="O380" i="5"/>
  <c r="M380" i="5"/>
  <c r="L380" i="5"/>
  <c r="K380" i="5"/>
  <c r="J380" i="5"/>
  <c r="H380" i="5"/>
  <c r="G380" i="5"/>
  <c r="AA379" i="5"/>
  <c r="T379" i="5"/>
  <c r="Q379" i="5"/>
  <c r="I379" i="5"/>
  <c r="I371" i="5" s="1"/>
  <c r="T378" i="5"/>
  <c r="Q378" i="5"/>
  <c r="T377" i="5"/>
  <c r="Q377" i="5"/>
  <c r="AA376" i="5"/>
  <c r="T376" i="5"/>
  <c r="Q376" i="5"/>
  <c r="T375" i="5"/>
  <c r="Q375" i="5"/>
  <c r="T374" i="5"/>
  <c r="Q374" i="5"/>
  <c r="T373" i="5"/>
  <c r="Q373" i="5"/>
  <c r="N373" i="5"/>
  <c r="T372" i="5"/>
  <c r="Q372" i="5"/>
  <c r="Q371" i="5" s="1"/>
  <c r="N372" i="5"/>
  <c r="Y371" i="5"/>
  <c r="V371" i="5"/>
  <c r="U371" i="5"/>
  <c r="U370" i="5" s="1"/>
  <c r="U363" i="5" s="1"/>
  <c r="S371" i="5"/>
  <c r="R371" i="5"/>
  <c r="P371" i="5"/>
  <c r="O371" i="5"/>
  <c r="M371" i="5"/>
  <c r="L371" i="5"/>
  <c r="K371" i="5"/>
  <c r="K370" i="5" s="1"/>
  <c r="J371" i="5"/>
  <c r="H371" i="5"/>
  <c r="G371" i="5"/>
  <c r="S370" i="5"/>
  <c r="T369" i="5"/>
  <c r="T368" i="5"/>
  <c r="T367" i="5"/>
  <c r="T366" i="5"/>
  <c r="Q366" i="5"/>
  <c r="N366" i="5"/>
  <c r="N364" i="5" s="1"/>
  <c r="T365" i="5"/>
  <c r="Q365" i="5"/>
  <c r="Y364" i="5"/>
  <c r="V364" i="5"/>
  <c r="U364" i="5"/>
  <c r="S364" i="5"/>
  <c r="R364" i="5"/>
  <c r="P364" i="5"/>
  <c r="O364" i="5"/>
  <c r="M364" i="5"/>
  <c r="L364" i="5"/>
  <c r="K364" i="5"/>
  <c r="J364" i="5"/>
  <c r="I364" i="5"/>
  <c r="H364" i="5"/>
  <c r="G364" i="5"/>
  <c r="T345" i="5"/>
  <c r="Q345" i="5"/>
  <c r="T344" i="5"/>
  <c r="T342" i="5" s="1"/>
  <c r="Q344" i="5"/>
  <c r="T343" i="5"/>
  <c r="Q343" i="5"/>
  <c r="Q342" i="5" s="1"/>
  <c r="V342" i="5"/>
  <c r="U342" i="5"/>
  <c r="S342" i="5"/>
  <c r="R342" i="5"/>
  <c r="P342" i="5"/>
  <c r="O342" i="5"/>
  <c r="N342" i="5"/>
  <c r="M342" i="5"/>
  <c r="L342" i="5"/>
  <c r="K342" i="5"/>
  <c r="J342" i="5"/>
  <c r="I342" i="5"/>
  <c r="H342" i="5"/>
  <c r="G342" i="5"/>
  <c r="T341" i="5"/>
  <c r="Q341" i="5"/>
  <c r="T340" i="5"/>
  <c r="Q340" i="5"/>
  <c r="V339" i="5"/>
  <c r="U339" i="5"/>
  <c r="S339" i="5"/>
  <c r="R339" i="5"/>
  <c r="P339" i="5"/>
  <c r="O339" i="5"/>
  <c r="N339" i="5"/>
  <c r="M339" i="5"/>
  <c r="L339" i="5"/>
  <c r="K339" i="5"/>
  <c r="J339" i="5"/>
  <c r="I339" i="5"/>
  <c r="H339" i="5"/>
  <c r="G339" i="5"/>
  <c r="U337" i="5"/>
  <c r="T337" i="5"/>
  <c r="S337" i="5"/>
  <c r="R337" i="5"/>
  <c r="Q337" i="5"/>
  <c r="P337" i="5"/>
  <c r="O337" i="5"/>
  <c r="N337" i="5"/>
  <c r="M337" i="5"/>
  <c r="L337" i="5"/>
  <c r="K337" i="5"/>
  <c r="J337" i="5"/>
  <c r="I337" i="5"/>
  <c r="H337" i="5"/>
  <c r="G337" i="5"/>
  <c r="T336" i="5"/>
  <c r="Q336" i="5"/>
  <c r="T335" i="5"/>
  <c r="Q335" i="5"/>
  <c r="O335" i="5"/>
  <c r="O334" i="5" s="1"/>
  <c r="O333" i="5" s="1"/>
  <c r="V334" i="5"/>
  <c r="V333" i="5" s="1"/>
  <c r="U334" i="5"/>
  <c r="S334" i="5"/>
  <c r="R334" i="5"/>
  <c r="R333" i="5" s="1"/>
  <c r="P334" i="5"/>
  <c r="N334" i="5"/>
  <c r="M334" i="5"/>
  <c r="L334" i="5"/>
  <c r="K334" i="5"/>
  <c r="K333" i="5" s="1"/>
  <c r="J334" i="5"/>
  <c r="I334" i="5"/>
  <c r="H334" i="5"/>
  <c r="G334" i="5"/>
  <c r="T332" i="5"/>
  <c r="T331" i="5"/>
  <c r="I331" i="5"/>
  <c r="T330" i="5"/>
  <c r="Q330" i="5"/>
  <c r="H330" i="5"/>
  <c r="T329" i="5"/>
  <c r="H329" i="5"/>
  <c r="T328" i="5"/>
  <c r="Q328" i="5"/>
  <c r="H328" i="5"/>
  <c r="T327" i="5"/>
  <c r="Q327" i="5"/>
  <c r="T326" i="5"/>
  <c r="Q326" i="5"/>
  <c r="Y320" i="5"/>
  <c r="Y312" i="5" s="1"/>
  <c r="T324" i="5"/>
  <c r="T323" i="5"/>
  <c r="Q323" i="5"/>
  <c r="K323" i="5"/>
  <c r="K321" i="5" s="1"/>
  <c r="T322" i="5"/>
  <c r="T321" i="5" s="1"/>
  <c r="Q322" i="5"/>
  <c r="Y321" i="5"/>
  <c r="V321" i="5"/>
  <c r="U321" i="5"/>
  <c r="S321" i="5"/>
  <c r="R321" i="5"/>
  <c r="P321" i="5"/>
  <c r="O321" i="5"/>
  <c r="N321" i="5"/>
  <c r="M321" i="5"/>
  <c r="L321" i="5"/>
  <c r="J321" i="5"/>
  <c r="I321" i="5"/>
  <c r="H321" i="5"/>
  <c r="G321" i="5"/>
  <c r="T319" i="5"/>
  <c r="T318" i="5"/>
  <c r="T317" i="5"/>
  <c r="T316" i="5"/>
  <c r="T315" i="5"/>
  <c r="T314" i="5"/>
  <c r="Y313" i="5"/>
  <c r="V313" i="5"/>
  <c r="U313" i="5"/>
  <c r="S313" i="5"/>
  <c r="R313" i="5"/>
  <c r="Q313" i="5"/>
  <c r="P313" i="5"/>
  <c r="O313" i="5"/>
  <c r="N313" i="5"/>
  <c r="M313" i="5"/>
  <c r="L313" i="5"/>
  <c r="K313" i="5"/>
  <c r="J313" i="5"/>
  <c r="I313" i="5"/>
  <c r="H313" i="5"/>
  <c r="G313" i="5"/>
  <c r="T311" i="5"/>
  <c r="T310" i="5"/>
  <c r="Q310" i="5"/>
  <c r="T309" i="5"/>
  <c r="Q309" i="5"/>
  <c r="T308" i="5"/>
  <c r="Q308" i="5"/>
  <c r="T307" i="5"/>
  <c r="Q307" i="5"/>
  <c r="T306" i="5"/>
  <c r="Q306" i="5"/>
  <c r="T305" i="5"/>
  <c r="Q305" i="5"/>
  <c r="T304" i="5"/>
  <c r="T302" i="5" s="1"/>
  <c r="Q304" i="5"/>
  <c r="T303" i="5"/>
  <c r="Q303" i="5"/>
  <c r="Y302" i="5"/>
  <c r="V302" i="5"/>
  <c r="U302" i="5"/>
  <c r="S302" i="5"/>
  <c r="R302" i="5"/>
  <c r="P302" i="5"/>
  <c r="O302" i="5"/>
  <c r="N302" i="5"/>
  <c r="M302" i="5"/>
  <c r="L302" i="5"/>
  <c r="K302" i="5"/>
  <c r="J302" i="5"/>
  <c r="I302" i="5"/>
  <c r="H302" i="5"/>
  <c r="G302" i="5"/>
  <c r="T301" i="5"/>
  <c r="Q301" i="5"/>
  <c r="I301" i="5"/>
  <c r="T300" i="5"/>
  <c r="Q300" i="5"/>
  <c r="I300" i="5"/>
  <c r="T299" i="5"/>
  <c r="Q299" i="5"/>
  <c r="L299" i="5"/>
  <c r="J299" i="5"/>
  <c r="I299" i="5"/>
  <c r="T298" i="5"/>
  <c r="Q298" i="5"/>
  <c r="L298" i="5"/>
  <c r="K298" i="5" s="1"/>
  <c r="J298" i="5"/>
  <c r="G298" i="5"/>
  <c r="T297" i="5"/>
  <c r="T296" i="5" s="1"/>
  <c r="Q297" i="5"/>
  <c r="L297" i="5"/>
  <c r="K297" i="5"/>
  <c r="J297" i="5"/>
  <c r="I297" i="5"/>
  <c r="Y296" i="5"/>
  <c r="V296" i="5"/>
  <c r="U296" i="5"/>
  <c r="U295" i="5" s="1"/>
  <c r="S296" i="5"/>
  <c r="R296" i="5"/>
  <c r="P296" i="5"/>
  <c r="P295" i="5" s="1"/>
  <c r="O296" i="5"/>
  <c r="N296" i="5"/>
  <c r="M296" i="5"/>
  <c r="H296" i="5"/>
  <c r="H295" i="5" s="1"/>
  <c r="G296" i="5"/>
  <c r="M295" i="5"/>
  <c r="T294" i="5"/>
  <c r="Q294" i="5"/>
  <c r="L294" i="5"/>
  <c r="L292" i="5" s="1"/>
  <c r="K294" i="5"/>
  <c r="T293" i="5"/>
  <c r="T292" i="5" s="1"/>
  <c r="Q293" i="5"/>
  <c r="Q292" i="5" s="1"/>
  <c r="Y292" i="5"/>
  <c r="V292" i="5"/>
  <c r="U292" i="5"/>
  <c r="S292" i="5"/>
  <c r="R292" i="5"/>
  <c r="P292" i="5"/>
  <c r="O292" i="5"/>
  <c r="N292" i="5"/>
  <c r="M292" i="5"/>
  <c r="M291" i="5" s="1"/>
  <c r="K292" i="5"/>
  <c r="J292" i="5"/>
  <c r="I292" i="5"/>
  <c r="H292" i="5"/>
  <c r="G292" i="5"/>
  <c r="O290" i="5"/>
  <c r="S290" i="5" s="1"/>
  <c r="Q290" i="5" s="1"/>
  <c r="V290" i="5" s="1"/>
  <c r="T290" i="5" s="1"/>
  <c r="O289" i="5"/>
  <c r="S289" i="5" s="1"/>
  <c r="Q289" i="5" s="1"/>
  <c r="V289" i="5" s="1"/>
  <c r="T289" i="5" s="1"/>
  <c r="S288" i="5"/>
  <c r="Q288" i="5" s="1"/>
  <c r="V288" i="5" s="1"/>
  <c r="T288" i="5" s="1"/>
  <c r="O288" i="5"/>
  <c r="O287" i="5"/>
  <c r="S287" i="5" s="1"/>
  <c r="Q287" i="5" s="1"/>
  <c r="V287" i="5" s="1"/>
  <c r="T287" i="5" s="1"/>
  <c r="O286" i="5"/>
  <c r="S286" i="5" s="1"/>
  <c r="Q286" i="5" s="1"/>
  <c r="V286" i="5" s="1"/>
  <c r="T286" i="5" s="1"/>
  <c r="O285" i="5"/>
  <c r="O284" i="5"/>
  <c r="S284" i="5" s="1"/>
  <c r="Q284" i="5" s="1"/>
  <c r="V284" i="5" s="1"/>
  <c r="T284" i="5" s="1"/>
  <c r="O283" i="5"/>
  <c r="S283" i="5" s="1"/>
  <c r="Q283" i="5" s="1"/>
  <c r="V283" i="5" s="1"/>
  <c r="T283" i="5" s="1"/>
  <c r="S282" i="5"/>
  <c r="Q282" i="5"/>
  <c r="V282" i="5" s="1"/>
  <c r="T282" i="5" s="1"/>
  <c r="T281" i="5"/>
  <c r="Q281" i="5"/>
  <c r="T280" i="5"/>
  <c r="Q280" i="5"/>
  <c r="T279" i="5"/>
  <c r="Q279" i="5"/>
  <c r="T278" i="5"/>
  <c r="Q278" i="5"/>
  <c r="K278" i="5"/>
  <c r="T277" i="5"/>
  <c r="Q277" i="5"/>
  <c r="T276" i="5"/>
  <c r="Q276" i="5"/>
  <c r="K276" i="5"/>
  <c r="T275" i="5"/>
  <c r="Q275" i="5"/>
  <c r="L275" i="5"/>
  <c r="H275" i="5"/>
  <c r="H272" i="5" s="1"/>
  <c r="H264" i="5" s="1"/>
  <c r="T274" i="5"/>
  <c r="Q274" i="5"/>
  <c r="L274" i="5"/>
  <c r="L272" i="5" s="1"/>
  <c r="L264" i="5" s="1"/>
  <c r="K274" i="5"/>
  <c r="T273" i="5"/>
  <c r="Q273" i="5"/>
  <c r="U272" i="5"/>
  <c r="R272" i="5"/>
  <c r="P272" i="5"/>
  <c r="N272" i="5"/>
  <c r="M272" i="5"/>
  <c r="J272" i="5"/>
  <c r="J264" i="5" s="1"/>
  <c r="I272" i="5"/>
  <c r="G272" i="5"/>
  <c r="T271" i="5"/>
  <c r="Q271" i="5"/>
  <c r="T270" i="5"/>
  <c r="Q270" i="5"/>
  <c r="G270" i="5"/>
  <c r="T269" i="5"/>
  <c r="Q269" i="5"/>
  <c r="T268" i="5"/>
  <c r="Q268" i="5"/>
  <c r="T267" i="5"/>
  <c r="Q267" i="5"/>
  <c r="T266" i="5"/>
  <c r="Q266" i="5"/>
  <c r="T265" i="5"/>
  <c r="Q265" i="5"/>
  <c r="Y264" i="5"/>
  <c r="U264" i="5"/>
  <c r="R264" i="5"/>
  <c r="P264" i="5"/>
  <c r="N264" i="5"/>
  <c r="M264" i="5"/>
  <c r="I264" i="5"/>
  <c r="AA263" i="5"/>
  <c r="T263" i="5"/>
  <c r="Q263" i="5"/>
  <c r="AA262" i="5"/>
  <c r="T262" i="5"/>
  <c r="Q262" i="5"/>
  <c r="K262" i="5"/>
  <c r="I262" i="5"/>
  <c r="AA261" i="5"/>
  <c r="T261" i="5"/>
  <c r="Q261" i="5"/>
  <c r="I261" i="5"/>
  <c r="AA260" i="5"/>
  <c r="T260" i="5"/>
  <c r="Q260" i="5"/>
  <c r="AA259" i="5"/>
  <c r="T259" i="5"/>
  <c r="Q259" i="5"/>
  <c r="T258" i="5"/>
  <c r="Q258" i="5"/>
  <c r="L258" i="5"/>
  <c r="L257" i="5" s="1"/>
  <c r="K258" i="5"/>
  <c r="J258" i="5"/>
  <c r="I258" i="5" s="1"/>
  <c r="Y257" i="5"/>
  <c r="V257" i="5"/>
  <c r="U257" i="5"/>
  <c r="S257" i="5"/>
  <c r="R257" i="5"/>
  <c r="P257" i="5"/>
  <c r="O257" i="5"/>
  <c r="N257" i="5"/>
  <c r="M257" i="5"/>
  <c r="H257" i="5"/>
  <c r="G257" i="5"/>
  <c r="AA256" i="5"/>
  <c r="T256" i="5"/>
  <c r="T255" i="5" s="1"/>
  <c r="T16" i="5" s="1"/>
  <c r="Q256" i="5"/>
  <c r="Q255" i="5" s="1"/>
  <c r="J256" i="5"/>
  <c r="L256" i="5" s="1"/>
  <c r="L255" i="5" s="1"/>
  <c r="I256" i="5"/>
  <c r="Y255" i="5"/>
  <c r="V255" i="5"/>
  <c r="U255" i="5"/>
  <c r="U16" i="5" s="1"/>
  <c r="S255" i="5"/>
  <c r="R255" i="5"/>
  <c r="P255" i="5"/>
  <c r="P16" i="5" s="1"/>
  <c r="O255" i="5"/>
  <c r="O16" i="5" s="1"/>
  <c r="N255" i="5"/>
  <c r="M255" i="5"/>
  <c r="H255" i="5"/>
  <c r="H16" i="5" s="1"/>
  <c r="G255" i="5"/>
  <c r="G16" i="5" s="1"/>
  <c r="T253" i="5"/>
  <c r="Q253" i="5"/>
  <c r="T252" i="5"/>
  <c r="Q252" i="5"/>
  <c r="Y251" i="5"/>
  <c r="V251" i="5"/>
  <c r="U251" i="5"/>
  <c r="S251" i="5"/>
  <c r="R251" i="5"/>
  <c r="P251" i="5"/>
  <c r="O251" i="5"/>
  <c r="N251" i="5"/>
  <c r="M251" i="5"/>
  <c r="L251" i="5"/>
  <c r="K251" i="5"/>
  <c r="J251" i="5"/>
  <c r="I251" i="5"/>
  <c r="H251" i="5"/>
  <c r="G251" i="5"/>
  <c r="T249" i="5"/>
  <c r="T248" i="5" s="1"/>
  <c r="J249" i="5"/>
  <c r="Y248" i="5"/>
  <c r="V248" i="5"/>
  <c r="U248" i="5"/>
  <c r="U242" i="5" s="1"/>
  <c r="U239" i="5" s="1"/>
  <c r="S248" i="5"/>
  <c r="R248" i="5"/>
  <c r="Q248" i="5"/>
  <c r="P248" i="5"/>
  <c r="P242" i="5" s="1"/>
  <c r="P239" i="5" s="1"/>
  <c r="O248" i="5"/>
  <c r="N248" i="5"/>
  <c r="M248" i="5"/>
  <c r="L248" i="5"/>
  <c r="K248" i="5"/>
  <c r="H248" i="5"/>
  <c r="G248" i="5"/>
  <c r="T247" i="5"/>
  <c r="T246" i="5"/>
  <c r="L246" i="5"/>
  <c r="K246" i="5"/>
  <c r="T245" i="5"/>
  <c r="T243" i="5" s="1"/>
  <c r="T242" i="5" s="1"/>
  <c r="T239" i="5" s="1"/>
  <c r="L245" i="5"/>
  <c r="K245" i="5"/>
  <c r="J245" i="5"/>
  <c r="I245" i="5"/>
  <c r="H245" i="5"/>
  <c r="T244" i="5"/>
  <c r="L244" i="5"/>
  <c r="K244" i="5"/>
  <c r="J244" i="5"/>
  <c r="I244" i="5"/>
  <c r="Y243" i="5"/>
  <c r="V243" i="5"/>
  <c r="V242" i="5" s="1"/>
  <c r="V239" i="5" s="1"/>
  <c r="U243" i="5"/>
  <c r="S243" i="5"/>
  <c r="R243" i="5"/>
  <c r="R242" i="5" s="1"/>
  <c r="R239" i="5" s="1"/>
  <c r="Q243" i="5"/>
  <c r="Q242" i="5" s="1"/>
  <c r="P243" i="5"/>
  <c r="O243" i="5"/>
  <c r="N243" i="5"/>
  <c r="N242" i="5" s="1"/>
  <c r="N239" i="5" s="1"/>
  <c r="M243" i="5"/>
  <c r="M242" i="5" s="1"/>
  <c r="M239" i="5" s="1"/>
  <c r="H243" i="5"/>
  <c r="G243" i="5"/>
  <c r="T241" i="5"/>
  <c r="T240" i="5" s="1"/>
  <c r="Q241" i="5"/>
  <c r="Q240" i="5" s="1"/>
  <c r="Y240" i="5"/>
  <c r="V240" i="5"/>
  <c r="U240" i="5"/>
  <c r="S240" i="5"/>
  <c r="R240" i="5"/>
  <c r="P240" i="5"/>
  <c r="O240" i="5"/>
  <c r="N240" i="5"/>
  <c r="M240" i="5"/>
  <c r="L240" i="5"/>
  <c r="K240" i="5"/>
  <c r="J240" i="5"/>
  <c r="I240" i="5"/>
  <c r="H240" i="5"/>
  <c r="G240" i="5"/>
  <c r="T238" i="5"/>
  <c r="T237" i="5"/>
  <c r="Q237" i="5"/>
  <c r="I237" i="5"/>
  <c r="T236" i="5"/>
  <c r="Q236" i="5"/>
  <c r="I236" i="5"/>
  <c r="T235" i="5"/>
  <c r="Q235" i="5"/>
  <c r="I235" i="5"/>
  <c r="T234" i="5"/>
  <c r="Q234" i="5"/>
  <c r="I234" i="5"/>
  <c r="T233" i="5"/>
  <c r="Q233" i="5"/>
  <c r="I233" i="5"/>
  <c r="T232" i="5"/>
  <c r="Q232" i="5"/>
  <c r="I232" i="5"/>
  <c r="T231" i="5"/>
  <c r="Q231" i="5"/>
  <c r="I231" i="5"/>
  <c r="T230" i="5"/>
  <c r="Q230" i="5"/>
  <c r="I230" i="5"/>
  <c r="T229" i="5"/>
  <c r="Q229" i="5"/>
  <c r="I229" i="5"/>
  <c r="T228" i="5"/>
  <c r="Q228" i="5"/>
  <c r="I228" i="5"/>
  <c r="T227" i="5"/>
  <c r="Q227" i="5"/>
  <c r="I227" i="5"/>
  <c r="T226" i="5"/>
  <c r="Q226" i="5"/>
  <c r="I226" i="5"/>
  <c r="T225" i="5"/>
  <c r="Q225" i="5"/>
  <c r="L225" i="5"/>
  <c r="T224" i="5"/>
  <c r="Q224" i="5"/>
  <c r="L224" i="5"/>
  <c r="T223" i="5"/>
  <c r="Q223" i="5"/>
  <c r="L223" i="5"/>
  <c r="K223" i="5"/>
  <c r="K212" i="5" s="1"/>
  <c r="T222" i="5"/>
  <c r="Q222" i="5"/>
  <c r="I222" i="5"/>
  <c r="T221" i="5"/>
  <c r="Q221" i="5"/>
  <c r="T220" i="5"/>
  <c r="Q220" i="5"/>
  <c r="T219" i="5"/>
  <c r="Q219" i="5"/>
  <c r="H219" i="5"/>
  <c r="H212" i="5" s="1"/>
  <c r="T218" i="5"/>
  <c r="Q218" i="5"/>
  <c r="T217" i="5"/>
  <c r="Q217" i="5"/>
  <c r="T216" i="5"/>
  <c r="Q216" i="5"/>
  <c r="T215" i="5"/>
  <c r="Q215" i="5"/>
  <c r="L215" i="5"/>
  <c r="J215" i="5"/>
  <c r="T214" i="5"/>
  <c r="Q214" i="5"/>
  <c r="L214" i="5"/>
  <c r="I214" i="5"/>
  <c r="T213" i="5"/>
  <c r="Q213" i="5"/>
  <c r="Y212" i="5"/>
  <c r="V212" i="5"/>
  <c r="U212" i="5"/>
  <c r="S212" i="5"/>
  <c r="R212" i="5"/>
  <c r="P212" i="5"/>
  <c r="O212" i="5"/>
  <c r="N212" i="5"/>
  <c r="M212" i="5"/>
  <c r="J212" i="5"/>
  <c r="G212" i="5"/>
  <c r="T211" i="5"/>
  <c r="Q211" i="5"/>
  <c r="L211" i="5"/>
  <c r="J211" i="5"/>
  <c r="T210" i="5"/>
  <c r="Q210" i="5"/>
  <c r="L210" i="5"/>
  <c r="J210" i="5"/>
  <c r="T209" i="5"/>
  <c r="Q209" i="5"/>
  <c r="K209" i="5"/>
  <c r="T208" i="5"/>
  <c r="Q208" i="5"/>
  <c r="L208" i="5"/>
  <c r="K208" i="5"/>
  <c r="K205" i="5" s="1"/>
  <c r="I208" i="5"/>
  <c r="T207" i="5"/>
  <c r="Q207" i="5"/>
  <c r="L207" i="5"/>
  <c r="J207" i="5"/>
  <c r="J205" i="5" s="1"/>
  <c r="T206" i="5"/>
  <c r="Q206" i="5"/>
  <c r="Q205" i="5" s="1"/>
  <c r="I206" i="5"/>
  <c r="Y205" i="5"/>
  <c r="V205" i="5"/>
  <c r="U205" i="5"/>
  <c r="S205" i="5"/>
  <c r="R205" i="5"/>
  <c r="P205" i="5"/>
  <c r="O205" i="5"/>
  <c r="N205" i="5"/>
  <c r="M205" i="5"/>
  <c r="H205" i="5"/>
  <c r="G205" i="5"/>
  <c r="T204" i="5"/>
  <c r="Q204" i="5"/>
  <c r="L204" i="5"/>
  <c r="K204" i="5"/>
  <c r="T203" i="5"/>
  <c r="Q203" i="5"/>
  <c r="L203" i="5"/>
  <c r="T202" i="5"/>
  <c r="Q202" i="5"/>
  <c r="L202" i="5"/>
  <c r="T201" i="5"/>
  <c r="Q201" i="5"/>
  <c r="T200" i="5"/>
  <c r="Q200" i="5"/>
  <c r="L200" i="5"/>
  <c r="K200" i="5"/>
  <c r="K196" i="5" s="1"/>
  <c r="T199" i="5"/>
  <c r="Q199" i="5"/>
  <c r="L199" i="5"/>
  <c r="J199" i="5"/>
  <c r="I199" i="5"/>
  <c r="T198" i="5"/>
  <c r="Q198" i="5"/>
  <c r="T197" i="5"/>
  <c r="Q197" i="5"/>
  <c r="J197" i="5"/>
  <c r="I197" i="5"/>
  <c r="H197" i="5"/>
  <c r="L197" i="5" s="1"/>
  <c r="Y196" i="5"/>
  <c r="V196" i="5"/>
  <c r="U196" i="5"/>
  <c r="S196" i="5"/>
  <c r="R196" i="5"/>
  <c r="P196" i="5"/>
  <c r="O196" i="5"/>
  <c r="N196" i="5"/>
  <c r="M196" i="5"/>
  <c r="H196" i="5"/>
  <c r="G196" i="5"/>
  <c r="T194" i="5"/>
  <c r="Q194" i="5"/>
  <c r="T193" i="5"/>
  <c r="Q193" i="5"/>
  <c r="T192" i="5"/>
  <c r="Q192" i="5"/>
  <c r="T191" i="5"/>
  <c r="Q191" i="5"/>
  <c r="T190" i="5"/>
  <c r="Q190" i="5"/>
  <c r="T189" i="5"/>
  <c r="Q189" i="5"/>
  <c r="T188" i="5"/>
  <c r="Q188" i="5"/>
  <c r="T187" i="5"/>
  <c r="Q187" i="5"/>
  <c r="T186" i="5"/>
  <c r="Q186" i="5"/>
  <c r="T185" i="5"/>
  <c r="T184" i="5"/>
  <c r="Q184" i="5"/>
  <c r="T183" i="5"/>
  <c r="Q183" i="5"/>
  <c r="T182" i="5"/>
  <c r="Q182" i="5"/>
  <c r="T181" i="5"/>
  <c r="Q181" i="5"/>
  <c r="T180" i="5"/>
  <c r="Q180" i="5"/>
  <c r="T179" i="5"/>
  <c r="Q179" i="5"/>
  <c r="Y178" i="5"/>
  <c r="V178" i="5"/>
  <c r="U178" i="5"/>
  <c r="S178" i="5"/>
  <c r="R178" i="5"/>
  <c r="P178" i="5"/>
  <c r="O178" i="5"/>
  <c r="N178" i="5"/>
  <c r="M178" i="5"/>
  <c r="L178" i="5"/>
  <c r="K178" i="5"/>
  <c r="J178" i="5"/>
  <c r="I178" i="5"/>
  <c r="H178" i="5"/>
  <c r="G178" i="5"/>
  <c r="T176" i="5"/>
  <c r="Q176" i="5"/>
  <c r="T175" i="5"/>
  <c r="Q175" i="5"/>
  <c r="I174" i="5"/>
  <c r="G174" i="5"/>
  <c r="T173" i="5"/>
  <c r="Q173" i="5"/>
  <c r="K173" i="5"/>
  <c r="K171" i="5" s="1"/>
  <c r="I173" i="5"/>
  <c r="G173" i="5"/>
  <c r="G171" i="5" s="1"/>
  <c r="T172" i="5"/>
  <c r="Q172" i="5"/>
  <c r="Y171" i="5"/>
  <c r="V171" i="5"/>
  <c r="U171" i="5"/>
  <c r="S171" i="5"/>
  <c r="R171" i="5"/>
  <c r="P171" i="5"/>
  <c r="O171" i="5"/>
  <c r="N171" i="5"/>
  <c r="M171" i="5"/>
  <c r="L171" i="5"/>
  <c r="J171" i="5"/>
  <c r="H171" i="5"/>
  <c r="T170" i="5"/>
  <c r="Q170" i="5"/>
  <c r="T169" i="5"/>
  <c r="Q169" i="5"/>
  <c r="T168" i="5"/>
  <c r="Q168" i="5"/>
  <c r="I168" i="5"/>
  <c r="G168" i="5"/>
  <c r="G161" i="5" s="1"/>
  <c r="T167" i="5"/>
  <c r="Q167" i="5"/>
  <c r="I167" i="5"/>
  <c r="H167" i="5"/>
  <c r="T166" i="5"/>
  <c r="Q166" i="5"/>
  <c r="I166" i="5"/>
  <c r="H166" i="5"/>
  <c r="T165" i="5"/>
  <c r="Q165" i="5"/>
  <c r="L165" i="5"/>
  <c r="K165" i="5" s="1"/>
  <c r="I165" i="5"/>
  <c r="L164" i="5"/>
  <c r="K164" i="5"/>
  <c r="J164" i="5"/>
  <c r="I164" i="5" s="1"/>
  <c r="T163" i="5"/>
  <c r="Q163" i="5"/>
  <c r="J163" i="5"/>
  <c r="I163" i="5" s="1"/>
  <c r="H163" i="5"/>
  <c r="L163" i="5" s="1"/>
  <c r="K163" i="5" s="1"/>
  <c r="T162" i="5"/>
  <c r="Q162" i="5"/>
  <c r="J162" i="5"/>
  <c r="Y161" i="5"/>
  <c r="V161" i="5"/>
  <c r="U161" i="5"/>
  <c r="S161" i="5"/>
  <c r="R161" i="5"/>
  <c r="P161" i="5"/>
  <c r="O161" i="5"/>
  <c r="N161" i="5"/>
  <c r="M161" i="5"/>
  <c r="T160" i="5"/>
  <c r="Q160" i="5"/>
  <c r="Q159" i="5" s="1"/>
  <c r="L160" i="5"/>
  <c r="K160" i="5"/>
  <c r="K159" i="5" s="1"/>
  <c r="J160" i="5"/>
  <c r="J159" i="5" s="1"/>
  <c r="Y159" i="5"/>
  <c r="V159" i="5"/>
  <c r="U159" i="5"/>
  <c r="T159" i="5"/>
  <c r="S159" i="5"/>
  <c r="R159" i="5"/>
  <c r="P159" i="5"/>
  <c r="O159" i="5"/>
  <c r="N159" i="5"/>
  <c r="M159" i="5"/>
  <c r="L159" i="5"/>
  <c r="I159" i="5"/>
  <c r="H159" i="5"/>
  <c r="G159" i="5"/>
  <c r="T157" i="5"/>
  <c r="Q157" i="5"/>
  <c r="L157" i="5"/>
  <c r="K157" i="5"/>
  <c r="T156" i="5"/>
  <c r="Q156" i="5"/>
  <c r="L156" i="5"/>
  <c r="K156" i="5"/>
  <c r="T155" i="5"/>
  <c r="Q155" i="5"/>
  <c r="L155" i="5"/>
  <c r="K155" i="5"/>
  <c r="T154" i="5"/>
  <c r="Q154" i="5"/>
  <c r="L154" i="5"/>
  <c r="K154" i="5"/>
  <c r="T153" i="5"/>
  <c r="Q153" i="5"/>
  <c r="Q149" i="5" s="1"/>
  <c r="L153" i="5"/>
  <c r="L149" i="5" s="1"/>
  <c r="I153" i="5"/>
  <c r="K153" i="5" s="1"/>
  <c r="K149" i="5" s="1"/>
  <c r="T152" i="5"/>
  <c r="T151" i="5"/>
  <c r="T150" i="5"/>
  <c r="I150" i="5"/>
  <c r="G150" i="5"/>
  <c r="G149" i="5" s="1"/>
  <c r="Y149" i="5"/>
  <c r="V149" i="5"/>
  <c r="U149" i="5"/>
  <c r="S149" i="5"/>
  <c r="R149" i="5"/>
  <c r="P149" i="5"/>
  <c r="O149" i="5"/>
  <c r="N149" i="5"/>
  <c r="M149" i="5"/>
  <c r="J149" i="5"/>
  <c r="I149" i="5"/>
  <c r="H149" i="5"/>
  <c r="T146" i="5"/>
  <c r="Q146" i="5"/>
  <c r="L146" i="5"/>
  <c r="K146" i="5"/>
  <c r="T145" i="5"/>
  <c r="Q145" i="5"/>
  <c r="K145" i="5"/>
  <c r="L145" i="5" s="1"/>
  <c r="T144" i="5"/>
  <c r="U143" i="5"/>
  <c r="U136" i="5" s="1"/>
  <c r="Q143" i="5"/>
  <c r="N143" i="5"/>
  <c r="T142" i="5"/>
  <c r="Q142" i="5"/>
  <c r="T141" i="5"/>
  <c r="Q141" i="5"/>
  <c r="T140" i="5"/>
  <c r="Q140" i="5"/>
  <c r="N140" i="5"/>
  <c r="T139" i="5"/>
  <c r="Q139" i="5"/>
  <c r="K139" i="5"/>
  <c r="T138" i="5"/>
  <c r="Q138" i="5"/>
  <c r="L138" i="5"/>
  <c r="K138" i="5"/>
  <c r="K136" i="5" s="1"/>
  <c r="T137" i="5"/>
  <c r="L137" i="5"/>
  <c r="K137" i="5"/>
  <c r="Y136" i="5"/>
  <c r="V136" i="5"/>
  <c r="S136" i="5"/>
  <c r="R136" i="5"/>
  <c r="P136" i="5"/>
  <c r="O136" i="5"/>
  <c r="M136" i="5"/>
  <c r="J136" i="5"/>
  <c r="I136" i="5"/>
  <c r="H136" i="5"/>
  <c r="G136" i="5"/>
  <c r="T135" i="5"/>
  <c r="T134" i="5"/>
  <c r="Q134" i="5"/>
  <c r="N134" i="5"/>
  <c r="N132" i="5" s="1"/>
  <c r="T133" i="5"/>
  <c r="Q133" i="5"/>
  <c r="J133" i="5"/>
  <c r="J132" i="5" s="1"/>
  <c r="J131" i="5" s="1"/>
  <c r="Y132" i="5"/>
  <c r="Y131" i="5" s="1"/>
  <c r="V132" i="5"/>
  <c r="U132" i="5"/>
  <c r="S132" i="5"/>
  <c r="S131" i="5" s="1"/>
  <c r="R132" i="5"/>
  <c r="P132" i="5"/>
  <c r="P131" i="5" s="1"/>
  <c r="O132" i="5"/>
  <c r="M132" i="5"/>
  <c r="M131" i="5" s="1"/>
  <c r="L132" i="5"/>
  <c r="K132" i="5"/>
  <c r="I132" i="5"/>
  <c r="H132" i="5"/>
  <c r="H131" i="5" s="1"/>
  <c r="G132" i="5"/>
  <c r="T130" i="5"/>
  <c r="Q130" i="5"/>
  <c r="T129" i="5"/>
  <c r="Q129" i="5"/>
  <c r="T128" i="5"/>
  <c r="Q128" i="5"/>
  <c r="Y127" i="5"/>
  <c r="V127" i="5"/>
  <c r="U127" i="5"/>
  <c r="S127" i="5"/>
  <c r="R127" i="5"/>
  <c r="P127" i="5"/>
  <c r="O127" i="5"/>
  <c r="N127" i="5"/>
  <c r="M127" i="5"/>
  <c r="M126" i="5" s="1"/>
  <c r="L127" i="5"/>
  <c r="K127" i="5"/>
  <c r="J127" i="5"/>
  <c r="I127" i="5"/>
  <c r="H127" i="5"/>
  <c r="G127" i="5"/>
  <c r="T125" i="5"/>
  <c r="Q125" i="5"/>
  <c r="Q124" i="5" s="1"/>
  <c r="Y124" i="5"/>
  <c r="V124" i="5"/>
  <c r="U124" i="5"/>
  <c r="T124" i="5"/>
  <c r="S124" i="5"/>
  <c r="R124" i="5"/>
  <c r="P124" i="5"/>
  <c r="O124" i="5"/>
  <c r="N124" i="5"/>
  <c r="M124" i="5"/>
  <c r="L124" i="5"/>
  <c r="K124" i="5"/>
  <c r="J124" i="5"/>
  <c r="I124" i="5"/>
  <c r="H124" i="5"/>
  <c r="G124" i="5"/>
  <c r="T123" i="5"/>
  <c r="Q123" i="5"/>
  <c r="T122" i="5"/>
  <c r="Q122" i="5"/>
  <c r="Q121" i="5" s="1"/>
  <c r="Y121" i="5"/>
  <c r="V121" i="5"/>
  <c r="U121" i="5"/>
  <c r="T121" i="5"/>
  <c r="S121" i="5"/>
  <c r="R121" i="5"/>
  <c r="P121" i="5"/>
  <c r="O121" i="5"/>
  <c r="N121" i="5"/>
  <c r="M121" i="5"/>
  <c r="L121" i="5"/>
  <c r="K121" i="5"/>
  <c r="J121" i="5"/>
  <c r="I121" i="5"/>
  <c r="H121" i="5"/>
  <c r="G121" i="5"/>
  <c r="T120" i="5"/>
  <c r="T119" i="5" s="1"/>
  <c r="Q120" i="5"/>
  <c r="J120" i="5"/>
  <c r="J119" i="5" s="1"/>
  <c r="J118" i="5" s="1"/>
  <c r="J117" i="5" s="1"/>
  <c r="I120" i="5"/>
  <c r="I119" i="5" s="1"/>
  <c r="Y119" i="5"/>
  <c r="V119" i="5"/>
  <c r="U119" i="5"/>
  <c r="U118" i="5" s="1"/>
  <c r="U117" i="5" s="1"/>
  <c r="S119" i="5"/>
  <c r="S118" i="5" s="1"/>
  <c r="S117" i="5" s="1"/>
  <c r="R119" i="5"/>
  <c r="Q119" i="5"/>
  <c r="P119" i="5"/>
  <c r="O119" i="5"/>
  <c r="N119" i="5"/>
  <c r="M119" i="5"/>
  <c r="M118" i="5" s="1"/>
  <c r="M117" i="5" s="1"/>
  <c r="L119" i="5"/>
  <c r="K119" i="5"/>
  <c r="K118" i="5" s="1"/>
  <c r="K117" i="5" s="1"/>
  <c r="H119" i="5"/>
  <c r="G119" i="5"/>
  <c r="V118" i="5"/>
  <c r="V117" i="5" s="1"/>
  <c r="R118" i="5"/>
  <c r="R117" i="5" s="1"/>
  <c r="N118" i="5"/>
  <c r="N117" i="5" s="1"/>
  <c r="T116" i="5"/>
  <c r="T115" i="5"/>
  <c r="Q115" i="5"/>
  <c r="T114" i="5"/>
  <c r="Q114" i="5"/>
  <c r="Y113" i="5"/>
  <c r="V113" i="5"/>
  <c r="U113" i="5"/>
  <c r="S113" i="5"/>
  <c r="R113" i="5"/>
  <c r="P113" i="5"/>
  <c r="O113" i="5"/>
  <c r="N113" i="5"/>
  <c r="M113" i="5"/>
  <c r="L113" i="5"/>
  <c r="K113" i="5"/>
  <c r="J113" i="5"/>
  <c r="I113" i="5"/>
  <c r="H113" i="5"/>
  <c r="G113" i="5"/>
  <c r="T112" i="5"/>
  <c r="Q112" i="5"/>
  <c r="Q111" i="5" s="1"/>
  <c r="K112" i="5"/>
  <c r="L112" i="5" s="1"/>
  <c r="L111" i="5" s="1"/>
  <c r="L110" i="5" s="1"/>
  <c r="I112" i="5"/>
  <c r="I111" i="5" s="1"/>
  <c r="H112" i="5"/>
  <c r="Y111" i="5"/>
  <c r="V111" i="5"/>
  <c r="V110" i="5" s="1"/>
  <c r="U111" i="5"/>
  <c r="T111" i="5"/>
  <c r="S111" i="5"/>
  <c r="S110" i="5" s="1"/>
  <c r="R111" i="5"/>
  <c r="P111" i="5"/>
  <c r="O111" i="5"/>
  <c r="O110" i="5" s="1"/>
  <c r="N111" i="5"/>
  <c r="M111" i="5"/>
  <c r="J111" i="5"/>
  <c r="J110" i="5" s="1"/>
  <c r="H111" i="5"/>
  <c r="G111" i="5"/>
  <c r="G110" i="5" s="1"/>
  <c r="Y108" i="5"/>
  <c r="V108" i="5"/>
  <c r="U108" i="5"/>
  <c r="T108" i="5"/>
  <c r="S108" i="5"/>
  <c r="R108" i="5"/>
  <c r="Q108" i="5"/>
  <c r="P108" i="5"/>
  <c r="O108" i="5"/>
  <c r="N108" i="5"/>
  <c r="M108" i="5"/>
  <c r="L108" i="5"/>
  <c r="K108" i="5"/>
  <c r="J108" i="5"/>
  <c r="I108" i="5"/>
  <c r="H108" i="5"/>
  <c r="G108" i="5"/>
  <c r="AA106" i="5"/>
  <c r="T106" i="5"/>
  <c r="AA105" i="5"/>
  <c r="T105" i="5"/>
  <c r="AA104" i="5"/>
  <c r="T104" i="5"/>
  <c r="AA103" i="5"/>
  <c r="T103" i="5"/>
  <c r="AA102" i="5"/>
  <c r="T102" i="5"/>
  <c r="AA101" i="5"/>
  <c r="T101" i="5"/>
  <c r="T100" i="5"/>
  <c r="Q100" i="5"/>
  <c r="T99" i="5"/>
  <c r="T98" i="5"/>
  <c r="AA97" i="5"/>
  <c r="T97" i="5"/>
  <c r="L97" i="5"/>
  <c r="L96" i="5" s="1"/>
  <c r="K97" i="5"/>
  <c r="K96" i="5" s="1"/>
  <c r="Y96" i="5"/>
  <c r="V96" i="5"/>
  <c r="U96" i="5"/>
  <c r="S96" i="5"/>
  <c r="R96" i="5"/>
  <c r="Q96" i="5"/>
  <c r="P96" i="5"/>
  <c r="O96" i="5"/>
  <c r="N96" i="5"/>
  <c r="M96" i="5"/>
  <c r="J96" i="5"/>
  <c r="I96" i="5"/>
  <c r="H96" i="5"/>
  <c r="G96" i="5"/>
  <c r="AA95" i="5"/>
  <c r="T95" i="5"/>
  <c r="T94" i="5"/>
  <c r="T93" i="5"/>
  <c r="L93" i="5"/>
  <c r="K93" i="5"/>
  <c r="T92" i="5"/>
  <c r="T91" i="5"/>
  <c r="T90" i="5"/>
  <c r="T89" i="5"/>
  <c r="Q89" i="5"/>
  <c r="I89" i="5"/>
  <c r="H89" i="5"/>
  <c r="H87" i="5" s="1"/>
  <c r="T88" i="5"/>
  <c r="T87" i="5" s="1"/>
  <c r="Q88" i="5"/>
  <c r="Q87" i="5" s="1"/>
  <c r="Q84" i="5" s="1"/>
  <c r="I88" i="5"/>
  <c r="I87" i="5" s="1"/>
  <c r="V87" i="5"/>
  <c r="V84" i="5" s="1"/>
  <c r="U87" i="5"/>
  <c r="U84" i="5" s="1"/>
  <c r="S87" i="5"/>
  <c r="S84" i="5" s="1"/>
  <c r="R87" i="5"/>
  <c r="R84" i="5" s="1"/>
  <c r="P87" i="5"/>
  <c r="O87" i="5"/>
  <c r="O84" i="5" s="1"/>
  <c r="N87" i="5"/>
  <c r="M87" i="5"/>
  <c r="M84" i="5" s="1"/>
  <c r="L87" i="5"/>
  <c r="K87" i="5"/>
  <c r="J87" i="5"/>
  <c r="G87" i="5"/>
  <c r="T86" i="5"/>
  <c r="J86" i="5"/>
  <c r="I86" i="5"/>
  <c r="T85" i="5"/>
  <c r="I85" i="5"/>
  <c r="Y84" i="5"/>
  <c r="P84" i="5"/>
  <c r="N84" i="5"/>
  <c r="H84" i="5"/>
  <c r="G84" i="5"/>
  <c r="AA83" i="5"/>
  <c r="T83" i="5"/>
  <c r="AA82" i="5"/>
  <c r="T82" i="5"/>
  <c r="AA81" i="5"/>
  <c r="T81" i="5"/>
  <c r="AA80" i="5"/>
  <c r="T80" i="5"/>
  <c r="T79" i="5"/>
  <c r="J79" i="5"/>
  <c r="I79" i="5"/>
  <c r="T78" i="5"/>
  <c r="J78" i="5"/>
  <c r="J76" i="5" s="1"/>
  <c r="I78" i="5"/>
  <c r="T77" i="5"/>
  <c r="Y76" i="5"/>
  <c r="V76" i="5"/>
  <c r="U76" i="5"/>
  <c r="S76" i="5"/>
  <c r="R76" i="5"/>
  <c r="Q76" i="5"/>
  <c r="P76" i="5"/>
  <c r="O76" i="5"/>
  <c r="N76" i="5"/>
  <c r="M76" i="5"/>
  <c r="L76" i="5"/>
  <c r="K76" i="5"/>
  <c r="H76" i="5"/>
  <c r="H75" i="5" s="1"/>
  <c r="G76" i="5"/>
  <c r="T74" i="5"/>
  <c r="T73" i="5"/>
  <c r="T72" i="5"/>
  <c r="T71" i="5"/>
  <c r="Y70" i="5"/>
  <c r="V70" i="5"/>
  <c r="U70" i="5"/>
  <c r="S70" i="5"/>
  <c r="R70" i="5"/>
  <c r="Q70" i="5"/>
  <c r="P70" i="5"/>
  <c r="O70" i="5"/>
  <c r="N70" i="5"/>
  <c r="M70" i="5"/>
  <c r="L70" i="5"/>
  <c r="K70" i="5"/>
  <c r="J70" i="5"/>
  <c r="I70" i="5"/>
  <c r="H70" i="5"/>
  <c r="G70" i="5"/>
  <c r="T68" i="5"/>
  <c r="T66" i="5" s="1"/>
  <c r="Y66" i="5"/>
  <c r="V66" i="5"/>
  <c r="U66" i="5"/>
  <c r="S66" i="5"/>
  <c r="R66" i="5"/>
  <c r="Q66" i="5"/>
  <c r="P66" i="5"/>
  <c r="O66" i="5"/>
  <c r="N66" i="5"/>
  <c r="M66" i="5"/>
  <c r="L66" i="5"/>
  <c r="K66" i="5"/>
  <c r="J66" i="5"/>
  <c r="I66" i="5"/>
  <c r="H66" i="5"/>
  <c r="G66" i="5"/>
  <c r="T65" i="5"/>
  <c r="T64" i="5" s="1"/>
  <c r="Q65" i="5"/>
  <c r="Q64" i="5" s="1"/>
  <c r="Q63" i="5" s="1"/>
  <c r="Q61" i="5" s="1"/>
  <c r="N65" i="5"/>
  <c r="N64" i="5" s="1"/>
  <c r="Y64" i="5"/>
  <c r="Y63" i="5" s="1"/>
  <c r="Y61" i="5" s="1"/>
  <c r="V64" i="5"/>
  <c r="U64" i="5"/>
  <c r="U63" i="5" s="1"/>
  <c r="U61" i="5" s="1"/>
  <c r="S64" i="5"/>
  <c r="R64" i="5"/>
  <c r="R63" i="5" s="1"/>
  <c r="R61" i="5" s="1"/>
  <c r="P64" i="5"/>
  <c r="P63" i="5" s="1"/>
  <c r="P61" i="5" s="1"/>
  <c r="O64" i="5"/>
  <c r="M64" i="5"/>
  <c r="L64" i="5"/>
  <c r="K64" i="5"/>
  <c r="J64" i="5"/>
  <c r="J63" i="5" s="1"/>
  <c r="I64" i="5"/>
  <c r="H64" i="5"/>
  <c r="G64" i="5"/>
  <c r="N63" i="5"/>
  <c r="N61" i="5" s="1"/>
  <c r="H63" i="5"/>
  <c r="H61" i="5" s="1"/>
  <c r="J61" i="5"/>
  <c r="T60" i="5"/>
  <c r="Q60" i="5"/>
  <c r="N60" i="5"/>
  <c r="T59" i="5"/>
  <c r="T58" i="5"/>
  <c r="T57" i="5"/>
  <c r="Q57" i="5"/>
  <c r="J57" i="5"/>
  <c r="J56" i="5" s="1"/>
  <c r="Y56" i="5"/>
  <c r="V56" i="5"/>
  <c r="U56" i="5"/>
  <c r="S56" i="5"/>
  <c r="R56" i="5"/>
  <c r="P56" i="5"/>
  <c r="O56" i="5"/>
  <c r="N56" i="5"/>
  <c r="N53" i="5" s="1"/>
  <c r="N52" i="5" s="1"/>
  <c r="M56" i="5"/>
  <c r="L56" i="5"/>
  <c r="K56" i="5"/>
  <c r="H56" i="5"/>
  <c r="G56" i="5"/>
  <c r="T55" i="5"/>
  <c r="J55" i="5"/>
  <c r="J54" i="5" s="1"/>
  <c r="I55" i="5"/>
  <c r="I54" i="5" s="1"/>
  <c r="Y54" i="5"/>
  <c r="V54" i="5"/>
  <c r="U54" i="5"/>
  <c r="U53" i="5" s="1"/>
  <c r="U52" i="5" s="1"/>
  <c r="T54" i="5"/>
  <c r="S54" i="5"/>
  <c r="R54" i="5"/>
  <c r="Q54" i="5"/>
  <c r="P54" i="5"/>
  <c r="P53" i="5" s="1"/>
  <c r="P52" i="5" s="1"/>
  <c r="O54" i="5"/>
  <c r="N54" i="5"/>
  <c r="M54" i="5"/>
  <c r="L54" i="5"/>
  <c r="L53" i="5" s="1"/>
  <c r="L52" i="5" s="1"/>
  <c r="K54" i="5"/>
  <c r="H54" i="5"/>
  <c r="G54" i="5"/>
  <c r="V53" i="5"/>
  <c r="V52" i="5" s="1"/>
  <c r="T51" i="5"/>
  <c r="T50" i="5" s="1"/>
  <c r="V50" i="5"/>
  <c r="U50" i="5"/>
  <c r="U46" i="5" s="1"/>
  <c r="S50" i="5"/>
  <c r="R50" i="5"/>
  <c r="R46" i="5" s="1"/>
  <c r="Q50" i="5"/>
  <c r="P50" i="5"/>
  <c r="P46" i="5" s="1"/>
  <c r="O50" i="5"/>
  <c r="N50" i="5"/>
  <c r="M50" i="5"/>
  <c r="L50" i="5"/>
  <c r="K50" i="5"/>
  <c r="J50" i="5"/>
  <c r="I50" i="5"/>
  <c r="H50" i="5"/>
  <c r="G50" i="5"/>
  <c r="T49" i="5"/>
  <c r="T48" i="5"/>
  <c r="T47" i="5" s="1"/>
  <c r="L48" i="5"/>
  <c r="L47" i="5" s="1"/>
  <c r="L46" i="5" s="1"/>
  <c r="K48" i="5"/>
  <c r="K47" i="5" s="1"/>
  <c r="K46" i="5" s="1"/>
  <c r="Y47" i="5"/>
  <c r="Y46" i="5" s="1"/>
  <c r="V47" i="5"/>
  <c r="S47" i="5"/>
  <c r="Q47" i="5"/>
  <c r="O47" i="5"/>
  <c r="N47" i="5"/>
  <c r="M47" i="5"/>
  <c r="J47" i="5"/>
  <c r="J46" i="5" s="1"/>
  <c r="I47" i="5"/>
  <c r="H47" i="5"/>
  <c r="H46" i="5" s="1"/>
  <c r="G47" i="5"/>
  <c r="N46" i="5"/>
  <c r="T45" i="5"/>
  <c r="T44" i="5" s="1"/>
  <c r="L45" i="5"/>
  <c r="L44" i="5" s="1"/>
  <c r="K45" i="5"/>
  <c r="K44" i="5" s="1"/>
  <c r="Y44" i="5"/>
  <c r="V44" i="5"/>
  <c r="U44" i="5"/>
  <c r="S44" i="5"/>
  <c r="R44" i="5"/>
  <c r="Q44" i="5"/>
  <c r="P44" i="5"/>
  <c r="O44" i="5"/>
  <c r="N44" i="5"/>
  <c r="M44" i="5"/>
  <c r="J44" i="5"/>
  <c r="I44" i="5"/>
  <c r="H44" i="5"/>
  <c r="G44" i="5"/>
  <c r="T43" i="5"/>
  <c r="I43" i="5"/>
  <c r="T42" i="5"/>
  <c r="I42" i="5"/>
  <c r="T41" i="5"/>
  <c r="T40" i="5"/>
  <c r="J40" i="5"/>
  <c r="I40" i="5"/>
  <c r="J39" i="5"/>
  <c r="I39" i="5"/>
  <c r="T38" i="5"/>
  <c r="N38" i="5"/>
  <c r="J38" i="5"/>
  <c r="I38" i="5"/>
  <c r="V37" i="5"/>
  <c r="T37" i="5" s="1"/>
  <c r="R37" i="5"/>
  <c r="Q37" i="5" s="1"/>
  <c r="O37" i="5"/>
  <c r="N37" i="5"/>
  <c r="I37" i="5"/>
  <c r="T36" i="5"/>
  <c r="Q36" i="5"/>
  <c r="N36" i="5"/>
  <c r="L36" i="5"/>
  <c r="I36" i="5"/>
  <c r="K36" i="5" s="1"/>
  <c r="T35" i="5"/>
  <c r="L35" i="5"/>
  <c r="L29" i="5" s="1"/>
  <c r="K35" i="5"/>
  <c r="I35" i="5"/>
  <c r="T34" i="5"/>
  <c r="K34" i="5"/>
  <c r="T33" i="5"/>
  <c r="J33" i="5"/>
  <c r="I33" i="5"/>
  <c r="T32" i="5"/>
  <c r="K32" i="5"/>
  <c r="J32" i="5"/>
  <c r="I32" i="5"/>
  <c r="V31" i="5"/>
  <c r="V29" i="5" s="1"/>
  <c r="U31" i="5"/>
  <c r="U29" i="5" s="1"/>
  <c r="S31" i="5"/>
  <c r="R31" i="5"/>
  <c r="R29" i="5" s="1"/>
  <c r="Q31" i="5"/>
  <c r="P31" i="5"/>
  <c r="O31" i="5"/>
  <c r="N31" i="5"/>
  <c r="M31" i="5"/>
  <c r="M29" i="5" s="1"/>
  <c r="M17" i="5" s="1"/>
  <c r="L31" i="5"/>
  <c r="J31" i="5"/>
  <c r="I31" i="5"/>
  <c r="H31" i="5"/>
  <c r="H29" i="5" s="1"/>
  <c r="G31" i="5"/>
  <c r="T30" i="5"/>
  <c r="K30" i="5"/>
  <c r="J30" i="5"/>
  <c r="I30" i="5"/>
  <c r="Y29" i="5"/>
  <c r="S29" i="5"/>
  <c r="S17" i="5" s="1"/>
  <c r="P29" i="5"/>
  <c r="G29" i="5"/>
  <c r="T27" i="5"/>
  <c r="T26" i="5"/>
  <c r="Q26" i="5"/>
  <c r="Q23" i="5" s="1"/>
  <c r="T25" i="5"/>
  <c r="K25" i="5"/>
  <c r="T24" i="5"/>
  <c r="K24" i="5"/>
  <c r="H24" i="5"/>
  <c r="L24" i="5" s="1"/>
  <c r="L23" i="5" s="1"/>
  <c r="Y23" i="5"/>
  <c r="V23" i="5"/>
  <c r="U23" i="5"/>
  <c r="S23" i="5"/>
  <c r="R23" i="5"/>
  <c r="P23" i="5"/>
  <c r="O23" i="5"/>
  <c r="N23" i="5"/>
  <c r="M23" i="5"/>
  <c r="J23" i="5"/>
  <c r="I23" i="5"/>
  <c r="G23" i="5"/>
  <c r="V20" i="5"/>
  <c r="U20" i="5"/>
  <c r="T20" i="5"/>
  <c r="S20" i="5"/>
  <c r="R20" i="5"/>
  <c r="P20" i="5"/>
  <c r="O20" i="5"/>
  <c r="L20" i="5"/>
  <c r="K20" i="5"/>
  <c r="P18" i="5"/>
  <c r="V16" i="5"/>
  <c r="R16" i="5"/>
  <c r="Q16" i="5"/>
  <c r="N16" i="5"/>
  <c r="M16" i="5"/>
  <c r="L20" i="1"/>
  <c r="K20" i="1"/>
  <c r="E38" i="2"/>
  <c r="D38" i="2"/>
  <c r="V20" i="1"/>
  <c r="U20" i="1"/>
  <c r="S20" i="1"/>
  <c r="R20" i="1"/>
  <c r="P20" i="1"/>
  <c r="O20" i="1"/>
  <c r="T416" i="1"/>
  <c r="T20" i="1" s="1"/>
  <c r="Q416" i="1"/>
  <c r="Q20" i="1" s="1"/>
  <c r="N416" i="1"/>
  <c r="N20" i="1" s="1"/>
  <c r="T415" i="1"/>
  <c r="C38" i="2" s="1"/>
  <c r="Q415" i="1"/>
  <c r="N415" i="1"/>
  <c r="G14" i="5" l="1"/>
  <c r="K23" i="5"/>
  <c r="K14" i="5" s="1"/>
  <c r="I63" i="5"/>
  <c r="I61" i="5" s="1"/>
  <c r="M63" i="5"/>
  <c r="M61" i="5" s="1"/>
  <c r="Y14" i="5"/>
  <c r="T149" i="5"/>
  <c r="S158" i="5"/>
  <c r="Y158" i="5"/>
  <c r="L196" i="5"/>
  <c r="J196" i="5"/>
  <c r="J255" i="5"/>
  <c r="J16" i="5" s="1"/>
  <c r="N254" i="5"/>
  <c r="T339" i="5"/>
  <c r="T364" i="5"/>
  <c r="T416" i="5"/>
  <c r="S346" i="5"/>
  <c r="O346" i="5"/>
  <c r="O325" i="5" s="1"/>
  <c r="O320" i="5" s="1"/>
  <c r="O312" i="5" s="1"/>
  <c r="K346" i="5"/>
  <c r="K325" i="5" s="1"/>
  <c r="K320" i="5" s="1"/>
  <c r="K312" i="5" s="1"/>
  <c r="G346" i="5"/>
  <c r="AB17" i="1"/>
  <c r="S75" i="5"/>
  <c r="H126" i="5"/>
  <c r="I212" i="5"/>
  <c r="T251" i="5"/>
  <c r="J257" i="5"/>
  <c r="Q339" i="5"/>
  <c r="T390" i="5"/>
  <c r="H195" i="5"/>
  <c r="Q239" i="5"/>
  <c r="G370" i="5"/>
  <c r="G363" i="5" s="1"/>
  <c r="L370" i="5"/>
  <c r="R370" i="5"/>
  <c r="Y370" i="5"/>
  <c r="Y363" i="5" s="1"/>
  <c r="Y407" i="5"/>
  <c r="M346" i="5"/>
  <c r="I346" i="5"/>
  <c r="V325" i="5"/>
  <c r="V320" i="5" s="1"/>
  <c r="V312" i="5" s="1"/>
  <c r="O29" i="5"/>
  <c r="S46" i="5"/>
  <c r="V63" i="5"/>
  <c r="V61" i="5" s="1"/>
  <c r="L107" i="5"/>
  <c r="N195" i="5"/>
  <c r="I205" i="5"/>
  <c r="I257" i="5"/>
  <c r="K257" i="5"/>
  <c r="M254" i="5"/>
  <c r="R320" i="5"/>
  <c r="R312" i="5" s="1"/>
  <c r="M370" i="5"/>
  <c r="J407" i="5"/>
  <c r="S407" i="5"/>
  <c r="P346" i="5"/>
  <c r="L346" i="5"/>
  <c r="H346" i="5"/>
  <c r="R325" i="5"/>
  <c r="Z23" i="1"/>
  <c r="AB287" i="1"/>
  <c r="Z294" i="1"/>
  <c r="AB325" i="1"/>
  <c r="AB337" i="1"/>
  <c r="AB317" i="1" s="1"/>
  <c r="AB312" i="1" s="1"/>
  <c r="AB304" i="1" s="1"/>
  <c r="V18" i="6"/>
  <c r="G18" i="6"/>
  <c r="M18" i="6"/>
  <c r="O18" i="6"/>
  <c r="S18" i="6"/>
  <c r="V14" i="6"/>
  <c r="U19" i="6"/>
  <c r="L143" i="6"/>
  <c r="L142" i="6" s="1"/>
  <c r="N18" i="6"/>
  <c r="P18" i="6"/>
  <c r="R18" i="6"/>
  <c r="U18" i="6"/>
  <c r="Z333" i="1"/>
  <c r="AB359" i="1"/>
  <c r="AB352" i="1" s="1"/>
  <c r="Z288" i="1"/>
  <c r="Z305" i="1"/>
  <c r="Z326" i="1"/>
  <c r="Z402" i="1"/>
  <c r="Z133" i="1"/>
  <c r="AA159" i="1"/>
  <c r="AA149" i="1" s="1"/>
  <c r="AA148" i="1" s="1"/>
  <c r="AA283" i="1"/>
  <c r="Z284" i="1"/>
  <c r="AB283" i="1"/>
  <c r="Z379" i="1"/>
  <c r="AB401" i="1"/>
  <c r="Z213" i="1"/>
  <c r="Z252" i="1"/>
  <c r="AA255" i="1"/>
  <c r="AA251" i="1" s="1"/>
  <c r="Z313" i="1"/>
  <c r="AA325" i="1"/>
  <c r="AA317" i="1" s="1"/>
  <c r="AA312" i="1" s="1"/>
  <c r="AA304" i="1" s="1"/>
  <c r="Z369" i="1"/>
  <c r="AB119" i="1"/>
  <c r="AB118" i="1" s="1"/>
  <c r="AB108" i="1"/>
  <c r="Z88" i="1"/>
  <c r="Z85" i="1" s="1"/>
  <c r="Z97" i="1"/>
  <c r="Z114" i="1"/>
  <c r="Z111" i="1" s="1"/>
  <c r="Z108" i="1" s="1"/>
  <c r="Z150" i="1"/>
  <c r="AB159" i="1"/>
  <c r="Z162" i="1"/>
  <c r="Z172" i="1"/>
  <c r="AB178" i="1"/>
  <c r="AA196" i="1"/>
  <c r="AA178" i="1" s="1"/>
  <c r="Z197" i="1"/>
  <c r="Z206" i="1"/>
  <c r="Z258" i="1"/>
  <c r="Z331" i="1"/>
  <c r="Z325" i="1" s="1"/>
  <c r="Z317" i="1" s="1"/>
  <c r="AA359" i="1"/>
  <c r="AA352" i="1" s="1"/>
  <c r="Z360" i="1"/>
  <c r="Z407" i="1"/>
  <c r="AB149" i="1"/>
  <c r="AB398" i="1"/>
  <c r="Z64" i="1"/>
  <c r="Z62" i="1" s="1"/>
  <c r="Z46" i="1"/>
  <c r="AA53" i="1"/>
  <c r="AA52" i="1" s="1"/>
  <c r="Z71" i="1"/>
  <c r="AA76" i="1"/>
  <c r="AA70" i="1" s="1"/>
  <c r="Z77" i="1"/>
  <c r="AA111" i="1"/>
  <c r="AA108" i="1" s="1"/>
  <c r="Z122" i="1"/>
  <c r="Z119" i="1" s="1"/>
  <c r="Z118" i="1" s="1"/>
  <c r="Z128" i="1"/>
  <c r="Z137" i="1"/>
  <c r="AA243" i="1"/>
  <c r="AA240" i="1" s="1"/>
  <c r="Z244" i="1"/>
  <c r="Z243" i="1" s="1"/>
  <c r="Z240" i="1" s="1"/>
  <c r="AA410" i="1"/>
  <c r="AA401" i="1" s="1"/>
  <c r="AA398" i="1" s="1"/>
  <c r="Z29" i="1"/>
  <c r="AB127" i="1"/>
  <c r="AA28" i="1"/>
  <c r="Z53" i="1"/>
  <c r="Z52" i="1" s="1"/>
  <c r="AB62" i="1"/>
  <c r="AB76" i="1"/>
  <c r="AB70" i="1" s="1"/>
  <c r="AB18" i="1"/>
  <c r="Z159" i="1"/>
  <c r="Z149" i="1" s="1"/>
  <c r="AA137" i="1"/>
  <c r="AA132" i="1" s="1"/>
  <c r="AA127" i="1" s="1"/>
  <c r="G172" i="6"/>
  <c r="G171" i="6" s="1"/>
  <c r="L172" i="6"/>
  <c r="L171" i="6" s="1"/>
  <c r="R172" i="6"/>
  <c r="R171" i="6" s="1"/>
  <c r="Y172" i="6"/>
  <c r="Y171" i="6" s="1"/>
  <c r="AA346" i="5"/>
  <c r="J53" i="5"/>
  <c r="J52" i="5" s="1"/>
  <c r="O63" i="5"/>
  <c r="O61" i="5" s="1"/>
  <c r="S14" i="5"/>
  <c r="I46" i="5"/>
  <c r="T63" i="5"/>
  <c r="T61" i="5" s="1"/>
  <c r="Y75" i="5"/>
  <c r="Y69" i="5" s="1"/>
  <c r="G107" i="5"/>
  <c r="S107" i="5"/>
  <c r="T295" i="5"/>
  <c r="T291" i="5" s="1"/>
  <c r="S63" i="5"/>
  <c r="S61" i="5" s="1"/>
  <c r="P14" i="5"/>
  <c r="I255" i="5"/>
  <c r="I16" i="5" s="1"/>
  <c r="K256" i="5"/>
  <c r="K255" i="5" s="1"/>
  <c r="K16" i="5" s="1"/>
  <c r="T76" i="5"/>
  <c r="Q75" i="5"/>
  <c r="R131" i="5"/>
  <c r="R126" i="5" s="1"/>
  <c r="G195" i="5"/>
  <c r="G177" i="5" s="1"/>
  <c r="R363" i="5"/>
  <c r="O295" i="5"/>
  <c r="O291" i="5" s="1"/>
  <c r="M363" i="5"/>
  <c r="J14" i="5"/>
  <c r="U14" i="5"/>
  <c r="M46" i="5"/>
  <c r="G46" i="5"/>
  <c r="O46" i="5"/>
  <c r="G63" i="5"/>
  <c r="G61" i="5" s="1"/>
  <c r="K63" i="5"/>
  <c r="K61" i="5" s="1"/>
  <c r="P110" i="5"/>
  <c r="P107" i="5" s="1"/>
  <c r="Q113" i="5"/>
  <c r="Q110" i="5" s="1"/>
  <c r="Q107" i="5" s="1"/>
  <c r="T132" i="5"/>
  <c r="I131" i="5"/>
  <c r="I126" i="5" s="1"/>
  <c r="V131" i="5"/>
  <c r="V126" i="5" s="1"/>
  <c r="P158" i="5"/>
  <c r="P148" i="5" s="1"/>
  <c r="Z176" i="5"/>
  <c r="T171" i="5"/>
  <c r="Z175" i="5"/>
  <c r="Y195" i="5"/>
  <c r="Y177" i="5" s="1"/>
  <c r="T196" i="5"/>
  <c r="L205" i="5"/>
  <c r="T212" i="5"/>
  <c r="Q212" i="5"/>
  <c r="H242" i="5"/>
  <c r="H239" i="5" s="1"/>
  <c r="U254" i="5"/>
  <c r="Y295" i="5"/>
  <c r="Y291" i="5" s="1"/>
  <c r="Q334" i="5"/>
  <c r="Q333" i="5" s="1"/>
  <c r="Q364" i="5"/>
  <c r="N371" i="5"/>
  <c r="H110" i="5"/>
  <c r="H107" i="5" s="1"/>
  <c r="R110" i="5"/>
  <c r="R107" i="5" s="1"/>
  <c r="Y110" i="5"/>
  <c r="P254" i="5"/>
  <c r="P250" i="5" s="1"/>
  <c r="N250" i="5"/>
  <c r="G333" i="5"/>
  <c r="G325" i="5" s="1"/>
  <c r="O18" i="5"/>
  <c r="R53" i="5"/>
  <c r="R52" i="5" s="1"/>
  <c r="G75" i="5"/>
  <c r="G69" i="5" s="1"/>
  <c r="I76" i="5"/>
  <c r="M75" i="5"/>
  <c r="M110" i="5"/>
  <c r="I110" i="5"/>
  <c r="I107" i="5" s="1"/>
  <c r="J161" i="5"/>
  <c r="M158" i="5"/>
  <c r="M148" i="5" s="1"/>
  <c r="S195" i="5"/>
  <c r="S177" i="5" s="1"/>
  <c r="K272" i="5"/>
  <c r="K264" i="5" s="1"/>
  <c r="S295" i="5"/>
  <c r="S291" i="5" s="1"/>
  <c r="R295" i="5"/>
  <c r="R291" i="5" s="1"/>
  <c r="V295" i="5"/>
  <c r="V291" i="5" s="1"/>
  <c r="J333" i="5"/>
  <c r="N333" i="5"/>
  <c r="U333" i="5"/>
  <c r="T334" i="5"/>
  <c r="T333" i="5" s="1"/>
  <c r="I333" i="5"/>
  <c r="I325" i="5" s="1"/>
  <c r="M333" i="5"/>
  <c r="V370" i="5"/>
  <c r="V363" i="5" s="1"/>
  <c r="T380" i="5"/>
  <c r="N390" i="5"/>
  <c r="Q390" i="5"/>
  <c r="P410" i="5"/>
  <c r="N416" i="5"/>
  <c r="N419" i="5"/>
  <c r="V17" i="5"/>
  <c r="L28" i="5"/>
  <c r="L22" i="5" s="1"/>
  <c r="H28" i="5"/>
  <c r="S69" i="5"/>
  <c r="G53" i="5"/>
  <c r="G52" i="5" s="1"/>
  <c r="T96" i="5"/>
  <c r="Y107" i="5"/>
  <c r="O118" i="5"/>
  <c r="O117" i="5" s="1"/>
  <c r="K254" i="5"/>
  <c r="K250" i="5" s="1"/>
  <c r="H291" i="5"/>
  <c r="P333" i="5"/>
  <c r="Y17" i="5"/>
  <c r="R18" i="5"/>
  <c r="M14" i="5"/>
  <c r="V75" i="5"/>
  <c r="V69" i="5" s="1"/>
  <c r="T113" i="5"/>
  <c r="T110" i="5" s="1"/>
  <c r="T107" i="5" s="1"/>
  <c r="T127" i="5"/>
  <c r="L136" i="5"/>
  <c r="L131" i="5" s="1"/>
  <c r="L126" i="5" s="1"/>
  <c r="Q136" i="5"/>
  <c r="V158" i="5"/>
  <c r="V148" i="5" s="1"/>
  <c r="T161" i="5"/>
  <c r="T158" i="5" s="1"/>
  <c r="T148" i="5" s="1"/>
  <c r="Q171" i="5"/>
  <c r="T178" i="5"/>
  <c r="O195" i="5"/>
  <c r="O177" i="5" s="1"/>
  <c r="U195" i="5"/>
  <c r="U177" i="5" s="1"/>
  <c r="R195" i="5"/>
  <c r="R177" i="5" s="1"/>
  <c r="Q257" i="5"/>
  <c r="R254" i="5"/>
  <c r="R250" i="5" s="1"/>
  <c r="J296" i="5"/>
  <c r="J295" i="5" s="1"/>
  <c r="J291" i="5" s="1"/>
  <c r="H333" i="5"/>
  <c r="H325" i="5" s="1"/>
  <c r="H320" i="5" s="1"/>
  <c r="H312" i="5" s="1"/>
  <c r="L333" i="5"/>
  <c r="K363" i="5"/>
  <c r="O370" i="5"/>
  <c r="O363" i="5" s="1"/>
  <c r="N380" i="5"/>
  <c r="N370" i="5" s="1"/>
  <c r="N363" i="5" s="1"/>
  <c r="Q380" i="5"/>
  <c r="I370" i="5"/>
  <c r="I363" i="5" s="1"/>
  <c r="T411" i="5"/>
  <c r="L420" i="5"/>
  <c r="L419" i="5" s="1"/>
  <c r="H419" i="5"/>
  <c r="H410" i="5" s="1"/>
  <c r="H407" i="5" s="1"/>
  <c r="T420" i="5"/>
  <c r="T419" i="5" s="1"/>
  <c r="U419" i="5"/>
  <c r="U410" i="5" s="1"/>
  <c r="U407" i="5" s="1"/>
  <c r="N158" i="5"/>
  <c r="N148" i="5" s="1"/>
  <c r="I249" i="5"/>
  <c r="I248" i="5" s="1"/>
  <c r="J248" i="5"/>
  <c r="K419" i="5"/>
  <c r="N29" i="5"/>
  <c r="N28" i="5" s="1"/>
  <c r="O107" i="5"/>
  <c r="G118" i="5"/>
  <c r="G117" i="5" s="1"/>
  <c r="P291" i="5"/>
  <c r="K411" i="5"/>
  <c r="H23" i="5"/>
  <c r="M28" i="5"/>
  <c r="M22" i="5" s="1"/>
  <c r="O28" i="5"/>
  <c r="O22" i="5" s="1"/>
  <c r="J29" i="5"/>
  <c r="J28" i="5" s="1"/>
  <c r="J22" i="5" s="1"/>
  <c r="Y18" i="5"/>
  <c r="V46" i="5"/>
  <c r="V28" i="5" s="1"/>
  <c r="V22" i="5" s="1"/>
  <c r="Q69" i="5"/>
  <c r="G17" i="5"/>
  <c r="P28" i="5"/>
  <c r="P22" i="5" s="1"/>
  <c r="K31" i="5"/>
  <c r="K29" i="5" s="1"/>
  <c r="K28" i="5" s="1"/>
  <c r="Q46" i="5"/>
  <c r="T56" i="5"/>
  <c r="T53" i="5" s="1"/>
  <c r="T52" i="5" s="1"/>
  <c r="Q56" i="5"/>
  <c r="R14" i="5"/>
  <c r="O75" i="5"/>
  <c r="O69" i="5" s="1"/>
  <c r="L84" i="5"/>
  <c r="N110" i="5"/>
  <c r="G158" i="5"/>
  <c r="G148" i="5" s="1"/>
  <c r="N177" i="5"/>
  <c r="O242" i="5"/>
  <c r="O239" i="5" s="1"/>
  <c r="S242" i="5"/>
  <c r="S239" i="5" s="1"/>
  <c r="I243" i="5"/>
  <c r="I242" i="5" s="1"/>
  <c r="I239" i="5" s="1"/>
  <c r="Q251" i="5"/>
  <c r="H254" i="5"/>
  <c r="H250" i="5" s="1"/>
  <c r="I254" i="5"/>
  <c r="I250" i="5" s="1"/>
  <c r="U291" i="5"/>
  <c r="Q302" i="5"/>
  <c r="S333" i="5"/>
  <c r="J370" i="5"/>
  <c r="J363" i="5" s="1"/>
  <c r="P407" i="5"/>
  <c r="I84" i="5"/>
  <c r="I75" i="5" s="1"/>
  <c r="I69" i="5" s="1"/>
  <c r="T84" i="5"/>
  <c r="T75" i="5" s="1"/>
  <c r="J84" i="5"/>
  <c r="J107" i="5"/>
  <c r="N107" i="5"/>
  <c r="Y118" i="5"/>
  <c r="Y117" i="5" s="1"/>
  <c r="O14" i="5"/>
  <c r="Q127" i="5"/>
  <c r="G131" i="5"/>
  <c r="G126" i="5" s="1"/>
  <c r="U131" i="5"/>
  <c r="U126" i="5" s="1"/>
  <c r="O158" i="5"/>
  <c r="O148" i="5" s="1"/>
  <c r="U158" i="5"/>
  <c r="U148" i="5" s="1"/>
  <c r="U147" i="5" s="1"/>
  <c r="Q161" i="5"/>
  <c r="Q158" i="5" s="1"/>
  <c r="Q148" i="5" s="1"/>
  <c r="I196" i="5"/>
  <c r="I195" i="5" s="1"/>
  <c r="I177" i="5" s="1"/>
  <c r="M250" i="5"/>
  <c r="U250" i="5"/>
  <c r="Y254" i="5"/>
  <c r="Y250" i="5" s="1"/>
  <c r="T257" i="5"/>
  <c r="L296" i="5"/>
  <c r="L295" i="5" s="1"/>
  <c r="L291" i="5" s="1"/>
  <c r="N295" i="5"/>
  <c r="N291" i="5" s="1"/>
  <c r="T313" i="5"/>
  <c r="S363" i="5"/>
  <c r="M410" i="5"/>
  <c r="M407" i="5" s="1"/>
  <c r="U75" i="5"/>
  <c r="U69" i="5" s="1"/>
  <c r="K84" i="5"/>
  <c r="K75" i="5" s="1"/>
  <c r="K69" i="5" s="1"/>
  <c r="M107" i="5"/>
  <c r="U110" i="5"/>
  <c r="U107" i="5" s="1"/>
  <c r="H118" i="5"/>
  <c r="H117" i="5" s="1"/>
  <c r="L118" i="5"/>
  <c r="L117" i="5" s="1"/>
  <c r="P118" i="5"/>
  <c r="P117" i="5" s="1"/>
  <c r="J126" i="5"/>
  <c r="Q132" i="5"/>
  <c r="Q131" i="5" s="1"/>
  <c r="N136" i="5"/>
  <c r="H14" i="5"/>
  <c r="S148" i="5"/>
  <c r="Y148" i="5"/>
  <c r="R158" i="5"/>
  <c r="R148" i="5" s="1"/>
  <c r="R147" i="5" s="1"/>
  <c r="Q178" i="5"/>
  <c r="Q14" i="5" s="1"/>
  <c r="P195" i="5"/>
  <c r="M195" i="5"/>
  <c r="M177" i="5" s="1"/>
  <c r="V195" i="5"/>
  <c r="V177" i="5" s="1"/>
  <c r="Z177" i="5" s="1"/>
  <c r="T205" i="5"/>
  <c r="T195" i="5" s="1"/>
  <c r="T177" i="5" s="1"/>
  <c r="Y242" i="5"/>
  <c r="Y239" i="5" s="1"/>
  <c r="L243" i="5"/>
  <c r="L242" i="5" s="1"/>
  <c r="L239" i="5" s="1"/>
  <c r="J243" i="5"/>
  <c r="J242" i="5" s="1"/>
  <c r="J239" i="5" s="1"/>
  <c r="K243" i="5"/>
  <c r="K242" i="5" s="1"/>
  <c r="K239" i="5" s="1"/>
  <c r="G242" i="5"/>
  <c r="G239" i="5" s="1"/>
  <c r="G264" i="5"/>
  <c r="G254" i="5" s="1"/>
  <c r="G250" i="5" s="1"/>
  <c r="G295" i="5"/>
  <c r="G291" i="5" s="1"/>
  <c r="Q296" i="5"/>
  <c r="Q295" i="5" s="1"/>
  <c r="Q291" i="5" s="1"/>
  <c r="Q321" i="5"/>
  <c r="T371" i="5"/>
  <c r="T370" i="5" s="1"/>
  <c r="T363" i="5" s="1"/>
  <c r="H370" i="5"/>
  <c r="H363" i="5" s="1"/>
  <c r="V410" i="5"/>
  <c r="V407" i="5" s="1"/>
  <c r="L411" i="5"/>
  <c r="O411" i="5"/>
  <c r="O410" i="5" s="1"/>
  <c r="O407" i="5" s="1"/>
  <c r="S172" i="6"/>
  <c r="S171" i="6" s="1"/>
  <c r="J172" i="6"/>
  <c r="J171" i="6" s="1"/>
  <c r="O172" i="6"/>
  <c r="O171" i="6" s="1"/>
  <c r="U172" i="6"/>
  <c r="V172" i="6"/>
  <c r="K172" i="6"/>
  <c r="K171" i="6" s="1"/>
  <c r="P172" i="6"/>
  <c r="P171" i="6" s="1"/>
  <c r="H172" i="6"/>
  <c r="H171" i="6" s="1"/>
  <c r="M172" i="6"/>
  <c r="M171" i="6" s="1"/>
  <c r="I172" i="6"/>
  <c r="I171" i="6" s="1"/>
  <c r="P51" i="6"/>
  <c r="P41" i="6" s="1"/>
  <c r="P88" i="6"/>
  <c r="P70" i="6" s="1"/>
  <c r="I64" i="6"/>
  <c r="T42" i="6"/>
  <c r="L42" i="6"/>
  <c r="L14" i="6" s="1"/>
  <c r="N24" i="6"/>
  <c r="Q98" i="6"/>
  <c r="U88" i="6"/>
  <c r="U70" i="6" s="1"/>
  <c r="H89" i="6"/>
  <c r="H88" i="6" s="1"/>
  <c r="H70" i="6" s="1"/>
  <c r="S155" i="6"/>
  <c r="J25" i="6"/>
  <c r="G24" i="6"/>
  <c r="Q136" i="6"/>
  <c r="I25" i="6"/>
  <c r="M51" i="6"/>
  <c r="M41" i="6" s="1"/>
  <c r="G64" i="6"/>
  <c r="Y24" i="6"/>
  <c r="R24" i="6"/>
  <c r="U133" i="6"/>
  <c r="U132" i="6" s="1"/>
  <c r="K143" i="6"/>
  <c r="K142" i="6" s="1"/>
  <c r="N175" i="6"/>
  <c r="Q105" i="6"/>
  <c r="P133" i="6"/>
  <c r="P132" i="6" s="1"/>
  <c r="K155" i="6"/>
  <c r="K154" i="6" s="1"/>
  <c r="K153" i="6" s="1"/>
  <c r="K24" i="6"/>
  <c r="S24" i="6"/>
  <c r="T71" i="6"/>
  <c r="T98" i="6"/>
  <c r="L98" i="6"/>
  <c r="V24" i="6"/>
  <c r="V23" i="6" s="1"/>
  <c r="S51" i="6"/>
  <c r="S41" i="6" s="1"/>
  <c r="U51" i="6"/>
  <c r="U41" i="6" s="1"/>
  <c r="Z69" i="6"/>
  <c r="T64" i="6"/>
  <c r="N88" i="6"/>
  <c r="N70" i="6" s="1"/>
  <c r="R88" i="6"/>
  <c r="R70" i="6" s="1"/>
  <c r="I98" i="6"/>
  <c r="N133" i="6"/>
  <c r="N132" i="6" s="1"/>
  <c r="N155" i="6"/>
  <c r="N19" i="6" s="1"/>
  <c r="Y51" i="6"/>
  <c r="Y41" i="6" s="1"/>
  <c r="U24" i="6"/>
  <c r="U23" i="6" s="1"/>
  <c r="Q54" i="6"/>
  <c r="Q18" i="6" s="1"/>
  <c r="Z68" i="6"/>
  <c r="O143" i="6"/>
  <c r="O142" i="6" s="1"/>
  <c r="O133" i="6" s="1"/>
  <c r="O132" i="6" s="1"/>
  <c r="N173" i="6"/>
  <c r="N17" i="6" s="1"/>
  <c r="J155" i="6"/>
  <c r="J19" i="6" s="1"/>
  <c r="R155" i="6"/>
  <c r="R154" i="6" s="1"/>
  <c r="R153" i="6" s="1"/>
  <c r="O24" i="6"/>
  <c r="O51" i="6"/>
  <c r="O41" i="6" s="1"/>
  <c r="T54" i="6"/>
  <c r="T18" i="6" s="1"/>
  <c r="Q71" i="6"/>
  <c r="Q14" i="6" s="1"/>
  <c r="Y88" i="6"/>
  <c r="Y70" i="6" s="1"/>
  <c r="L89" i="6"/>
  <c r="L17" i="6" s="1"/>
  <c r="T89" i="6"/>
  <c r="M24" i="6"/>
  <c r="R51" i="6"/>
  <c r="R41" i="6" s="1"/>
  <c r="R40" i="6" s="1"/>
  <c r="H54" i="6"/>
  <c r="H51" i="6" s="1"/>
  <c r="H41" i="6" s="1"/>
  <c r="Q64" i="6"/>
  <c r="G88" i="6"/>
  <c r="G70" i="6" s="1"/>
  <c r="S88" i="6"/>
  <c r="S70" i="6" s="1"/>
  <c r="I89" i="6"/>
  <c r="M133" i="6"/>
  <c r="M132" i="6" s="1"/>
  <c r="R133" i="6"/>
  <c r="R132" i="6" s="1"/>
  <c r="Q175" i="6"/>
  <c r="T175" i="6"/>
  <c r="N51" i="6"/>
  <c r="N41" i="6" s="1"/>
  <c r="J54" i="6"/>
  <c r="J51" i="6" s="1"/>
  <c r="J41" i="6" s="1"/>
  <c r="O88" i="6"/>
  <c r="O70" i="6" s="1"/>
  <c r="J89" i="6"/>
  <c r="J88" i="6" s="1"/>
  <c r="J70" i="6" s="1"/>
  <c r="I105" i="6"/>
  <c r="K136" i="6"/>
  <c r="K17" i="6" s="1"/>
  <c r="H155" i="6"/>
  <c r="H19" i="6" s="1"/>
  <c r="L155" i="6"/>
  <c r="L154" i="6" s="1"/>
  <c r="L153" i="6" s="1"/>
  <c r="P155" i="6"/>
  <c r="P154" i="6" s="1"/>
  <c r="P153" i="6" s="1"/>
  <c r="G155" i="6"/>
  <c r="O155" i="6"/>
  <c r="T173" i="6"/>
  <c r="J134" i="6"/>
  <c r="J16" i="6" s="1"/>
  <c r="L135" i="6"/>
  <c r="L134" i="6" s="1"/>
  <c r="L16" i="6" s="1"/>
  <c r="I135" i="6"/>
  <c r="G16" i="6"/>
  <c r="L24" i="6"/>
  <c r="P24" i="6"/>
  <c r="H24" i="6"/>
  <c r="Q24" i="6"/>
  <c r="Q23" i="6" s="1"/>
  <c r="T25" i="6"/>
  <c r="T32" i="6"/>
  <c r="M88" i="6"/>
  <c r="M70" i="6" s="1"/>
  <c r="Q89" i="6"/>
  <c r="L105" i="6"/>
  <c r="L19" i="6" s="1"/>
  <c r="I55" i="6"/>
  <c r="L55" i="6"/>
  <c r="L56" i="6"/>
  <c r="K56" i="6" s="1"/>
  <c r="K88" i="6"/>
  <c r="K70" i="6" s="1"/>
  <c r="H133" i="6"/>
  <c r="H132" i="6" s="1"/>
  <c r="V51" i="6"/>
  <c r="V41" i="6" s="1"/>
  <c r="V88" i="6"/>
  <c r="V70" i="6" s="1"/>
  <c r="Z70" i="6" s="1"/>
  <c r="T105" i="6"/>
  <c r="Y133" i="6"/>
  <c r="Y132" i="6" s="1"/>
  <c r="J136" i="6"/>
  <c r="I136" i="6"/>
  <c r="T136" i="6"/>
  <c r="G142" i="6"/>
  <c r="I155" i="6"/>
  <c r="M155" i="6"/>
  <c r="M154" i="6" s="1"/>
  <c r="M153" i="6" s="1"/>
  <c r="Q155" i="6"/>
  <c r="Q154" i="6" s="1"/>
  <c r="Q153" i="6" s="1"/>
  <c r="T155" i="6"/>
  <c r="T154" i="6" s="1"/>
  <c r="T153" i="6" s="1"/>
  <c r="Q173" i="6"/>
  <c r="L14" i="5"/>
  <c r="H22" i="5"/>
  <c r="S28" i="5"/>
  <c r="R28" i="5"/>
  <c r="R17" i="5"/>
  <c r="R419" i="5"/>
  <c r="R410" i="5" s="1"/>
  <c r="Q420" i="5"/>
  <c r="Q419" i="5" s="1"/>
  <c r="Q410" i="5" s="1"/>
  <c r="Q407" i="5" s="1"/>
  <c r="P17" i="5"/>
  <c r="G28" i="5"/>
  <c r="T29" i="5"/>
  <c r="M69" i="5"/>
  <c r="L254" i="5"/>
  <c r="L250" i="5" s="1"/>
  <c r="L16" i="5"/>
  <c r="N411" i="5"/>
  <c r="N410" i="5" s="1"/>
  <c r="N407" i="5" s="1"/>
  <c r="I14" i="5"/>
  <c r="U17" i="5"/>
  <c r="Y28" i="5"/>
  <c r="Q29" i="5"/>
  <c r="T31" i="5"/>
  <c r="G18" i="5"/>
  <c r="U28" i="5"/>
  <c r="Y19" i="5"/>
  <c r="H53" i="5"/>
  <c r="H52" i="5" s="1"/>
  <c r="M53" i="5"/>
  <c r="M52" i="5" s="1"/>
  <c r="M18" i="5"/>
  <c r="Q53" i="5"/>
  <c r="Q52" i="5" s="1"/>
  <c r="Q18" i="5"/>
  <c r="L63" i="5"/>
  <c r="T70" i="5"/>
  <c r="H17" i="5"/>
  <c r="I118" i="5"/>
  <c r="I117" i="5" s="1"/>
  <c r="L162" i="5"/>
  <c r="L161" i="5" s="1"/>
  <c r="L18" i="5" s="1"/>
  <c r="I162" i="5"/>
  <c r="H161" i="5"/>
  <c r="H158" i="5" s="1"/>
  <c r="H148" i="5" s="1"/>
  <c r="J195" i="5"/>
  <c r="J177" i="5" s="1"/>
  <c r="S285" i="5"/>
  <c r="Q285" i="5" s="1"/>
  <c r="O272" i="5"/>
  <c r="O264" i="5" s="1"/>
  <c r="O254" i="5" s="1"/>
  <c r="O250" i="5" s="1"/>
  <c r="G320" i="5"/>
  <c r="G312" i="5" s="1"/>
  <c r="G410" i="5"/>
  <c r="G407" i="5" s="1"/>
  <c r="G22" i="5"/>
  <c r="N14" i="5"/>
  <c r="I410" i="5"/>
  <c r="I407" i="5" s="1"/>
  <c r="S16" i="5"/>
  <c r="Y16" i="5"/>
  <c r="U18" i="5"/>
  <c r="V14" i="5"/>
  <c r="J18" i="5"/>
  <c r="S18" i="5"/>
  <c r="L75" i="5"/>
  <c r="L69" i="5" s="1"/>
  <c r="P75" i="5"/>
  <c r="P69" i="5" s="1"/>
  <c r="V107" i="5"/>
  <c r="Q118" i="5"/>
  <c r="Q117" i="5" s="1"/>
  <c r="P126" i="5"/>
  <c r="T23" i="5"/>
  <c r="I29" i="5"/>
  <c r="V18" i="5"/>
  <c r="T46" i="5"/>
  <c r="K53" i="5"/>
  <c r="K52" i="5" s="1"/>
  <c r="O53" i="5"/>
  <c r="S53" i="5"/>
  <c r="S52" i="5" s="1"/>
  <c r="Y53" i="5"/>
  <c r="Y52" i="5" s="1"/>
  <c r="I57" i="5"/>
  <c r="I56" i="5" s="1"/>
  <c r="I53" i="5" s="1"/>
  <c r="I52" i="5" s="1"/>
  <c r="J75" i="5"/>
  <c r="J69" i="5" s="1"/>
  <c r="N75" i="5"/>
  <c r="N69" i="5" s="1"/>
  <c r="R75" i="5"/>
  <c r="R69" i="5" s="1"/>
  <c r="T118" i="5"/>
  <c r="T117" i="5" s="1"/>
  <c r="O131" i="5"/>
  <c r="O126" i="5" s="1"/>
  <c r="T143" i="5"/>
  <c r="T136" i="5" s="1"/>
  <c r="T131" i="5" s="1"/>
  <c r="I171" i="5"/>
  <c r="I298" i="5"/>
  <c r="I296" i="5" s="1"/>
  <c r="I295" i="5" s="1"/>
  <c r="I291" i="5" s="1"/>
  <c r="K299" i="5"/>
  <c r="K296" i="5" s="1"/>
  <c r="K295" i="5" s="1"/>
  <c r="K291" i="5" s="1"/>
  <c r="L363" i="5"/>
  <c r="O17" i="5"/>
  <c r="N18" i="5"/>
  <c r="H69" i="5"/>
  <c r="S126" i="5"/>
  <c r="Y126" i="5"/>
  <c r="K131" i="5"/>
  <c r="K126" i="5" s="1"/>
  <c r="J158" i="5"/>
  <c r="J148" i="5" s="1"/>
  <c r="R407" i="5"/>
  <c r="K111" i="5"/>
  <c r="K110" i="5" s="1"/>
  <c r="K107" i="5" s="1"/>
  <c r="K195" i="5"/>
  <c r="K177" i="5" s="1"/>
  <c r="Q196" i="5"/>
  <c r="Q195" i="5" s="1"/>
  <c r="Q177" i="5" s="1"/>
  <c r="L212" i="5"/>
  <c r="L195" i="5" s="1"/>
  <c r="L177" i="5" s="1"/>
  <c r="P370" i="5"/>
  <c r="P363" i="5" s="1"/>
  <c r="H177" i="5"/>
  <c r="P177" i="5"/>
  <c r="J254" i="5"/>
  <c r="J250" i="5" s="1"/>
  <c r="E20" i="2"/>
  <c r="D20" i="2"/>
  <c r="Q148" i="4"/>
  <c r="T148" i="4"/>
  <c r="Y44" i="1"/>
  <c r="V44" i="1"/>
  <c r="U44" i="1"/>
  <c r="S44" i="1"/>
  <c r="R44" i="1"/>
  <c r="Q44" i="1"/>
  <c r="P44" i="1"/>
  <c r="O44" i="1"/>
  <c r="N44" i="1"/>
  <c r="M44" i="1"/>
  <c r="J44" i="1"/>
  <c r="I44" i="1"/>
  <c r="H44" i="1"/>
  <c r="G44" i="1"/>
  <c r="T126" i="5" l="1"/>
  <c r="U325" i="5"/>
  <c r="U320" i="5" s="1"/>
  <c r="Z287" i="1"/>
  <c r="M325" i="5"/>
  <c r="M320" i="5" s="1"/>
  <c r="N325" i="5"/>
  <c r="N320" i="5" s="1"/>
  <c r="N312" i="5" s="1"/>
  <c r="L325" i="5"/>
  <c r="L320" i="5" s="1"/>
  <c r="L312" i="5" s="1"/>
  <c r="P325" i="5"/>
  <c r="P19" i="5" s="1"/>
  <c r="I320" i="5"/>
  <c r="I312" i="5" s="1"/>
  <c r="J325" i="5"/>
  <c r="J320" i="5" s="1"/>
  <c r="Q320" i="5"/>
  <c r="Q312" i="5" s="1"/>
  <c r="S325" i="5"/>
  <c r="S320" i="5" s="1"/>
  <c r="S312" i="5" s="1"/>
  <c r="T325" i="5"/>
  <c r="T320" i="5" s="1"/>
  <c r="T312" i="5" s="1"/>
  <c r="Q325" i="5"/>
  <c r="Z28" i="1"/>
  <c r="Z14" i="1"/>
  <c r="Z401" i="1"/>
  <c r="Z398" i="1" s="1"/>
  <c r="Z283" i="1"/>
  <c r="Z18" i="1"/>
  <c r="I19" i="6"/>
  <c r="V20" i="6"/>
  <c r="X20" i="6" s="1"/>
  <c r="K19" i="6"/>
  <c r="T14" i="6"/>
  <c r="J18" i="6"/>
  <c r="J17" i="6"/>
  <c r="Z196" i="1"/>
  <c r="Z178" i="1" s="1"/>
  <c r="Z132" i="1"/>
  <c r="Z127" i="1" s="1"/>
  <c r="Z359" i="1"/>
  <c r="Z352" i="1" s="1"/>
  <c r="Z312" i="1"/>
  <c r="Z304" i="1" s="1"/>
  <c r="Z17" i="1"/>
  <c r="Z76" i="1"/>
  <c r="Z70" i="1" s="1"/>
  <c r="AA22" i="1"/>
  <c r="AA13" i="1" s="1"/>
  <c r="AA12" i="1" s="1"/>
  <c r="AA15" i="1"/>
  <c r="Z22" i="1"/>
  <c r="AA19" i="1"/>
  <c r="O23" i="6"/>
  <c r="Y20" i="6"/>
  <c r="U40" i="6"/>
  <c r="U20" i="6"/>
  <c r="G23" i="6"/>
  <c r="M23" i="6"/>
  <c r="M13" i="6" s="1"/>
  <c r="M15" i="6"/>
  <c r="M19" i="6"/>
  <c r="R19" i="6"/>
  <c r="L23" i="6"/>
  <c r="S23" i="6"/>
  <c r="R23" i="6"/>
  <c r="R13" i="6" s="1"/>
  <c r="R12" i="6" s="1"/>
  <c r="R15" i="6"/>
  <c r="I17" i="6"/>
  <c r="N23" i="6"/>
  <c r="P19" i="6"/>
  <c r="H18" i="6"/>
  <c r="H23" i="6"/>
  <c r="G51" i="6"/>
  <c r="G41" i="6" s="1"/>
  <c r="G19" i="6"/>
  <c r="P23" i="6"/>
  <c r="P13" i="6" s="1"/>
  <c r="P15" i="6"/>
  <c r="K23" i="6"/>
  <c r="Y23" i="6"/>
  <c r="Y15" i="6"/>
  <c r="H17" i="6"/>
  <c r="O19" i="6"/>
  <c r="V171" i="6"/>
  <c r="T17" i="6"/>
  <c r="U171" i="6"/>
  <c r="U13" i="6" s="1"/>
  <c r="U15" i="6"/>
  <c r="Q17" i="6"/>
  <c r="O154" i="6"/>
  <c r="O153" i="6" s="1"/>
  <c r="J154" i="6"/>
  <c r="J153" i="6" s="1"/>
  <c r="H154" i="6"/>
  <c r="H153" i="6" s="1"/>
  <c r="S154" i="6"/>
  <c r="S153" i="6" s="1"/>
  <c r="G154" i="6"/>
  <c r="G153" i="6" s="1"/>
  <c r="I154" i="6"/>
  <c r="I153" i="6" s="1"/>
  <c r="N154" i="6"/>
  <c r="N153" i="6" s="1"/>
  <c r="AA156" i="6"/>
  <c r="V155" i="6"/>
  <c r="H18" i="5"/>
  <c r="N19" i="5"/>
  <c r="T410" i="5"/>
  <c r="T407" i="5" s="1"/>
  <c r="U19" i="5"/>
  <c r="R19" i="5"/>
  <c r="T18" i="5"/>
  <c r="Q370" i="5"/>
  <c r="Q363" i="5" s="1"/>
  <c r="J19" i="5"/>
  <c r="M19" i="5"/>
  <c r="N17" i="5"/>
  <c r="Z148" i="5"/>
  <c r="Z147" i="5" s="1"/>
  <c r="L410" i="5"/>
  <c r="L407" i="5" s="1"/>
  <c r="Q126" i="5"/>
  <c r="L19" i="5"/>
  <c r="J17" i="5"/>
  <c r="K410" i="5"/>
  <c r="K407" i="5" s="1"/>
  <c r="G19" i="5"/>
  <c r="K19" i="5"/>
  <c r="O19" i="5"/>
  <c r="I19" i="5"/>
  <c r="N131" i="5"/>
  <c r="N126" i="5" s="1"/>
  <c r="L17" i="5"/>
  <c r="Q172" i="6"/>
  <c r="Q171" i="6" s="1"/>
  <c r="T172" i="6"/>
  <c r="T171" i="6" s="1"/>
  <c r="N172" i="6"/>
  <c r="N171" i="6" s="1"/>
  <c r="I24" i="6"/>
  <c r="J24" i="6"/>
  <c r="Q88" i="6"/>
  <c r="Q70" i="6" s="1"/>
  <c r="Q51" i="6"/>
  <c r="Q41" i="6" s="1"/>
  <c r="T51" i="6"/>
  <c r="T41" i="6" s="1"/>
  <c r="I88" i="6"/>
  <c r="I70" i="6" s="1"/>
  <c r="L88" i="6"/>
  <c r="L70" i="6" s="1"/>
  <c r="T88" i="6"/>
  <c r="T70" i="6" s="1"/>
  <c r="T24" i="6"/>
  <c r="J133" i="6"/>
  <c r="J132" i="6" s="1"/>
  <c r="Z41" i="6"/>
  <c r="Z40" i="6" s="1"/>
  <c r="L54" i="6"/>
  <c r="L18" i="6" s="1"/>
  <c r="L133" i="6"/>
  <c r="L132" i="6" s="1"/>
  <c r="I54" i="6"/>
  <c r="I18" i="6" s="1"/>
  <c r="K55" i="6"/>
  <c r="K54" i="6" s="1"/>
  <c r="K18" i="6" s="1"/>
  <c r="S143" i="6"/>
  <c r="S142" i="6" s="1"/>
  <c r="S19" i="6" s="1"/>
  <c r="G133" i="6"/>
  <c r="G132" i="6" s="1"/>
  <c r="K135" i="6"/>
  <c r="K134" i="6" s="1"/>
  <c r="K16" i="6" s="1"/>
  <c r="I134" i="6"/>
  <c r="I16" i="6" s="1"/>
  <c r="V285" i="5"/>
  <c r="Q272" i="5"/>
  <c r="Q264" i="5" s="1"/>
  <c r="L61" i="5"/>
  <c r="Y22" i="5"/>
  <c r="Y13" i="5" s="1"/>
  <c r="Y15" i="5"/>
  <c r="H19" i="5"/>
  <c r="T17" i="5"/>
  <c r="T28" i="5"/>
  <c r="K17" i="5"/>
  <c r="S22" i="5"/>
  <c r="O52" i="5"/>
  <c r="O13" i="5" s="1"/>
  <c r="O15" i="5"/>
  <c r="I17" i="5"/>
  <c r="I28" i="5"/>
  <c r="U22" i="5"/>
  <c r="N22" i="5"/>
  <c r="T69" i="5"/>
  <c r="G15" i="5"/>
  <c r="L158" i="5"/>
  <c r="L148" i="5" s="1"/>
  <c r="H15" i="5"/>
  <c r="S272" i="5"/>
  <c r="S264" i="5" s="1"/>
  <c r="T14" i="5"/>
  <c r="G13" i="5"/>
  <c r="K162" i="5"/>
  <c r="K161" i="5" s="1"/>
  <c r="I161" i="5"/>
  <c r="Q17" i="5"/>
  <c r="Q28" i="5"/>
  <c r="K22" i="5"/>
  <c r="R22" i="5"/>
  <c r="R13" i="5" s="1"/>
  <c r="R12" i="5" s="1"/>
  <c r="R15" i="5"/>
  <c r="H13" i="5"/>
  <c r="U144" i="1"/>
  <c r="AE84" i="1"/>
  <c r="AE83" i="1"/>
  <c r="AE82" i="1"/>
  <c r="AE81" i="1"/>
  <c r="AE365" i="1"/>
  <c r="AE391" i="1"/>
  <c r="AE392" i="1"/>
  <c r="AE393" i="1"/>
  <c r="AE394" i="1"/>
  <c r="T146" i="4"/>
  <c r="Q146" i="4"/>
  <c r="N146" i="4"/>
  <c r="T145" i="4"/>
  <c r="Q145" i="4"/>
  <c r="N145" i="4"/>
  <c r="T144" i="4"/>
  <c r="Q144" i="4"/>
  <c r="N144" i="4"/>
  <c r="AE96" i="1"/>
  <c r="AE98" i="1"/>
  <c r="AE107" i="1"/>
  <c r="AE106" i="1"/>
  <c r="AE105" i="1"/>
  <c r="AE104" i="1"/>
  <c r="AE103" i="1"/>
  <c r="AE102" i="1"/>
  <c r="AE257" i="1"/>
  <c r="AE260" i="1"/>
  <c r="AE261" i="1"/>
  <c r="AE262" i="1"/>
  <c r="AE263" i="1"/>
  <c r="AE264" i="1"/>
  <c r="AE390" i="1"/>
  <c r="AE389" i="1"/>
  <c r="AE388" i="1"/>
  <c r="AE387" i="1"/>
  <c r="AE368" i="1"/>
  <c r="I141" i="4"/>
  <c r="J141" i="4"/>
  <c r="K141" i="4"/>
  <c r="J142" i="4"/>
  <c r="I142" i="4" s="1"/>
  <c r="T140" i="4"/>
  <c r="T138" i="4"/>
  <c r="I138" i="4"/>
  <c r="T137" i="4"/>
  <c r="T136" i="4"/>
  <c r="J136" i="4"/>
  <c r="U206" i="1"/>
  <c r="S206" i="1"/>
  <c r="R206" i="1"/>
  <c r="P206" i="1"/>
  <c r="O206" i="1"/>
  <c r="N206" i="1"/>
  <c r="M206" i="1"/>
  <c r="H206" i="1"/>
  <c r="G206" i="1"/>
  <c r="Y206" i="1"/>
  <c r="V206" i="1"/>
  <c r="T135" i="4"/>
  <c r="T134" i="4"/>
  <c r="K134" i="4"/>
  <c r="I134" i="4"/>
  <c r="T133" i="4"/>
  <c r="U265" i="1"/>
  <c r="R273" i="1"/>
  <c r="R265" i="1" s="1"/>
  <c r="P273" i="1"/>
  <c r="P265" i="1" s="1"/>
  <c r="N273" i="1"/>
  <c r="N265" i="1" s="1"/>
  <c r="M273" i="1"/>
  <c r="M265" i="1" s="1"/>
  <c r="J273" i="1"/>
  <c r="J265" i="1" s="1"/>
  <c r="I273" i="1"/>
  <c r="I265" i="1" s="1"/>
  <c r="G273" i="1"/>
  <c r="T132" i="4"/>
  <c r="Q132" i="4"/>
  <c r="I132" i="4"/>
  <c r="I368" i="1"/>
  <c r="T131" i="4"/>
  <c r="Q131" i="4"/>
  <c r="N131" i="4"/>
  <c r="I131" i="4"/>
  <c r="T130" i="4"/>
  <c r="Q130" i="4"/>
  <c r="N130" i="4"/>
  <c r="K130" i="4"/>
  <c r="G130" i="4"/>
  <c r="T400" i="1"/>
  <c r="Q400" i="1"/>
  <c r="T129" i="4"/>
  <c r="K129" i="4"/>
  <c r="H129" i="4"/>
  <c r="L129" i="4" s="1"/>
  <c r="T120" i="4"/>
  <c r="T127" i="4"/>
  <c r="T126" i="4"/>
  <c r="T125" i="4"/>
  <c r="V124" i="4"/>
  <c r="S124" i="4"/>
  <c r="R124" i="4"/>
  <c r="Q124" i="4"/>
  <c r="P124" i="4"/>
  <c r="O124" i="4"/>
  <c r="N124" i="4"/>
  <c r="M124" i="4"/>
  <c r="L124" i="4"/>
  <c r="K124" i="4"/>
  <c r="J124" i="4"/>
  <c r="I124" i="4"/>
  <c r="H124" i="4"/>
  <c r="G124" i="4"/>
  <c r="T123" i="4"/>
  <c r="T122" i="4"/>
  <c r="V121" i="4"/>
  <c r="S121" i="4"/>
  <c r="R121" i="4"/>
  <c r="Q121" i="4"/>
  <c r="P121" i="4"/>
  <c r="O121" i="4"/>
  <c r="N121" i="4"/>
  <c r="M121" i="4"/>
  <c r="L121" i="4"/>
  <c r="K121" i="4"/>
  <c r="J121" i="4"/>
  <c r="I121" i="4"/>
  <c r="H121" i="4"/>
  <c r="G121" i="4"/>
  <c r="Y67" i="1"/>
  <c r="V67" i="1"/>
  <c r="U67" i="1"/>
  <c r="S67" i="1"/>
  <c r="R67" i="1"/>
  <c r="Q67" i="1"/>
  <c r="P67" i="1"/>
  <c r="O67" i="1"/>
  <c r="N67" i="1"/>
  <c r="M67" i="1"/>
  <c r="L67" i="1"/>
  <c r="K67" i="1"/>
  <c r="J67" i="1"/>
  <c r="I67" i="1"/>
  <c r="H67" i="1"/>
  <c r="G67" i="1"/>
  <c r="T42" i="4"/>
  <c r="Q42" i="4"/>
  <c r="N42" i="4"/>
  <c r="K42" i="4"/>
  <c r="T41" i="4"/>
  <c r="Q41" i="4"/>
  <c r="N41" i="4"/>
  <c r="K41" i="4"/>
  <c r="T40" i="4"/>
  <c r="Q40" i="4"/>
  <c r="T38" i="4"/>
  <c r="Q38" i="4"/>
  <c r="T37" i="4"/>
  <c r="Q37" i="4"/>
  <c r="M312" i="5" l="1"/>
  <c r="M13" i="5" s="1"/>
  <c r="M15" i="5"/>
  <c r="U312" i="5"/>
  <c r="U15" i="5"/>
  <c r="J312" i="5"/>
  <c r="J13" i="5" s="1"/>
  <c r="J15" i="5"/>
  <c r="P320" i="5"/>
  <c r="U13" i="5"/>
  <c r="U12" i="5" s="1"/>
  <c r="N13" i="6"/>
  <c r="T20" i="6"/>
  <c r="H13" i="6"/>
  <c r="U21" i="6"/>
  <c r="J23" i="6"/>
  <c r="J13" i="6" s="1"/>
  <c r="J15" i="6"/>
  <c r="G15" i="6"/>
  <c r="I23" i="6"/>
  <c r="Y21" i="6"/>
  <c r="Y13" i="6"/>
  <c r="G13" i="6"/>
  <c r="O15" i="6"/>
  <c r="H15" i="6"/>
  <c r="N15" i="6"/>
  <c r="O13" i="6"/>
  <c r="T23" i="6"/>
  <c r="V154" i="6"/>
  <c r="V153" i="6" s="1"/>
  <c r="N13" i="5"/>
  <c r="N15" i="5"/>
  <c r="K133" i="6"/>
  <c r="K132" i="6" s="1"/>
  <c r="I51" i="6"/>
  <c r="I133" i="6"/>
  <c r="I132" i="6" s="1"/>
  <c r="S133" i="6"/>
  <c r="U12" i="6"/>
  <c r="L51" i="6"/>
  <c r="L15" i="6" s="1"/>
  <c r="Q143" i="6"/>
  <c r="Q142" i="6" s="1"/>
  <c r="Q19" i="6" s="1"/>
  <c r="K51" i="6"/>
  <c r="I22" i="5"/>
  <c r="T285" i="5"/>
  <c r="T272" i="5" s="1"/>
  <c r="T264" i="5" s="1"/>
  <c r="V272" i="5"/>
  <c r="Q22" i="5"/>
  <c r="S254" i="5"/>
  <c r="S19" i="5"/>
  <c r="L13" i="5"/>
  <c r="I158" i="5"/>
  <c r="I148" i="5" s="1"/>
  <c r="I18" i="5"/>
  <c r="Q254" i="5"/>
  <c r="Q250" i="5" s="1"/>
  <c r="Q19" i="5"/>
  <c r="K18" i="5"/>
  <c r="K158" i="5"/>
  <c r="T22" i="5"/>
  <c r="L15" i="5"/>
  <c r="T121" i="4"/>
  <c r="T124" i="4"/>
  <c r="P312" i="5" l="1"/>
  <c r="P13" i="5" s="1"/>
  <c r="P15" i="5"/>
  <c r="I15" i="6"/>
  <c r="K41" i="6"/>
  <c r="K13" i="6" s="1"/>
  <c r="K15" i="6"/>
  <c r="S132" i="6"/>
  <c r="S13" i="6" s="1"/>
  <c r="S12" i="6" s="1"/>
  <c r="S15" i="6"/>
  <c r="Q13" i="5"/>
  <c r="Q12" i="5" s="1"/>
  <c r="I15" i="5"/>
  <c r="I41" i="6"/>
  <c r="I13" i="6" s="1"/>
  <c r="Q133" i="6"/>
  <c r="L41" i="6"/>
  <c r="L13" i="6" s="1"/>
  <c r="T142" i="6"/>
  <c r="T19" i="6" s="1"/>
  <c r="K148" i="5"/>
  <c r="K13" i="5" s="1"/>
  <c r="K15" i="5"/>
  <c r="AA272" i="5"/>
  <c r="AA13" i="5" s="1"/>
  <c r="AB13" i="5" s="1"/>
  <c r="V264" i="5"/>
  <c r="S250" i="5"/>
  <c r="S13" i="5" s="1"/>
  <c r="S12" i="5" s="1"/>
  <c r="S15" i="5"/>
  <c r="T254" i="5"/>
  <c r="T19" i="5"/>
  <c r="Q15" i="5"/>
  <c r="I13" i="5"/>
  <c r="T123" i="1"/>
  <c r="Y265" i="1"/>
  <c r="Q277" i="1"/>
  <c r="K277" i="1"/>
  <c r="Q272" i="1"/>
  <c r="I237" i="1"/>
  <c r="I236" i="1"/>
  <c r="I235" i="1"/>
  <c r="I234" i="1"/>
  <c r="I233" i="1"/>
  <c r="I232" i="1"/>
  <c r="I231" i="1"/>
  <c r="I230" i="1"/>
  <c r="I229" i="1"/>
  <c r="T217" i="1"/>
  <c r="Q217" i="1"/>
  <c r="T188" i="1"/>
  <c r="Q188" i="1"/>
  <c r="N144" i="1"/>
  <c r="N135" i="1"/>
  <c r="Q123" i="1"/>
  <c r="Q132" i="6" l="1"/>
  <c r="Q13" i="6" s="1"/>
  <c r="Q12" i="6" s="1"/>
  <c r="Q15" i="6"/>
  <c r="T133" i="6"/>
  <c r="V142" i="6"/>
  <c r="V19" i="6" s="1"/>
  <c r="AA143" i="6"/>
  <c r="AA13" i="6" s="1"/>
  <c r="AB13" i="6" s="1"/>
  <c r="V254" i="5"/>
  <c r="V19" i="5"/>
  <c r="T250" i="5"/>
  <c r="T13" i="5" s="1"/>
  <c r="T12" i="5" s="1"/>
  <c r="T15" i="5"/>
  <c r="O273" i="1"/>
  <c r="O265" i="1" s="1"/>
  <c r="Y85" i="1"/>
  <c r="T132" i="6" l="1"/>
  <c r="T15" i="6"/>
  <c r="V133" i="6"/>
  <c r="V250" i="5"/>
  <c r="V15" i="5"/>
  <c r="S273" i="1"/>
  <c r="S265" i="1" s="1"/>
  <c r="T117" i="1"/>
  <c r="V114" i="1"/>
  <c r="U114" i="1"/>
  <c r="S114" i="1"/>
  <c r="R114" i="1"/>
  <c r="P114" i="1"/>
  <c r="O114" i="1"/>
  <c r="N114" i="1"/>
  <c r="M114" i="1"/>
  <c r="L114" i="1"/>
  <c r="K114" i="1"/>
  <c r="J114" i="1"/>
  <c r="I114" i="1"/>
  <c r="G114" i="1"/>
  <c r="Z273" i="1" l="1"/>
  <c r="AB273" i="1"/>
  <c r="AB265" i="1" s="1"/>
  <c r="T13" i="6"/>
  <c r="T12" i="6" s="1"/>
  <c r="T21" i="6"/>
  <c r="V132" i="6"/>
  <c r="V15" i="6"/>
  <c r="Z250" i="5"/>
  <c r="V13" i="5"/>
  <c r="V12" i="5" s="1"/>
  <c r="V265" i="1"/>
  <c r="AE273" i="1"/>
  <c r="Q147" i="1"/>
  <c r="Q144" i="1"/>
  <c r="Q101" i="1"/>
  <c r="T101" i="1"/>
  <c r="T348" i="1"/>
  <c r="T341" i="1"/>
  <c r="Q341" i="1"/>
  <c r="T339" i="1"/>
  <c r="Q339" i="1"/>
  <c r="Q336" i="1"/>
  <c r="Q335" i="1"/>
  <c r="Q334" i="1"/>
  <c r="R333" i="1"/>
  <c r="Q332" i="1"/>
  <c r="R331" i="1"/>
  <c r="Q329" i="1"/>
  <c r="R329" i="1"/>
  <c r="Q328" i="1"/>
  <c r="Q327" i="1"/>
  <c r="R326" i="1"/>
  <c r="T328" i="1"/>
  <c r="T327" i="1"/>
  <c r="T329" i="1"/>
  <c r="T332" i="1"/>
  <c r="T335" i="1"/>
  <c r="T334" i="1"/>
  <c r="T336" i="1"/>
  <c r="V333" i="1"/>
  <c r="U333" i="1"/>
  <c r="S333" i="1"/>
  <c r="P333" i="1"/>
  <c r="O333" i="1"/>
  <c r="N333" i="1"/>
  <c r="M333" i="1"/>
  <c r="L333" i="1"/>
  <c r="K333" i="1"/>
  <c r="J333" i="1"/>
  <c r="I333" i="1"/>
  <c r="H333" i="1"/>
  <c r="G333" i="1"/>
  <c r="V331" i="1"/>
  <c r="U331" i="1"/>
  <c r="S331" i="1"/>
  <c r="P331" i="1"/>
  <c r="O331" i="1"/>
  <c r="N331" i="1"/>
  <c r="M331" i="1"/>
  <c r="L331" i="1"/>
  <c r="K331" i="1"/>
  <c r="J331" i="1"/>
  <c r="I331" i="1"/>
  <c r="H331" i="1"/>
  <c r="G331" i="1"/>
  <c r="U329" i="1"/>
  <c r="S329" i="1"/>
  <c r="P329" i="1"/>
  <c r="O329" i="1"/>
  <c r="N329" i="1"/>
  <c r="M329" i="1"/>
  <c r="L329" i="1"/>
  <c r="K329" i="1"/>
  <c r="J329" i="1"/>
  <c r="I329" i="1"/>
  <c r="H329" i="1"/>
  <c r="G329" i="1"/>
  <c r="O327" i="1"/>
  <c r="O326" i="1" s="1"/>
  <c r="V326" i="1"/>
  <c r="U326" i="1"/>
  <c r="S326" i="1"/>
  <c r="P326" i="1"/>
  <c r="N326" i="1"/>
  <c r="M326" i="1"/>
  <c r="L326" i="1"/>
  <c r="K326" i="1"/>
  <c r="J326" i="1"/>
  <c r="I326" i="1"/>
  <c r="H326" i="1"/>
  <c r="G326" i="1"/>
  <c r="T116" i="1"/>
  <c r="Q116" i="1"/>
  <c r="J87" i="1"/>
  <c r="I87" i="1"/>
  <c r="I86" i="1"/>
  <c r="J80" i="1"/>
  <c r="I80" i="1"/>
  <c r="T60" i="1"/>
  <c r="Q60" i="1"/>
  <c r="T49" i="1"/>
  <c r="J40" i="1"/>
  <c r="I40" i="1"/>
  <c r="J39" i="1"/>
  <c r="I39" i="1"/>
  <c r="Z265" i="1" l="1"/>
  <c r="AC273" i="1"/>
  <c r="AB255" i="1"/>
  <c r="AB19" i="1"/>
  <c r="Z255" i="1"/>
  <c r="Z19" i="1"/>
  <c r="V21" i="6"/>
  <c r="X21" i="6" s="1"/>
  <c r="V13" i="6"/>
  <c r="V12" i="6" s="1"/>
  <c r="T331" i="1"/>
  <c r="V325" i="1"/>
  <c r="R325" i="1"/>
  <c r="G325" i="1"/>
  <c r="Q333" i="1"/>
  <c r="S325" i="1"/>
  <c r="K325" i="1"/>
  <c r="I325" i="1"/>
  <c r="M325" i="1"/>
  <c r="O325" i="1"/>
  <c r="J325" i="1"/>
  <c r="N325" i="1"/>
  <c r="U325" i="1"/>
  <c r="U317" i="1" s="1"/>
  <c r="H325" i="1"/>
  <c r="L325" i="1"/>
  <c r="P325" i="1"/>
  <c r="Q331" i="1"/>
  <c r="T326" i="1"/>
  <c r="Q326" i="1"/>
  <c r="T333" i="1"/>
  <c r="Z251" i="1" l="1"/>
  <c r="Z13" i="1" s="1"/>
  <c r="Z12" i="1" s="1"/>
  <c r="Z15" i="1"/>
  <c r="AB251" i="1"/>
  <c r="AB13" i="1" s="1"/>
  <c r="AB12" i="1" s="1"/>
  <c r="AB15" i="1"/>
  <c r="Q325" i="1"/>
  <c r="T325" i="1"/>
  <c r="N380" i="1" l="1"/>
  <c r="Q380" i="1"/>
  <c r="Q384" i="1"/>
  <c r="Q392" i="1"/>
  <c r="Q381" i="1"/>
  <c r="I382" i="1" l="1"/>
  <c r="I374" i="1"/>
  <c r="Y360" i="1"/>
  <c r="U360" i="1"/>
  <c r="S360" i="1"/>
  <c r="R360" i="1"/>
  <c r="P360" i="1"/>
  <c r="O360" i="1"/>
  <c r="M360" i="1"/>
  <c r="L360" i="1"/>
  <c r="K360" i="1"/>
  <c r="J360" i="1"/>
  <c r="I360" i="1"/>
  <c r="H360" i="1"/>
  <c r="G360" i="1"/>
  <c r="V360" i="1"/>
  <c r="N361" i="1"/>
  <c r="Q361" i="1"/>
  <c r="T361" i="1"/>
  <c r="Q124" i="1"/>
  <c r="T141" i="1"/>
  <c r="Q141" i="1"/>
  <c r="N141" i="1"/>
  <c r="Y410" i="1" l="1"/>
  <c r="Y407" i="1"/>
  <c r="Y402" i="1"/>
  <c r="Y399" i="1"/>
  <c r="Y379" i="1"/>
  <c r="Y369" i="1"/>
  <c r="Y353" i="1"/>
  <c r="Y313" i="1"/>
  <c r="Y305" i="1"/>
  <c r="Y294" i="1"/>
  <c r="Y288" i="1"/>
  <c r="Y284" i="1"/>
  <c r="Y258" i="1"/>
  <c r="Y256" i="1"/>
  <c r="Y252" i="1"/>
  <c r="Y249" i="1"/>
  <c r="Y244" i="1"/>
  <c r="Y241" i="1"/>
  <c r="Y213" i="1"/>
  <c r="Y197" i="1"/>
  <c r="Y179" i="1"/>
  <c r="Y172" i="1"/>
  <c r="Y162" i="1"/>
  <c r="Y160" i="1"/>
  <c r="Y150" i="1"/>
  <c r="Y137" i="1"/>
  <c r="Y133" i="1"/>
  <c r="Y128" i="1"/>
  <c r="Y125" i="1"/>
  <c r="Y122" i="1"/>
  <c r="Y120" i="1"/>
  <c r="Y114" i="1"/>
  <c r="Y112" i="1"/>
  <c r="Y109" i="1"/>
  <c r="Y97" i="1"/>
  <c r="Y77" i="1"/>
  <c r="Y71" i="1"/>
  <c r="Y65" i="1"/>
  <c r="Y54" i="1"/>
  <c r="Y47" i="1"/>
  <c r="Y46" i="1" s="1"/>
  <c r="Y29" i="1"/>
  <c r="Y23" i="1"/>
  <c r="E39" i="2"/>
  <c r="D39" i="2"/>
  <c r="V133" i="1"/>
  <c r="Y14" i="1" l="1"/>
  <c r="Y18" i="1"/>
  <c r="Y17" i="1"/>
  <c r="Y111" i="1"/>
  <c r="Y108" i="1" s="1"/>
  <c r="H27" i="2" s="1"/>
  <c r="Y19" i="1"/>
  <c r="Y16" i="1"/>
  <c r="H16" i="2" s="1"/>
  <c r="H17" i="2"/>
  <c r="Y159" i="1"/>
  <c r="Y149" i="1" s="1"/>
  <c r="H30" i="2" s="1"/>
  <c r="Y53" i="1"/>
  <c r="Y52" i="1" s="1"/>
  <c r="H24" i="2" s="1"/>
  <c r="Y401" i="1"/>
  <c r="Y398" i="1" s="1"/>
  <c r="H37" i="2" s="1"/>
  <c r="Y359" i="1"/>
  <c r="Y352" i="1" s="1"/>
  <c r="H36" i="2" s="1"/>
  <c r="Y312" i="1"/>
  <c r="Y304" i="1" s="1"/>
  <c r="H35" i="2" s="1"/>
  <c r="Y287" i="1"/>
  <c r="Y283" i="1" s="1"/>
  <c r="H34" i="2" s="1"/>
  <c r="Y255" i="1"/>
  <c r="Y251" i="1" s="1"/>
  <c r="H33" i="2" s="1"/>
  <c r="Y243" i="1"/>
  <c r="Y240" i="1" s="1"/>
  <c r="H32" i="2" s="1"/>
  <c r="Y196" i="1"/>
  <c r="Y178" i="1" s="1"/>
  <c r="H31" i="2" s="1"/>
  <c r="Y132" i="1"/>
  <c r="Y127" i="1" s="1"/>
  <c r="H29" i="2" s="1"/>
  <c r="Y119" i="1"/>
  <c r="Y118" i="1" s="1"/>
  <c r="H28" i="2" s="1"/>
  <c r="Y76" i="1"/>
  <c r="Y70" i="1" s="1"/>
  <c r="H26" i="2" s="1"/>
  <c r="Y64" i="1"/>
  <c r="Y62" i="1" s="1"/>
  <c r="H25" i="2" s="1"/>
  <c r="H13" i="2"/>
  <c r="H19" i="2" l="1"/>
  <c r="H18" i="2" l="1"/>
  <c r="H15" i="2" s="1"/>
  <c r="Y28" i="1"/>
  <c r="Y15" i="1" s="1"/>
  <c r="Y22" i="1" l="1"/>
  <c r="Y13" i="1" s="1"/>
  <c r="H14" i="2"/>
  <c r="H12" i="2" s="1"/>
  <c r="T242" i="1"/>
  <c r="T241" i="1" s="1"/>
  <c r="Q242" i="1"/>
  <c r="Q241" i="1" s="1"/>
  <c r="V241" i="1"/>
  <c r="U241" i="1"/>
  <c r="S241" i="1"/>
  <c r="R241" i="1"/>
  <c r="P241" i="1"/>
  <c r="O241" i="1"/>
  <c r="N241" i="1"/>
  <c r="M241" i="1"/>
  <c r="L241" i="1"/>
  <c r="K241" i="1"/>
  <c r="J241" i="1"/>
  <c r="I241" i="1"/>
  <c r="H241" i="1"/>
  <c r="G241" i="1"/>
  <c r="T21" i="4"/>
  <c r="H23" i="2" l="1"/>
  <c r="H22" i="2" s="1"/>
  <c r="T238" i="1"/>
  <c r="Q238" i="1"/>
  <c r="I238" i="1"/>
  <c r="Q314" i="1" l="1"/>
  <c r="T314" i="1"/>
  <c r="Q299" i="1"/>
  <c r="Q298" i="1"/>
  <c r="Q297" i="1"/>
  <c r="T299" i="1"/>
  <c r="T297" i="1"/>
  <c r="Q295" i="1"/>
  <c r="T295" i="1"/>
  <c r="Q290" i="1"/>
  <c r="T290" i="1"/>
  <c r="Q263" i="1"/>
  <c r="Q262" i="1"/>
  <c r="T263" i="1"/>
  <c r="T262" i="1"/>
  <c r="Q261" i="1"/>
  <c r="T261" i="1"/>
  <c r="Q234" i="1"/>
  <c r="Q233" i="1"/>
  <c r="Q232" i="1"/>
  <c r="Q231" i="1"/>
  <c r="T234" i="1"/>
  <c r="T233" i="1"/>
  <c r="T232" i="1"/>
  <c r="T231" i="1"/>
  <c r="T220" i="1"/>
  <c r="Q220" i="1"/>
  <c r="H220" i="1"/>
  <c r="Q219" i="1"/>
  <c r="Q218" i="1"/>
  <c r="Q216" i="1"/>
  <c r="Q214" i="1"/>
  <c r="Q215" i="1"/>
  <c r="T219" i="1"/>
  <c r="T218" i="1"/>
  <c r="T216" i="1"/>
  <c r="T214" i="1"/>
  <c r="T215" i="1"/>
  <c r="Q211" i="1"/>
  <c r="Q210" i="1"/>
  <c r="T211" i="1"/>
  <c r="T210" i="1"/>
  <c r="Q209" i="1"/>
  <c r="Q208" i="1"/>
  <c r="T209" i="1"/>
  <c r="T208" i="1"/>
  <c r="Q199" i="1"/>
  <c r="Q198" i="1"/>
  <c r="T199" i="1"/>
  <c r="T198" i="1"/>
  <c r="T102" i="4"/>
  <c r="Q102" i="4"/>
  <c r="Q177" i="1" l="1"/>
  <c r="Q176" i="1"/>
  <c r="Q174" i="1"/>
  <c r="Q173" i="1"/>
  <c r="T177" i="1"/>
  <c r="T176" i="1"/>
  <c r="T174" i="1"/>
  <c r="T173" i="1"/>
  <c r="Q164" i="1"/>
  <c r="Q163" i="1"/>
  <c r="Q166" i="1"/>
  <c r="Q171" i="1"/>
  <c r="Q170" i="1"/>
  <c r="Q169" i="1"/>
  <c r="Q168" i="1"/>
  <c r="Q167" i="1"/>
  <c r="T171" i="1"/>
  <c r="T170" i="1"/>
  <c r="T169" i="1"/>
  <c r="T168" i="1"/>
  <c r="T167" i="1"/>
  <c r="T166" i="1"/>
  <c r="T164" i="1"/>
  <c r="T163" i="1"/>
  <c r="T147" i="1"/>
  <c r="T144" i="1"/>
  <c r="Q135" i="1"/>
  <c r="Q134" i="1"/>
  <c r="T135" i="1"/>
  <c r="T134" i="1"/>
  <c r="Q121" i="1"/>
  <c r="T121" i="1"/>
  <c r="J121" i="1"/>
  <c r="I121" i="1"/>
  <c r="AD176" i="1" l="1"/>
  <c r="AD177" i="1"/>
  <c r="T248" i="1"/>
  <c r="V109" i="1"/>
  <c r="U109" i="1"/>
  <c r="T109" i="1"/>
  <c r="S109" i="1"/>
  <c r="R109" i="1"/>
  <c r="Q109" i="1"/>
  <c r="P109" i="1"/>
  <c r="O109" i="1"/>
  <c r="N109" i="1"/>
  <c r="M109" i="1"/>
  <c r="L109" i="1"/>
  <c r="K109" i="1"/>
  <c r="J109" i="1"/>
  <c r="I109" i="1"/>
  <c r="H109" i="1"/>
  <c r="G109" i="1"/>
  <c r="T90" i="1" l="1"/>
  <c r="T89" i="1"/>
  <c r="V88" i="1"/>
  <c r="V85" i="1" s="1"/>
  <c r="U88" i="1"/>
  <c r="U85" i="1" s="1"/>
  <c r="Q90" i="1"/>
  <c r="Q89" i="1"/>
  <c r="S88" i="1"/>
  <c r="S85" i="1" s="1"/>
  <c r="R88" i="1"/>
  <c r="R85" i="1" s="1"/>
  <c r="P88" i="1"/>
  <c r="P85" i="1" s="1"/>
  <c r="O88" i="1"/>
  <c r="O85" i="1" s="1"/>
  <c r="N88" i="1"/>
  <c r="N85" i="1" s="1"/>
  <c r="I90" i="1"/>
  <c r="I89" i="1"/>
  <c r="T87" i="1"/>
  <c r="T57" i="1"/>
  <c r="Q57" i="1"/>
  <c r="Q56" i="1" s="1"/>
  <c r="T36" i="1"/>
  <c r="Q36" i="1"/>
  <c r="N36" i="1"/>
  <c r="L36" i="1"/>
  <c r="I36" i="1"/>
  <c r="K36" i="1" s="1"/>
  <c r="T26" i="1"/>
  <c r="Q26" i="1"/>
  <c r="Q88" i="1" l="1"/>
  <c r="Q85" i="1" s="1"/>
  <c r="T88" i="1"/>
  <c r="V350" i="1"/>
  <c r="V347" i="1"/>
  <c r="V342" i="1"/>
  <c r="V340" i="1"/>
  <c r="V338" i="1"/>
  <c r="V337" i="1" l="1"/>
  <c r="T413" i="1"/>
  <c r="T412" i="1"/>
  <c r="T409" i="1"/>
  <c r="T408" i="1"/>
  <c r="T406" i="1"/>
  <c r="T405" i="1"/>
  <c r="T404" i="1"/>
  <c r="T403" i="1"/>
  <c r="T411" i="1"/>
  <c r="T396" i="1"/>
  <c r="T395" i="1"/>
  <c r="T394" i="1"/>
  <c r="T393" i="1"/>
  <c r="T391" i="1"/>
  <c r="T389" i="1"/>
  <c r="T388" i="1"/>
  <c r="T390" i="1"/>
  <c r="T387" i="1"/>
  <c r="T392" i="1"/>
  <c r="T384" i="1"/>
  <c r="T383" i="1"/>
  <c r="T382" i="1"/>
  <c r="T381" i="1"/>
  <c r="T380" i="1"/>
  <c r="T378" i="1"/>
  <c r="T377" i="1"/>
  <c r="T376" i="1"/>
  <c r="T375" i="1"/>
  <c r="T374" i="1"/>
  <c r="T373" i="1"/>
  <c r="T371" i="1"/>
  <c r="T372" i="1"/>
  <c r="T370" i="1"/>
  <c r="T368" i="1"/>
  <c r="T364" i="1"/>
  <c r="T363" i="1"/>
  <c r="T362" i="1"/>
  <c r="T367" i="1"/>
  <c r="T366" i="1"/>
  <c r="T365" i="1"/>
  <c r="T358" i="1"/>
  <c r="T357" i="1"/>
  <c r="T356" i="1"/>
  <c r="T355" i="1"/>
  <c r="T354" i="1"/>
  <c r="T351" i="1"/>
  <c r="T324" i="1"/>
  <c r="T323" i="1"/>
  <c r="T322" i="1"/>
  <c r="T321" i="1"/>
  <c r="T320" i="1"/>
  <c r="T319" i="1"/>
  <c r="T318" i="1"/>
  <c r="T316" i="1"/>
  <c r="T315" i="1"/>
  <c r="T311" i="1"/>
  <c r="T310" i="1"/>
  <c r="T309" i="1"/>
  <c r="T308" i="1"/>
  <c r="T307" i="1"/>
  <c r="T306" i="1"/>
  <c r="T303" i="1"/>
  <c r="T302" i="1"/>
  <c r="T301" i="1"/>
  <c r="T300" i="1"/>
  <c r="T298" i="1"/>
  <c r="T296" i="1"/>
  <c r="T293" i="1"/>
  <c r="T292" i="1"/>
  <c r="T291" i="1"/>
  <c r="T289" i="1"/>
  <c r="T286" i="1"/>
  <c r="T285" i="1"/>
  <c r="T272" i="1"/>
  <c r="T271" i="1"/>
  <c r="T270" i="1"/>
  <c r="T269" i="1"/>
  <c r="T268" i="1"/>
  <c r="T267" i="1"/>
  <c r="AC267" i="1" s="1"/>
  <c r="T266" i="1"/>
  <c r="T260" i="1"/>
  <c r="T264" i="1"/>
  <c r="T259" i="1"/>
  <c r="T257" i="1"/>
  <c r="T254" i="1"/>
  <c r="T253" i="1"/>
  <c r="T250" i="1"/>
  <c r="T247" i="1"/>
  <c r="T246" i="1"/>
  <c r="T245" i="1"/>
  <c r="T239" i="1"/>
  <c r="T237" i="1"/>
  <c r="T236" i="1"/>
  <c r="T235" i="1"/>
  <c r="T230" i="1"/>
  <c r="T229" i="1"/>
  <c r="T228" i="1"/>
  <c r="T227" i="1"/>
  <c r="T226" i="1"/>
  <c r="T225" i="1"/>
  <c r="T224" i="1"/>
  <c r="T223" i="1"/>
  <c r="T222" i="1"/>
  <c r="T221" i="1"/>
  <c r="T212" i="1"/>
  <c r="T207" i="1"/>
  <c r="T205" i="1"/>
  <c r="T204" i="1"/>
  <c r="T203" i="1"/>
  <c r="T202" i="1"/>
  <c r="T201" i="1"/>
  <c r="T200" i="1"/>
  <c r="T183" i="1"/>
  <c r="T182" i="1"/>
  <c r="T181" i="1"/>
  <c r="T195" i="1"/>
  <c r="T193" i="1"/>
  <c r="T192" i="1"/>
  <c r="T187" i="1"/>
  <c r="T186" i="1"/>
  <c r="T191" i="1"/>
  <c r="T190" i="1"/>
  <c r="T185" i="1"/>
  <c r="T184" i="1"/>
  <c r="T194" i="1"/>
  <c r="T189" i="1"/>
  <c r="T180" i="1"/>
  <c r="T161" i="1"/>
  <c r="T158" i="1"/>
  <c r="T157" i="1"/>
  <c r="T156" i="1"/>
  <c r="T155" i="1"/>
  <c r="T154" i="1"/>
  <c r="T153" i="1"/>
  <c r="T152" i="1"/>
  <c r="T151" i="1"/>
  <c r="T146" i="1"/>
  <c r="T145" i="1"/>
  <c r="T143" i="1"/>
  <c r="T142" i="1"/>
  <c r="T140" i="1"/>
  <c r="T139" i="1"/>
  <c r="T138" i="1"/>
  <c r="T136" i="1"/>
  <c r="T131" i="1"/>
  <c r="T130" i="1"/>
  <c r="T129" i="1"/>
  <c r="T126" i="1"/>
  <c r="T124" i="1"/>
  <c r="T115" i="1"/>
  <c r="T114" i="1" s="1"/>
  <c r="T113" i="1"/>
  <c r="T107" i="1"/>
  <c r="T106" i="1"/>
  <c r="T105" i="1"/>
  <c r="T104" i="1"/>
  <c r="T103" i="1"/>
  <c r="T102" i="1"/>
  <c r="T100" i="1"/>
  <c r="T99" i="1"/>
  <c r="T98" i="1"/>
  <c r="T96" i="1"/>
  <c r="T95" i="1"/>
  <c r="T94" i="1"/>
  <c r="T93" i="1"/>
  <c r="T92" i="1"/>
  <c r="T91" i="1"/>
  <c r="T84" i="1"/>
  <c r="T83" i="1"/>
  <c r="T82" i="1"/>
  <c r="T81" i="1"/>
  <c r="T86" i="1"/>
  <c r="T80" i="1"/>
  <c r="T79" i="1"/>
  <c r="T78" i="1"/>
  <c r="T75" i="1"/>
  <c r="T74" i="1"/>
  <c r="T73" i="1"/>
  <c r="T72" i="1"/>
  <c r="T69" i="1"/>
  <c r="T67" i="1" s="1"/>
  <c r="T66" i="1"/>
  <c r="T58" i="1"/>
  <c r="T56" i="1" s="1"/>
  <c r="T55" i="1"/>
  <c r="T51" i="1"/>
  <c r="T48" i="1"/>
  <c r="T45" i="1"/>
  <c r="T44" i="1" s="1"/>
  <c r="T43" i="1"/>
  <c r="T42" i="1"/>
  <c r="T41" i="1"/>
  <c r="T40" i="1"/>
  <c r="T38" i="1"/>
  <c r="T35" i="1"/>
  <c r="T34" i="1"/>
  <c r="T33" i="1"/>
  <c r="T32" i="1"/>
  <c r="T30" i="1"/>
  <c r="T27" i="1"/>
  <c r="T25" i="1"/>
  <c r="T24" i="1"/>
  <c r="O47" i="1"/>
  <c r="N47" i="1"/>
  <c r="AE337" i="1" l="1"/>
  <c r="V317" i="1"/>
  <c r="C20" i="2"/>
  <c r="T206" i="1"/>
  <c r="T265" i="1"/>
  <c r="T85" i="1"/>
  <c r="T360" i="1"/>
  <c r="V37" i="1"/>
  <c r="T37" i="1" s="1"/>
  <c r="C39" i="2" l="1"/>
  <c r="V410" i="1"/>
  <c r="T407" i="1"/>
  <c r="V407" i="1"/>
  <c r="U407" i="1"/>
  <c r="T402" i="1"/>
  <c r="V402" i="1"/>
  <c r="U402" i="1"/>
  <c r="T399" i="1"/>
  <c r="V399" i="1"/>
  <c r="U399" i="1"/>
  <c r="V379" i="1"/>
  <c r="U379" i="1"/>
  <c r="V369" i="1"/>
  <c r="U369" i="1"/>
  <c r="T353" i="1"/>
  <c r="V353" i="1"/>
  <c r="U353" i="1"/>
  <c r="T350" i="1"/>
  <c r="T347" i="1"/>
  <c r="T342" i="1"/>
  <c r="T340" i="1"/>
  <c r="T338" i="1"/>
  <c r="T313" i="1"/>
  <c r="V313" i="1"/>
  <c r="U313" i="1"/>
  <c r="V305" i="1"/>
  <c r="U305" i="1"/>
  <c r="T305" i="1"/>
  <c r="V294" i="1"/>
  <c r="U294" i="1"/>
  <c r="V288" i="1"/>
  <c r="U288" i="1"/>
  <c r="T284" i="1"/>
  <c r="V284" i="1"/>
  <c r="U284" i="1"/>
  <c r="V258" i="1"/>
  <c r="U258" i="1"/>
  <c r="T256" i="1"/>
  <c r="T16" i="1" s="1"/>
  <c r="V256" i="1"/>
  <c r="V16" i="1" s="1"/>
  <c r="U256" i="1"/>
  <c r="U16" i="1" s="1"/>
  <c r="V252" i="1"/>
  <c r="U252" i="1"/>
  <c r="V249" i="1"/>
  <c r="U249" i="1"/>
  <c r="T249" i="1"/>
  <c r="V244" i="1"/>
  <c r="U244" i="1"/>
  <c r="T244" i="1"/>
  <c r="V213" i="1"/>
  <c r="U213" i="1"/>
  <c r="V197" i="1"/>
  <c r="U197" i="1"/>
  <c r="V179" i="1"/>
  <c r="U179" i="1"/>
  <c r="V172" i="1"/>
  <c r="U172" i="1"/>
  <c r="V162" i="1"/>
  <c r="U162" i="1"/>
  <c r="V160" i="1"/>
  <c r="U160" i="1"/>
  <c r="V150" i="1"/>
  <c r="U150" i="1"/>
  <c r="V137" i="1"/>
  <c r="V132" i="1" s="1"/>
  <c r="U137" i="1"/>
  <c r="U133" i="1"/>
  <c r="T128" i="1"/>
  <c r="V128" i="1"/>
  <c r="U128" i="1"/>
  <c r="T125" i="1"/>
  <c r="V125" i="1"/>
  <c r="U125" i="1"/>
  <c r="T122" i="1"/>
  <c r="V122" i="1"/>
  <c r="U122" i="1"/>
  <c r="T120" i="1"/>
  <c r="V120" i="1"/>
  <c r="U120" i="1"/>
  <c r="T112" i="1"/>
  <c r="T111" i="1" s="1"/>
  <c r="V112" i="1"/>
  <c r="V111" i="1" s="1"/>
  <c r="U112" i="1"/>
  <c r="U111" i="1" s="1"/>
  <c r="V97" i="1"/>
  <c r="U97" i="1"/>
  <c r="T97" i="1"/>
  <c r="V77" i="1"/>
  <c r="U77" i="1"/>
  <c r="T77" i="1"/>
  <c r="V71" i="1"/>
  <c r="U71" i="1"/>
  <c r="T71" i="1"/>
  <c r="T65" i="1"/>
  <c r="V65" i="1"/>
  <c r="V64" i="1" s="1"/>
  <c r="U65" i="1"/>
  <c r="U64" i="1" s="1"/>
  <c r="T59" i="1"/>
  <c r="V54" i="1"/>
  <c r="U54" i="1"/>
  <c r="T54" i="1"/>
  <c r="V50" i="1"/>
  <c r="U50" i="1"/>
  <c r="U46" i="1" s="1"/>
  <c r="T50" i="1"/>
  <c r="V47" i="1"/>
  <c r="T47" i="1"/>
  <c r="V31" i="1"/>
  <c r="V29" i="1" s="1"/>
  <c r="U31" i="1"/>
  <c r="T31" i="1"/>
  <c r="V23" i="1"/>
  <c r="U23" i="1"/>
  <c r="T23" i="1"/>
  <c r="S369" i="1"/>
  <c r="R369" i="1"/>
  <c r="P369" i="1"/>
  <c r="O369" i="1"/>
  <c r="M369" i="1"/>
  <c r="L369" i="1"/>
  <c r="K369" i="1"/>
  <c r="J369" i="1"/>
  <c r="I369" i="1"/>
  <c r="H369" i="1"/>
  <c r="G369" i="1"/>
  <c r="S379" i="1"/>
  <c r="R379" i="1"/>
  <c r="P379" i="1"/>
  <c r="O379" i="1"/>
  <c r="M379" i="1"/>
  <c r="L379" i="1"/>
  <c r="K379" i="1"/>
  <c r="J379" i="1"/>
  <c r="I379" i="1"/>
  <c r="H379" i="1"/>
  <c r="G379" i="1"/>
  <c r="Q118" i="4"/>
  <c r="Q117" i="4"/>
  <c r="Q116" i="4"/>
  <c r="Q115" i="4"/>
  <c r="Q114" i="4"/>
  <c r="Q113" i="4"/>
  <c r="S112" i="4"/>
  <c r="R112" i="4"/>
  <c r="P112" i="4"/>
  <c r="O112" i="4"/>
  <c r="N112" i="4"/>
  <c r="M112" i="4"/>
  <c r="L112" i="4"/>
  <c r="K112" i="4"/>
  <c r="J112" i="4"/>
  <c r="I112" i="4"/>
  <c r="H112" i="4"/>
  <c r="G112" i="4"/>
  <c r="Q111" i="4"/>
  <c r="S305" i="1"/>
  <c r="R305" i="1"/>
  <c r="Q305" i="1"/>
  <c r="P305" i="1"/>
  <c r="O305" i="1"/>
  <c r="N305" i="1"/>
  <c r="M305" i="1"/>
  <c r="L305" i="1"/>
  <c r="K305" i="1"/>
  <c r="J305" i="1"/>
  <c r="I305" i="1"/>
  <c r="H305" i="1"/>
  <c r="S313" i="1"/>
  <c r="R313" i="1"/>
  <c r="P313" i="1"/>
  <c r="O313" i="1"/>
  <c r="N313" i="1"/>
  <c r="M313" i="1"/>
  <c r="L313" i="1"/>
  <c r="J313" i="1"/>
  <c r="I313" i="1"/>
  <c r="H313" i="1"/>
  <c r="G313" i="1"/>
  <c r="S288" i="1"/>
  <c r="R288" i="1"/>
  <c r="P288" i="1"/>
  <c r="O288" i="1"/>
  <c r="N288" i="1"/>
  <c r="M288" i="1"/>
  <c r="H288" i="1"/>
  <c r="S294" i="1"/>
  <c r="R294" i="1"/>
  <c r="P294" i="1"/>
  <c r="O294" i="1"/>
  <c r="N294" i="1"/>
  <c r="M294" i="1"/>
  <c r="L294" i="1"/>
  <c r="K294" i="1"/>
  <c r="J294" i="1"/>
  <c r="H294" i="1"/>
  <c r="G294" i="1"/>
  <c r="Q108" i="4"/>
  <c r="K108" i="4"/>
  <c r="K105" i="4" s="1"/>
  <c r="K104" i="4" s="1"/>
  <c r="Q107" i="4"/>
  <c r="J107" i="4"/>
  <c r="I107" i="4"/>
  <c r="Q106" i="4"/>
  <c r="L106" i="4"/>
  <c r="L105" i="4" s="1"/>
  <c r="L104" i="4" s="1"/>
  <c r="J106" i="4"/>
  <c r="J105" i="4" s="1"/>
  <c r="J104" i="4" s="1"/>
  <c r="I106" i="4"/>
  <c r="I105" i="4" s="1"/>
  <c r="I104" i="4" s="1"/>
  <c r="S105" i="4"/>
  <c r="S104" i="4" s="1"/>
  <c r="R105" i="4"/>
  <c r="R104" i="4" s="1"/>
  <c r="P105" i="4"/>
  <c r="P104" i="4" s="1"/>
  <c r="O105" i="4"/>
  <c r="O104" i="4" s="1"/>
  <c r="N105" i="4"/>
  <c r="N104" i="4" s="1"/>
  <c r="M105" i="4"/>
  <c r="M104" i="4" s="1"/>
  <c r="H105" i="4"/>
  <c r="H104" i="4" s="1"/>
  <c r="G105" i="4"/>
  <c r="G104" i="4" s="1"/>
  <c r="S256" i="1"/>
  <c r="S16" i="1" s="1"/>
  <c r="R256" i="1"/>
  <c r="R16" i="1" s="1"/>
  <c r="P256" i="1"/>
  <c r="P16" i="1" s="1"/>
  <c r="O256" i="1"/>
  <c r="O16" i="1" s="1"/>
  <c r="N256" i="1"/>
  <c r="N16" i="1" s="1"/>
  <c r="M256" i="1"/>
  <c r="M16" i="1" s="1"/>
  <c r="H256" i="1"/>
  <c r="H16" i="1" s="1"/>
  <c r="G256" i="1"/>
  <c r="G16" i="1" s="1"/>
  <c r="S258" i="1"/>
  <c r="R258" i="1"/>
  <c r="P258" i="1"/>
  <c r="O258" i="1"/>
  <c r="N258" i="1"/>
  <c r="M258" i="1"/>
  <c r="H258" i="1"/>
  <c r="G258" i="1"/>
  <c r="Q100" i="4"/>
  <c r="Q99" i="4"/>
  <c r="K99" i="4"/>
  <c r="Q98" i="4"/>
  <c r="Q97" i="4"/>
  <c r="S244" i="1"/>
  <c r="R244" i="1"/>
  <c r="Q244" i="1"/>
  <c r="P244" i="1"/>
  <c r="O244" i="1"/>
  <c r="N244" i="1"/>
  <c r="M244" i="1"/>
  <c r="G244" i="1"/>
  <c r="S249" i="1"/>
  <c r="R249" i="1"/>
  <c r="Q249" i="1"/>
  <c r="P249" i="1"/>
  <c r="O249" i="1"/>
  <c r="N249" i="1"/>
  <c r="M249" i="1"/>
  <c r="L249" i="1"/>
  <c r="H249" i="1"/>
  <c r="G249" i="1"/>
  <c r="S197" i="1"/>
  <c r="R197" i="1"/>
  <c r="P197" i="1"/>
  <c r="O197" i="1"/>
  <c r="N197" i="1"/>
  <c r="M197" i="1"/>
  <c r="G197" i="1"/>
  <c r="S213" i="1"/>
  <c r="R213" i="1"/>
  <c r="P213" i="1"/>
  <c r="O213" i="1"/>
  <c r="N213" i="1"/>
  <c r="M213" i="1"/>
  <c r="H213" i="1"/>
  <c r="G213" i="1"/>
  <c r="L95" i="4"/>
  <c r="K95" i="4"/>
  <c r="J95" i="4"/>
  <c r="I95" i="4"/>
  <c r="L94" i="4"/>
  <c r="K94" i="4"/>
  <c r="J94" i="4"/>
  <c r="I94" i="4"/>
  <c r="L93" i="4"/>
  <c r="J93" i="4"/>
  <c r="L92" i="4"/>
  <c r="K92" i="4"/>
  <c r="J92" i="4"/>
  <c r="I92" i="4"/>
  <c r="L91" i="4"/>
  <c r="J91" i="4"/>
  <c r="I91" i="4"/>
  <c r="L90" i="4"/>
  <c r="K90" i="4" s="1"/>
  <c r="J90" i="4"/>
  <c r="K89" i="4"/>
  <c r="J89" i="4"/>
  <c r="S88" i="4"/>
  <c r="R88" i="4"/>
  <c r="Q88" i="4"/>
  <c r="P88" i="4"/>
  <c r="O88" i="4"/>
  <c r="N88" i="4"/>
  <c r="M88" i="4"/>
  <c r="H88" i="4"/>
  <c r="G88" i="4"/>
  <c r="Q87" i="4"/>
  <c r="J87" i="4"/>
  <c r="J85" i="4" s="1"/>
  <c r="I87" i="4"/>
  <c r="I85" i="4" s="1"/>
  <c r="H87" i="4"/>
  <c r="H85" i="4" s="1"/>
  <c r="Q86" i="4"/>
  <c r="Q85" i="4" s="1"/>
  <c r="S85" i="4"/>
  <c r="R85" i="4"/>
  <c r="P85" i="4"/>
  <c r="O85" i="4"/>
  <c r="N85" i="4"/>
  <c r="M85" i="4"/>
  <c r="L85" i="4"/>
  <c r="K85" i="4"/>
  <c r="G85" i="4"/>
  <c r="Q84" i="4"/>
  <c r="Q83" i="4" s="1"/>
  <c r="K84" i="4"/>
  <c r="K83" i="4" s="1"/>
  <c r="J84" i="4"/>
  <c r="J83" i="4" s="1"/>
  <c r="I84" i="4"/>
  <c r="I83" i="4" s="1"/>
  <c r="H84" i="4"/>
  <c r="H83" i="4" s="1"/>
  <c r="S83" i="4"/>
  <c r="R83" i="4"/>
  <c r="P83" i="4"/>
  <c r="O83" i="4"/>
  <c r="N83" i="4"/>
  <c r="M83" i="4"/>
  <c r="L83" i="4"/>
  <c r="G83" i="4"/>
  <c r="S172" i="1"/>
  <c r="R172" i="1"/>
  <c r="P172" i="1"/>
  <c r="O172" i="1"/>
  <c r="N172" i="1"/>
  <c r="M172" i="1"/>
  <c r="L172" i="1"/>
  <c r="J172" i="1"/>
  <c r="H172" i="1"/>
  <c r="S162" i="1"/>
  <c r="R162" i="1"/>
  <c r="P162" i="1"/>
  <c r="O162" i="1"/>
  <c r="N162" i="1"/>
  <c r="M162" i="1"/>
  <c r="S160" i="1"/>
  <c r="R160" i="1"/>
  <c r="P160" i="1"/>
  <c r="O160" i="1"/>
  <c r="N160" i="1"/>
  <c r="M160" i="1"/>
  <c r="H160" i="1"/>
  <c r="G160" i="1"/>
  <c r="Q80" i="4"/>
  <c r="Q79" i="4" s="1"/>
  <c r="J80" i="4"/>
  <c r="I80" i="4" s="1"/>
  <c r="I79" i="4" s="1"/>
  <c r="S79" i="4"/>
  <c r="R79" i="4"/>
  <c r="P79" i="4"/>
  <c r="O79" i="4"/>
  <c r="N79" i="4"/>
  <c r="M79" i="4"/>
  <c r="L79" i="4"/>
  <c r="K79" i="4"/>
  <c r="H79" i="4"/>
  <c r="G79" i="4"/>
  <c r="Q78" i="4"/>
  <c r="Q77" i="4" s="1"/>
  <c r="J78" i="4"/>
  <c r="I78" i="4" s="1"/>
  <c r="I77" i="4" s="1"/>
  <c r="S77" i="4"/>
  <c r="R77" i="4"/>
  <c r="P77" i="4"/>
  <c r="O77" i="4"/>
  <c r="N77" i="4"/>
  <c r="M77" i="4"/>
  <c r="L77" i="4"/>
  <c r="K77" i="4"/>
  <c r="H77" i="4"/>
  <c r="G77" i="4"/>
  <c r="S133" i="1"/>
  <c r="R133" i="1"/>
  <c r="P133" i="1"/>
  <c r="O133" i="1"/>
  <c r="N133" i="1"/>
  <c r="M133" i="1"/>
  <c r="L133" i="1"/>
  <c r="K133" i="1"/>
  <c r="I133" i="1"/>
  <c r="H133" i="1"/>
  <c r="G133" i="1"/>
  <c r="S137" i="1"/>
  <c r="R137" i="1"/>
  <c r="P137" i="1"/>
  <c r="O137" i="1"/>
  <c r="N137" i="1"/>
  <c r="M137" i="1"/>
  <c r="J137" i="1"/>
  <c r="I137" i="1"/>
  <c r="H137" i="1"/>
  <c r="G137" i="1"/>
  <c r="Q75" i="4"/>
  <c r="J75" i="4"/>
  <c r="I75" i="4"/>
  <c r="Q74" i="4"/>
  <c r="K74" i="4"/>
  <c r="K71" i="4" s="1"/>
  <c r="K70" i="4" s="1"/>
  <c r="J74" i="4"/>
  <c r="I74" i="4"/>
  <c r="I71" i="4" s="1"/>
  <c r="I70" i="4" s="1"/>
  <c r="Q73" i="4"/>
  <c r="J73" i="4"/>
  <c r="Q72" i="4"/>
  <c r="J72" i="4"/>
  <c r="S71" i="4"/>
  <c r="S70" i="4" s="1"/>
  <c r="R71" i="4"/>
  <c r="R70" i="4" s="1"/>
  <c r="P71" i="4"/>
  <c r="P70" i="4" s="1"/>
  <c r="O71" i="4"/>
  <c r="O70" i="4" s="1"/>
  <c r="N71" i="4"/>
  <c r="N70" i="4" s="1"/>
  <c r="M71" i="4"/>
  <c r="M70" i="4" s="1"/>
  <c r="L71" i="4"/>
  <c r="L70" i="4" s="1"/>
  <c r="H71" i="4"/>
  <c r="H70" i="4" s="1"/>
  <c r="G71" i="4"/>
  <c r="G70" i="4" s="1"/>
  <c r="S120" i="1"/>
  <c r="R120" i="1"/>
  <c r="P120" i="1"/>
  <c r="O120" i="1"/>
  <c r="N120" i="1"/>
  <c r="M120" i="1"/>
  <c r="L120" i="1"/>
  <c r="K120" i="1"/>
  <c r="H120" i="1"/>
  <c r="G120" i="1"/>
  <c r="S122" i="1"/>
  <c r="R122" i="1"/>
  <c r="P122" i="1"/>
  <c r="O122" i="1"/>
  <c r="N122" i="1"/>
  <c r="M122" i="1"/>
  <c r="L122" i="1"/>
  <c r="K122" i="1"/>
  <c r="J122" i="1"/>
  <c r="I122" i="1"/>
  <c r="H122" i="1"/>
  <c r="G122" i="1"/>
  <c r="S125" i="1"/>
  <c r="R125" i="1"/>
  <c r="P125" i="1"/>
  <c r="O125" i="1"/>
  <c r="N125" i="1"/>
  <c r="M125" i="1"/>
  <c r="L125" i="1"/>
  <c r="K125" i="1"/>
  <c r="J125" i="1"/>
  <c r="I125" i="1"/>
  <c r="H125" i="1"/>
  <c r="G125" i="1"/>
  <c r="S112" i="1"/>
  <c r="S111" i="1" s="1"/>
  <c r="R112" i="1"/>
  <c r="R111" i="1" s="1"/>
  <c r="P112" i="1"/>
  <c r="P111" i="1" s="1"/>
  <c r="O112" i="1"/>
  <c r="O111" i="1" s="1"/>
  <c r="N112" i="1"/>
  <c r="N111" i="1" s="1"/>
  <c r="M112" i="1"/>
  <c r="M111" i="1" s="1"/>
  <c r="J112" i="1"/>
  <c r="J111" i="1" s="1"/>
  <c r="G112" i="1"/>
  <c r="G111" i="1" s="1"/>
  <c r="S77" i="1"/>
  <c r="R77" i="1"/>
  <c r="Q77" i="1"/>
  <c r="P77" i="1"/>
  <c r="O77" i="1"/>
  <c r="N77" i="1"/>
  <c r="M77" i="1"/>
  <c r="L77" i="1"/>
  <c r="K77" i="1"/>
  <c r="H77" i="1"/>
  <c r="G77" i="1"/>
  <c r="S97" i="1"/>
  <c r="R97" i="1"/>
  <c r="Q97" i="1"/>
  <c r="P97" i="1"/>
  <c r="O97" i="1"/>
  <c r="N97" i="1"/>
  <c r="M97" i="1"/>
  <c r="J97" i="1"/>
  <c r="I97" i="1"/>
  <c r="H97" i="1"/>
  <c r="G97" i="1"/>
  <c r="J56" i="4"/>
  <c r="J54" i="4" s="1"/>
  <c r="I56" i="4"/>
  <c r="I54" i="4" s="1"/>
  <c r="S54" i="4"/>
  <c r="R54" i="4"/>
  <c r="Q54" i="4"/>
  <c r="P54" i="4"/>
  <c r="O54" i="4"/>
  <c r="N54" i="4"/>
  <c r="M54" i="4"/>
  <c r="L54" i="4"/>
  <c r="K54" i="4"/>
  <c r="H54" i="4"/>
  <c r="G54" i="4"/>
  <c r="J53" i="4"/>
  <c r="J52" i="4" s="1"/>
  <c r="I53" i="4"/>
  <c r="I52" i="4" s="1"/>
  <c r="S52" i="4"/>
  <c r="R52" i="4"/>
  <c r="Q52" i="4"/>
  <c r="P52" i="4"/>
  <c r="O52" i="4"/>
  <c r="N52" i="4"/>
  <c r="M52" i="4"/>
  <c r="L52" i="4"/>
  <c r="K52" i="4"/>
  <c r="H52" i="4"/>
  <c r="G52" i="4"/>
  <c r="S65" i="1"/>
  <c r="R65" i="1"/>
  <c r="P65" i="1"/>
  <c r="O65" i="1"/>
  <c r="M65" i="1"/>
  <c r="L65" i="1"/>
  <c r="H65" i="1"/>
  <c r="G65" i="1"/>
  <c r="K47" i="4"/>
  <c r="K46" i="4" s="1"/>
  <c r="J47" i="4"/>
  <c r="J46" i="4" s="1"/>
  <c r="I47" i="4"/>
  <c r="I46" i="4" s="1"/>
  <c r="S46" i="4"/>
  <c r="R46" i="4"/>
  <c r="Q46" i="4"/>
  <c r="P46" i="4"/>
  <c r="O46" i="4"/>
  <c r="N46" i="4"/>
  <c r="M46" i="4"/>
  <c r="L46" i="4"/>
  <c r="H46" i="4"/>
  <c r="G46" i="4"/>
  <c r="S44" i="4"/>
  <c r="R44" i="4"/>
  <c r="Q44" i="4"/>
  <c r="P44" i="4"/>
  <c r="O44" i="4"/>
  <c r="N44" i="4"/>
  <c r="M44" i="4"/>
  <c r="L44" i="4"/>
  <c r="K44" i="4"/>
  <c r="J44" i="4"/>
  <c r="I44" i="4"/>
  <c r="H44" i="4"/>
  <c r="G44" i="4"/>
  <c r="S54" i="1"/>
  <c r="Q54" i="1"/>
  <c r="P54" i="1"/>
  <c r="O54" i="1"/>
  <c r="N54" i="1"/>
  <c r="M54" i="1"/>
  <c r="L54" i="1"/>
  <c r="K54" i="1"/>
  <c r="H54" i="1"/>
  <c r="G54" i="1"/>
  <c r="R54" i="1"/>
  <c r="K36" i="4"/>
  <c r="K35" i="4" s="1"/>
  <c r="I36" i="4"/>
  <c r="I35" i="4" s="1"/>
  <c r="S35" i="4"/>
  <c r="R35" i="4"/>
  <c r="Q35" i="4"/>
  <c r="P35" i="4"/>
  <c r="O35" i="4"/>
  <c r="N35" i="4"/>
  <c r="M35" i="4"/>
  <c r="L35" i="4"/>
  <c r="J35" i="4"/>
  <c r="H35" i="4"/>
  <c r="G35" i="4"/>
  <c r="Q34" i="4"/>
  <c r="N34" i="4"/>
  <c r="K34" i="4"/>
  <c r="J34" i="4"/>
  <c r="I34" i="4"/>
  <c r="S30" i="4"/>
  <c r="R30" i="4"/>
  <c r="Q30" i="4"/>
  <c r="P30" i="4"/>
  <c r="O30" i="4"/>
  <c r="N30" i="4"/>
  <c r="M30" i="4"/>
  <c r="L30" i="4"/>
  <c r="K30" i="4"/>
  <c r="J30" i="4"/>
  <c r="I30" i="4"/>
  <c r="H30" i="4"/>
  <c r="G30" i="4"/>
  <c r="S25" i="4"/>
  <c r="R25" i="4"/>
  <c r="Q25" i="4"/>
  <c r="P25" i="4"/>
  <c r="O25" i="4"/>
  <c r="N25" i="4"/>
  <c r="M25" i="4"/>
  <c r="L25" i="4"/>
  <c r="K25" i="4"/>
  <c r="J25" i="4"/>
  <c r="I25" i="4"/>
  <c r="H25" i="4"/>
  <c r="G25" i="4"/>
  <c r="S31" i="1"/>
  <c r="S29" i="1" s="1"/>
  <c r="R31" i="1"/>
  <c r="Q31" i="1"/>
  <c r="P31" i="1"/>
  <c r="P29" i="1" s="1"/>
  <c r="O31" i="1"/>
  <c r="N31" i="1"/>
  <c r="M31" i="1"/>
  <c r="M29" i="1" s="1"/>
  <c r="L31" i="1"/>
  <c r="H31" i="1"/>
  <c r="H29" i="1" s="1"/>
  <c r="S50" i="1"/>
  <c r="R50" i="1"/>
  <c r="Q50" i="1"/>
  <c r="P50" i="1"/>
  <c r="P46" i="1" s="1"/>
  <c r="O50" i="1"/>
  <c r="N50" i="1"/>
  <c r="N46" i="1" s="1"/>
  <c r="M50" i="1"/>
  <c r="L50" i="1"/>
  <c r="K50" i="1"/>
  <c r="J50" i="1"/>
  <c r="I50" i="1"/>
  <c r="H50" i="1"/>
  <c r="I14" i="4"/>
  <c r="K11" i="4"/>
  <c r="K10" i="4"/>
  <c r="T337" i="1" l="1"/>
  <c r="U18" i="1"/>
  <c r="U14" i="1"/>
  <c r="D13" i="2" s="1"/>
  <c r="V14" i="1"/>
  <c r="E13" i="2" s="1"/>
  <c r="V17" i="1"/>
  <c r="E17" i="2" s="1"/>
  <c r="V18" i="1"/>
  <c r="T317" i="1"/>
  <c r="T312" i="1" s="1"/>
  <c r="T304" i="1" s="1"/>
  <c r="C35" i="2" s="1"/>
  <c r="V159" i="1"/>
  <c r="V149" i="1" s="1"/>
  <c r="N159" i="1"/>
  <c r="S159" i="1"/>
  <c r="O159" i="1"/>
  <c r="P159" i="1"/>
  <c r="M159" i="1"/>
  <c r="R82" i="4"/>
  <c r="U159" i="1"/>
  <c r="U149" i="1" s="1"/>
  <c r="R159" i="1"/>
  <c r="R46" i="1"/>
  <c r="O46" i="1"/>
  <c r="T46" i="1"/>
  <c r="V46" i="1"/>
  <c r="E16" i="2"/>
  <c r="Q105" i="4"/>
  <c r="Q104" i="4" s="1"/>
  <c r="P82" i="4"/>
  <c r="N82" i="4"/>
  <c r="I88" i="4"/>
  <c r="I82" i="4" s="1"/>
  <c r="D16" i="2"/>
  <c r="C16" i="2"/>
  <c r="N132" i="1"/>
  <c r="S132" i="1"/>
  <c r="G132" i="1"/>
  <c r="P132" i="1"/>
  <c r="U132" i="1"/>
  <c r="U127" i="1" s="1"/>
  <c r="D29" i="2" s="1"/>
  <c r="I132" i="1"/>
  <c r="O132" i="1"/>
  <c r="H132" i="1"/>
  <c r="M132" i="1"/>
  <c r="R132" i="1"/>
  <c r="U287" i="1"/>
  <c r="U283" i="1" s="1"/>
  <c r="D34" i="2" s="1"/>
  <c r="H82" i="4"/>
  <c r="J79" i="4"/>
  <c r="T64" i="1"/>
  <c r="T62" i="1" s="1"/>
  <c r="C25" i="2" s="1"/>
  <c r="V127" i="1"/>
  <c r="E29" i="2" s="1"/>
  <c r="V401" i="1"/>
  <c r="V398" i="1" s="1"/>
  <c r="E37" i="2" s="1"/>
  <c r="U410" i="1"/>
  <c r="U401" i="1" s="1"/>
  <c r="U398" i="1" s="1"/>
  <c r="D37" i="2" s="1"/>
  <c r="T410" i="1"/>
  <c r="T401" i="1" s="1"/>
  <c r="T398" i="1" s="1"/>
  <c r="C37" i="2" s="1"/>
  <c r="J359" i="1"/>
  <c r="U108" i="1"/>
  <c r="D27" i="2" s="1"/>
  <c r="Q82" i="4"/>
  <c r="O82" i="4"/>
  <c r="S82" i="4"/>
  <c r="Q112" i="4"/>
  <c r="U119" i="1"/>
  <c r="U118" i="1" s="1"/>
  <c r="D28" i="2" s="1"/>
  <c r="V359" i="1"/>
  <c r="V352" i="1" s="1"/>
  <c r="E36" i="2" s="1"/>
  <c r="T76" i="1"/>
  <c r="T53" i="1"/>
  <c r="T52" i="1" s="1"/>
  <c r="C24" i="2" s="1"/>
  <c r="T160" i="1"/>
  <c r="U62" i="1"/>
  <c r="D25" i="2" s="1"/>
  <c r="V255" i="1"/>
  <c r="V251" i="1" s="1"/>
  <c r="V119" i="1"/>
  <c r="V118" i="1" s="1"/>
  <c r="E28" i="2" s="1"/>
  <c r="V62" i="1"/>
  <c r="E25" i="2" s="1"/>
  <c r="V108" i="1"/>
  <c r="E27" i="2" s="1"/>
  <c r="V196" i="1"/>
  <c r="V178" i="1" s="1"/>
  <c r="E31" i="2" s="1"/>
  <c r="U29" i="1"/>
  <c r="U17" i="1" s="1"/>
  <c r="U76" i="1"/>
  <c r="T197" i="1"/>
  <c r="V243" i="1"/>
  <c r="V240" i="1" s="1"/>
  <c r="E32" i="2" s="1"/>
  <c r="V312" i="1"/>
  <c r="V304" i="1" s="1"/>
  <c r="E35" i="2" s="1"/>
  <c r="U312" i="1"/>
  <c r="U304" i="1" s="1"/>
  <c r="D35" i="2" s="1"/>
  <c r="T162" i="1"/>
  <c r="T150" i="1"/>
  <c r="T172" i="1"/>
  <c r="G359" i="1"/>
  <c r="K359" i="1"/>
  <c r="P359" i="1"/>
  <c r="H359" i="1"/>
  <c r="L359" i="1"/>
  <c r="S359" i="1"/>
  <c r="T294" i="1"/>
  <c r="I359" i="1"/>
  <c r="M359" i="1"/>
  <c r="O359" i="1"/>
  <c r="T369" i="1"/>
  <c r="T108" i="1"/>
  <c r="C27" i="2" s="1"/>
  <c r="V287" i="1"/>
  <c r="V283" i="1" s="1"/>
  <c r="E34" i="2" s="1"/>
  <c r="U359" i="1"/>
  <c r="U352" i="1" s="1"/>
  <c r="D36" i="2" s="1"/>
  <c r="T119" i="1"/>
  <c r="T133" i="1"/>
  <c r="T252" i="1"/>
  <c r="T258" i="1"/>
  <c r="T379" i="1"/>
  <c r="V76" i="1"/>
  <c r="T288" i="1"/>
  <c r="T29" i="1"/>
  <c r="U53" i="1"/>
  <c r="U52" i="1" s="1"/>
  <c r="V53" i="1"/>
  <c r="V52" i="1" s="1"/>
  <c r="E24" i="2" s="1"/>
  <c r="T137" i="1"/>
  <c r="T179" i="1"/>
  <c r="U196" i="1"/>
  <c r="U178" i="1" s="1"/>
  <c r="D31" i="2" s="1"/>
  <c r="T213" i="1"/>
  <c r="T243" i="1"/>
  <c r="T240" i="1" s="1"/>
  <c r="C32" i="2" s="1"/>
  <c r="U243" i="1"/>
  <c r="U240" i="1" s="1"/>
  <c r="D32" i="2" s="1"/>
  <c r="U255" i="1"/>
  <c r="U251" i="1" s="1"/>
  <c r="D33" i="2" s="1"/>
  <c r="M287" i="1"/>
  <c r="R287" i="1"/>
  <c r="O287" i="1"/>
  <c r="H287" i="1"/>
  <c r="S287" i="1"/>
  <c r="P287" i="1"/>
  <c r="N287" i="1"/>
  <c r="P196" i="1"/>
  <c r="M82" i="4"/>
  <c r="G82" i="4"/>
  <c r="K88" i="4"/>
  <c r="K82" i="4" s="1"/>
  <c r="J88" i="4"/>
  <c r="J82" i="4" s="1"/>
  <c r="L88" i="4"/>
  <c r="L82" i="4" s="1"/>
  <c r="J77" i="4"/>
  <c r="M196" i="1"/>
  <c r="R196" i="1"/>
  <c r="N196" i="1"/>
  <c r="S196" i="1"/>
  <c r="O196" i="1"/>
  <c r="G196" i="1"/>
  <c r="L43" i="4"/>
  <c r="Q71" i="4"/>
  <c r="Q70" i="4" s="1"/>
  <c r="J71" i="4"/>
  <c r="J70" i="4" s="1"/>
  <c r="O51" i="4"/>
  <c r="G51" i="4"/>
  <c r="M51" i="4"/>
  <c r="N51" i="4"/>
  <c r="R51" i="4"/>
  <c r="Q51" i="4"/>
  <c r="G43" i="4"/>
  <c r="O43" i="4"/>
  <c r="S43" i="4"/>
  <c r="M43" i="4"/>
  <c r="Q43" i="4"/>
  <c r="L51" i="4"/>
  <c r="P51" i="4"/>
  <c r="I51" i="4"/>
  <c r="P43" i="4"/>
  <c r="K51" i="4"/>
  <c r="S51" i="4"/>
  <c r="H51" i="4"/>
  <c r="H53" i="1"/>
  <c r="H24" i="4"/>
  <c r="L24" i="4"/>
  <c r="P24" i="4"/>
  <c r="G24" i="4"/>
  <c r="G23" i="4" s="1"/>
  <c r="S24" i="4"/>
  <c r="S23" i="4" s="1"/>
  <c r="M53" i="1"/>
  <c r="H43" i="4"/>
  <c r="R64" i="1"/>
  <c r="J51" i="4"/>
  <c r="J24" i="4"/>
  <c r="R24" i="4"/>
  <c r="R23" i="4" s="1"/>
  <c r="I43" i="4"/>
  <c r="S53" i="1"/>
  <c r="M64" i="1"/>
  <c r="L53" i="1"/>
  <c r="H64" i="1"/>
  <c r="P64" i="1"/>
  <c r="P53" i="1"/>
  <c r="R53" i="1"/>
  <c r="S64" i="1"/>
  <c r="K53" i="1"/>
  <c r="O53" i="1"/>
  <c r="G64" i="1"/>
  <c r="O64" i="1"/>
  <c r="L64" i="1"/>
  <c r="J23" i="4"/>
  <c r="I24" i="4"/>
  <c r="M24" i="4"/>
  <c r="M23" i="4" s="1"/>
  <c r="Q24" i="4"/>
  <c r="Q23" i="4" s="1"/>
  <c r="K43" i="4"/>
  <c r="K24" i="4"/>
  <c r="K23" i="4" s="1"/>
  <c r="O24" i="4"/>
  <c r="O23" i="4" s="1"/>
  <c r="N43" i="4"/>
  <c r="R43" i="4"/>
  <c r="I23" i="4"/>
  <c r="J43" i="4"/>
  <c r="H23" i="4"/>
  <c r="L23" i="4"/>
  <c r="P23" i="4"/>
  <c r="N24" i="4"/>
  <c r="N23" i="4" s="1"/>
  <c r="S410" i="1"/>
  <c r="P410" i="1"/>
  <c r="O410" i="1"/>
  <c r="M410" i="1"/>
  <c r="Q404" i="1"/>
  <c r="L413" i="1"/>
  <c r="L408" i="1"/>
  <c r="K408" i="1"/>
  <c r="L411" i="1"/>
  <c r="K411" i="1"/>
  <c r="N405" i="1"/>
  <c r="O405" i="1"/>
  <c r="L405" i="1"/>
  <c r="K405" i="1"/>
  <c r="L404" i="1"/>
  <c r="K404" i="1"/>
  <c r="L403" i="1"/>
  <c r="T17" i="1" l="1"/>
  <c r="C17" i="2" s="1"/>
  <c r="T18" i="1"/>
  <c r="T14" i="1"/>
  <c r="C13" i="2" s="1"/>
  <c r="V19" i="1"/>
  <c r="E19" i="2" s="1"/>
  <c r="D24" i="2"/>
  <c r="T19" i="1"/>
  <c r="C19" i="2" s="1"/>
  <c r="U19" i="1"/>
  <c r="D19" i="2" s="1"/>
  <c r="U70" i="1"/>
  <c r="D26" i="2" s="1"/>
  <c r="T70" i="1"/>
  <c r="C26" i="2" s="1"/>
  <c r="V70" i="1"/>
  <c r="E26" i="2" s="1"/>
  <c r="T118" i="1"/>
  <c r="T159" i="1"/>
  <c r="T149" i="1" s="1"/>
  <c r="E30" i="2"/>
  <c r="F42" i="2" s="1"/>
  <c r="AD251" i="1"/>
  <c r="E33" i="2"/>
  <c r="U148" i="1"/>
  <c r="D30" i="2"/>
  <c r="D17" i="2"/>
  <c r="T132" i="1"/>
  <c r="T127" i="1" s="1"/>
  <c r="C29" i="2" s="1"/>
  <c r="T287" i="1"/>
  <c r="T283" i="1" s="1"/>
  <c r="C34" i="2" s="1"/>
  <c r="T255" i="1"/>
  <c r="T251" i="1" s="1"/>
  <c r="C33" i="2" s="1"/>
  <c r="T196" i="1"/>
  <c r="T178" i="1" s="1"/>
  <c r="C31" i="2" s="1"/>
  <c r="AD178" i="1"/>
  <c r="AD149" i="1"/>
  <c r="AD148" i="1" s="1"/>
  <c r="T359" i="1"/>
  <c r="T352" i="1" s="1"/>
  <c r="C36" i="2" s="1"/>
  <c r="O406" i="1"/>
  <c r="N406" i="1" s="1"/>
  <c r="L406" i="1"/>
  <c r="L412" i="1"/>
  <c r="Q413" i="1"/>
  <c r="Q412" i="1"/>
  <c r="Q409" i="1"/>
  <c r="Q408" i="1"/>
  <c r="S407" i="1"/>
  <c r="S18" i="1" s="1"/>
  <c r="R407" i="1"/>
  <c r="R18" i="1" s="1"/>
  <c r="Q403" i="1"/>
  <c r="Q402" i="1" s="1"/>
  <c r="S402" i="1"/>
  <c r="S17" i="1" s="1"/>
  <c r="R402" i="1"/>
  <c r="Q411" i="1"/>
  <c r="S399" i="1"/>
  <c r="R399" i="1"/>
  <c r="C30" i="2" l="1"/>
  <c r="C28" i="2"/>
  <c r="R410" i="1"/>
  <c r="R401" i="1" s="1"/>
  <c r="AE13" i="1"/>
  <c r="AF13" i="1" s="1"/>
  <c r="Q410" i="1"/>
  <c r="S401" i="1"/>
  <c r="S398" i="1" s="1"/>
  <c r="L410" i="1"/>
  <c r="H410" i="1"/>
  <c r="Q407" i="1"/>
  <c r="Q399" i="1"/>
  <c r="E18" i="2" l="1"/>
  <c r="E15" i="2" s="1"/>
  <c r="V28" i="1"/>
  <c r="V15" i="1" s="1"/>
  <c r="D18" i="2"/>
  <c r="D15" i="2" s="1"/>
  <c r="U28" i="1"/>
  <c r="U15" i="1" s="1"/>
  <c r="C18" i="2"/>
  <c r="C15" i="2" s="1"/>
  <c r="T28" i="1"/>
  <c r="T15" i="1" s="1"/>
  <c r="R398" i="1"/>
  <c r="Q401" i="1"/>
  <c r="Q398" i="1" s="1"/>
  <c r="P399" i="1"/>
  <c r="O399" i="1"/>
  <c r="M399" i="1"/>
  <c r="L399" i="1"/>
  <c r="J399" i="1"/>
  <c r="H399" i="1"/>
  <c r="P402" i="1"/>
  <c r="P17" i="1" s="1"/>
  <c r="O402" i="1"/>
  <c r="M402" i="1"/>
  <c r="M17" i="1" s="1"/>
  <c r="L402" i="1"/>
  <c r="J402" i="1"/>
  <c r="H402" i="1"/>
  <c r="G402" i="1"/>
  <c r="P407" i="1"/>
  <c r="P18" i="1" s="1"/>
  <c r="O407" i="1"/>
  <c r="O18" i="1" s="1"/>
  <c r="M407" i="1"/>
  <c r="N413" i="1"/>
  <c r="K413" i="1"/>
  <c r="I413" i="1"/>
  <c r="J410" i="1"/>
  <c r="I399" i="1"/>
  <c r="K399" i="1"/>
  <c r="G399" i="1"/>
  <c r="N412" i="1"/>
  <c r="K412" i="1"/>
  <c r="I412" i="1"/>
  <c r="G412" i="1"/>
  <c r="G410" i="1" s="1"/>
  <c r="N411" i="1"/>
  <c r="N409" i="1"/>
  <c r="K409" i="1"/>
  <c r="K407" i="1" s="1"/>
  <c r="I409" i="1"/>
  <c r="G409" i="1"/>
  <c r="G407" i="1" s="1"/>
  <c r="L407" i="1"/>
  <c r="N408" i="1"/>
  <c r="J407" i="1"/>
  <c r="K406" i="1"/>
  <c r="I406" i="1"/>
  <c r="N403" i="1"/>
  <c r="N402" i="1" s="1"/>
  <c r="K403" i="1"/>
  <c r="I16" i="3"/>
  <c r="J16" i="3"/>
  <c r="K16" i="3"/>
  <c r="L16" i="3"/>
  <c r="M16" i="3"/>
  <c r="N16" i="3"/>
  <c r="J20" i="3"/>
  <c r="J19" i="3" s="1"/>
  <c r="K20" i="3"/>
  <c r="K19" i="3" s="1"/>
  <c r="L20" i="3"/>
  <c r="L19" i="3" s="1"/>
  <c r="N20" i="3"/>
  <c r="N19" i="3" s="1"/>
  <c r="I21" i="3"/>
  <c r="M21" i="3"/>
  <c r="I22" i="3"/>
  <c r="M22" i="3"/>
  <c r="I23" i="3"/>
  <c r="M23" i="3"/>
  <c r="I24" i="3"/>
  <c r="I25" i="3"/>
  <c r="I26" i="3"/>
  <c r="K28" i="3"/>
  <c r="L28" i="3"/>
  <c r="I30" i="3"/>
  <c r="M30" i="3"/>
  <c r="I31" i="3"/>
  <c r="M31" i="3"/>
  <c r="N31" i="3"/>
  <c r="N28" i="3" s="1"/>
  <c r="I33" i="3"/>
  <c r="M33" i="3"/>
  <c r="I34" i="3"/>
  <c r="J34" i="3"/>
  <c r="J28" i="3" s="1"/>
  <c r="I36" i="3"/>
  <c r="I37" i="3"/>
  <c r="I38" i="3"/>
  <c r="J40" i="3"/>
  <c r="L40" i="3"/>
  <c r="N40" i="3"/>
  <c r="I41" i="3"/>
  <c r="K41" i="3"/>
  <c r="K40" i="3" s="1"/>
  <c r="M41" i="3"/>
  <c r="M40" i="3" s="1"/>
  <c r="I43" i="3"/>
  <c r="I46" i="3"/>
  <c r="J48" i="3"/>
  <c r="J47" i="3" s="1"/>
  <c r="K48" i="3"/>
  <c r="K47" i="3" s="1"/>
  <c r="L48" i="3"/>
  <c r="L47" i="3" s="1"/>
  <c r="M48" i="3"/>
  <c r="M47" i="3" s="1"/>
  <c r="N48" i="3"/>
  <c r="N47" i="3" s="1"/>
  <c r="I50" i="3"/>
  <c r="I48" i="3" s="1"/>
  <c r="I47" i="3" s="1"/>
  <c r="J52" i="3"/>
  <c r="K52" i="3"/>
  <c r="L52" i="3"/>
  <c r="M52" i="3"/>
  <c r="N52" i="3"/>
  <c r="I53" i="3"/>
  <c r="I58" i="3"/>
  <c r="J60" i="3"/>
  <c r="K60" i="3"/>
  <c r="L60" i="3"/>
  <c r="M60" i="3"/>
  <c r="N60" i="3"/>
  <c r="I62" i="3"/>
  <c r="I60" i="3" s="1"/>
  <c r="I68" i="3"/>
  <c r="J68" i="3"/>
  <c r="L68" i="3"/>
  <c r="N68" i="3"/>
  <c r="K70" i="3"/>
  <c r="K71" i="3"/>
  <c r="M71" i="3"/>
  <c r="K72" i="3"/>
  <c r="M72" i="3"/>
  <c r="K73" i="3"/>
  <c r="M73" i="3"/>
  <c r="M74" i="3"/>
  <c r="K75" i="3"/>
  <c r="M75" i="3"/>
  <c r="K76" i="3"/>
  <c r="M76" i="3"/>
  <c r="K77" i="3"/>
  <c r="M77" i="3"/>
  <c r="K78" i="3"/>
  <c r="M78" i="3"/>
  <c r="J79" i="3"/>
  <c r="K79" i="3"/>
  <c r="L79" i="3"/>
  <c r="N79" i="3"/>
  <c r="I80" i="3"/>
  <c r="I79" i="3" s="1"/>
  <c r="M80" i="3"/>
  <c r="M79" i="3" s="1"/>
  <c r="J82" i="3"/>
  <c r="J81" i="3" s="1"/>
  <c r="K82" i="3"/>
  <c r="K81" i="3" s="1"/>
  <c r="L82" i="3"/>
  <c r="L81" i="3" s="1"/>
  <c r="N82" i="3"/>
  <c r="N81" i="3" s="1"/>
  <c r="I83" i="3"/>
  <c r="I82" i="3" s="1"/>
  <c r="I81" i="3" s="1"/>
  <c r="M83" i="3"/>
  <c r="M82" i="3" s="1"/>
  <c r="M81" i="3" s="1"/>
  <c r="I85" i="3"/>
  <c r="I84" i="3" s="1"/>
  <c r="J85" i="3"/>
  <c r="J84" i="3" s="1"/>
  <c r="L85" i="3"/>
  <c r="L84" i="3" s="1"/>
  <c r="M85" i="3"/>
  <c r="M84" i="3" s="1"/>
  <c r="N85" i="3"/>
  <c r="N84" i="3" s="1"/>
  <c r="K86" i="3"/>
  <c r="K85" i="3" s="1"/>
  <c r="K84" i="3" s="1"/>
  <c r="I93" i="3"/>
  <c r="J93" i="3"/>
  <c r="K93" i="3"/>
  <c r="L93" i="3"/>
  <c r="M93" i="3"/>
  <c r="N93" i="3"/>
  <c r="I99" i="3"/>
  <c r="J99" i="3"/>
  <c r="L99" i="3"/>
  <c r="N99" i="3"/>
  <c r="K100" i="3"/>
  <c r="K99" i="3" s="1"/>
  <c r="M100" i="3"/>
  <c r="M99" i="3" s="1"/>
  <c r="J101" i="3"/>
  <c r="K101" i="3"/>
  <c r="L101" i="3"/>
  <c r="N101" i="3"/>
  <c r="I102" i="3"/>
  <c r="M102" i="3"/>
  <c r="M101" i="3" s="1"/>
  <c r="I103" i="3"/>
  <c r="J105" i="3"/>
  <c r="J104" i="3" s="1"/>
  <c r="L105" i="3"/>
  <c r="L104" i="3" s="1"/>
  <c r="N105" i="3"/>
  <c r="N104" i="3" s="1"/>
  <c r="I106" i="3"/>
  <c r="M106" i="3"/>
  <c r="I107" i="3"/>
  <c r="M107" i="3"/>
  <c r="K108" i="3"/>
  <c r="K105" i="3" s="1"/>
  <c r="K104" i="3" s="1"/>
  <c r="I110" i="3"/>
  <c r="J110" i="3"/>
  <c r="K110" i="3"/>
  <c r="L110" i="3"/>
  <c r="M110" i="3"/>
  <c r="N110" i="3"/>
  <c r="I112" i="3"/>
  <c r="J112" i="3"/>
  <c r="K112" i="3"/>
  <c r="L112" i="3"/>
  <c r="L109" i="3" s="1"/>
  <c r="M112" i="3"/>
  <c r="N112" i="3"/>
  <c r="I116" i="3"/>
  <c r="J116" i="3"/>
  <c r="K116" i="3"/>
  <c r="L116" i="3"/>
  <c r="M116" i="3"/>
  <c r="N116" i="3"/>
  <c r="I122" i="3"/>
  <c r="J122" i="3"/>
  <c r="K122" i="3"/>
  <c r="L122" i="3"/>
  <c r="L121" i="3" s="1"/>
  <c r="M122" i="3"/>
  <c r="N122" i="3"/>
  <c r="I124" i="3"/>
  <c r="J124" i="3"/>
  <c r="K124" i="3"/>
  <c r="L124" i="3"/>
  <c r="M124" i="3"/>
  <c r="N124" i="3"/>
  <c r="J133" i="3"/>
  <c r="K133" i="3"/>
  <c r="L133" i="3"/>
  <c r="M133" i="3"/>
  <c r="N133" i="3"/>
  <c r="I134" i="3"/>
  <c r="I138" i="3"/>
  <c r="I141" i="3"/>
  <c r="J141" i="3"/>
  <c r="K141" i="3"/>
  <c r="L141" i="3"/>
  <c r="M141" i="3"/>
  <c r="N141" i="3"/>
  <c r="J150" i="3"/>
  <c r="K151" i="3"/>
  <c r="K150" i="3" s="1"/>
  <c r="L151" i="3"/>
  <c r="L150" i="3" s="1"/>
  <c r="M151" i="3"/>
  <c r="M150" i="3" s="1"/>
  <c r="N151" i="3"/>
  <c r="N150" i="3" s="1"/>
  <c r="I152" i="3"/>
  <c r="Q152" i="3" s="1"/>
  <c r="Q151" i="3" s="1"/>
  <c r="Q150" i="3" s="1"/>
  <c r="I156" i="3"/>
  <c r="J156" i="3"/>
  <c r="K156" i="3"/>
  <c r="L156" i="3"/>
  <c r="M156" i="3"/>
  <c r="N156" i="3"/>
  <c r="I164" i="3"/>
  <c r="J164" i="3"/>
  <c r="K164" i="3"/>
  <c r="L164" i="3"/>
  <c r="M164" i="3"/>
  <c r="N164" i="3"/>
  <c r="I166" i="3"/>
  <c r="J166" i="3"/>
  <c r="K166" i="3"/>
  <c r="L166" i="3"/>
  <c r="M166" i="3"/>
  <c r="N166" i="3"/>
  <c r="I175" i="3"/>
  <c r="I174" i="3" s="1"/>
  <c r="J175" i="3"/>
  <c r="J174" i="3" s="1"/>
  <c r="K175" i="3"/>
  <c r="K174" i="3" s="1"/>
  <c r="L175" i="3"/>
  <c r="L174" i="3" s="1"/>
  <c r="N175" i="3"/>
  <c r="N174" i="3" s="1"/>
  <c r="M176" i="3"/>
  <c r="M175" i="3" s="1"/>
  <c r="M174" i="3" s="1"/>
  <c r="I178" i="3"/>
  <c r="J178" i="3"/>
  <c r="K178" i="3"/>
  <c r="L178" i="3"/>
  <c r="M178" i="3"/>
  <c r="N178" i="3"/>
  <c r="J180" i="3"/>
  <c r="L180" i="3"/>
  <c r="M180" i="3"/>
  <c r="M177" i="3" s="1"/>
  <c r="N180" i="3"/>
  <c r="I181" i="3"/>
  <c r="I180" i="3" s="1"/>
  <c r="K181" i="3"/>
  <c r="K180" i="3" s="1"/>
  <c r="J192" i="3"/>
  <c r="J191" i="3" s="1"/>
  <c r="K192" i="3"/>
  <c r="K191" i="3" s="1"/>
  <c r="L192" i="3"/>
  <c r="L191" i="3" s="1"/>
  <c r="N192" i="3"/>
  <c r="N191" i="3" s="1"/>
  <c r="I193" i="3"/>
  <c r="I192" i="3" s="1"/>
  <c r="I191" i="3" s="1"/>
  <c r="M193" i="3"/>
  <c r="M192" i="3" s="1"/>
  <c r="M191" i="3" s="1"/>
  <c r="I197" i="3"/>
  <c r="J197" i="3"/>
  <c r="K197" i="3"/>
  <c r="L197" i="3"/>
  <c r="M197" i="3"/>
  <c r="N197" i="3"/>
  <c r="J201" i="3"/>
  <c r="J200" i="3" s="1"/>
  <c r="K201" i="3"/>
  <c r="K200" i="3" s="1"/>
  <c r="L201" i="3"/>
  <c r="L200" i="3" s="1"/>
  <c r="M201" i="3"/>
  <c r="M200" i="3" s="1"/>
  <c r="N201" i="3"/>
  <c r="N200" i="3" s="1"/>
  <c r="I203" i="3"/>
  <c r="I204" i="3"/>
  <c r="I205" i="3"/>
  <c r="J208" i="3"/>
  <c r="J207" i="3" s="1"/>
  <c r="K208" i="3"/>
  <c r="K207" i="3" s="1"/>
  <c r="L208" i="3"/>
  <c r="L207" i="3" s="1"/>
  <c r="M208" i="3"/>
  <c r="M207" i="3" s="1"/>
  <c r="N208" i="3"/>
  <c r="N207" i="3" s="1"/>
  <c r="I209" i="3"/>
  <c r="I210" i="3"/>
  <c r="I212" i="3"/>
  <c r="I213" i="3"/>
  <c r="I214" i="3"/>
  <c r="I215" i="3"/>
  <c r="I218" i="3"/>
  <c r="J218" i="3"/>
  <c r="K218" i="3"/>
  <c r="L218" i="3"/>
  <c r="M218" i="3"/>
  <c r="N218" i="3"/>
  <c r="J220" i="3"/>
  <c r="K220" i="3"/>
  <c r="L220" i="3"/>
  <c r="M220" i="3"/>
  <c r="N220" i="3"/>
  <c r="I221" i="3"/>
  <c r="I223" i="3"/>
  <c r="I224" i="3"/>
  <c r="I225" i="3"/>
  <c r="I226" i="3"/>
  <c r="J244" i="3"/>
  <c r="J243" i="3" s="1"/>
  <c r="K244" i="3"/>
  <c r="K243" i="3" s="1"/>
  <c r="L244" i="3"/>
  <c r="L243" i="3" s="1"/>
  <c r="M244" i="3"/>
  <c r="M243" i="3" s="1"/>
  <c r="N244" i="3"/>
  <c r="N243" i="3" s="1"/>
  <c r="I245" i="3"/>
  <c r="I246" i="3"/>
  <c r="I247" i="3"/>
  <c r="J249" i="3"/>
  <c r="K249" i="3"/>
  <c r="L249" i="3"/>
  <c r="M249" i="3"/>
  <c r="I250" i="3"/>
  <c r="I249" i="3" s="1"/>
  <c r="N250" i="3"/>
  <c r="N249" i="3" s="1"/>
  <c r="J251" i="3"/>
  <c r="L251" i="3"/>
  <c r="I252" i="3"/>
  <c r="I253" i="3"/>
  <c r="O253" i="3" s="1"/>
  <c r="K253" i="3"/>
  <c r="K251" i="3" s="1"/>
  <c r="M253" i="3"/>
  <c r="N253" i="3"/>
  <c r="N251" i="3" s="1"/>
  <c r="I254" i="3"/>
  <c r="M254" i="3"/>
  <c r="I255" i="3"/>
  <c r="M255" i="3"/>
  <c r="J257" i="3"/>
  <c r="K257" i="3"/>
  <c r="L257" i="3"/>
  <c r="M257" i="3"/>
  <c r="N257" i="3"/>
  <c r="I258" i="3"/>
  <c r="I257" i="3" s="1"/>
  <c r="I261" i="3"/>
  <c r="I262" i="3"/>
  <c r="I263" i="3"/>
  <c r="I264" i="3"/>
  <c r="J265" i="3"/>
  <c r="J260" i="3" s="1"/>
  <c r="K265" i="3"/>
  <c r="K260" i="3" s="1"/>
  <c r="K256" i="3" s="1"/>
  <c r="L265" i="3"/>
  <c r="L260" i="3" s="1"/>
  <c r="M265" i="3"/>
  <c r="M260" i="3" s="1"/>
  <c r="N265" i="3"/>
  <c r="N260" i="3" s="1"/>
  <c r="I266" i="3"/>
  <c r="I267" i="3"/>
  <c r="I268" i="3"/>
  <c r="I272" i="3"/>
  <c r="J272" i="3"/>
  <c r="K272" i="3"/>
  <c r="L272" i="3"/>
  <c r="M272" i="3"/>
  <c r="N272" i="3"/>
  <c r="J276" i="3"/>
  <c r="J275" i="3" s="1"/>
  <c r="K276" i="3"/>
  <c r="K275" i="3" s="1"/>
  <c r="L276" i="3"/>
  <c r="L275" i="3" s="1"/>
  <c r="N276" i="3"/>
  <c r="N275" i="3" s="1"/>
  <c r="I277" i="3"/>
  <c r="I276" i="3" s="1"/>
  <c r="I275" i="3" s="1"/>
  <c r="M277" i="3"/>
  <c r="M276" i="3" s="1"/>
  <c r="M275" i="3" s="1"/>
  <c r="I279" i="3"/>
  <c r="I278" i="3" s="1"/>
  <c r="J279" i="3"/>
  <c r="J278" i="3" s="1"/>
  <c r="K279" i="3"/>
  <c r="K278" i="3" s="1"/>
  <c r="L279" i="3"/>
  <c r="L278" i="3" s="1"/>
  <c r="M279" i="3"/>
  <c r="M278" i="3" s="1"/>
  <c r="N279" i="3"/>
  <c r="N278" i="3" s="1"/>
  <c r="I282" i="3"/>
  <c r="I281" i="3" s="1"/>
  <c r="J282" i="3"/>
  <c r="J281" i="3" s="1"/>
  <c r="K282" i="3"/>
  <c r="K281" i="3" s="1"/>
  <c r="L282" i="3"/>
  <c r="L281" i="3" s="1"/>
  <c r="M282" i="3"/>
  <c r="M281" i="3" s="1"/>
  <c r="N282" i="3"/>
  <c r="N281" i="3" s="1"/>
  <c r="I287" i="3"/>
  <c r="I286" i="3" s="1"/>
  <c r="J287" i="3"/>
  <c r="J286" i="3" s="1"/>
  <c r="K287" i="3"/>
  <c r="K286" i="3" s="1"/>
  <c r="L287" i="3"/>
  <c r="L286" i="3" s="1"/>
  <c r="M287" i="3"/>
  <c r="M286" i="3" s="1"/>
  <c r="N287" i="3"/>
  <c r="N286" i="3" s="1"/>
  <c r="I290" i="3"/>
  <c r="J290" i="3"/>
  <c r="K290" i="3"/>
  <c r="L290" i="3"/>
  <c r="M290" i="3"/>
  <c r="N290" i="3"/>
  <c r="I292" i="3"/>
  <c r="J292" i="3"/>
  <c r="K292" i="3"/>
  <c r="L292" i="3"/>
  <c r="M292" i="3"/>
  <c r="N292" i="3"/>
  <c r="I295" i="3"/>
  <c r="I294" i="3" s="1"/>
  <c r="J295" i="3"/>
  <c r="J294" i="3" s="1"/>
  <c r="K295" i="3"/>
  <c r="K294" i="3" s="1"/>
  <c r="L295" i="3"/>
  <c r="L294" i="3" s="1"/>
  <c r="M295" i="3"/>
  <c r="M294" i="3" s="1"/>
  <c r="N295" i="3"/>
  <c r="N294" i="3" s="1"/>
  <c r="I299" i="3"/>
  <c r="J299" i="3"/>
  <c r="K299" i="3"/>
  <c r="L299" i="3"/>
  <c r="M299" i="3"/>
  <c r="N299" i="3"/>
  <c r="I310" i="3"/>
  <c r="I309" i="3" s="1"/>
  <c r="J310" i="3"/>
  <c r="J309" i="3" s="1"/>
  <c r="K310" i="3"/>
  <c r="K309" i="3" s="1"/>
  <c r="L310" i="3"/>
  <c r="L309" i="3" s="1"/>
  <c r="N310" i="3"/>
  <c r="N309" i="3" s="1"/>
  <c r="M313" i="3"/>
  <c r="M310" i="3" s="1"/>
  <c r="M309" i="3" s="1"/>
  <c r="I316" i="3"/>
  <c r="I315" i="3" s="1"/>
  <c r="J316" i="3"/>
  <c r="J315" i="3" s="1"/>
  <c r="K316" i="3"/>
  <c r="K315" i="3" s="1"/>
  <c r="L316" i="3"/>
  <c r="L315" i="3" s="1"/>
  <c r="N316" i="3"/>
  <c r="N315" i="3" s="1"/>
  <c r="M317" i="3"/>
  <c r="M316" i="3" s="1"/>
  <c r="M315" i="3" s="1"/>
  <c r="I320" i="3"/>
  <c r="I319" i="3" s="1"/>
  <c r="J320" i="3"/>
  <c r="J319" i="3" s="1"/>
  <c r="K320" i="3"/>
  <c r="K319" i="3" s="1"/>
  <c r="L320" i="3"/>
  <c r="L319" i="3" s="1"/>
  <c r="M320" i="3"/>
  <c r="M319" i="3" s="1"/>
  <c r="N320" i="3"/>
  <c r="N319" i="3" s="1"/>
  <c r="I324" i="3"/>
  <c r="J324" i="3"/>
  <c r="K324" i="3"/>
  <c r="L324" i="3"/>
  <c r="M324" i="3"/>
  <c r="N324" i="3"/>
  <c r="I328" i="3"/>
  <c r="J328" i="3"/>
  <c r="K328" i="3"/>
  <c r="L328" i="3"/>
  <c r="M328" i="3"/>
  <c r="N328" i="3"/>
  <c r="J338" i="3"/>
  <c r="K338" i="3"/>
  <c r="L338" i="3"/>
  <c r="M338" i="3"/>
  <c r="N338" i="3"/>
  <c r="I340" i="3"/>
  <c r="I343" i="3"/>
  <c r="J354" i="3"/>
  <c r="K354" i="3"/>
  <c r="L354" i="3"/>
  <c r="M354" i="3"/>
  <c r="N354" i="3"/>
  <c r="I355" i="3"/>
  <c r="I354" i="3" s="1"/>
  <c r="J358" i="3"/>
  <c r="L358" i="3"/>
  <c r="N358" i="3"/>
  <c r="I360" i="3"/>
  <c r="I361" i="3"/>
  <c r="K361" i="3"/>
  <c r="K358" i="3" s="1"/>
  <c r="M361" i="3"/>
  <c r="M358" i="3" s="1"/>
  <c r="J363" i="3"/>
  <c r="L363" i="3"/>
  <c r="N363" i="3"/>
  <c r="I364" i="3"/>
  <c r="K364" i="3"/>
  <c r="M364" i="3"/>
  <c r="K365" i="3"/>
  <c r="I366" i="3"/>
  <c r="K366" i="3"/>
  <c r="M366" i="3"/>
  <c r="J367" i="3"/>
  <c r="N367" i="3"/>
  <c r="K368" i="3"/>
  <c r="M368" i="3"/>
  <c r="I369" i="3"/>
  <c r="I367" i="3" s="1"/>
  <c r="L369" i="3"/>
  <c r="M369" i="3"/>
  <c r="I371" i="3"/>
  <c r="J371" i="3"/>
  <c r="K371" i="3"/>
  <c r="L371" i="3"/>
  <c r="M371" i="3"/>
  <c r="N371" i="3"/>
  <c r="J373" i="3"/>
  <c r="L373" i="3"/>
  <c r="N373" i="3"/>
  <c r="I374" i="3"/>
  <c r="M374" i="3"/>
  <c r="K375" i="3"/>
  <c r="M375" i="3"/>
  <c r="I376" i="3"/>
  <c r="K376" i="3"/>
  <c r="M377" i="3"/>
  <c r="M378" i="3"/>
  <c r="J379" i="3"/>
  <c r="L379" i="3"/>
  <c r="N379" i="3"/>
  <c r="I380" i="3"/>
  <c r="K380" i="3"/>
  <c r="M380" i="3"/>
  <c r="I381" i="3"/>
  <c r="K381" i="3"/>
  <c r="K382" i="3"/>
  <c r="M382" i="3"/>
  <c r="K383" i="3"/>
  <c r="M383" i="3"/>
  <c r="K384" i="3"/>
  <c r="M384" i="3"/>
  <c r="I388" i="3"/>
  <c r="J388" i="3"/>
  <c r="K388" i="3"/>
  <c r="L388" i="3"/>
  <c r="M388" i="3"/>
  <c r="N388" i="3"/>
  <c r="J390" i="3"/>
  <c r="K390" i="3"/>
  <c r="L390" i="3"/>
  <c r="M390" i="3"/>
  <c r="N390" i="3"/>
  <c r="I392" i="3"/>
  <c r="I390" i="3" s="1"/>
  <c r="I395" i="3"/>
  <c r="J395" i="3"/>
  <c r="K395" i="3"/>
  <c r="L395" i="3"/>
  <c r="M395" i="3"/>
  <c r="N395" i="3"/>
  <c r="J404" i="3"/>
  <c r="L404" i="3"/>
  <c r="M404" i="3"/>
  <c r="N404" i="3"/>
  <c r="I405" i="3"/>
  <c r="I404" i="3" s="1"/>
  <c r="K405" i="3"/>
  <c r="K404" i="3" s="1"/>
  <c r="J406" i="3"/>
  <c r="L406" i="3"/>
  <c r="N406" i="3"/>
  <c r="I407" i="3"/>
  <c r="K407" i="3"/>
  <c r="M407" i="3"/>
  <c r="I408" i="3"/>
  <c r="K408" i="3"/>
  <c r="M408" i="3"/>
  <c r="J409" i="3"/>
  <c r="K409" i="3"/>
  <c r="L409" i="3"/>
  <c r="M409" i="3"/>
  <c r="N409" i="3"/>
  <c r="I410" i="3"/>
  <c r="I411" i="3"/>
  <c r="I412" i="3"/>
  <c r="I414" i="3"/>
  <c r="I415" i="3"/>
  <c r="I416" i="3"/>
  <c r="J418" i="3"/>
  <c r="L418" i="3"/>
  <c r="N418" i="3"/>
  <c r="I419" i="3"/>
  <c r="I418" i="3" s="1"/>
  <c r="K419" i="3"/>
  <c r="K418" i="3" s="1"/>
  <c r="M419" i="3"/>
  <c r="M418" i="3" s="1"/>
  <c r="J421" i="3"/>
  <c r="K421" i="3"/>
  <c r="L421" i="3"/>
  <c r="N421" i="3"/>
  <c r="M423" i="3"/>
  <c r="M421" i="3" s="1"/>
  <c r="I424" i="3"/>
  <c r="I421" i="3" s="1"/>
  <c r="I427" i="3"/>
  <c r="J427" i="3"/>
  <c r="K427" i="3"/>
  <c r="L427" i="3"/>
  <c r="M427" i="3"/>
  <c r="N427" i="3"/>
  <c r="J431" i="3"/>
  <c r="K431" i="3"/>
  <c r="L431" i="3"/>
  <c r="N431" i="3"/>
  <c r="I432" i="3"/>
  <c r="I434" i="3"/>
  <c r="I435" i="3"/>
  <c r="I436" i="3"/>
  <c r="I437" i="3"/>
  <c r="M437" i="3"/>
  <c r="M431" i="3" s="1"/>
  <c r="I438" i="3"/>
  <c r="I440" i="3"/>
  <c r="J440" i="3"/>
  <c r="K440" i="3"/>
  <c r="L440" i="3"/>
  <c r="M440" i="3"/>
  <c r="N440" i="3"/>
  <c r="J445" i="3"/>
  <c r="K445" i="3"/>
  <c r="L445" i="3"/>
  <c r="M445" i="3"/>
  <c r="N445" i="3"/>
  <c r="I448" i="3"/>
  <c r="I449" i="3"/>
  <c r="I451" i="3"/>
  <c r="I452" i="3"/>
  <c r="I453" i="3"/>
  <c r="I454" i="3"/>
  <c r="I455" i="3"/>
  <c r="I457" i="3"/>
  <c r="I458" i="3"/>
  <c r="J465" i="3"/>
  <c r="K465" i="3"/>
  <c r="L465" i="3"/>
  <c r="M465" i="3"/>
  <c r="N465" i="3"/>
  <c r="I466" i="3"/>
  <c r="I468" i="3"/>
  <c r="I474" i="3"/>
  <c r="I476" i="3"/>
  <c r="J476" i="3"/>
  <c r="J473" i="3" s="1"/>
  <c r="J472" i="3" s="1"/>
  <c r="K476" i="3"/>
  <c r="K473" i="3" s="1"/>
  <c r="K472" i="3" s="1"/>
  <c r="L476" i="3"/>
  <c r="L473" i="3" s="1"/>
  <c r="L472" i="3" s="1"/>
  <c r="M476" i="3"/>
  <c r="M473" i="3" s="1"/>
  <c r="M472" i="3" s="1"/>
  <c r="N476" i="3"/>
  <c r="N473" i="3" s="1"/>
  <c r="N472" i="3" s="1"/>
  <c r="J483" i="3"/>
  <c r="K483" i="3"/>
  <c r="L483" i="3"/>
  <c r="M483" i="3"/>
  <c r="N483" i="3"/>
  <c r="I484" i="3"/>
  <c r="I483" i="3" s="1"/>
  <c r="K485" i="3"/>
  <c r="L485" i="3"/>
  <c r="M485" i="3"/>
  <c r="N485" i="3"/>
  <c r="I486" i="3"/>
  <c r="I487" i="3"/>
  <c r="J488" i="3"/>
  <c r="J485" i="3" s="1"/>
  <c r="J491" i="3"/>
  <c r="J490" i="3" s="1"/>
  <c r="K491" i="3"/>
  <c r="K490" i="3" s="1"/>
  <c r="L491" i="3"/>
  <c r="L490" i="3" s="1"/>
  <c r="M491" i="3"/>
  <c r="M490" i="3" s="1"/>
  <c r="N491" i="3"/>
  <c r="N490" i="3" s="1"/>
  <c r="I492" i="3"/>
  <c r="I493" i="3"/>
  <c r="I496" i="3"/>
  <c r="I499" i="3"/>
  <c r="J499" i="3"/>
  <c r="K499" i="3"/>
  <c r="L499" i="3"/>
  <c r="M499" i="3"/>
  <c r="N499" i="3"/>
  <c r="J503" i="3"/>
  <c r="L503" i="3"/>
  <c r="I504" i="3"/>
  <c r="K504" i="3"/>
  <c r="N504" i="3"/>
  <c r="M504" i="3" s="1"/>
  <c r="I505" i="3"/>
  <c r="K505" i="3"/>
  <c r="M505" i="3"/>
  <c r="J506" i="3"/>
  <c r="L506" i="3"/>
  <c r="L502" i="3" s="1"/>
  <c r="I507" i="3"/>
  <c r="K507" i="3"/>
  <c r="M507" i="3"/>
  <c r="I508" i="3"/>
  <c r="K508" i="3"/>
  <c r="M508" i="3"/>
  <c r="K509" i="3"/>
  <c r="I510" i="3"/>
  <c r="K510" i="3"/>
  <c r="M510" i="3"/>
  <c r="I511" i="3"/>
  <c r="K511" i="3"/>
  <c r="N511" i="3"/>
  <c r="I512" i="3"/>
  <c r="K512" i="3"/>
  <c r="M512" i="3"/>
  <c r="K513" i="3"/>
  <c r="J515" i="3"/>
  <c r="L515" i="3"/>
  <c r="I516" i="3"/>
  <c r="I515" i="3" s="1"/>
  <c r="K516" i="3"/>
  <c r="K515" i="3" s="1"/>
  <c r="N516" i="3"/>
  <c r="M516" i="3" s="1"/>
  <c r="M515" i="3" s="1"/>
  <c r="J517" i="3"/>
  <c r="J514" i="3" s="1"/>
  <c r="L517" i="3"/>
  <c r="I518" i="3"/>
  <c r="K518" i="3"/>
  <c r="N518" i="3"/>
  <c r="I519" i="3"/>
  <c r="I520" i="3"/>
  <c r="I521" i="3"/>
  <c r="O521" i="3" s="1"/>
  <c r="K521" i="3"/>
  <c r="I522" i="3"/>
  <c r="K522" i="3"/>
  <c r="M522" i="3"/>
  <c r="I523" i="3"/>
  <c r="K523" i="3"/>
  <c r="M523" i="3"/>
  <c r="I524" i="3"/>
  <c r="I525" i="3"/>
  <c r="K525" i="3"/>
  <c r="M525" i="3"/>
  <c r="I526" i="3"/>
  <c r="M526" i="3"/>
  <c r="I527" i="3"/>
  <c r="K527" i="3"/>
  <c r="I529" i="3"/>
  <c r="J529" i="3"/>
  <c r="K529" i="3"/>
  <c r="L529" i="3"/>
  <c r="N529" i="3"/>
  <c r="M530" i="3"/>
  <c r="M529" i="3" s="1"/>
  <c r="J531" i="3"/>
  <c r="L531" i="3"/>
  <c r="L528" i="3" s="1"/>
  <c r="N531" i="3"/>
  <c r="I532" i="3"/>
  <c r="K532" i="3"/>
  <c r="M532" i="3"/>
  <c r="I533" i="3"/>
  <c r="K533" i="3"/>
  <c r="M533" i="3"/>
  <c r="I534" i="3"/>
  <c r="K534" i="3"/>
  <c r="I535" i="3"/>
  <c r="K535" i="3"/>
  <c r="M535" i="3"/>
  <c r="I536" i="3"/>
  <c r="I537" i="3"/>
  <c r="J539" i="3"/>
  <c r="J538" i="3" s="1"/>
  <c r="I538" i="3" s="1"/>
  <c r="K539" i="3"/>
  <c r="K538" i="3" s="1"/>
  <c r="L539" i="3"/>
  <c r="L538" i="3" s="1"/>
  <c r="M539" i="3"/>
  <c r="M538" i="3" s="1"/>
  <c r="N539" i="3"/>
  <c r="N538" i="3" s="1"/>
  <c r="I540" i="3"/>
  <c r="I542" i="3"/>
  <c r="I544" i="3"/>
  <c r="I546" i="3"/>
  <c r="I547" i="3"/>
  <c r="I548" i="3"/>
  <c r="I550" i="3"/>
  <c r="I557" i="3"/>
  <c r="J557" i="3"/>
  <c r="K557" i="3"/>
  <c r="L557" i="3"/>
  <c r="M557" i="3"/>
  <c r="N557" i="3"/>
  <c r="I559" i="3"/>
  <c r="J559" i="3"/>
  <c r="L559" i="3"/>
  <c r="N559" i="3"/>
  <c r="K566" i="3"/>
  <c r="M566" i="3"/>
  <c r="K567" i="3"/>
  <c r="M567" i="3"/>
  <c r="I569" i="3"/>
  <c r="J569" i="3"/>
  <c r="K569" i="3"/>
  <c r="L569" i="3"/>
  <c r="M569" i="3"/>
  <c r="N570" i="3"/>
  <c r="N569" i="3" s="1"/>
  <c r="J572" i="3"/>
  <c r="L572" i="3"/>
  <c r="N572" i="3"/>
  <c r="I576" i="3"/>
  <c r="I572" i="3" s="1"/>
  <c r="K576" i="3"/>
  <c r="K572" i="3" s="1"/>
  <c r="M576" i="3"/>
  <c r="M572" i="3" s="1"/>
  <c r="M568" i="3" s="1"/>
  <c r="I578" i="3"/>
  <c r="J578" i="3"/>
  <c r="K578" i="3"/>
  <c r="L578" i="3"/>
  <c r="M578" i="3"/>
  <c r="N578" i="3"/>
  <c r="J581" i="3"/>
  <c r="L581" i="3"/>
  <c r="L577" i="3" s="1"/>
  <c r="N581" i="3"/>
  <c r="I582" i="3"/>
  <c r="I581" i="3" s="1"/>
  <c r="K582" i="3"/>
  <c r="K581" i="3" s="1"/>
  <c r="M582" i="3"/>
  <c r="M581" i="3" s="1"/>
  <c r="J584" i="3"/>
  <c r="K584" i="3"/>
  <c r="L584" i="3"/>
  <c r="M584" i="3"/>
  <c r="N584" i="3"/>
  <c r="I586" i="3"/>
  <c r="I587" i="3"/>
  <c r="I588" i="3"/>
  <c r="J589" i="3"/>
  <c r="K589" i="3"/>
  <c r="L589" i="3"/>
  <c r="M589" i="3"/>
  <c r="N589" i="3"/>
  <c r="I591" i="3"/>
  <c r="I589" i="3" s="1"/>
  <c r="I592" i="3"/>
  <c r="I593" i="3"/>
  <c r="J593" i="3"/>
  <c r="U596" i="3"/>
  <c r="T596" i="3"/>
  <c r="R596" i="3"/>
  <c r="Q596" i="3"/>
  <c r="AE593" i="3"/>
  <c r="X592" i="3"/>
  <c r="T592" i="3"/>
  <c r="Q592" i="3"/>
  <c r="X591" i="3"/>
  <c r="T591" i="3"/>
  <c r="Q591" i="3"/>
  <c r="O591" i="3"/>
  <c r="O589" i="3" s="1"/>
  <c r="G591" i="3"/>
  <c r="G589" i="3" s="1"/>
  <c r="Y590" i="3"/>
  <c r="Y589" i="3" s="1"/>
  <c r="X590" i="3"/>
  <c r="U590" i="3"/>
  <c r="U589" i="3" s="1"/>
  <c r="Q590" i="3"/>
  <c r="P590" i="3"/>
  <c r="H590" i="3"/>
  <c r="H589" i="3" s="1"/>
  <c r="AO589" i="3"/>
  <c r="AN589" i="3"/>
  <c r="AM589" i="3"/>
  <c r="AL589" i="3"/>
  <c r="AK589" i="3"/>
  <c r="AJ589" i="3"/>
  <c r="AI589" i="3"/>
  <c r="AH589" i="3"/>
  <c r="AG589" i="3"/>
  <c r="AF589" i="3"/>
  <c r="AE589" i="3"/>
  <c r="AD589" i="3"/>
  <c r="AC589" i="3"/>
  <c r="AB589" i="3"/>
  <c r="Z589" i="3"/>
  <c r="X589" i="3"/>
  <c r="V589" i="3"/>
  <c r="S589" i="3"/>
  <c r="P589" i="3"/>
  <c r="X588" i="3"/>
  <c r="T588" i="3"/>
  <c r="O588" i="3"/>
  <c r="X587" i="3"/>
  <c r="T587" i="3"/>
  <c r="Q587" i="3"/>
  <c r="O587" i="3"/>
  <c r="G587" i="3"/>
  <c r="X586" i="3"/>
  <c r="T586" i="3"/>
  <c r="Q586" i="3"/>
  <c r="O586" i="3"/>
  <c r="G586" i="3"/>
  <c r="X585" i="3"/>
  <c r="T585" i="3"/>
  <c r="AO584" i="3"/>
  <c r="AN584" i="3"/>
  <c r="AM584" i="3"/>
  <c r="AL584" i="3"/>
  <c r="AK584" i="3"/>
  <c r="AJ584" i="3"/>
  <c r="AI584" i="3"/>
  <c r="AH584" i="3"/>
  <c r="AG584" i="3"/>
  <c r="AF584" i="3"/>
  <c r="AE584" i="3"/>
  <c r="AD584" i="3"/>
  <c r="AC584" i="3"/>
  <c r="AB584" i="3"/>
  <c r="Z584" i="3"/>
  <c r="Y584" i="3"/>
  <c r="V584" i="3"/>
  <c r="U584" i="3"/>
  <c r="S584" i="3"/>
  <c r="R584" i="3"/>
  <c r="P584" i="3"/>
  <c r="H584" i="3"/>
  <c r="X582" i="3"/>
  <c r="X581" i="3" s="1"/>
  <c r="T582" i="3"/>
  <c r="T581" i="3" s="1"/>
  <c r="Q582" i="3"/>
  <c r="Q581" i="3" s="1"/>
  <c r="O582" i="3"/>
  <c r="O581" i="3" s="1"/>
  <c r="G582" i="3"/>
  <c r="G581" i="3" s="1"/>
  <c r="AO581" i="3"/>
  <c r="AN581" i="3"/>
  <c r="AM581" i="3"/>
  <c r="AL581" i="3"/>
  <c r="AK581" i="3"/>
  <c r="AJ581" i="3"/>
  <c r="AI581" i="3"/>
  <c r="AH581" i="3"/>
  <c r="AG581" i="3"/>
  <c r="AF581" i="3"/>
  <c r="AE581" i="3"/>
  <c r="AD581" i="3"/>
  <c r="AC581" i="3"/>
  <c r="AB581" i="3"/>
  <c r="Z581" i="3"/>
  <c r="Y581" i="3"/>
  <c r="V581" i="3"/>
  <c r="U581" i="3"/>
  <c r="S581" i="3"/>
  <c r="R581" i="3"/>
  <c r="P581" i="3"/>
  <c r="H581" i="3"/>
  <c r="Q580" i="3"/>
  <c r="H580" i="3"/>
  <c r="X579" i="3"/>
  <c r="X578" i="3" s="1"/>
  <c r="T579" i="3"/>
  <c r="T578" i="3" s="1"/>
  <c r="R579" i="3"/>
  <c r="Q579" i="3"/>
  <c r="P579" i="3"/>
  <c r="P578" i="3" s="1"/>
  <c r="P577" i="3" s="1"/>
  <c r="O579" i="3"/>
  <c r="O578" i="3" s="1"/>
  <c r="AO578" i="3"/>
  <c r="AN578" i="3"/>
  <c r="AM578" i="3"/>
  <c r="AL578" i="3"/>
  <c r="AK578" i="3"/>
  <c r="AJ578" i="3"/>
  <c r="AI578" i="3"/>
  <c r="AH578" i="3"/>
  <c r="AG578" i="3"/>
  <c r="AF578" i="3"/>
  <c r="AE578" i="3"/>
  <c r="AD578" i="3"/>
  <c r="AC578" i="3"/>
  <c r="AB578" i="3"/>
  <c r="Z578" i="3"/>
  <c r="Y578" i="3"/>
  <c r="V578" i="3"/>
  <c r="U578" i="3"/>
  <c r="S578" i="3"/>
  <c r="G578" i="3"/>
  <c r="Q576" i="3"/>
  <c r="Q572" i="3" s="1"/>
  <c r="O576" i="3"/>
  <c r="O572" i="3" s="1"/>
  <c r="G576" i="3"/>
  <c r="G572" i="3" s="1"/>
  <c r="U574" i="3"/>
  <c r="U572" i="3" s="1"/>
  <c r="T574" i="3"/>
  <c r="T572" i="3" s="1"/>
  <c r="AO572" i="3"/>
  <c r="AN572" i="3"/>
  <c r="AM572" i="3"/>
  <c r="AL572" i="3"/>
  <c r="AK572" i="3"/>
  <c r="AJ572" i="3"/>
  <c r="AI572" i="3"/>
  <c r="AH572" i="3"/>
  <c r="AG572" i="3"/>
  <c r="AF572" i="3"/>
  <c r="AD572" i="3"/>
  <c r="AC572" i="3"/>
  <c r="AB572" i="3"/>
  <c r="Z572" i="3"/>
  <c r="Y572" i="3"/>
  <c r="X572" i="3"/>
  <c r="V572" i="3"/>
  <c r="S572" i="3"/>
  <c r="R572" i="3"/>
  <c r="P572" i="3"/>
  <c r="H572" i="3"/>
  <c r="X571" i="3"/>
  <c r="X569" i="3" s="1"/>
  <c r="T571" i="3"/>
  <c r="T569" i="3" s="1"/>
  <c r="R571" i="3"/>
  <c r="R569" i="3" s="1"/>
  <c r="Q571" i="3"/>
  <c r="O571" i="3"/>
  <c r="Q570" i="3"/>
  <c r="O570" i="3"/>
  <c r="AO569" i="3"/>
  <c r="AN569" i="3"/>
  <c r="AN568" i="3" s="1"/>
  <c r="AM569" i="3"/>
  <c r="AL569" i="3"/>
  <c r="AK569" i="3"/>
  <c r="AJ569" i="3"/>
  <c r="AI569" i="3"/>
  <c r="AH569" i="3"/>
  <c r="AG569" i="3"/>
  <c r="AF569" i="3"/>
  <c r="AE569" i="3"/>
  <c r="AD569" i="3"/>
  <c r="AC569" i="3"/>
  <c r="AB569" i="3"/>
  <c r="Z569" i="3"/>
  <c r="Y569" i="3"/>
  <c r="V569" i="3"/>
  <c r="U569" i="3"/>
  <c r="S569" i="3"/>
  <c r="P569" i="3"/>
  <c r="H569" i="3"/>
  <c r="G569" i="3"/>
  <c r="P567" i="3"/>
  <c r="O567" i="3" s="1"/>
  <c r="G567" i="3"/>
  <c r="P566" i="3"/>
  <c r="O566" i="3" s="1"/>
  <c r="G566" i="3"/>
  <c r="O565" i="3"/>
  <c r="P565" i="3" s="1"/>
  <c r="H565" i="3"/>
  <c r="H559" i="3" s="1"/>
  <c r="P561" i="3"/>
  <c r="O561" i="3"/>
  <c r="P560" i="3"/>
  <c r="O560" i="3"/>
  <c r="AO559" i="3"/>
  <c r="AN559" i="3"/>
  <c r="AM559" i="3"/>
  <c r="AL559" i="3"/>
  <c r="AK559" i="3"/>
  <c r="AJ559" i="3"/>
  <c r="AI559" i="3"/>
  <c r="AH559" i="3"/>
  <c r="AG559" i="3"/>
  <c r="AF559" i="3"/>
  <c r="AE559" i="3"/>
  <c r="AD559" i="3"/>
  <c r="AC559" i="3"/>
  <c r="AB559" i="3"/>
  <c r="Z559" i="3"/>
  <c r="Y559" i="3"/>
  <c r="X559" i="3"/>
  <c r="V559" i="3"/>
  <c r="U559" i="3"/>
  <c r="T559" i="3"/>
  <c r="S559" i="3"/>
  <c r="R559" i="3"/>
  <c r="Q559" i="3"/>
  <c r="AO557" i="3"/>
  <c r="AO556" i="3" s="1"/>
  <c r="AN557" i="3"/>
  <c r="AM557" i="3"/>
  <c r="AL557" i="3"/>
  <c r="AK557" i="3"/>
  <c r="AJ557" i="3"/>
  <c r="AI557" i="3"/>
  <c r="AH557" i="3"/>
  <c r="AG557" i="3"/>
  <c r="AF557" i="3"/>
  <c r="AE557" i="3"/>
  <c r="AD557" i="3"/>
  <c r="AC557" i="3"/>
  <c r="AC556" i="3" s="1"/>
  <c r="AB557" i="3"/>
  <c r="Z557" i="3"/>
  <c r="Y557" i="3"/>
  <c r="X557" i="3"/>
  <c r="V557" i="3"/>
  <c r="U557" i="3"/>
  <c r="T557" i="3"/>
  <c r="S557" i="3"/>
  <c r="S556" i="3" s="1"/>
  <c r="R557" i="3"/>
  <c r="Q557" i="3"/>
  <c r="P557" i="3"/>
  <c r="O557" i="3"/>
  <c r="H557" i="3"/>
  <c r="G557" i="3"/>
  <c r="R550" i="3"/>
  <c r="Q550" i="3"/>
  <c r="H549" i="3"/>
  <c r="H539" i="3" s="1"/>
  <c r="H538" i="3" s="1"/>
  <c r="R547" i="3"/>
  <c r="Q547" i="3"/>
  <c r="R546" i="3"/>
  <c r="Q546" i="3"/>
  <c r="T543" i="3"/>
  <c r="T542" i="3"/>
  <c r="O542" i="3"/>
  <c r="T541" i="3"/>
  <c r="T540" i="3"/>
  <c r="O540" i="3"/>
  <c r="AO539" i="3"/>
  <c r="AO538" i="3" s="1"/>
  <c r="AN539" i="3"/>
  <c r="AN538" i="3" s="1"/>
  <c r="AM539" i="3"/>
  <c r="AM538" i="3" s="1"/>
  <c r="AL539" i="3"/>
  <c r="AL538" i="3" s="1"/>
  <c r="AK539" i="3"/>
  <c r="AK538" i="3" s="1"/>
  <c r="AJ539" i="3"/>
  <c r="AJ538" i="3" s="1"/>
  <c r="AI539" i="3"/>
  <c r="AI538" i="3" s="1"/>
  <c r="AH539" i="3"/>
  <c r="AH538" i="3" s="1"/>
  <c r="AG539" i="3"/>
  <c r="AG538" i="3" s="1"/>
  <c r="AF539" i="3"/>
  <c r="AF538" i="3" s="1"/>
  <c r="AE539" i="3"/>
  <c r="AD539" i="3"/>
  <c r="AC539" i="3"/>
  <c r="AC538" i="3" s="1"/>
  <c r="AB539" i="3"/>
  <c r="AB538" i="3" s="1"/>
  <c r="Z539" i="3"/>
  <c r="Z538" i="3" s="1"/>
  <c r="Y539" i="3"/>
  <c r="Y538" i="3" s="1"/>
  <c r="X539" i="3"/>
  <c r="X538" i="3" s="1"/>
  <c r="V539" i="3"/>
  <c r="V538" i="3" s="1"/>
  <c r="U539" i="3"/>
  <c r="U538" i="3" s="1"/>
  <c r="S539" i="3"/>
  <c r="S538" i="3" s="1"/>
  <c r="P539" i="3"/>
  <c r="P538" i="3" s="1"/>
  <c r="G539" i="3"/>
  <c r="G538" i="3" s="1"/>
  <c r="AE538" i="3"/>
  <c r="AD538" i="3"/>
  <c r="O537" i="3"/>
  <c r="O536" i="3"/>
  <c r="R535" i="3"/>
  <c r="Q535" i="3" s="1"/>
  <c r="P535" i="3"/>
  <c r="O535" i="3" s="1"/>
  <c r="P534" i="3"/>
  <c r="O534" i="3"/>
  <c r="R533" i="3"/>
  <c r="Q533" i="3" s="1"/>
  <c r="P533" i="3"/>
  <c r="O533" i="3" s="1"/>
  <c r="R532" i="3"/>
  <c r="Q532" i="3" s="1"/>
  <c r="P532" i="3"/>
  <c r="O532" i="3" s="1"/>
  <c r="AO531" i="3"/>
  <c r="AN531" i="3"/>
  <c r="AM531" i="3"/>
  <c r="AL531" i="3"/>
  <c r="AK531" i="3"/>
  <c r="AJ531" i="3"/>
  <c r="AI531" i="3"/>
  <c r="AH531" i="3"/>
  <c r="AG531" i="3"/>
  <c r="AF531" i="3"/>
  <c r="AE531" i="3"/>
  <c r="AD531" i="3"/>
  <c r="AC531" i="3"/>
  <c r="AB531" i="3"/>
  <c r="Z531" i="3"/>
  <c r="Y531" i="3"/>
  <c r="X531" i="3"/>
  <c r="V531" i="3"/>
  <c r="U531" i="3"/>
  <c r="T531" i="3"/>
  <c r="S531" i="3"/>
  <c r="H531" i="3"/>
  <c r="G531" i="3"/>
  <c r="P530" i="3"/>
  <c r="P529" i="3" s="1"/>
  <c r="AO529" i="3"/>
  <c r="AO528" i="3" s="1"/>
  <c r="AN529" i="3"/>
  <c r="AM529" i="3"/>
  <c r="AM528" i="3" s="1"/>
  <c r="AL529" i="3"/>
  <c r="AK529" i="3"/>
  <c r="AJ529" i="3"/>
  <c r="AI529" i="3"/>
  <c r="AI528" i="3" s="1"/>
  <c r="AH529" i="3"/>
  <c r="AH528" i="3" s="1"/>
  <c r="AG529" i="3"/>
  <c r="AG528" i="3" s="1"/>
  <c r="AF529" i="3"/>
  <c r="AE529" i="3"/>
  <c r="AE528" i="3" s="1"/>
  <c r="AD529" i="3"/>
  <c r="AC529" i="3"/>
  <c r="AC528" i="3" s="1"/>
  <c r="AB529" i="3"/>
  <c r="AB528" i="3" s="1"/>
  <c r="Z529" i="3"/>
  <c r="Z528" i="3" s="1"/>
  <c r="Y529" i="3"/>
  <c r="X529" i="3"/>
  <c r="V529" i="3"/>
  <c r="V528" i="3" s="1"/>
  <c r="U529" i="3"/>
  <c r="U528" i="3" s="1"/>
  <c r="T529" i="3"/>
  <c r="S529" i="3"/>
  <c r="R529" i="3"/>
  <c r="Q529" i="3"/>
  <c r="O529" i="3"/>
  <c r="H529" i="3"/>
  <c r="G529" i="3"/>
  <c r="R527" i="3"/>
  <c r="Q527" i="3"/>
  <c r="P527" i="3"/>
  <c r="O527" i="3"/>
  <c r="O526" i="3"/>
  <c r="R525" i="3"/>
  <c r="Q525" i="3" s="1"/>
  <c r="P525" i="3"/>
  <c r="O525" i="3"/>
  <c r="R524" i="3"/>
  <c r="Q524" i="3" s="1"/>
  <c r="O524" i="3"/>
  <c r="R523" i="3"/>
  <c r="P523" i="3"/>
  <c r="O523" i="3"/>
  <c r="R522" i="3"/>
  <c r="P522" i="3"/>
  <c r="O522" i="3" s="1"/>
  <c r="AE521" i="3"/>
  <c r="AE517" i="3" s="1"/>
  <c r="Q521" i="3"/>
  <c r="O520" i="3"/>
  <c r="Q520" i="3" s="1"/>
  <c r="T520" i="3" s="1"/>
  <c r="Q518" i="3"/>
  <c r="O518" i="3"/>
  <c r="AO517" i="3"/>
  <c r="AN517" i="3"/>
  <c r="AM517" i="3"/>
  <c r="AL517" i="3"/>
  <c r="AK517" i="3"/>
  <c r="AJ517" i="3"/>
  <c r="AI517" i="3"/>
  <c r="AH517" i="3"/>
  <c r="AG517" i="3"/>
  <c r="AF517" i="3"/>
  <c r="AD517" i="3"/>
  <c r="AC517" i="3"/>
  <c r="AB517" i="3"/>
  <c r="Z517" i="3"/>
  <c r="Y517" i="3"/>
  <c r="X517" i="3"/>
  <c r="V517" i="3"/>
  <c r="S517" i="3"/>
  <c r="H517" i="3"/>
  <c r="G517" i="3"/>
  <c r="U516" i="3"/>
  <c r="U515" i="3" s="1"/>
  <c r="R516" i="3"/>
  <c r="R515" i="3" s="1"/>
  <c r="Q516" i="3"/>
  <c r="Q515" i="3" s="1"/>
  <c r="P516" i="3"/>
  <c r="AO515" i="3"/>
  <c r="AN515" i="3"/>
  <c r="AM515" i="3"/>
  <c r="AL515" i="3"/>
  <c r="AK515" i="3"/>
  <c r="AJ515" i="3"/>
  <c r="AI515" i="3"/>
  <c r="AH515" i="3"/>
  <c r="AG515" i="3"/>
  <c r="AF515" i="3"/>
  <c r="AE515" i="3"/>
  <c r="AD515" i="3"/>
  <c r="AC515" i="3"/>
  <c r="AB515" i="3"/>
  <c r="Z515" i="3"/>
  <c r="Y515" i="3"/>
  <c r="X515" i="3"/>
  <c r="V515" i="3"/>
  <c r="T515" i="3"/>
  <c r="S515" i="3"/>
  <c r="H515" i="3"/>
  <c r="G515" i="3"/>
  <c r="O513" i="3"/>
  <c r="O512" i="3"/>
  <c r="T511" i="3"/>
  <c r="Q511" i="3"/>
  <c r="P511" i="3"/>
  <c r="O511" i="3"/>
  <c r="T510" i="3"/>
  <c r="Q510" i="3"/>
  <c r="P510" i="3"/>
  <c r="O510" i="3"/>
  <c r="T509" i="3"/>
  <c r="O509" i="3"/>
  <c r="T508" i="3"/>
  <c r="R508" i="3"/>
  <c r="T507" i="3"/>
  <c r="R507" i="3"/>
  <c r="Q507" i="3" s="1"/>
  <c r="P507" i="3"/>
  <c r="O507" i="3"/>
  <c r="AO506" i="3"/>
  <c r="AN506" i="3"/>
  <c r="AM506" i="3"/>
  <c r="AL506" i="3"/>
  <c r="AK506" i="3"/>
  <c r="AJ506" i="3"/>
  <c r="AI506" i="3"/>
  <c r="AH506" i="3"/>
  <c r="AG506" i="3"/>
  <c r="AG502" i="3" s="1"/>
  <c r="AF506" i="3"/>
  <c r="AE506" i="3"/>
  <c r="AD506" i="3"/>
  <c r="AC506" i="3"/>
  <c r="AB506" i="3"/>
  <c r="Z506" i="3"/>
  <c r="Y506" i="3"/>
  <c r="X506" i="3"/>
  <c r="V506" i="3"/>
  <c r="U506" i="3"/>
  <c r="S506" i="3"/>
  <c r="H506" i="3"/>
  <c r="G506" i="3"/>
  <c r="T505" i="3"/>
  <c r="Q505" i="3"/>
  <c r="O505" i="3"/>
  <c r="O503" i="3" s="1"/>
  <c r="T504" i="3"/>
  <c r="Q504" i="3"/>
  <c r="AO503" i="3"/>
  <c r="AN503" i="3"/>
  <c r="AM503" i="3"/>
  <c r="AL503" i="3"/>
  <c r="AK503" i="3"/>
  <c r="AJ503" i="3"/>
  <c r="AI503" i="3"/>
  <c r="AH503" i="3"/>
  <c r="AG503" i="3"/>
  <c r="AF503" i="3"/>
  <c r="AE503" i="3"/>
  <c r="AD503" i="3"/>
  <c r="AC503" i="3"/>
  <c r="AB503" i="3"/>
  <c r="Z503" i="3"/>
  <c r="Y503" i="3"/>
  <c r="X503" i="3"/>
  <c r="V503" i="3"/>
  <c r="U503" i="3"/>
  <c r="S503" i="3"/>
  <c r="R503" i="3"/>
  <c r="P503" i="3"/>
  <c r="H503" i="3"/>
  <c r="G503" i="3"/>
  <c r="AO499" i="3"/>
  <c r="AN499" i="3"/>
  <c r="AM499" i="3"/>
  <c r="AL499" i="3"/>
  <c r="AK499" i="3"/>
  <c r="AJ499" i="3"/>
  <c r="AI499" i="3"/>
  <c r="AH499" i="3"/>
  <c r="AG499" i="3"/>
  <c r="AF499" i="3"/>
  <c r="AE499" i="3"/>
  <c r="AD499" i="3"/>
  <c r="AC499" i="3"/>
  <c r="AB499" i="3"/>
  <c r="Z499" i="3"/>
  <c r="Y499" i="3"/>
  <c r="X499" i="3"/>
  <c r="V499" i="3"/>
  <c r="U499" i="3"/>
  <c r="T499" i="3"/>
  <c r="S499" i="3"/>
  <c r="R499" i="3"/>
  <c r="Q499" i="3"/>
  <c r="P499" i="3"/>
  <c r="O499" i="3"/>
  <c r="H499" i="3"/>
  <c r="G499" i="3"/>
  <c r="O496" i="3"/>
  <c r="O491" i="3" s="1"/>
  <c r="O490" i="3" s="1"/>
  <c r="AO491" i="3"/>
  <c r="AO490" i="3" s="1"/>
  <c r="AN491" i="3"/>
  <c r="AN490" i="3" s="1"/>
  <c r="AM491" i="3"/>
  <c r="AM490" i="3" s="1"/>
  <c r="AL491" i="3"/>
  <c r="AL490" i="3" s="1"/>
  <c r="AK491" i="3"/>
  <c r="AK490" i="3" s="1"/>
  <c r="AJ491" i="3"/>
  <c r="AJ490" i="3" s="1"/>
  <c r="AI491" i="3"/>
  <c r="AI490" i="3" s="1"/>
  <c r="AH491" i="3"/>
  <c r="AH490" i="3" s="1"/>
  <c r="AG491" i="3"/>
  <c r="AG490" i="3" s="1"/>
  <c r="AF491" i="3"/>
  <c r="AF490" i="3" s="1"/>
  <c r="AE491" i="3"/>
  <c r="AE490" i="3" s="1"/>
  <c r="AD491" i="3"/>
  <c r="AD490" i="3" s="1"/>
  <c r="AC491" i="3"/>
  <c r="AC490" i="3" s="1"/>
  <c r="AB491" i="3"/>
  <c r="AB490" i="3" s="1"/>
  <c r="Z491" i="3"/>
  <c r="Z490" i="3" s="1"/>
  <c r="Y491" i="3"/>
  <c r="Y490" i="3" s="1"/>
  <c r="X491" i="3"/>
  <c r="X490" i="3" s="1"/>
  <c r="V491" i="3"/>
  <c r="V490" i="3" s="1"/>
  <c r="U491" i="3"/>
  <c r="U490" i="3" s="1"/>
  <c r="T491" i="3"/>
  <c r="T490" i="3" s="1"/>
  <c r="S491" i="3"/>
  <c r="S490" i="3" s="1"/>
  <c r="R491" i="3"/>
  <c r="R490" i="3" s="1"/>
  <c r="Q491" i="3"/>
  <c r="Q490" i="3" s="1"/>
  <c r="P491" i="3"/>
  <c r="P490" i="3" s="1"/>
  <c r="H491" i="3"/>
  <c r="H490" i="3" s="1"/>
  <c r="G491" i="3"/>
  <c r="G490" i="3" s="1"/>
  <c r="X487" i="3"/>
  <c r="X485" i="3" s="1"/>
  <c r="T487" i="3"/>
  <c r="T485" i="3" s="1"/>
  <c r="O486" i="3"/>
  <c r="O485" i="3" s="1"/>
  <c r="AO485" i="3"/>
  <c r="AN485" i="3"/>
  <c r="AM485" i="3"/>
  <c r="AL485" i="3"/>
  <c r="AK485" i="3"/>
  <c r="AJ485" i="3"/>
  <c r="AI485" i="3"/>
  <c r="AH485" i="3"/>
  <c r="AG485" i="3"/>
  <c r="AF485" i="3"/>
  <c r="AE485" i="3"/>
  <c r="AD485" i="3"/>
  <c r="AC485" i="3"/>
  <c r="AB485" i="3"/>
  <c r="Z485" i="3"/>
  <c r="Y485" i="3"/>
  <c r="V485" i="3"/>
  <c r="U485" i="3"/>
  <c r="S485" i="3"/>
  <c r="R485" i="3"/>
  <c r="Q485" i="3"/>
  <c r="P485" i="3"/>
  <c r="H485" i="3"/>
  <c r="G485" i="3"/>
  <c r="AO483" i="3"/>
  <c r="AO482" i="3" s="1"/>
  <c r="AN483" i="3"/>
  <c r="AM483" i="3"/>
  <c r="AM482" i="3" s="1"/>
  <c r="AL483" i="3"/>
  <c r="AL482" i="3" s="1"/>
  <c r="AK483" i="3"/>
  <c r="AK482" i="3" s="1"/>
  <c r="AJ483" i="3"/>
  <c r="AI483" i="3"/>
  <c r="AI482" i="3" s="1"/>
  <c r="AH483" i="3"/>
  <c r="AH482" i="3" s="1"/>
  <c r="AG483" i="3"/>
  <c r="AG482" i="3" s="1"/>
  <c r="AF483" i="3"/>
  <c r="AE483" i="3"/>
  <c r="AD483" i="3"/>
  <c r="AD482" i="3" s="1"/>
  <c r="AC483" i="3"/>
  <c r="AC482" i="3" s="1"/>
  <c r="AB483" i="3"/>
  <c r="Z483" i="3"/>
  <c r="Z482" i="3" s="1"/>
  <c r="Y483" i="3"/>
  <c r="Y482" i="3" s="1"/>
  <c r="X483" i="3"/>
  <c r="V483" i="3"/>
  <c r="U483" i="3"/>
  <c r="T483" i="3"/>
  <c r="S483" i="3"/>
  <c r="R483" i="3"/>
  <c r="Q483" i="3"/>
  <c r="P483" i="3"/>
  <c r="O483" i="3"/>
  <c r="H483" i="3"/>
  <c r="G483" i="3"/>
  <c r="Z476" i="3"/>
  <c r="Z473" i="3" s="1"/>
  <c r="Z472" i="3" s="1"/>
  <c r="Y476" i="3"/>
  <c r="Y473" i="3" s="1"/>
  <c r="Y472" i="3" s="1"/>
  <c r="X476" i="3"/>
  <c r="X473" i="3" s="1"/>
  <c r="X472" i="3" s="1"/>
  <c r="V476" i="3"/>
  <c r="V473" i="3" s="1"/>
  <c r="V472" i="3" s="1"/>
  <c r="U476" i="3"/>
  <c r="U473" i="3" s="1"/>
  <c r="U472" i="3" s="1"/>
  <c r="T476" i="3"/>
  <c r="T473" i="3" s="1"/>
  <c r="T472" i="3" s="1"/>
  <c r="S476" i="3"/>
  <c r="S473" i="3" s="1"/>
  <c r="S472" i="3" s="1"/>
  <c r="R476" i="3"/>
  <c r="R473" i="3" s="1"/>
  <c r="R472" i="3" s="1"/>
  <c r="Q476" i="3"/>
  <c r="Q473" i="3" s="1"/>
  <c r="Q472" i="3" s="1"/>
  <c r="P476" i="3"/>
  <c r="P473" i="3" s="1"/>
  <c r="P472" i="3" s="1"/>
  <c r="O476" i="3"/>
  <c r="O473" i="3" s="1"/>
  <c r="O472" i="3" s="1"/>
  <c r="H476" i="3"/>
  <c r="H473" i="3" s="1"/>
  <c r="H472" i="3" s="1"/>
  <c r="G476" i="3"/>
  <c r="G473" i="3" s="1"/>
  <c r="G472" i="3" s="1"/>
  <c r="AO473" i="3"/>
  <c r="AO472" i="3" s="1"/>
  <c r="AN473" i="3"/>
  <c r="AN472" i="3" s="1"/>
  <c r="AM473" i="3"/>
  <c r="AM472" i="3" s="1"/>
  <c r="AL473" i="3"/>
  <c r="AL472" i="3" s="1"/>
  <c r="AK473" i="3"/>
  <c r="AK472" i="3" s="1"/>
  <c r="AJ473" i="3"/>
  <c r="AJ472" i="3" s="1"/>
  <c r="AI473" i="3"/>
  <c r="AI472" i="3" s="1"/>
  <c r="AH473" i="3"/>
  <c r="AH472" i="3" s="1"/>
  <c r="AG473" i="3"/>
  <c r="AG472" i="3" s="1"/>
  <c r="AF473" i="3"/>
  <c r="AF472" i="3" s="1"/>
  <c r="AE473" i="3"/>
  <c r="AE472" i="3" s="1"/>
  <c r="AD473" i="3"/>
  <c r="AD472" i="3" s="1"/>
  <c r="AC473" i="3"/>
  <c r="AC472" i="3" s="1"/>
  <c r="AB473" i="3"/>
  <c r="AB472" i="3" s="1"/>
  <c r="O468" i="3"/>
  <c r="O466" i="3"/>
  <c r="AO465" i="3"/>
  <c r="AN465" i="3"/>
  <c r="AM465" i="3"/>
  <c r="AL465" i="3"/>
  <c r="AK465" i="3"/>
  <c r="AJ465" i="3"/>
  <c r="AI465" i="3"/>
  <c r="AH465" i="3"/>
  <c r="AG465" i="3"/>
  <c r="AF465" i="3"/>
  <c r="AE465" i="3"/>
  <c r="AD465" i="3"/>
  <c r="AC465" i="3"/>
  <c r="AB465" i="3"/>
  <c r="Z465" i="3"/>
  <c r="Y465" i="3"/>
  <c r="X465" i="3"/>
  <c r="V465" i="3"/>
  <c r="U465" i="3"/>
  <c r="T465" i="3"/>
  <c r="S465" i="3"/>
  <c r="R465" i="3"/>
  <c r="Q465" i="3"/>
  <c r="P465" i="3"/>
  <c r="H465" i="3"/>
  <c r="G465" i="3"/>
  <c r="X462" i="3"/>
  <c r="T462" i="3"/>
  <c r="G462" i="3"/>
  <c r="X461" i="3"/>
  <c r="T461" i="3"/>
  <c r="Q461" i="3"/>
  <c r="G461" i="3"/>
  <c r="X460" i="3"/>
  <c r="T460" i="3"/>
  <c r="Q460" i="3"/>
  <c r="G460" i="3"/>
  <c r="X459" i="3"/>
  <c r="T459" i="3"/>
  <c r="Q459" i="3"/>
  <c r="G459" i="3"/>
  <c r="G445" i="3" s="1"/>
  <c r="O458" i="3"/>
  <c r="O457" i="3"/>
  <c r="O455" i="3"/>
  <c r="O454" i="3"/>
  <c r="O453" i="3"/>
  <c r="O452" i="3"/>
  <c r="O451" i="3"/>
  <c r="AO445" i="3"/>
  <c r="AN445" i="3"/>
  <c r="AM445" i="3"/>
  <c r="AL445" i="3"/>
  <c r="AK445" i="3"/>
  <c r="AJ445" i="3"/>
  <c r="AI445" i="3"/>
  <c r="AH445" i="3"/>
  <c r="AG445" i="3"/>
  <c r="AF445" i="3"/>
  <c r="AE445" i="3"/>
  <c r="AD445" i="3"/>
  <c r="AC445" i="3"/>
  <c r="AB445" i="3"/>
  <c r="Z445" i="3"/>
  <c r="Y445" i="3"/>
  <c r="V445" i="3"/>
  <c r="U445" i="3"/>
  <c r="S445" i="3"/>
  <c r="P445" i="3"/>
  <c r="H445" i="3"/>
  <c r="H444" i="3"/>
  <c r="H443" i="3"/>
  <c r="Q441" i="3"/>
  <c r="O441" i="3"/>
  <c r="O440" i="3" s="1"/>
  <c r="AO440" i="3"/>
  <c r="AN440" i="3"/>
  <c r="AM440" i="3"/>
  <c r="AL440" i="3"/>
  <c r="AK440" i="3"/>
  <c r="AJ440" i="3"/>
  <c r="AI440" i="3"/>
  <c r="AH440" i="3"/>
  <c r="AG440" i="3"/>
  <c r="AF440" i="3"/>
  <c r="AE440" i="3"/>
  <c r="AD440" i="3"/>
  <c r="AC440" i="3"/>
  <c r="AB440" i="3"/>
  <c r="Z440" i="3"/>
  <c r="Y440" i="3"/>
  <c r="X440" i="3"/>
  <c r="V440" i="3"/>
  <c r="U440" i="3"/>
  <c r="T440" i="3"/>
  <c r="S440" i="3"/>
  <c r="R440" i="3"/>
  <c r="Q440" i="3"/>
  <c r="P440" i="3"/>
  <c r="G440" i="3"/>
  <c r="Q437" i="3"/>
  <c r="Q436" i="3"/>
  <c r="Q435" i="3"/>
  <c r="Q434" i="3"/>
  <c r="O434" i="3"/>
  <c r="O431" i="3" s="1"/>
  <c r="Q433" i="3"/>
  <c r="Q432" i="3"/>
  <c r="Z431" i="3"/>
  <c r="Y431" i="3"/>
  <c r="X431" i="3"/>
  <c r="V431" i="3"/>
  <c r="U431" i="3"/>
  <c r="T431" i="3"/>
  <c r="S431" i="3"/>
  <c r="R431" i="3"/>
  <c r="P431" i="3"/>
  <c r="H431" i="3"/>
  <c r="G431" i="3"/>
  <c r="P430" i="3"/>
  <c r="P427" i="3" s="1"/>
  <c r="O430" i="3"/>
  <c r="Q429" i="3"/>
  <c r="O429" i="3"/>
  <c r="Q428" i="3"/>
  <c r="AO427" i="3"/>
  <c r="AO426" i="3" s="1"/>
  <c r="AN427" i="3"/>
  <c r="AN426" i="3" s="1"/>
  <c r="AM427" i="3"/>
  <c r="AM426" i="3" s="1"/>
  <c r="AL427" i="3"/>
  <c r="AL426" i="3" s="1"/>
  <c r="AK427" i="3"/>
  <c r="AK426" i="3" s="1"/>
  <c r="AJ427" i="3"/>
  <c r="AJ426" i="3" s="1"/>
  <c r="AI427" i="3"/>
  <c r="AI426" i="3" s="1"/>
  <c r="AH427" i="3"/>
  <c r="AH426" i="3" s="1"/>
  <c r="AG427" i="3"/>
  <c r="AG426" i="3" s="1"/>
  <c r="AF427" i="3"/>
  <c r="AF426" i="3" s="1"/>
  <c r="AE427" i="3"/>
  <c r="AE426" i="3" s="1"/>
  <c r="AD427" i="3"/>
  <c r="AD426" i="3" s="1"/>
  <c r="AC427" i="3"/>
  <c r="AC426" i="3" s="1"/>
  <c r="AB427" i="3"/>
  <c r="AB426" i="3" s="1"/>
  <c r="Z427" i="3"/>
  <c r="Y427" i="3"/>
  <c r="X427" i="3"/>
  <c r="V427" i="3"/>
  <c r="U427" i="3"/>
  <c r="T427" i="3"/>
  <c r="S427" i="3"/>
  <c r="R427" i="3"/>
  <c r="H427" i="3"/>
  <c r="G427" i="3"/>
  <c r="AE425" i="3"/>
  <c r="Q424" i="3"/>
  <c r="R423" i="3"/>
  <c r="R421" i="3" s="1"/>
  <c r="Q423" i="3"/>
  <c r="P423" i="3"/>
  <c r="P421" i="3" s="1"/>
  <c r="O423" i="3"/>
  <c r="O421" i="3" s="1"/>
  <c r="AO421" i="3"/>
  <c r="AN421" i="3"/>
  <c r="AM421" i="3"/>
  <c r="AL421" i="3"/>
  <c r="AK421" i="3"/>
  <c r="AJ421" i="3"/>
  <c r="AI421" i="3"/>
  <c r="AH421" i="3"/>
  <c r="AG421" i="3"/>
  <c r="AF421" i="3"/>
  <c r="AE421" i="3"/>
  <c r="AD421" i="3"/>
  <c r="AC421" i="3"/>
  <c r="AB421" i="3"/>
  <c r="Z421" i="3"/>
  <c r="Y421" i="3"/>
  <c r="X421" i="3"/>
  <c r="V421" i="3"/>
  <c r="U421" i="3"/>
  <c r="T421" i="3"/>
  <c r="S421" i="3"/>
  <c r="H421" i="3"/>
  <c r="G421" i="3"/>
  <c r="P419" i="3"/>
  <c r="P418" i="3" s="1"/>
  <c r="O419" i="3"/>
  <c r="O418" i="3" s="1"/>
  <c r="H419" i="3"/>
  <c r="H418" i="3" s="1"/>
  <c r="H417" i="3" s="1"/>
  <c r="AO418" i="3"/>
  <c r="AN418" i="3"/>
  <c r="AM418" i="3"/>
  <c r="AL418" i="3"/>
  <c r="AK418" i="3"/>
  <c r="AJ418" i="3"/>
  <c r="AI418" i="3"/>
  <c r="AH418" i="3"/>
  <c r="AG418" i="3"/>
  <c r="AF418" i="3"/>
  <c r="AE418" i="3"/>
  <c r="AD418" i="3"/>
  <c r="AC418" i="3"/>
  <c r="AB418" i="3"/>
  <c r="Z418" i="3"/>
  <c r="Y418" i="3"/>
  <c r="X418" i="3"/>
  <c r="V418" i="3"/>
  <c r="U418" i="3"/>
  <c r="T418" i="3"/>
  <c r="S418" i="3"/>
  <c r="R418" i="3"/>
  <c r="Q418" i="3"/>
  <c r="G418" i="3"/>
  <c r="Q416" i="3"/>
  <c r="O416" i="3"/>
  <c r="Q415" i="3"/>
  <c r="O415" i="3"/>
  <c r="Q414" i="3"/>
  <c r="Q413" i="3"/>
  <c r="O413" i="3"/>
  <c r="Q412" i="3"/>
  <c r="O412" i="3"/>
  <c r="Q411" i="3"/>
  <c r="O411" i="3"/>
  <c r="Q410" i="3"/>
  <c r="O410" i="3"/>
  <c r="AO409" i="3"/>
  <c r="AN409" i="3"/>
  <c r="AM409" i="3"/>
  <c r="AL409" i="3"/>
  <c r="AK409" i="3"/>
  <c r="AJ409" i="3"/>
  <c r="AI409" i="3"/>
  <c r="AH409" i="3"/>
  <c r="AG409" i="3"/>
  <c r="AF409" i="3"/>
  <c r="AE409" i="3"/>
  <c r="AD409" i="3"/>
  <c r="AC409" i="3"/>
  <c r="AB409" i="3"/>
  <c r="Z409" i="3"/>
  <c r="Y409" i="3"/>
  <c r="X409" i="3"/>
  <c r="V409" i="3"/>
  <c r="U409" i="3"/>
  <c r="T409" i="3"/>
  <c r="S409" i="3"/>
  <c r="R409" i="3"/>
  <c r="P409" i="3"/>
  <c r="H409" i="3"/>
  <c r="G409" i="3"/>
  <c r="Q408" i="3"/>
  <c r="Q406" i="3" s="1"/>
  <c r="O408" i="3"/>
  <c r="H408" i="3"/>
  <c r="P407" i="3"/>
  <c r="P406" i="3" s="1"/>
  <c r="O407" i="3"/>
  <c r="H407" i="3"/>
  <c r="AO406" i="3"/>
  <c r="AN406" i="3"/>
  <c r="AM406" i="3"/>
  <c r="AL406" i="3"/>
  <c r="AK406" i="3"/>
  <c r="AJ406" i="3"/>
  <c r="AI406" i="3"/>
  <c r="AH406" i="3"/>
  <c r="AG406" i="3"/>
  <c r="AF406" i="3"/>
  <c r="AE406" i="3"/>
  <c r="AD406" i="3"/>
  <c r="AC406" i="3"/>
  <c r="AB406" i="3"/>
  <c r="Z406" i="3"/>
  <c r="Y406" i="3"/>
  <c r="X406" i="3"/>
  <c r="V406" i="3"/>
  <c r="U406" i="3"/>
  <c r="T406" i="3"/>
  <c r="S406" i="3"/>
  <c r="R406" i="3"/>
  <c r="G406" i="3"/>
  <c r="Q405" i="3"/>
  <c r="Q404" i="3" s="1"/>
  <c r="P405" i="3"/>
  <c r="P404" i="3" s="1"/>
  <c r="O405" i="3"/>
  <c r="O404" i="3" s="1"/>
  <c r="H405" i="3"/>
  <c r="H404" i="3" s="1"/>
  <c r="AO404" i="3"/>
  <c r="AN404" i="3"/>
  <c r="AM404" i="3"/>
  <c r="AL404" i="3"/>
  <c r="AK404" i="3"/>
  <c r="AJ404" i="3"/>
  <c r="AI404" i="3"/>
  <c r="AH404" i="3"/>
  <c r="AG404" i="3"/>
  <c r="AF404" i="3"/>
  <c r="AE404" i="3"/>
  <c r="AD404" i="3"/>
  <c r="AC404" i="3"/>
  <c r="AB404" i="3"/>
  <c r="Z404" i="3"/>
  <c r="Y404" i="3"/>
  <c r="X404" i="3"/>
  <c r="V404" i="3"/>
  <c r="U404" i="3"/>
  <c r="T404" i="3"/>
  <c r="S404" i="3"/>
  <c r="R404" i="3"/>
  <c r="G404" i="3"/>
  <c r="AO395" i="3"/>
  <c r="AN395" i="3"/>
  <c r="AM395" i="3"/>
  <c r="AL395" i="3"/>
  <c r="AK395" i="3"/>
  <c r="AJ395" i="3"/>
  <c r="AI395" i="3"/>
  <c r="AH395" i="3"/>
  <c r="AG395" i="3"/>
  <c r="AF395" i="3"/>
  <c r="AE395" i="3"/>
  <c r="AD395" i="3"/>
  <c r="AC395" i="3"/>
  <c r="AB395" i="3"/>
  <c r="Z395" i="3"/>
  <c r="Y395" i="3"/>
  <c r="X395" i="3"/>
  <c r="V395" i="3"/>
  <c r="U395" i="3"/>
  <c r="T395" i="3"/>
  <c r="S395" i="3"/>
  <c r="R395" i="3"/>
  <c r="Q395" i="3"/>
  <c r="P395" i="3"/>
  <c r="O395" i="3"/>
  <c r="H395" i="3"/>
  <c r="G395" i="3"/>
  <c r="R392" i="3"/>
  <c r="Q392" i="3"/>
  <c r="O392" i="3"/>
  <c r="O390" i="3" s="1"/>
  <c r="G392" i="3"/>
  <c r="R391" i="3"/>
  <c r="Q391" i="3" s="1"/>
  <c r="G391" i="3"/>
  <c r="AO390" i="3"/>
  <c r="AN390" i="3"/>
  <c r="AM390" i="3"/>
  <c r="AL390" i="3"/>
  <c r="AK390" i="3"/>
  <c r="AJ390" i="3"/>
  <c r="AI390" i="3"/>
  <c r="AH390" i="3"/>
  <c r="AG390" i="3"/>
  <c r="AF390" i="3"/>
  <c r="AE390" i="3"/>
  <c r="AD390" i="3"/>
  <c r="AC390" i="3"/>
  <c r="AB390" i="3"/>
  <c r="Z390" i="3"/>
  <c r="Y390" i="3"/>
  <c r="X390" i="3"/>
  <c r="V390" i="3"/>
  <c r="U390" i="3"/>
  <c r="T390" i="3"/>
  <c r="S390" i="3"/>
  <c r="P390" i="3"/>
  <c r="H390" i="3"/>
  <c r="Z388" i="3"/>
  <c r="Y388" i="3"/>
  <c r="X388" i="3"/>
  <c r="V388" i="3"/>
  <c r="U388" i="3"/>
  <c r="T388" i="3"/>
  <c r="S388" i="3"/>
  <c r="R388" i="3"/>
  <c r="Q388" i="3"/>
  <c r="P388" i="3"/>
  <c r="O388" i="3"/>
  <c r="H388" i="3"/>
  <c r="G388" i="3"/>
  <c r="X384" i="3"/>
  <c r="T384" i="3"/>
  <c r="Q384" i="3"/>
  <c r="P384" i="3"/>
  <c r="O384" i="3" s="1"/>
  <c r="G384" i="3"/>
  <c r="G379" i="3" s="1"/>
  <c r="X383" i="3"/>
  <c r="T383" i="3"/>
  <c r="P383" i="3"/>
  <c r="O383" i="3" s="1"/>
  <c r="H383" i="3"/>
  <c r="X382" i="3"/>
  <c r="T382" i="3"/>
  <c r="P382" i="3"/>
  <c r="O382" i="3" s="1"/>
  <c r="H382" i="3"/>
  <c r="H379" i="3" s="1"/>
  <c r="R380" i="3"/>
  <c r="R379" i="3" s="1"/>
  <c r="Q380" i="3"/>
  <c r="P380" i="3"/>
  <c r="AO379" i="3"/>
  <c r="AN379" i="3"/>
  <c r="AM379" i="3"/>
  <c r="AL379" i="3"/>
  <c r="AK379" i="3"/>
  <c r="AJ379" i="3"/>
  <c r="AI379" i="3"/>
  <c r="AH379" i="3"/>
  <c r="AG379" i="3"/>
  <c r="AF379" i="3"/>
  <c r="AE379" i="3"/>
  <c r="AD379" i="3"/>
  <c r="AC379" i="3"/>
  <c r="AB379" i="3"/>
  <c r="Z379" i="3"/>
  <c r="Y379" i="3"/>
  <c r="V379" i="3"/>
  <c r="U379" i="3"/>
  <c r="S379" i="3"/>
  <c r="X378" i="3"/>
  <c r="T378" i="3"/>
  <c r="O378" i="3"/>
  <c r="X377" i="3"/>
  <c r="T377" i="3"/>
  <c r="R377" i="3"/>
  <c r="Q377" i="3" s="1"/>
  <c r="P377" i="3"/>
  <c r="O377" i="3" s="1"/>
  <c r="O376" i="3"/>
  <c r="P375" i="3"/>
  <c r="O375" i="3" s="1"/>
  <c r="H375" i="3"/>
  <c r="X374" i="3"/>
  <c r="T374" i="3"/>
  <c r="Q374" i="3"/>
  <c r="O374" i="3"/>
  <c r="AO373" i="3"/>
  <c r="AN373" i="3"/>
  <c r="AM373" i="3"/>
  <c r="AL373" i="3"/>
  <c r="AK373" i="3"/>
  <c r="AJ373" i="3"/>
  <c r="AI373" i="3"/>
  <c r="AH373" i="3"/>
  <c r="AG373" i="3"/>
  <c r="AF373" i="3"/>
  <c r="AE373" i="3"/>
  <c r="AD373" i="3"/>
  <c r="AC373" i="3"/>
  <c r="AB373" i="3"/>
  <c r="Z373" i="3"/>
  <c r="Y373" i="3"/>
  <c r="V373" i="3"/>
  <c r="U373" i="3"/>
  <c r="S373" i="3"/>
  <c r="G373" i="3"/>
  <c r="R372" i="3"/>
  <c r="Q372" i="3"/>
  <c r="O372" i="3"/>
  <c r="O371" i="3" s="1"/>
  <c r="AO371" i="3"/>
  <c r="AN371" i="3"/>
  <c r="AM371" i="3"/>
  <c r="AL371" i="3"/>
  <c r="AK371" i="3"/>
  <c r="AJ371" i="3"/>
  <c r="AI371" i="3"/>
  <c r="AH371" i="3"/>
  <c r="AG371" i="3"/>
  <c r="AF371" i="3"/>
  <c r="AE371" i="3"/>
  <c r="AD371" i="3"/>
  <c r="AC371" i="3"/>
  <c r="AB371" i="3"/>
  <c r="Z371" i="3"/>
  <c r="Y371" i="3"/>
  <c r="X371" i="3"/>
  <c r="V371" i="3"/>
  <c r="U371" i="3"/>
  <c r="T371" i="3"/>
  <c r="S371" i="3"/>
  <c r="R371" i="3"/>
  <c r="Q371" i="3"/>
  <c r="P371" i="3"/>
  <c r="H371" i="3"/>
  <c r="G371" i="3"/>
  <c r="R369" i="3"/>
  <c r="Q369" i="3" s="1"/>
  <c r="Q367" i="3" s="1"/>
  <c r="P369" i="3"/>
  <c r="O369" i="3" s="1"/>
  <c r="R368" i="3"/>
  <c r="P368" i="3"/>
  <c r="AO367" i="3"/>
  <c r="AN367" i="3"/>
  <c r="AM367" i="3"/>
  <c r="AL367" i="3"/>
  <c r="AK367" i="3"/>
  <c r="AJ367" i="3"/>
  <c r="AI367" i="3"/>
  <c r="AH367" i="3"/>
  <c r="AG367" i="3"/>
  <c r="AF367" i="3"/>
  <c r="AE367" i="3"/>
  <c r="AD367" i="3"/>
  <c r="AC367" i="3"/>
  <c r="AB367" i="3"/>
  <c r="Z367" i="3"/>
  <c r="Y367" i="3"/>
  <c r="X367" i="3"/>
  <c r="V367" i="3"/>
  <c r="U367" i="3"/>
  <c r="T367" i="3"/>
  <c r="S367" i="3"/>
  <c r="H367" i="3"/>
  <c r="G367" i="3"/>
  <c r="R366" i="3"/>
  <c r="Q366" i="3" s="1"/>
  <c r="P366" i="3"/>
  <c r="O366" i="3" s="1"/>
  <c r="R365" i="3"/>
  <c r="P365" i="3"/>
  <c r="R364" i="3"/>
  <c r="Q364" i="3" s="1"/>
  <c r="O364" i="3"/>
  <c r="AO363" i="3"/>
  <c r="AN363" i="3"/>
  <c r="AM363" i="3"/>
  <c r="AL363" i="3"/>
  <c r="AK363" i="3"/>
  <c r="AJ363" i="3"/>
  <c r="AI363" i="3"/>
  <c r="AH363" i="3"/>
  <c r="AG363" i="3"/>
  <c r="AF363" i="3"/>
  <c r="AE363" i="3"/>
  <c r="AD363" i="3"/>
  <c r="AC363" i="3"/>
  <c r="AB363" i="3"/>
  <c r="Z363" i="3"/>
  <c r="Y363" i="3"/>
  <c r="X363" i="3"/>
  <c r="V363" i="3"/>
  <c r="U363" i="3"/>
  <c r="T363" i="3"/>
  <c r="S363" i="3"/>
  <c r="H363" i="3"/>
  <c r="G363" i="3"/>
  <c r="P361" i="3"/>
  <c r="O361" i="3" s="1"/>
  <c r="P360" i="3"/>
  <c r="H360" i="3"/>
  <c r="H358" i="3" s="1"/>
  <c r="O359" i="3"/>
  <c r="AO358" i="3"/>
  <c r="AN358" i="3"/>
  <c r="AM358" i="3"/>
  <c r="AL358" i="3"/>
  <c r="AK358" i="3"/>
  <c r="AJ358" i="3"/>
  <c r="AI358" i="3"/>
  <c r="AH358" i="3"/>
  <c r="AG358" i="3"/>
  <c r="AF358" i="3"/>
  <c r="AE358" i="3"/>
  <c r="AD358" i="3"/>
  <c r="AC358" i="3"/>
  <c r="AB358" i="3"/>
  <c r="Z358" i="3"/>
  <c r="Y358" i="3"/>
  <c r="X358" i="3"/>
  <c r="V358" i="3"/>
  <c r="U358" i="3"/>
  <c r="T358" i="3"/>
  <c r="S358" i="3"/>
  <c r="R358" i="3"/>
  <c r="Q358" i="3"/>
  <c r="G358" i="3"/>
  <c r="P357" i="3"/>
  <c r="O357" i="3"/>
  <c r="P356" i="3"/>
  <c r="O356" i="3"/>
  <c r="Q355" i="3"/>
  <c r="Q354" i="3" s="1"/>
  <c r="AO354" i="3"/>
  <c r="AN354" i="3"/>
  <c r="AM354" i="3"/>
  <c r="AL354" i="3"/>
  <c r="AK354" i="3"/>
  <c r="AJ354" i="3"/>
  <c r="AI354" i="3"/>
  <c r="AH354" i="3"/>
  <c r="AG354" i="3"/>
  <c r="AF354" i="3"/>
  <c r="AE354" i="3"/>
  <c r="AD354" i="3"/>
  <c r="AC354" i="3"/>
  <c r="AB354" i="3"/>
  <c r="Z354" i="3"/>
  <c r="Y354" i="3"/>
  <c r="X354" i="3"/>
  <c r="V354" i="3"/>
  <c r="U354" i="3"/>
  <c r="T354" i="3"/>
  <c r="S354" i="3"/>
  <c r="R354" i="3"/>
  <c r="H354" i="3"/>
  <c r="G354" i="3"/>
  <c r="X351" i="3"/>
  <c r="T351" i="3"/>
  <c r="G351" i="3"/>
  <c r="X350" i="3"/>
  <c r="T350" i="3"/>
  <c r="X349" i="3"/>
  <c r="T349" i="3"/>
  <c r="X348" i="3"/>
  <c r="T348" i="3"/>
  <c r="X347" i="3"/>
  <c r="T347" i="3"/>
  <c r="G347" i="3"/>
  <c r="X346" i="3"/>
  <c r="T346" i="3"/>
  <c r="O344" i="3"/>
  <c r="P343" i="3"/>
  <c r="H343" i="3"/>
  <c r="H338" i="3" s="1"/>
  <c r="X340" i="3"/>
  <c r="T340" i="3"/>
  <c r="O340" i="3"/>
  <c r="G340" i="3"/>
  <c r="AO338" i="3"/>
  <c r="AN338" i="3"/>
  <c r="AM338" i="3"/>
  <c r="AL338" i="3"/>
  <c r="AK338" i="3"/>
  <c r="AJ338" i="3"/>
  <c r="AI338" i="3"/>
  <c r="AH338" i="3"/>
  <c r="AG338" i="3"/>
  <c r="AF338" i="3"/>
  <c r="AE338" i="3"/>
  <c r="AD338" i="3"/>
  <c r="AC338" i="3"/>
  <c r="AB338" i="3"/>
  <c r="Z338" i="3"/>
  <c r="Y338" i="3"/>
  <c r="V338" i="3"/>
  <c r="U338" i="3"/>
  <c r="S338" i="3"/>
  <c r="R338" i="3"/>
  <c r="Q338" i="3"/>
  <c r="R335" i="3"/>
  <c r="Q335" i="3"/>
  <c r="Q334" i="3"/>
  <c r="R334" i="3" s="1"/>
  <c r="H334" i="3"/>
  <c r="H328" i="3" s="1"/>
  <c r="AM332" i="3"/>
  <c r="AM328" i="3" s="1"/>
  <c r="Q330" i="3"/>
  <c r="Q329" i="3"/>
  <c r="AO328" i="3"/>
  <c r="AN328" i="3"/>
  <c r="AL328" i="3"/>
  <c r="AK328" i="3"/>
  <c r="AJ328" i="3"/>
  <c r="AI328" i="3"/>
  <c r="AH328" i="3"/>
  <c r="AG328" i="3"/>
  <c r="AF328" i="3"/>
  <c r="AE328" i="3"/>
  <c r="AD328" i="3"/>
  <c r="AC328" i="3"/>
  <c r="AB328" i="3"/>
  <c r="Z328" i="3"/>
  <c r="Y328" i="3"/>
  <c r="X328" i="3"/>
  <c r="V328" i="3"/>
  <c r="U328" i="3"/>
  <c r="T328" i="3"/>
  <c r="S328" i="3"/>
  <c r="P328" i="3"/>
  <c r="O328" i="3"/>
  <c r="G328" i="3"/>
  <c r="H327" i="3"/>
  <c r="G327" i="3"/>
  <c r="G324" i="3" s="1"/>
  <c r="R326" i="3"/>
  <c r="R324" i="3" s="1"/>
  <c r="Q326" i="3"/>
  <c r="X325" i="3"/>
  <c r="X324" i="3" s="1"/>
  <c r="T325" i="3"/>
  <c r="H325" i="3"/>
  <c r="AO324" i="3"/>
  <c r="AN324" i="3"/>
  <c r="AM324" i="3"/>
  <c r="AL324" i="3"/>
  <c r="AK324" i="3"/>
  <c r="AJ324" i="3"/>
  <c r="AI324" i="3"/>
  <c r="AH324" i="3"/>
  <c r="AG324" i="3"/>
  <c r="AF324" i="3"/>
  <c r="AE324" i="3"/>
  <c r="AD324" i="3"/>
  <c r="AC324" i="3"/>
  <c r="AB324" i="3"/>
  <c r="Z324" i="3"/>
  <c r="Y324" i="3"/>
  <c r="V324" i="3"/>
  <c r="U324" i="3"/>
  <c r="T324" i="3"/>
  <c r="S324" i="3"/>
  <c r="S323" i="3" s="1"/>
  <c r="Q324" i="3"/>
  <c r="P324" i="3"/>
  <c r="O324" i="3"/>
  <c r="P321" i="3"/>
  <c r="P320" i="3" s="1"/>
  <c r="P319" i="3" s="1"/>
  <c r="O321" i="3"/>
  <c r="O320" i="3" s="1"/>
  <c r="O319" i="3" s="1"/>
  <c r="AO320" i="3"/>
  <c r="AO319" i="3" s="1"/>
  <c r="AN320" i="3"/>
  <c r="AM320" i="3"/>
  <c r="AM319" i="3" s="1"/>
  <c r="AL320" i="3"/>
  <c r="AL319" i="3" s="1"/>
  <c r="AK320" i="3"/>
  <c r="AK319" i="3" s="1"/>
  <c r="AJ320" i="3"/>
  <c r="AJ319" i="3" s="1"/>
  <c r="AI320" i="3"/>
  <c r="AI319" i="3" s="1"/>
  <c r="AH320" i="3"/>
  <c r="AH319" i="3" s="1"/>
  <c r="AG320" i="3"/>
  <c r="AG319" i="3" s="1"/>
  <c r="AF320" i="3"/>
  <c r="AF319" i="3" s="1"/>
  <c r="AE320" i="3"/>
  <c r="AE319" i="3" s="1"/>
  <c r="AD320" i="3"/>
  <c r="AD319" i="3" s="1"/>
  <c r="AC320" i="3"/>
  <c r="AC319" i="3" s="1"/>
  <c r="AB320" i="3"/>
  <c r="AB319" i="3" s="1"/>
  <c r="Z320" i="3"/>
  <c r="Z319" i="3" s="1"/>
  <c r="Y320" i="3"/>
  <c r="Y319" i="3" s="1"/>
  <c r="X320" i="3"/>
  <c r="X319" i="3" s="1"/>
  <c r="V320" i="3"/>
  <c r="V319" i="3" s="1"/>
  <c r="U320" i="3"/>
  <c r="U319" i="3" s="1"/>
  <c r="T320" i="3"/>
  <c r="T319" i="3" s="1"/>
  <c r="S320" i="3"/>
  <c r="S319" i="3" s="1"/>
  <c r="R320" i="3"/>
  <c r="R319" i="3" s="1"/>
  <c r="Q320" i="3"/>
  <c r="Q319" i="3" s="1"/>
  <c r="H320" i="3"/>
  <c r="H319" i="3" s="1"/>
  <c r="G320" i="3"/>
  <c r="G319" i="3" s="1"/>
  <c r="AN319" i="3"/>
  <c r="O317" i="3"/>
  <c r="O316" i="3" s="1"/>
  <c r="O315" i="3" s="1"/>
  <c r="AO316" i="3"/>
  <c r="AO315" i="3" s="1"/>
  <c r="AN316" i="3"/>
  <c r="AN315" i="3" s="1"/>
  <c r="AM316" i="3"/>
  <c r="AM315" i="3" s="1"/>
  <c r="AL316" i="3"/>
  <c r="AL315" i="3" s="1"/>
  <c r="AK316" i="3"/>
  <c r="AK315" i="3" s="1"/>
  <c r="AJ316" i="3"/>
  <c r="AJ315" i="3" s="1"/>
  <c r="AI316" i="3"/>
  <c r="AI315" i="3" s="1"/>
  <c r="AH316" i="3"/>
  <c r="AH315" i="3" s="1"/>
  <c r="AG316" i="3"/>
  <c r="AG315" i="3" s="1"/>
  <c r="AF316" i="3"/>
  <c r="AF315" i="3" s="1"/>
  <c r="AE316" i="3"/>
  <c r="AE315" i="3" s="1"/>
  <c r="AD316" i="3"/>
  <c r="AD315" i="3" s="1"/>
  <c r="AC316" i="3"/>
  <c r="AC315" i="3" s="1"/>
  <c r="AB316" i="3"/>
  <c r="AB315" i="3" s="1"/>
  <c r="Z316" i="3"/>
  <c r="Z315" i="3" s="1"/>
  <c r="Y316" i="3"/>
  <c r="Y315" i="3" s="1"/>
  <c r="X316" i="3"/>
  <c r="X315" i="3" s="1"/>
  <c r="V316" i="3"/>
  <c r="V315" i="3" s="1"/>
  <c r="U316" i="3"/>
  <c r="U315" i="3" s="1"/>
  <c r="T316" i="3"/>
  <c r="T315" i="3" s="1"/>
  <c r="S316" i="3"/>
  <c r="S315" i="3" s="1"/>
  <c r="R316" i="3"/>
  <c r="R315" i="3" s="1"/>
  <c r="Q316" i="3"/>
  <c r="Q315" i="3" s="1"/>
  <c r="P316" i="3"/>
  <c r="P315" i="3" s="1"/>
  <c r="H316" i="3"/>
  <c r="H315" i="3" s="1"/>
  <c r="G316" i="3"/>
  <c r="G315" i="3" s="1"/>
  <c r="P314" i="3"/>
  <c r="O314" i="3"/>
  <c r="Q313" i="3"/>
  <c r="Q310" i="3" s="1"/>
  <c r="Q309" i="3" s="1"/>
  <c r="P313" i="3"/>
  <c r="O313" i="3"/>
  <c r="P312" i="3"/>
  <c r="O312" i="3"/>
  <c r="O311" i="3"/>
  <c r="Z310" i="3"/>
  <c r="Z309" i="3" s="1"/>
  <c r="Y310" i="3"/>
  <c r="Y309" i="3" s="1"/>
  <c r="X310" i="3"/>
  <c r="X309" i="3" s="1"/>
  <c r="V310" i="3"/>
  <c r="V309" i="3" s="1"/>
  <c r="U310" i="3"/>
  <c r="U309" i="3" s="1"/>
  <c r="T310" i="3"/>
  <c r="T309" i="3" s="1"/>
  <c r="S310" i="3"/>
  <c r="S309" i="3" s="1"/>
  <c r="R310" i="3"/>
  <c r="R309" i="3" s="1"/>
  <c r="H310" i="3"/>
  <c r="H309" i="3" s="1"/>
  <c r="G310" i="3"/>
  <c r="G309" i="3" s="1"/>
  <c r="AO299" i="3"/>
  <c r="AN299" i="3"/>
  <c r="AM299" i="3"/>
  <c r="AL299" i="3"/>
  <c r="AK299" i="3"/>
  <c r="AJ299" i="3"/>
  <c r="AI299" i="3"/>
  <c r="AH299" i="3"/>
  <c r="AG299" i="3"/>
  <c r="AF299" i="3"/>
  <c r="AE299" i="3"/>
  <c r="AD299" i="3"/>
  <c r="AC299" i="3"/>
  <c r="AB299" i="3"/>
  <c r="Z299" i="3"/>
  <c r="Y299" i="3"/>
  <c r="X299" i="3"/>
  <c r="V299" i="3"/>
  <c r="U299" i="3"/>
  <c r="T299" i="3"/>
  <c r="S299" i="3"/>
  <c r="R299" i="3"/>
  <c r="Q299" i="3"/>
  <c r="P299" i="3"/>
  <c r="O299" i="3"/>
  <c r="H299" i="3"/>
  <c r="G299" i="3"/>
  <c r="AO295" i="3"/>
  <c r="AO292" i="3" s="1"/>
  <c r="AN295" i="3"/>
  <c r="AN292" i="3" s="1"/>
  <c r="AM295" i="3"/>
  <c r="AM292" i="3" s="1"/>
  <c r="AL295" i="3"/>
  <c r="AL292" i="3" s="1"/>
  <c r="AK295" i="3"/>
  <c r="AK292" i="3" s="1"/>
  <c r="AJ295" i="3"/>
  <c r="AJ292" i="3" s="1"/>
  <c r="AI295" i="3"/>
  <c r="AI292" i="3" s="1"/>
  <c r="AH295" i="3"/>
  <c r="AH292" i="3" s="1"/>
  <c r="AG295" i="3"/>
  <c r="AG292" i="3" s="1"/>
  <c r="AF295" i="3"/>
  <c r="AF292" i="3" s="1"/>
  <c r="AE295" i="3"/>
  <c r="AE292" i="3" s="1"/>
  <c r="AD295" i="3"/>
  <c r="AD292" i="3" s="1"/>
  <c r="AC295" i="3"/>
  <c r="AC292" i="3" s="1"/>
  <c r="AB295" i="3"/>
  <c r="Z295" i="3"/>
  <c r="Z294" i="3" s="1"/>
  <c r="Y295" i="3"/>
  <c r="Y294" i="3" s="1"/>
  <c r="X295" i="3"/>
  <c r="X294" i="3" s="1"/>
  <c r="V295" i="3"/>
  <c r="V294" i="3" s="1"/>
  <c r="U295" i="3"/>
  <c r="U294" i="3" s="1"/>
  <c r="T295" i="3"/>
  <c r="T294" i="3" s="1"/>
  <c r="S295" i="3"/>
  <c r="S294" i="3" s="1"/>
  <c r="R295" i="3"/>
  <c r="R294" i="3" s="1"/>
  <c r="Q295" i="3"/>
  <c r="Q294" i="3" s="1"/>
  <c r="P295" i="3"/>
  <c r="P294" i="3" s="1"/>
  <c r="O295" i="3"/>
  <c r="O294" i="3" s="1"/>
  <c r="H295" i="3"/>
  <c r="H294" i="3" s="1"/>
  <c r="G295" i="3"/>
  <c r="G294" i="3" s="1"/>
  <c r="Z292" i="3"/>
  <c r="Y292" i="3"/>
  <c r="X292" i="3"/>
  <c r="V292" i="3"/>
  <c r="U292" i="3"/>
  <c r="T292" i="3"/>
  <c r="S292" i="3"/>
  <c r="R292" i="3"/>
  <c r="Q292" i="3"/>
  <c r="P292" i="3"/>
  <c r="O292" i="3"/>
  <c r="H292" i="3"/>
  <c r="G292" i="3"/>
  <c r="AO290" i="3"/>
  <c r="AN290" i="3"/>
  <c r="AM290" i="3"/>
  <c r="AL290" i="3"/>
  <c r="AK290" i="3"/>
  <c r="AJ290" i="3"/>
  <c r="AI290" i="3"/>
  <c r="AH290" i="3"/>
  <c r="AG290" i="3"/>
  <c r="AF290" i="3"/>
  <c r="AE290" i="3"/>
  <c r="AD290" i="3"/>
  <c r="AC290" i="3"/>
  <c r="AB290" i="3"/>
  <c r="Z290" i="3"/>
  <c r="Y290" i="3"/>
  <c r="X290" i="3"/>
  <c r="V290" i="3"/>
  <c r="U290" i="3"/>
  <c r="T290" i="3"/>
  <c r="S290" i="3"/>
  <c r="R290" i="3"/>
  <c r="Q290" i="3"/>
  <c r="P290" i="3"/>
  <c r="O290" i="3"/>
  <c r="H290" i="3"/>
  <c r="G290" i="3"/>
  <c r="R288" i="3"/>
  <c r="P288" i="3"/>
  <c r="P287" i="3" s="1"/>
  <c r="P286" i="3" s="1"/>
  <c r="O288" i="3"/>
  <c r="O287" i="3" s="1"/>
  <c r="O286" i="3" s="1"/>
  <c r="AO287" i="3"/>
  <c r="AO286" i="3" s="1"/>
  <c r="AN287" i="3"/>
  <c r="AN286" i="3" s="1"/>
  <c r="AM287" i="3"/>
  <c r="AM286" i="3" s="1"/>
  <c r="AL287" i="3"/>
  <c r="AL286" i="3" s="1"/>
  <c r="AK287" i="3"/>
  <c r="AK286" i="3" s="1"/>
  <c r="AJ287" i="3"/>
  <c r="AJ286" i="3" s="1"/>
  <c r="AI287" i="3"/>
  <c r="AI286" i="3" s="1"/>
  <c r="AH287" i="3"/>
  <c r="AH286" i="3" s="1"/>
  <c r="AG287" i="3"/>
  <c r="AG286" i="3" s="1"/>
  <c r="AF287" i="3"/>
  <c r="AF286" i="3" s="1"/>
  <c r="AE287" i="3"/>
  <c r="AE286" i="3" s="1"/>
  <c r="AD287" i="3"/>
  <c r="AD286" i="3" s="1"/>
  <c r="AC287" i="3"/>
  <c r="AC286" i="3" s="1"/>
  <c r="AB287" i="3"/>
  <c r="AB286" i="3" s="1"/>
  <c r="Z287" i="3"/>
  <c r="Z286" i="3" s="1"/>
  <c r="Y287" i="3"/>
  <c r="Y286" i="3" s="1"/>
  <c r="X287" i="3"/>
  <c r="X286" i="3" s="1"/>
  <c r="V287" i="3"/>
  <c r="V286" i="3" s="1"/>
  <c r="U287" i="3"/>
  <c r="U286" i="3" s="1"/>
  <c r="T287" i="3"/>
  <c r="T286" i="3" s="1"/>
  <c r="S287" i="3"/>
  <c r="S286" i="3" s="1"/>
  <c r="R287" i="3"/>
  <c r="Q287" i="3"/>
  <c r="Q286" i="3" s="1"/>
  <c r="H287" i="3"/>
  <c r="H286" i="3" s="1"/>
  <c r="G287" i="3"/>
  <c r="G286" i="3" s="1"/>
  <c r="R286" i="3"/>
  <c r="H283" i="3"/>
  <c r="H282" i="3" s="1"/>
  <c r="H281" i="3" s="1"/>
  <c r="AO282" i="3"/>
  <c r="AO281" i="3" s="1"/>
  <c r="AN282" i="3"/>
  <c r="AN281" i="3" s="1"/>
  <c r="AM282" i="3"/>
  <c r="AM281" i="3" s="1"/>
  <c r="AL282" i="3"/>
  <c r="AL281" i="3" s="1"/>
  <c r="AK282" i="3"/>
  <c r="AK281" i="3" s="1"/>
  <c r="AJ282" i="3"/>
  <c r="AJ281" i="3" s="1"/>
  <c r="AI282" i="3"/>
  <c r="AI281" i="3" s="1"/>
  <c r="AH282" i="3"/>
  <c r="AH281" i="3" s="1"/>
  <c r="AG282" i="3"/>
  <c r="AG281" i="3" s="1"/>
  <c r="AF282" i="3"/>
  <c r="AF281" i="3" s="1"/>
  <c r="AE282" i="3"/>
  <c r="AE281" i="3" s="1"/>
  <c r="AD282" i="3"/>
  <c r="AD281" i="3" s="1"/>
  <c r="AC282" i="3"/>
  <c r="AC281" i="3" s="1"/>
  <c r="AB282" i="3"/>
  <c r="AB281" i="3" s="1"/>
  <c r="Z282" i="3"/>
  <c r="Z281" i="3" s="1"/>
  <c r="Y282" i="3"/>
  <c r="Y281" i="3" s="1"/>
  <c r="X282" i="3"/>
  <c r="X281" i="3" s="1"/>
  <c r="V282" i="3"/>
  <c r="V281" i="3" s="1"/>
  <c r="U282" i="3"/>
  <c r="U281" i="3" s="1"/>
  <c r="T282" i="3"/>
  <c r="T281" i="3" s="1"/>
  <c r="S282" i="3"/>
  <c r="S281" i="3" s="1"/>
  <c r="R282" i="3"/>
  <c r="R281" i="3" s="1"/>
  <c r="Q282" i="3"/>
  <c r="Q281" i="3" s="1"/>
  <c r="P282" i="3"/>
  <c r="P281" i="3" s="1"/>
  <c r="O282" i="3"/>
  <c r="O281" i="3" s="1"/>
  <c r="G282" i="3"/>
  <c r="G281" i="3" s="1"/>
  <c r="R280" i="3"/>
  <c r="R279" i="3" s="1"/>
  <c r="R278" i="3" s="1"/>
  <c r="AO279" i="3"/>
  <c r="AO278" i="3" s="1"/>
  <c r="AN279" i="3"/>
  <c r="AN278" i="3" s="1"/>
  <c r="AM279" i="3"/>
  <c r="AM278" i="3" s="1"/>
  <c r="AL279" i="3"/>
  <c r="AL278" i="3" s="1"/>
  <c r="AK279" i="3"/>
  <c r="AK278" i="3" s="1"/>
  <c r="AJ279" i="3"/>
  <c r="AJ278" i="3" s="1"/>
  <c r="AI279" i="3"/>
  <c r="AH279" i="3"/>
  <c r="AG279" i="3"/>
  <c r="AG278" i="3" s="1"/>
  <c r="AF279" i="3"/>
  <c r="AF278" i="3" s="1"/>
  <c r="AE279" i="3"/>
  <c r="AD279" i="3"/>
  <c r="AD278" i="3" s="1"/>
  <c r="AC279" i="3"/>
  <c r="AC278" i="3" s="1"/>
  <c r="AB279" i="3"/>
  <c r="AB278" i="3" s="1"/>
  <c r="Z279" i="3"/>
  <c r="Z278" i="3" s="1"/>
  <c r="Y279" i="3"/>
  <c r="Y278" i="3" s="1"/>
  <c r="X279" i="3"/>
  <c r="X278" i="3" s="1"/>
  <c r="V279" i="3"/>
  <c r="V278" i="3" s="1"/>
  <c r="U279" i="3"/>
  <c r="U278" i="3" s="1"/>
  <c r="T279" i="3"/>
  <c r="T278" i="3" s="1"/>
  <c r="S279" i="3"/>
  <c r="S278" i="3" s="1"/>
  <c r="Q279" i="3"/>
  <c r="Q278" i="3" s="1"/>
  <c r="P279" i="3"/>
  <c r="P278" i="3" s="1"/>
  <c r="O279" i="3"/>
  <c r="O278" i="3" s="1"/>
  <c r="H279" i="3"/>
  <c r="H278" i="3" s="1"/>
  <c r="G279" i="3"/>
  <c r="G278" i="3" s="1"/>
  <c r="AI278" i="3"/>
  <c r="AH278" i="3"/>
  <c r="AE278" i="3"/>
  <c r="Q277" i="3"/>
  <c r="O277" i="3"/>
  <c r="H277" i="3"/>
  <c r="AO276" i="3"/>
  <c r="AO275" i="3" s="1"/>
  <c r="AN276" i="3"/>
  <c r="AM276" i="3"/>
  <c r="AL276" i="3"/>
  <c r="AK276" i="3"/>
  <c r="AK275" i="3" s="1"/>
  <c r="AJ276" i="3"/>
  <c r="AJ275" i="3" s="1"/>
  <c r="AI276" i="3"/>
  <c r="AI275" i="3" s="1"/>
  <c r="AH276" i="3"/>
  <c r="AH275" i="3" s="1"/>
  <c r="AG276" i="3"/>
  <c r="AG275" i="3" s="1"/>
  <c r="AF276" i="3"/>
  <c r="AF275" i="3" s="1"/>
  <c r="AE276" i="3"/>
  <c r="AE275" i="3" s="1"/>
  <c r="AD276" i="3"/>
  <c r="AD275" i="3" s="1"/>
  <c r="AC276" i="3"/>
  <c r="AC275" i="3" s="1"/>
  <c r="AB276" i="3"/>
  <c r="AB275" i="3" s="1"/>
  <c r="Z276" i="3"/>
  <c r="Z275" i="3" s="1"/>
  <c r="Y276" i="3"/>
  <c r="Y275" i="3" s="1"/>
  <c r="X276" i="3"/>
  <c r="X275" i="3" s="1"/>
  <c r="V276" i="3"/>
  <c r="V275" i="3" s="1"/>
  <c r="U276" i="3"/>
  <c r="U275" i="3" s="1"/>
  <c r="T276" i="3"/>
  <c r="T275" i="3" s="1"/>
  <c r="S276" i="3"/>
  <c r="S275" i="3" s="1"/>
  <c r="P276" i="3"/>
  <c r="P275" i="3" s="1"/>
  <c r="O276" i="3"/>
  <c r="O275" i="3" s="1"/>
  <c r="H276" i="3"/>
  <c r="H275" i="3" s="1"/>
  <c r="G276" i="3"/>
  <c r="G275" i="3" s="1"/>
  <c r="AN275" i="3"/>
  <c r="AM275" i="3"/>
  <c r="AL275" i="3"/>
  <c r="Z272" i="3"/>
  <c r="Y272" i="3"/>
  <c r="X272" i="3"/>
  <c r="V272" i="3"/>
  <c r="U272" i="3"/>
  <c r="T272" i="3"/>
  <c r="S272" i="3"/>
  <c r="R272" i="3"/>
  <c r="Q272" i="3"/>
  <c r="P272" i="3"/>
  <c r="O272" i="3"/>
  <c r="H272" i="3"/>
  <c r="G272" i="3"/>
  <c r="O266" i="3"/>
  <c r="O265" i="3" s="1"/>
  <c r="O260" i="3" s="1"/>
  <c r="AM265" i="3"/>
  <c r="AM260" i="3" s="1"/>
  <c r="Y265" i="3"/>
  <c r="Y260" i="3" s="1"/>
  <c r="X265" i="3"/>
  <c r="X260" i="3" s="1"/>
  <c r="U265" i="3"/>
  <c r="U260" i="3" s="1"/>
  <c r="T265" i="3"/>
  <c r="T260" i="3" s="1"/>
  <c r="S265" i="3"/>
  <c r="S260" i="3" s="1"/>
  <c r="R265" i="3"/>
  <c r="R260" i="3" s="1"/>
  <c r="Q265" i="3"/>
  <c r="Q260" i="3" s="1"/>
  <c r="P265" i="3"/>
  <c r="P260" i="3" s="1"/>
  <c r="H265" i="3"/>
  <c r="H260" i="3" s="1"/>
  <c r="G265" i="3"/>
  <c r="G260" i="3" s="1"/>
  <c r="AO260" i="3"/>
  <c r="AN260" i="3"/>
  <c r="AL260" i="3"/>
  <c r="AK260" i="3"/>
  <c r="AJ260" i="3"/>
  <c r="AI260" i="3"/>
  <c r="AH260" i="3"/>
  <c r="AG260" i="3"/>
  <c r="AF260" i="3"/>
  <c r="AE260" i="3"/>
  <c r="AD260" i="3"/>
  <c r="AC260" i="3"/>
  <c r="AB260" i="3"/>
  <c r="Z260" i="3"/>
  <c r="V260" i="3"/>
  <c r="AO257" i="3"/>
  <c r="AN257" i="3"/>
  <c r="AM257" i="3"/>
  <c r="AL257" i="3"/>
  <c r="AK257" i="3"/>
  <c r="AJ257" i="3"/>
  <c r="AJ256" i="3" s="1"/>
  <c r="AI257" i="3"/>
  <c r="AH257" i="3"/>
  <c r="AG257" i="3"/>
  <c r="AF257" i="3"/>
  <c r="AE257" i="3"/>
  <c r="AD257" i="3"/>
  <c r="AC257" i="3"/>
  <c r="AB257" i="3"/>
  <c r="Z257" i="3"/>
  <c r="Y257" i="3"/>
  <c r="X257" i="3"/>
  <c r="V257" i="3"/>
  <c r="U257" i="3"/>
  <c r="T257" i="3"/>
  <c r="S257" i="3"/>
  <c r="R257" i="3"/>
  <c r="Q257" i="3"/>
  <c r="P257" i="3"/>
  <c r="O257" i="3"/>
  <c r="H257" i="3"/>
  <c r="G257" i="3"/>
  <c r="O255" i="3"/>
  <c r="O254" i="3"/>
  <c r="Q253" i="3"/>
  <c r="Q251" i="3" s="1"/>
  <c r="P253" i="3"/>
  <c r="P251" i="3" s="1"/>
  <c r="O252" i="3"/>
  <c r="AO251" i="3"/>
  <c r="AN251" i="3"/>
  <c r="AM251" i="3"/>
  <c r="AL251" i="3"/>
  <c r="AK251" i="3"/>
  <c r="AJ251" i="3"/>
  <c r="AI251" i="3"/>
  <c r="AH251" i="3"/>
  <c r="AG251" i="3"/>
  <c r="AF251" i="3"/>
  <c r="AE251" i="3"/>
  <c r="AD251" i="3"/>
  <c r="AC251" i="3"/>
  <c r="AB251" i="3"/>
  <c r="Z251" i="3"/>
  <c r="Y251" i="3"/>
  <c r="X251" i="3"/>
  <c r="V251" i="3"/>
  <c r="U251" i="3"/>
  <c r="T251" i="3"/>
  <c r="S251" i="3"/>
  <c r="R251" i="3"/>
  <c r="H251" i="3"/>
  <c r="G251" i="3"/>
  <c r="R250" i="3"/>
  <c r="R249" i="3" s="1"/>
  <c r="Q250" i="3"/>
  <c r="Q249" i="3" s="1"/>
  <c r="P250" i="3"/>
  <c r="P249" i="3" s="1"/>
  <c r="O250" i="3"/>
  <c r="O249" i="3" s="1"/>
  <c r="AO249" i="3"/>
  <c r="AN249" i="3"/>
  <c r="AM249" i="3"/>
  <c r="AL249" i="3"/>
  <c r="AK249" i="3"/>
  <c r="AK248" i="3" s="1"/>
  <c r="AJ249" i="3"/>
  <c r="AI249" i="3"/>
  <c r="AH249" i="3"/>
  <c r="AG249" i="3"/>
  <c r="AG248" i="3" s="1"/>
  <c r="AF249" i="3"/>
  <c r="AE249" i="3"/>
  <c r="AD249" i="3"/>
  <c r="AC249" i="3"/>
  <c r="AB249" i="3"/>
  <c r="Z249" i="3"/>
  <c r="Y249" i="3"/>
  <c r="X249" i="3"/>
  <c r="X248" i="3" s="1"/>
  <c r="V249" i="3"/>
  <c r="U249" i="3"/>
  <c r="T249" i="3"/>
  <c r="S249" i="3"/>
  <c r="S248" i="3" s="1"/>
  <c r="H249" i="3"/>
  <c r="G249" i="3"/>
  <c r="G248" i="3"/>
  <c r="Q247" i="3"/>
  <c r="P247" i="3"/>
  <c r="O247" i="3" s="1"/>
  <c r="Q246" i="3"/>
  <c r="P246" i="3"/>
  <c r="O246" i="3"/>
  <c r="Q245" i="3"/>
  <c r="P245" i="3"/>
  <c r="O245" i="3"/>
  <c r="AO244" i="3"/>
  <c r="AO243" i="3" s="1"/>
  <c r="AN244" i="3"/>
  <c r="AN243" i="3" s="1"/>
  <c r="AM244" i="3"/>
  <c r="AM243" i="3" s="1"/>
  <c r="AL244" i="3"/>
  <c r="AL243" i="3" s="1"/>
  <c r="AK244" i="3"/>
  <c r="AJ244" i="3"/>
  <c r="AJ243" i="3" s="1"/>
  <c r="AI244" i="3"/>
  <c r="AI243" i="3" s="1"/>
  <c r="AH244" i="3"/>
  <c r="AH243" i="3" s="1"/>
  <c r="AG244" i="3"/>
  <c r="AG243" i="3" s="1"/>
  <c r="AF244" i="3"/>
  <c r="AF243" i="3" s="1"/>
  <c r="AE244" i="3"/>
  <c r="AE243" i="3" s="1"/>
  <c r="AD244" i="3"/>
  <c r="AD243" i="3" s="1"/>
  <c r="AC244" i="3"/>
  <c r="AC243" i="3" s="1"/>
  <c r="AB244" i="3"/>
  <c r="AB243" i="3" s="1"/>
  <c r="Z244" i="3"/>
  <c r="Z243" i="3" s="1"/>
  <c r="Y244" i="3"/>
  <c r="Y243" i="3" s="1"/>
  <c r="X244" i="3"/>
  <c r="X243" i="3" s="1"/>
  <c r="V244" i="3"/>
  <c r="V243" i="3" s="1"/>
  <c r="U244" i="3"/>
  <c r="U243" i="3" s="1"/>
  <c r="T244" i="3"/>
  <c r="T243" i="3" s="1"/>
  <c r="S244" i="3"/>
  <c r="S243" i="3" s="1"/>
  <c r="R244" i="3"/>
  <c r="R243" i="3" s="1"/>
  <c r="H244" i="3"/>
  <c r="H243" i="3" s="1"/>
  <c r="G244" i="3"/>
  <c r="G243" i="3" s="1"/>
  <c r="AK243" i="3"/>
  <c r="AO241" i="3"/>
  <c r="AO240" i="3" s="1"/>
  <c r="AN241" i="3"/>
  <c r="AN240" i="3" s="1"/>
  <c r="AM241" i="3"/>
  <c r="AM240" i="3" s="1"/>
  <c r="AL241" i="3"/>
  <c r="AL240" i="3" s="1"/>
  <c r="AK241" i="3"/>
  <c r="AK240" i="3" s="1"/>
  <c r="AJ241" i="3"/>
  <c r="AJ240" i="3" s="1"/>
  <c r="AI241" i="3"/>
  <c r="AI240" i="3" s="1"/>
  <c r="AH241" i="3"/>
  <c r="AH240" i="3" s="1"/>
  <c r="AG241" i="3"/>
  <c r="AG240" i="3" s="1"/>
  <c r="AF241" i="3"/>
  <c r="AF240" i="3" s="1"/>
  <c r="AE241" i="3"/>
  <c r="AE240" i="3" s="1"/>
  <c r="AD241" i="3"/>
  <c r="AD240" i="3" s="1"/>
  <c r="AC241" i="3"/>
  <c r="AC240" i="3" s="1"/>
  <c r="AB241" i="3"/>
  <c r="AB240" i="3" s="1"/>
  <c r="Q234" i="3"/>
  <c r="R232" i="3"/>
  <c r="H232" i="3"/>
  <c r="H220" i="3" s="1"/>
  <c r="R231" i="3"/>
  <c r="Q231" i="3"/>
  <c r="Q220" i="3" s="1"/>
  <c r="O226" i="3"/>
  <c r="O220" i="3" s="1"/>
  <c r="AO220" i="3"/>
  <c r="AN220" i="3"/>
  <c r="AM220" i="3"/>
  <c r="AL220" i="3"/>
  <c r="AK220" i="3"/>
  <c r="AJ220" i="3"/>
  <c r="AI220" i="3"/>
  <c r="AH220" i="3"/>
  <c r="AG220" i="3"/>
  <c r="AF220" i="3"/>
  <c r="AE220" i="3"/>
  <c r="AD220" i="3"/>
  <c r="AC220" i="3"/>
  <c r="AB220" i="3"/>
  <c r="Z220" i="3"/>
  <c r="Y220" i="3"/>
  <c r="X220" i="3"/>
  <c r="V220" i="3"/>
  <c r="U220" i="3"/>
  <c r="T220" i="3"/>
  <c r="S220" i="3"/>
  <c r="P220" i="3"/>
  <c r="G220" i="3"/>
  <c r="AO218" i="3"/>
  <c r="AN218" i="3"/>
  <c r="AM218" i="3"/>
  <c r="AL218" i="3"/>
  <c r="AK218" i="3"/>
  <c r="AJ218" i="3"/>
  <c r="AI218" i="3"/>
  <c r="AH218" i="3"/>
  <c r="AG218" i="3"/>
  <c r="AF218" i="3"/>
  <c r="AE218" i="3"/>
  <c r="AD218" i="3"/>
  <c r="AC218" i="3"/>
  <c r="AB218" i="3"/>
  <c r="Z218" i="3"/>
  <c r="Y218" i="3"/>
  <c r="X218" i="3"/>
  <c r="V218" i="3"/>
  <c r="U218" i="3"/>
  <c r="T218" i="3"/>
  <c r="S218" i="3"/>
  <c r="R218" i="3"/>
  <c r="Q218" i="3"/>
  <c r="P218" i="3"/>
  <c r="O218" i="3"/>
  <c r="H218" i="3"/>
  <c r="G218" i="3"/>
  <c r="U216" i="3"/>
  <c r="T216" i="3" s="1"/>
  <c r="AE215" i="3"/>
  <c r="U215" i="3"/>
  <c r="T215" i="3" s="1"/>
  <c r="Q215" i="3"/>
  <c r="U214" i="3"/>
  <c r="T214" i="3" s="1"/>
  <c r="Q214" i="3"/>
  <c r="O214" i="3"/>
  <c r="AE213" i="3"/>
  <c r="U213" i="3"/>
  <c r="T213" i="3" s="1"/>
  <c r="Q213" i="3"/>
  <c r="O213" i="3"/>
  <c r="U212" i="3"/>
  <c r="T212" i="3" s="1"/>
  <c r="Q212" i="3"/>
  <c r="O212" i="3"/>
  <c r="AE212" i="3" s="1"/>
  <c r="U211" i="3"/>
  <c r="T211" i="3" s="1"/>
  <c r="Q211" i="3"/>
  <c r="U210" i="3"/>
  <c r="T210" i="3" s="1"/>
  <c r="Q210" i="3"/>
  <c r="AO208" i="3"/>
  <c r="AO207" i="3" s="1"/>
  <c r="AN208" i="3"/>
  <c r="AN207" i="3" s="1"/>
  <c r="AM208" i="3"/>
  <c r="AM207" i="3" s="1"/>
  <c r="AL208" i="3"/>
  <c r="AL207" i="3" s="1"/>
  <c r="AK208" i="3"/>
  <c r="AK207" i="3" s="1"/>
  <c r="AJ208" i="3"/>
  <c r="AJ207" i="3" s="1"/>
  <c r="AI208" i="3"/>
  <c r="AI207" i="3" s="1"/>
  <c r="AH208" i="3"/>
  <c r="AH207" i="3" s="1"/>
  <c r="AG208" i="3"/>
  <c r="AG207" i="3" s="1"/>
  <c r="AF208" i="3"/>
  <c r="AF207" i="3" s="1"/>
  <c r="AD208" i="3"/>
  <c r="AD207" i="3" s="1"/>
  <c r="AC208" i="3"/>
  <c r="AC207" i="3" s="1"/>
  <c r="AB208" i="3"/>
  <c r="AB207" i="3" s="1"/>
  <c r="Z208" i="3"/>
  <c r="Z207" i="3" s="1"/>
  <c r="Y208" i="3"/>
  <c r="Y207" i="3" s="1"/>
  <c r="X208" i="3"/>
  <c r="X207" i="3" s="1"/>
  <c r="V208" i="3"/>
  <c r="V207" i="3" s="1"/>
  <c r="S208" i="3"/>
  <c r="S207" i="3" s="1"/>
  <c r="R208" i="3"/>
  <c r="R207" i="3" s="1"/>
  <c r="P208" i="3"/>
  <c r="P207" i="3" s="1"/>
  <c r="H208" i="3"/>
  <c r="H207" i="3" s="1"/>
  <c r="G208" i="3"/>
  <c r="G207" i="3"/>
  <c r="Q205" i="3"/>
  <c r="Q202" i="3"/>
  <c r="P202" i="3"/>
  <c r="R202" i="3" s="1"/>
  <c r="R201" i="3" s="1"/>
  <c r="R200" i="3" s="1"/>
  <c r="AO201" i="3"/>
  <c r="AO200" i="3" s="1"/>
  <c r="AN201" i="3"/>
  <c r="AN200" i="3" s="1"/>
  <c r="AM201" i="3"/>
  <c r="AM200" i="3" s="1"/>
  <c r="AL201" i="3"/>
  <c r="AL200" i="3" s="1"/>
  <c r="AK201" i="3"/>
  <c r="AK200" i="3" s="1"/>
  <c r="AJ201" i="3"/>
  <c r="AJ200" i="3" s="1"/>
  <c r="AI201" i="3"/>
  <c r="AI200" i="3" s="1"/>
  <c r="AH201" i="3"/>
  <c r="AH200" i="3" s="1"/>
  <c r="AG201" i="3"/>
  <c r="AG200" i="3" s="1"/>
  <c r="AF201" i="3"/>
  <c r="AF200" i="3" s="1"/>
  <c r="AE201" i="3"/>
  <c r="AE200" i="3" s="1"/>
  <c r="AD201" i="3"/>
  <c r="AC201" i="3"/>
  <c r="AC200" i="3" s="1"/>
  <c r="AB201" i="3"/>
  <c r="AB200" i="3" s="1"/>
  <c r="Z201" i="3"/>
  <c r="Z200" i="3" s="1"/>
  <c r="Y201" i="3"/>
  <c r="Y200" i="3" s="1"/>
  <c r="X201" i="3"/>
  <c r="X200" i="3" s="1"/>
  <c r="V201" i="3"/>
  <c r="V200" i="3" s="1"/>
  <c r="U201" i="3"/>
  <c r="U200" i="3" s="1"/>
  <c r="T201" i="3"/>
  <c r="T200" i="3" s="1"/>
  <c r="S201" i="3"/>
  <c r="S200" i="3" s="1"/>
  <c r="O201" i="3"/>
  <c r="O200" i="3" s="1"/>
  <c r="H201" i="3"/>
  <c r="H200" i="3" s="1"/>
  <c r="G201" i="3"/>
  <c r="G200" i="3" s="1"/>
  <c r="AD200" i="3"/>
  <c r="AO197" i="3"/>
  <c r="AN197" i="3"/>
  <c r="AM197" i="3"/>
  <c r="AL197" i="3"/>
  <c r="AK197" i="3"/>
  <c r="AJ197" i="3"/>
  <c r="AI197" i="3"/>
  <c r="AH197" i="3"/>
  <c r="AG197" i="3"/>
  <c r="AF197" i="3"/>
  <c r="AE197" i="3"/>
  <c r="AD197" i="3"/>
  <c r="AC197" i="3"/>
  <c r="AB197" i="3"/>
  <c r="Z197" i="3"/>
  <c r="Y197" i="3"/>
  <c r="X197" i="3"/>
  <c r="V197" i="3"/>
  <c r="U197" i="3"/>
  <c r="T197" i="3"/>
  <c r="S197" i="3"/>
  <c r="R197" i="3"/>
  <c r="Q197" i="3"/>
  <c r="P197" i="3"/>
  <c r="O197" i="3"/>
  <c r="H197" i="3"/>
  <c r="G197" i="3"/>
  <c r="P193" i="3"/>
  <c r="O193" i="3" s="1"/>
  <c r="O192" i="3" s="1"/>
  <c r="O191" i="3" s="1"/>
  <c r="AO192" i="3"/>
  <c r="AO191" i="3" s="1"/>
  <c r="AN192" i="3"/>
  <c r="AN191" i="3" s="1"/>
  <c r="AM192" i="3"/>
  <c r="AM191" i="3" s="1"/>
  <c r="AL192" i="3"/>
  <c r="AL191" i="3" s="1"/>
  <c r="AK192" i="3"/>
  <c r="AK191" i="3" s="1"/>
  <c r="AJ192" i="3"/>
  <c r="AJ191" i="3" s="1"/>
  <c r="AI192" i="3"/>
  <c r="AI191" i="3" s="1"/>
  <c r="AH192" i="3"/>
  <c r="AH191" i="3" s="1"/>
  <c r="AG192" i="3"/>
  <c r="AG191" i="3" s="1"/>
  <c r="AF192" i="3"/>
  <c r="AF191" i="3" s="1"/>
  <c r="AE192" i="3"/>
  <c r="AE191" i="3" s="1"/>
  <c r="AD192" i="3"/>
  <c r="AD191" i="3" s="1"/>
  <c r="AC192" i="3"/>
  <c r="AC191" i="3" s="1"/>
  <c r="AB192" i="3"/>
  <c r="AB191" i="3" s="1"/>
  <c r="Z192" i="3"/>
  <c r="Z191" i="3" s="1"/>
  <c r="Y192" i="3"/>
  <c r="Y191" i="3" s="1"/>
  <c r="X192" i="3"/>
  <c r="X191" i="3" s="1"/>
  <c r="V192" i="3"/>
  <c r="V191" i="3" s="1"/>
  <c r="U192" i="3"/>
  <c r="U191" i="3" s="1"/>
  <c r="T192" i="3"/>
  <c r="T191" i="3" s="1"/>
  <c r="S192" i="3"/>
  <c r="S191" i="3" s="1"/>
  <c r="R192" i="3"/>
  <c r="R191" i="3" s="1"/>
  <c r="Q192" i="3"/>
  <c r="Q191" i="3" s="1"/>
  <c r="H192" i="3"/>
  <c r="H191" i="3" s="1"/>
  <c r="G192" i="3"/>
  <c r="G191" i="3" s="1"/>
  <c r="R190" i="3"/>
  <c r="Q190" i="3"/>
  <c r="R189" i="3"/>
  <c r="Q189" i="3"/>
  <c r="R188" i="3"/>
  <c r="Q188" i="3"/>
  <c r="AO187" i="3"/>
  <c r="AN187" i="3"/>
  <c r="AM187" i="3"/>
  <c r="AL187" i="3"/>
  <c r="AK187" i="3"/>
  <c r="AJ187" i="3"/>
  <c r="AI187" i="3"/>
  <c r="AH187" i="3"/>
  <c r="AG187" i="3"/>
  <c r="AF187" i="3"/>
  <c r="AE187" i="3"/>
  <c r="AD187" i="3"/>
  <c r="AC187" i="3"/>
  <c r="AB187" i="3"/>
  <c r="R187" i="3"/>
  <c r="Q187" i="3"/>
  <c r="AO186" i="3"/>
  <c r="AN186" i="3"/>
  <c r="AM186" i="3"/>
  <c r="AL186" i="3"/>
  <c r="AK186" i="3"/>
  <c r="AJ186" i="3"/>
  <c r="AI186" i="3"/>
  <c r="AH186" i="3"/>
  <c r="AG186" i="3"/>
  <c r="AF186" i="3"/>
  <c r="AE186" i="3"/>
  <c r="AD186" i="3"/>
  <c r="AC186" i="3"/>
  <c r="AB186" i="3"/>
  <c r="R186" i="3"/>
  <c r="Q186" i="3"/>
  <c r="R185" i="3"/>
  <c r="Q185" i="3"/>
  <c r="R184" i="3"/>
  <c r="Q184" i="3"/>
  <c r="AO183" i="3"/>
  <c r="AN183" i="3"/>
  <c r="AM183" i="3"/>
  <c r="AL183" i="3"/>
  <c r="AK183" i="3"/>
  <c r="AJ183" i="3"/>
  <c r="AI183" i="3"/>
  <c r="AH183" i="3"/>
  <c r="AG183" i="3"/>
  <c r="AF183" i="3"/>
  <c r="AE183" i="3"/>
  <c r="AD183" i="3"/>
  <c r="AC183" i="3"/>
  <c r="AB183" i="3"/>
  <c r="R183" i="3"/>
  <c r="Q183" i="3"/>
  <c r="R181" i="3"/>
  <c r="Q181" i="3" s="1"/>
  <c r="P181" i="3"/>
  <c r="P180" i="3" s="1"/>
  <c r="O181" i="3"/>
  <c r="O180" i="3" s="1"/>
  <c r="H181" i="3"/>
  <c r="H180" i="3" s="1"/>
  <c r="AO180" i="3"/>
  <c r="AN180" i="3"/>
  <c r="AM180" i="3"/>
  <c r="AL180" i="3"/>
  <c r="AK180" i="3"/>
  <c r="AJ180" i="3"/>
  <c r="AI180" i="3"/>
  <c r="AH180" i="3"/>
  <c r="AG180" i="3"/>
  <c r="AF180" i="3"/>
  <c r="AE180" i="3"/>
  <c r="AD180" i="3"/>
  <c r="AC180" i="3"/>
  <c r="AB180" i="3"/>
  <c r="Z180" i="3"/>
  <c r="Y180" i="3"/>
  <c r="X180" i="3"/>
  <c r="V180" i="3"/>
  <c r="U180" i="3"/>
  <c r="T180" i="3"/>
  <c r="S180" i="3"/>
  <c r="G180" i="3"/>
  <c r="R179" i="3"/>
  <c r="R178" i="3" s="1"/>
  <c r="Q179" i="3"/>
  <c r="P179" i="3"/>
  <c r="P178" i="3" s="1"/>
  <c r="O179" i="3"/>
  <c r="O178" i="3" s="1"/>
  <c r="AO178" i="3"/>
  <c r="AN178" i="3"/>
  <c r="AM178" i="3"/>
  <c r="AL178" i="3"/>
  <c r="AK178" i="3"/>
  <c r="AJ178" i="3"/>
  <c r="AI178" i="3"/>
  <c r="AH178" i="3"/>
  <c r="AG178" i="3"/>
  <c r="AF178" i="3"/>
  <c r="AE178" i="3"/>
  <c r="AD178" i="3"/>
  <c r="AC178" i="3"/>
  <c r="AB178" i="3"/>
  <c r="Z178" i="3"/>
  <c r="Y178" i="3"/>
  <c r="X178" i="3"/>
  <c r="V178" i="3"/>
  <c r="U178" i="3"/>
  <c r="T178" i="3"/>
  <c r="S178" i="3"/>
  <c r="Q178" i="3"/>
  <c r="H178" i="3"/>
  <c r="G178" i="3"/>
  <c r="Y176" i="3"/>
  <c r="Y175" i="3" s="1"/>
  <c r="Y174" i="3" s="1"/>
  <c r="R176" i="3"/>
  <c r="R175" i="3" s="1"/>
  <c r="R174" i="3" s="1"/>
  <c r="O176" i="3"/>
  <c r="O175" i="3" s="1"/>
  <c r="O174" i="3" s="1"/>
  <c r="AO175" i="3"/>
  <c r="AO174" i="3" s="1"/>
  <c r="AN175" i="3"/>
  <c r="AN174" i="3" s="1"/>
  <c r="AM175" i="3"/>
  <c r="AM174" i="3" s="1"/>
  <c r="AL175" i="3"/>
  <c r="AL174" i="3" s="1"/>
  <c r="AK175" i="3"/>
  <c r="AK174" i="3" s="1"/>
  <c r="AJ175" i="3"/>
  <c r="AJ174" i="3" s="1"/>
  <c r="AI175" i="3"/>
  <c r="AI174" i="3" s="1"/>
  <c r="AH175" i="3"/>
  <c r="AH174" i="3" s="1"/>
  <c r="AG175" i="3"/>
  <c r="AG174" i="3" s="1"/>
  <c r="AF175" i="3"/>
  <c r="AF174" i="3" s="1"/>
  <c r="AE175" i="3"/>
  <c r="AE174" i="3" s="1"/>
  <c r="AD175" i="3"/>
  <c r="AD174" i="3" s="1"/>
  <c r="AC175" i="3"/>
  <c r="AB175" i="3"/>
  <c r="AB174" i="3" s="1"/>
  <c r="Z175" i="3"/>
  <c r="Z174" i="3" s="1"/>
  <c r="X175" i="3"/>
  <c r="X174" i="3" s="1"/>
  <c r="V175" i="3"/>
  <c r="V174" i="3" s="1"/>
  <c r="U175" i="3"/>
  <c r="U174" i="3" s="1"/>
  <c r="T175" i="3"/>
  <c r="T174" i="3" s="1"/>
  <c r="S175" i="3"/>
  <c r="S174" i="3" s="1"/>
  <c r="Q175" i="3"/>
  <c r="Q174" i="3" s="1"/>
  <c r="P175" i="3"/>
  <c r="P174" i="3" s="1"/>
  <c r="H175" i="3"/>
  <c r="H174" i="3" s="1"/>
  <c r="G175" i="3"/>
  <c r="G174" i="3" s="1"/>
  <c r="AC174" i="3"/>
  <c r="AO166" i="3"/>
  <c r="AN166" i="3"/>
  <c r="AM166" i="3"/>
  <c r="AL166" i="3"/>
  <c r="AK166" i="3"/>
  <c r="AJ166" i="3"/>
  <c r="AI166" i="3"/>
  <c r="AH166" i="3"/>
  <c r="AG166" i="3"/>
  <c r="AF166" i="3"/>
  <c r="AE166" i="3"/>
  <c r="AD166" i="3"/>
  <c r="AC166" i="3"/>
  <c r="AB166" i="3"/>
  <c r="Z166" i="3"/>
  <c r="Y166" i="3"/>
  <c r="X166" i="3"/>
  <c r="V166" i="3"/>
  <c r="U166" i="3"/>
  <c r="T166" i="3"/>
  <c r="S166" i="3"/>
  <c r="R166" i="3"/>
  <c r="Q166" i="3"/>
  <c r="P166" i="3"/>
  <c r="O166" i="3"/>
  <c r="H166" i="3"/>
  <c r="G166" i="3"/>
  <c r="R165" i="3"/>
  <c r="R164" i="3" s="1"/>
  <c r="Q165" i="3"/>
  <c r="Z164" i="3"/>
  <c r="Y164" i="3"/>
  <c r="X164" i="3"/>
  <c r="V164" i="3"/>
  <c r="U164" i="3"/>
  <c r="T164" i="3"/>
  <c r="S164" i="3"/>
  <c r="Q164" i="3"/>
  <c r="P164" i="3"/>
  <c r="O164" i="3"/>
  <c r="H164" i="3"/>
  <c r="G164" i="3"/>
  <c r="AO163" i="3"/>
  <c r="AN163" i="3"/>
  <c r="AM163" i="3"/>
  <c r="AL163" i="3"/>
  <c r="AK163" i="3"/>
  <c r="AJ163" i="3"/>
  <c r="AI163" i="3"/>
  <c r="AH163" i="3"/>
  <c r="AG163" i="3"/>
  <c r="AF163" i="3"/>
  <c r="AE163" i="3"/>
  <c r="AD163" i="3"/>
  <c r="AC163" i="3"/>
  <c r="AB163" i="3"/>
  <c r="R159" i="3"/>
  <c r="R156" i="3" s="1"/>
  <c r="Q159" i="3"/>
  <c r="Q156" i="3" s="1"/>
  <c r="Z156" i="3"/>
  <c r="Y156" i="3"/>
  <c r="X156" i="3"/>
  <c r="V156" i="3"/>
  <c r="U156" i="3"/>
  <c r="T156" i="3"/>
  <c r="S156" i="3"/>
  <c r="P156" i="3"/>
  <c r="O156" i="3"/>
  <c r="H156" i="3"/>
  <c r="G156" i="3"/>
  <c r="AO155" i="3"/>
  <c r="AN155" i="3"/>
  <c r="AM155" i="3"/>
  <c r="AL155" i="3"/>
  <c r="AK155" i="3"/>
  <c r="AJ155" i="3"/>
  <c r="AI155" i="3"/>
  <c r="AH155" i="3"/>
  <c r="AG155" i="3"/>
  <c r="AF155" i="3"/>
  <c r="AE155" i="3"/>
  <c r="AD155" i="3"/>
  <c r="AC155" i="3"/>
  <c r="AB155" i="3"/>
  <c r="O153" i="3"/>
  <c r="H153" i="3"/>
  <c r="H151" i="3" s="1"/>
  <c r="H150" i="3" s="1"/>
  <c r="R152" i="3"/>
  <c r="R151" i="3" s="1"/>
  <c r="R150" i="3" s="1"/>
  <c r="Z151" i="3"/>
  <c r="Z150" i="3" s="1"/>
  <c r="Y151" i="3"/>
  <c r="Y150" i="3" s="1"/>
  <c r="Y149" i="3" s="1"/>
  <c r="X151" i="3"/>
  <c r="X150" i="3" s="1"/>
  <c r="V151" i="3"/>
  <c r="U151" i="3"/>
  <c r="U150" i="3" s="1"/>
  <c r="T151" i="3"/>
  <c r="T150" i="3" s="1"/>
  <c r="T149" i="3" s="1"/>
  <c r="S151" i="3"/>
  <c r="S150" i="3" s="1"/>
  <c r="P151" i="3"/>
  <c r="P150" i="3" s="1"/>
  <c r="O151" i="3"/>
  <c r="O150" i="3" s="1"/>
  <c r="O149" i="3" s="1"/>
  <c r="G151" i="3"/>
  <c r="G150" i="3" s="1"/>
  <c r="AI150" i="3"/>
  <c r="AI149" i="3" s="1"/>
  <c r="V150" i="3"/>
  <c r="AO149" i="3"/>
  <c r="AN149" i="3"/>
  <c r="AM149" i="3"/>
  <c r="AL149" i="3"/>
  <c r="AK149" i="3"/>
  <c r="AJ149" i="3"/>
  <c r="AH149" i="3"/>
  <c r="AG149" i="3"/>
  <c r="AF149" i="3"/>
  <c r="AF148" i="3" s="1"/>
  <c r="AE149" i="3"/>
  <c r="AD149" i="3"/>
  <c r="AC149" i="3"/>
  <c r="AB149" i="3"/>
  <c r="AB148" i="3" s="1"/>
  <c r="Y145" i="3"/>
  <c r="X145" i="3"/>
  <c r="U145" i="3"/>
  <c r="T145" i="3"/>
  <c r="Y144" i="3"/>
  <c r="X144" i="3"/>
  <c r="U144" i="3"/>
  <c r="T144" i="3"/>
  <c r="Y143" i="3"/>
  <c r="Y141" i="3" s="1"/>
  <c r="X143" i="3"/>
  <c r="X141" i="3" s="1"/>
  <c r="U143" i="3"/>
  <c r="T143" i="3"/>
  <c r="Z141" i="3"/>
  <c r="V141" i="3"/>
  <c r="U141" i="3"/>
  <c r="T141" i="3"/>
  <c r="S141" i="3"/>
  <c r="R141" i="3"/>
  <c r="Q141" i="3"/>
  <c r="P141" i="3"/>
  <c r="O141" i="3"/>
  <c r="H141" i="3"/>
  <c r="G141" i="3"/>
  <c r="T138" i="3"/>
  <c r="T133" i="3" s="1"/>
  <c r="T132" i="3" s="1"/>
  <c r="O138" i="3"/>
  <c r="AO137" i="3"/>
  <c r="AN137" i="3"/>
  <c r="AM137" i="3"/>
  <c r="AL137" i="3"/>
  <c r="AK137" i="3"/>
  <c r="AJ137" i="3"/>
  <c r="AI137" i="3"/>
  <c r="AH137" i="3"/>
  <c r="AG137" i="3"/>
  <c r="AF137" i="3"/>
  <c r="AE137" i="3"/>
  <c r="AD137" i="3"/>
  <c r="AC137" i="3"/>
  <c r="AB137" i="3"/>
  <c r="R137" i="3"/>
  <c r="Q137" i="3"/>
  <c r="P135" i="3"/>
  <c r="O135" i="3"/>
  <c r="R134" i="3"/>
  <c r="Q134" i="3"/>
  <c r="Z133" i="3"/>
  <c r="Y133" i="3"/>
  <c r="X133" i="3"/>
  <c r="V133" i="3"/>
  <c r="U133" i="3"/>
  <c r="S133" i="3"/>
  <c r="H133" i="3"/>
  <c r="G133" i="3"/>
  <c r="AO132" i="3"/>
  <c r="AN132" i="3"/>
  <c r="AM132" i="3"/>
  <c r="AM131" i="3" s="1"/>
  <c r="AL132" i="3"/>
  <c r="AK132" i="3"/>
  <c r="AJ132" i="3"/>
  <c r="AI132" i="3"/>
  <c r="AI131" i="3" s="1"/>
  <c r="AH132" i="3"/>
  <c r="AG132" i="3"/>
  <c r="AF132" i="3"/>
  <c r="AE132" i="3"/>
  <c r="AE131" i="3" s="1"/>
  <c r="AD132" i="3"/>
  <c r="AC132" i="3"/>
  <c r="AB132" i="3"/>
  <c r="P126" i="3"/>
  <c r="P124" i="3" s="1"/>
  <c r="O126" i="3"/>
  <c r="O124" i="3" s="1"/>
  <c r="Z124" i="3"/>
  <c r="Y124" i="3"/>
  <c r="X124" i="3"/>
  <c r="V124" i="3"/>
  <c r="U124" i="3"/>
  <c r="T124" i="3"/>
  <c r="S124" i="3"/>
  <c r="R124" i="3"/>
  <c r="Q124" i="3"/>
  <c r="H124" i="3"/>
  <c r="G124" i="3"/>
  <c r="AO123" i="3"/>
  <c r="AN123" i="3"/>
  <c r="AM123" i="3"/>
  <c r="AL123" i="3"/>
  <c r="AK123" i="3"/>
  <c r="AJ123" i="3"/>
  <c r="AI123" i="3"/>
  <c r="AH123" i="3"/>
  <c r="AG123" i="3"/>
  <c r="AF123" i="3"/>
  <c r="AE123" i="3"/>
  <c r="AD123" i="3"/>
  <c r="AC123" i="3"/>
  <c r="AB123" i="3"/>
  <c r="P123" i="3"/>
  <c r="P122" i="3" s="1"/>
  <c r="O123" i="3"/>
  <c r="O122" i="3" s="1"/>
  <c r="Z122" i="3"/>
  <c r="Y122" i="3"/>
  <c r="X122" i="3"/>
  <c r="V122" i="3"/>
  <c r="U122" i="3"/>
  <c r="T122" i="3"/>
  <c r="S122" i="3"/>
  <c r="R122" i="3"/>
  <c r="Q122" i="3"/>
  <c r="H122" i="3"/>
  <c r="G122" i="3"/>
  <c r="AO121" i="3"/>
  <c r="AN121" i="3"/>
  <c r="AN120" i="3" s="1"/>
  <c r="AM121" i="3"/>
  <c r="AL121" i="3"/>
  <c r="AK121" i="3"/>
  <c r="AJ121" i="3"/>
  <c r="AI121" i="3"/>
  <c r="AH121" i="3"/>
  <c r="AG121" i="3"/>
  <c r="AF121" i="3"/>
  <c r="AE121" i="3"/>
  <c r="AD121" i="3"/>
  <c r="AC121" i="3"/>
  <c r="AB121" i="3"/>
  <c r="R117" i="3"/>
  <c r="R116" i="3" s="1"/>
  <c r="Q117" i="3"/>
  <c r="Q116" i="3" s="1"/>
  <c r="AO116" i="3"/>
  <c r="AN116" i="3"/>
  <c r="AM116" i="3"/>
  <c r="AL116" i="3"/>
  <c r="AK116" i="3"/>
  <c r="AJ116" i="3"/>
  <c r="AI116" i="3"/>
  <c r="AH116" i="3"/>
  <c r="AG116" i="3"/>
  <c r="AF116" i="3"/>
  <c r="AE116" i="3"/>
  <c r="AD116" i="3"/>
  <c r="AC116" i="3"/>
  <c r="AB116" i="3"/>
  <c r="Z116" i="3"/>
  <c r="Y116" i="3"/>
  <c r="X116" i="3"/>
  <c r="V116" i="3"/>
  <c r="U116" i="3"/>
  <c r="T116" i="3"/>
  <c r="S116" i="3"/>
  <c r="P116" i="3"/>
  <c r="O116" i="3"/>
  <c r="H116" i="3"/>
  <c r="G116" i="3"/>
  <c r="Q113" i="3"/>
  <c r="Q112" i="3" s="1"/>
  <c r="AO112" i="3"/>
  <c r="AN112" i="3"/>
  <c r="AM112" i="3"/>
  <c r="AL112" i="3"/>
  <c r="AK112" i="3"/>
  <c r="AJ112" i="3"/>
  <c r="AI112" i="3"/>
  <c r="AH112" i="3"/>
  <c r="AG112" i="3"/>
  <c r="AF112" i="3"/>
  <c r="AE112" i="3"/>
  <c r="AD112" i="3"/>
  <c r="AC112" i="3"/>
  <c r="AB112" i="3"/>
  <c r="Z112" i="3"/>
  <c r="Y112" i="3"/>
  <c r="X112" i="3"/>
  <c r="V112" i="3"/>
  <c r="U112" i="3"/>
  <c r="T112" i="3"/>
  <c r="S112" i="3"/>
  <c r="R112" i="3"/>
  <c r="P112" i="3"/>
  <c r="O112" i="3"/>
  <c r="H112" i="3"/>
  <c r="G112" i="3"/>
  <c r="AO110" i="3"/>
  <c r="AN110" i="3"/>
  <c r="AM110" i="3"/>
  <c r="AL110" i="3"/>
  <c r="AK110" i="3"/>
  <c r="AJ110" i="3"/>
  <c r="AI110" i="3"/>
  <c r="AH110" i="3"/>
  <c r="AG110" i="3"/>
  <c r="AF110" i="3"/>
  <c r="AE110" i="3"/>
  <c r="AD110" i="3"/>
  <c r="AC110" i="3"/>
  <c r="AB110" i="3"/>
  <c r="Z110" i="3"/>
  <c r="Y110" i="3"/>
  <c r="X110" i="3"/>
  <c r="V110" i="3"/>
  <c r="U110" i="3"/>
  <c r="T110" i="3"/>
  <c r="S110" i="3"/>
  <c r="R110" i="3"/>
  <c r="Q110" i="3"/>
  <c r="P110" i="3"/>
  <c r="O110" i="3"/>
  <c r="H110" i="3"/>
  <c r="G110" i="3"/>
  <c r="P108" i="3"/>
  <c r="O108" i="3" s="1"/>
  <c r="Q107" i="3"/>
  <c r="P107" i="3"/>
  <c r="O107" i="3"/>
  <c r="X106" i="3"/>
  <c r="X105" i="3" s="1"/>
  <c r="X104" i="3" s="1"/>
  <c r="T106" i="3"/>
  <c r="Q106" i="3"/>
  <c r="AO105" i="3"/>
  <c r="AN105" i="3"/>
  <c r="AN104" i="3" s="1"/>
  <c r="AM105" i="3"/>
  <c r="AM104" i="3" s="1"/>
  <c r="AL105" i="3"/>
  <c r="AL104" i="3" s="1"/>
  <c r="AK105" i="3"/>
  <c r="AK104" i="3" s="1"/>
  <c r="AJ105" i="3"/>
  <c r="AJ104" i="3" s="1"/>
  <c r="AI105" i="3"/>
  <c r="AI104" i="3" s="1"/>
  <c r="AH105" i="3"/>
  <c r="AH104" i="3" s="1"/>
  <c r="AG105" i="3"/>
  <c r="AG104" i="3" s="1"/>
  <c r="AF105" i="3"/>
  <c r="AF104" i="3" s="1"/>
  <c r="AE105" i="3"/>
  <c r="AE104" i="3" s="1"/>
  <c r="AD105" i="3"/>
  <c r="AD104" i="3" s="1"/>
  <c r="AC105" i="3"/>
  <c r="AC104" i="3" s="1"/>
  <c r="AB105" i="3"/>
  <c r="AB104" i="3" s="1"/>
  <c r="Z105" i="3"/>
  <c r="Z104" i="3" s="1"/>
  <c r="Y105" i="3"/>
  <c r="Y104" i="3" s="1"/>
  <c r="V105" i="3"/>
  <c r="V104" i="3" s="1"/>
  <c r="U105" i="3"/>
  <c r="U104" i="3" s="1"/>
  <c r="T105" i="3"/>
  <c r="T104" i="3" s="1"/>
  <c r="S105" i="3"/>
  <c r="S104" i="3" s="1"/>
  <c r="R105" i="3"/>
  <c r="R104" i="3" s="1"/>
  <c r="H105" i="3"/>
  <c r="H104" i="3" s="1"/>
  <c r="G105" i="3"/>
  <c r="G104" i="3" s="1"/>
  <c r="AO104" i="3"/>
  <c r="Q103" i="3"/>
  <c r="Q102" i="3"/>
  <c r="P102" i="3"/>
  <c r="P101" i="3" s="1"/>
  <c r="O102" i="3"/>
  <c r="O101" i="3" s="1"/>
  <c r="AO101" i="3"/>
  <c r="AO98" i="3" s="1"/>
  <c r="AN101" i="3"/>
  <c r="AN98" i="3" s="1"/>
  <c r="AM101" i="3"/>
  <c r="AM98" i="3" s="1"/>
  <c r="AL101" i="3"/>
  <c r="AL98" i="3" s="1"/>
  <c r="AK101" i="3"/>
  <c r="AK98" i="3" s="1"/>
  <c r="AJ101" i="3"/>
  <c r="AJ98" i="3" s="1"/>
  <c r="AI101" i="3"/>
  <c r="AI98" i="3" s="1"/>
  <c r="AH101" i="3"/>
  <c r="AH98" i="3" s="1"/>
  <c r="AG101" i="3"/>
  <c r="AG98" i="3" s="1"/>
  <c r="AF101" i="3"/>
  <c r="AF98" i="3" s="1"/>
  <c r="AE101" i="3"/>
  <c r="AE98" i="3" s="1"/>
  <c r="AD101" i="3"/>
  <c r="AD98" i="3" s="1"/>
  <c r="AC101" i="3"/>
  <c r="AC98" i="3" s="1"/>
  <c r="AB101" i="3"/>
  <c r="AB98" i="3" s="1"/>
  <c r="Z101" i="3"/>
  <c r="Y101" i="3"/>
  <c r="X101" i="3"/>
  <c r="V101" i="3"/>
  <c r="U101" i="3"/>
  <c r="T101" i="3"/>
  <c r="S101" i="3"/>
  <c r="R101" i="3"/>
  <c r="H101" i="3"/>
  <c r="G101" i="3"/>
  <c r="Z99" i="3"/>
  <c r="Y99" i="3"/>
  <c r="X99" i="3"/>
  <c r="V99" i="3"/>
  <c r="U99" i="3"/>
  <c r="T99" i="3"/>
  <c r="S99" i="3"/>
  <c r="R99" i="3"/>
  <c r="Q99" i="3"/>
  <c r="P99" i="3"/>
  <c r="O99" i="3"/>
  <c r="H99" i="3"/>
  <c r="G99" i="3"/>
  <c r="X96" i="3"/>
  <c r="T96" i="3"/>
  <c r="Q96" i="3"/>
  <c r="X95" i="3"/>
  <c r="T95" i="3"/>
  <c r="Q95" i="3"/>
  <c r="AO93" i="3"/>
  <c r="AN93" i="3"/>
  <c r="AM93" i="3"/>
  <c r="AL93" i="3"/>
  <c r="AK93" i="3"/>
  <c r="AJ93" i="3"/>
  <c r="AI93" i="3"/>
  <c r="AH93" i="3"/>
  <c r="AG93" i="3"/>
  <c r="AF93" i="3"/>
  <c r="AE93" i="3"/>
  <c r="AD93" i="3"/>
  <c r="AC93" i="3"/>
  <c r="AB93" i="3"/>
  <c r="Z93" i="3"/>
  <c r="Y93" i="3"/>
  <c r="V93" i="3"/>
  <c r="U93" i="3"/>
  <c r="S93" i="3"/>
  <c r="R93" i="3"/>
  <c r="P93" i="3"/>
  <c r="O93" i="3"/>
  <c r="H93" i="3"/>
  <c r="G93" i="3"/>
  <c r="X89" i="3"/>
  <c r="X85" i="3" s="1"/>
  <c r="X84" i="3" s="1"/>
  <c r="T89" i="3"/>
  <c r="T85" i="3" s="1"/>
  <c r="T84" i="3" s="1"/>
  <c r="Q89" i="3"/>
  <c r="Q85" i="3" s="1"/>
  <c r="Q84" i="3" s="1"/>
  <c r="G89" i="3"/>
  <c r="G85" i="3" s="1"/>
  <c r="G84" i="3" s="1"/>
  <c r="Z88" i="3"/>
  <c r="V88" i="3"/>
  <c r="AO87" i="3"/>
  <c r="AN87" i="3"/>
  <c r="AM87" i="3"/>
  <c r="AL87" i="3"/>
  <c r="AK87" i="3"/>
  <c r="AJ87" i="3"/>
  <c r="AI87" i="3"/>
  <c r="AH87" i="3"/>
  <c r="AG87" i="3"/>
  <c r="AF87" i="3"/>
  <c r="AE87" i="3"/>
  <c r="AD87" i="3"/>
  <c r="AC87" i="3"/>
  <c r="AB87" i="3"/>
  <c r="R86" i="3"/>
  <c r="R85" i="3" s="1"/>
  <c r="R84" i="3" s="1"/>
  <c r="P86" i="3"/>
  <c r="AO85" i="3"/>
  <c r="AN85" i="3"/>
  <c r="AN84" i="3" s="1"/>
  <c r="AM85" i="3"/>
  <c r="AM84" i="3" s="1"/>
  <c r="AL85" i="3"/>
  <c r="AK85" i="3"/>
  <c r="AJ85" i="3"/>
  <c r="AJ84" i="3" s="1"/>
  <c r="AI85" i="3"/>
  <c r="AI84" i="3" s="1"/>
  <c r="AH85" i="3"/>
  <c r="AG85" i="3"/>
  <c r="AF85" i="3"/>
  <c r="AF84" i="3" s="1"/>
  <c r="AE85" i="3"/>
  <c r="AE84" i="3" s="1"/>
  <c r="AD85" i="3"/>
  <c r="AC85" i="3"/>
  <c r="AB85" i="3"/>
  <c r="AB84" i="3" s="1"/>
  <c r="Z85" i="3"/>
  <c r="Z84" i="3" s="1"/>
  <c r="Y85" i="3"/>
  <c r="V85" i="3"/>
  <c r="V84" i="3" s="1"/>
  <c r="U85" i="3"/>
  <c r="U84" i="3" s="1"/>
  <c r="S85" i="3"/>
  <c r="S84" i="3" s="1"/>
  <c r="H85" i="3"/>
  <c r="H84" i="3" s="1"/>
  <c r="Y84" i="3"/>
  <c r="Q83" i="3"/>
  <c r="Q82" i="3" s="1"/>
  <c r="Q81" i="3" s="1"/>
  <c r="P83" i="3"/>
  <c r="O83" i="3"/>
  <c r="O82" i="3" s="1"/>
  <c r="O81" i="3" s="1"/>
  <c r="AO82" i="3"/>
  <c r="AO81" i="3" s="1"/>
  <c r="AN82" i="3"/>
  <c r="AM82" i="3"/>
  <c r="AL82" i="3"/>
  <c r="AL81" i="3" s="1"/>
  <c r="AK82" i="3"/>
  <c r="AK81" i="3" s="1"/>
  <c r="AJ82" i="3"/>
  <c r="AJ81" i="3" s="1"/>
  <c r="AI82" i="3"/>
  <c r="AI81" i="3" s="1"/>
  <c r="AH82" i="3"/>
  <c r="AH81" i="3" s="1"/>
  <c r="AG82" i="3"/>
  <c r="AG81" i="3" s="1"/>
  <c r="AF82" i="3"/>
  <c r="AF81" i="3" s="1"/>
  <c r="AE82" i="3"/>
  <c r="AE81" i="3" s="1"/>
  <c r="AD82" i="3"/>
  <c r="AD81" i="3" s="1"/>
  <c r="AC82" i="3"/>
  <c r="AC81" i="3" s="1"/>
  <c r="AB82" i="3"/>
  <c r="AB81" i="3" s="1"/>
  <c r="Z82" i="3"/>
  <c r="Z81" i="3" s="1"/>
  <c r="Y82" i="3"/>
  <c r="Y81" i="3" s="1"/>
  <c r="X82" i="3"/>
  <c r="X81" i="3" s="1"/>
  <c r="V82" i="3"/>
  <c r="V81" i="3" s="1"/>
  <c r="U82" i="3"/>
  <c r="U81" i="3" s="1"/>
  <c r="T82" i="3"/>
  <c r="T81" i="3" s="1"/>
  <c r="S82" i="3"/>
  <c r="S81" i="3" s="1"/>
  <c r="R82" i="3"/>
  <c r="R81" i="3" s="1"/>
  <c r="P82" i="3"/>
  <c r="P81" i="3" s="1"/>
  <c r="H82" i="3"/>
  <c r="H81" i="3" s="1"/>
  <c r="G82" i="3"/>
  <c r="G81" i="3" s="1"/>
  <c r="AN81" i="3"/>
  <c r="AM81" i="3"/>
  <c r="Q80" i="3"/>
  <c r="Q79" i="3" s="1"/>
  <c r="O80" i="3"/>
  <c r="O79" i="3" s="1"/>
  <c r="Z79" i="3"/>
  <c r="Y79" i="3"/>
  <c r="X79" i="3"/>
  <c r="V79" i="3"/>
  <c r="U79" i="3"/>
  <c r="T79" i="3"/>
  <c r="S79" i="3"/>
  <c r="R79" i="3"/>
  <c r="P79" i="3"/>
  <c r="H79" i="3"/>
  <c r="G79" i="3"/>
  <c r="X78" i="3"/>
  <c r="X68" i="3" s="1"/>
  <c r="T78" i="3"/>
  <c r="T68" i="3" s="1"/>
  <c r="Q78" i="3"/>
  <c r="Q68" i="3" s="1"/>
  <c r="P78" i="3"/>
  <c r="P68" i="3" s="1"/>
  <c r="O78" i="3"/>
  <c r="O68" i="3" s="1"/>
  <c r="O67" i="3" s="1"/>
  <c r="G74" i="3"/>
  <c r="G68" i="3" s="1"/>
  <c r="AO68" i="3"/>
  <c r="AO67" i="3" s="1"/>
  <c r="AN68" i="3"/>
  <c r="AN67" i="3" s="1"/>
  <c r="AM68" i="3"/>
  <c r="AM67" i="3" s="1"/>
  <c r="AL68" i="3"/>
  <c r="AL67" i="3" s="1"/>
  <c r="AK68" i="3"/>
  <c r="AK67" i="3" s="1"/>
  <c r="AJ68" i="3"/>
  <c r="AI68" i="3"/>
  <c r="AH68" i="3"/>
  <c r="AH67" i="3" s="1"/>
  <c r="AG68" i="3"/>
  <c r="AG67" i="3" s="1"/>
  <c r="AF68" i="3"/>
  <c r="AF67" i="3" s="1"/>
  <c r="AE68" i="3"/>
  <c r="AE67" i="3" s="1"/>
  <c r="AD68" i="3"/>
  <c r="AD67" i="3" s="1"/>
  <c r="AC68" i="3"/>
  <c r="AC67" i="3" s="1"/>
  <c r="AB68" i="3"/>
  <c r="AB67" i="3" s="1"/>
  <c r="Z68" i="3"/>
  <c r="Y68" i="3"/>
  <c r="V68" i="3"/>
  <c r="U68" i="3"/>
  <c r="S68" i="3"/>
  <c r="R68" i="3"/>
  <c r="H68" i="3"/>
  <c r="H67" i="3" s="1"/>
  <c r="AJ67" i="3"/>
  <c r="AI67" i="3"/>
  <c r="R62" i="3"/>
  <c r="Q62" i="3"/>
  <c r="Q61" i="3"/>
  <c r="H61" i="3"/>
  <c r="R61" i="3" s="1"/>
  <c r="AO60" i="3"/>
  <c r="AN60" i="3"/>
  <c r="AM60" i="3"/>
  <c r="AL60" i="3"/>
  <c r="AK60" i="3"/>
  <c r="AJ60" i="3"/>
  <c r="AI60" i="3"/>
  <c r="AH60" i="3"/>
  <c r="AG60" i="3"/>
  <c r="AF60" i="3"/>
  <c r="AE60" i="3"/>
  <c r="AD60" i="3"/>
  <c r="AC60" i="3"/>
  <c r="AB60" i="3"/>
  <c r="Z60" i="3"/>
  <c r="Y60" i="3"/>
  <c r="X60" i="3"/>
  <c r="V60" i="3"/>
  <c r="U60" i="3"/>
  <c r="T60" i="3"/>
  <c r="S60" i="3"/>
  <c r="P60" i="3"/>
  <c r="O60" i="3"/>
  <c r="H60" i="3"/>
  <c r="G60" i="3"/>
  <c r="O58" i="3"/>
  <c r="R56" i="3"/>
  <c r="Q56" i="3"/>
  <c r="R54" i="3"/>
  <c r="Q54" i="3"/>
  <c r="O53" i="3"/>
  <c r="AO52" i="3"/>
  <c r="AN52" i="3"/>
  <c r="AM52" i="3"/>
  <c r="AL52" i="3"/>
  <c r="AK52" i="3"/>
  <c r="AJ52" i="3"/>
  <c r="AI52" i="3"/>
  <c r="AH52" i="3"/>
  <c r="AG52" i="3"/>
  <c r="AF52" i="3"/>
  <c r="AE52" i="3"/>
  <c r="AD52" i="3"/>
  <c r="AC52" i="3"/>
  <c r="AB52" i="3"/>
  <c r="Z52" i="3"/>
  <c r="Y52" i="3"/>
  <c r="X52" i="3"/>
  <c r="V52" i="3"/>
  <c r="U52" i="3"/>
  <c r="T52" i="3"/>
  <c r="S52" i="3"/>
  <c r="P52" i="3"/>
  <c r="H52" i="3"/>
  <c r="G52" i="3"/>
  <c r="X50" i="3"/>
  <c r="T50" i="3"/>
  <c r="O50" i="3"/>
  <c r="X49" i="3"/>
  <c r="T49" i="3"/>
  <c r="R49" i="3"/>
  <c r="R48" i="3" s="1"/>
  <c r="R47" i="3" s="1"/>
  <c r="Q49" i="3"/>
  <c r="Q48" i="3" s="1"/>
  <c r="Q47" i="3" s="1"/>
  <c r="P49" i="3"/>
  <c r="P48" i="3" s="1"/>
  <c r="P47" i="3" s="1"/>
  <c r="O49" i="3"/>
  <c r="AO48" i="3"/>
  <c r="AO47" i="3" s="1"/>
  <c r="AO40" i="3" s="1"/>
  <c r="AO28" i="3" s="1"/>
  <c r="AO27" i="3" s="1"/>
  <c r="AN48" i="3"/>
  <c r="AN47" i="3" s="1"/>
  <c r="AN40" i="3" s="1"/>
  <c r="AN28" i="3" s="1"/>
  <c r="AN27" i="3" s="1"/>
  <c r="AM48" i="3"/>
  <c r="AM47" i="3" s="1"/>
  <c r="AM40" i="3" s="1"/>
  <c r="AM28" i="3" s="1"/>
  <c r="AM27" i="3" s="1"/>
  <c r="AL48" i="3"/>
  <c r="AL47" i="3" s="1"/>
  <c r="AL40" i="3" s="1"/>
  <c r="AL28" i="3" s="1"/>
  <c r="AL27" i="3" s="1"/>
  <c r="AK48" i="3"/>
  <c r="AK47" i="3" s="1"/>
  <c r="AK40" i="3" s="1"/>
  <c r="AK28" i="3" s="1"/>
  <c r="AK27" i="3" s="1"/>
  <c r="AJ48" i="3"/>
  <c r="AJ47" i="3" s="1"/>
  <c r="AJ40" i="3" s="1"/>
  <c r="AJ28" i="3" s="1"/>
  <c r="AJ27" i="3" s="1"/>
  <c r="AI48" i="3"/>
  <c r="AI47" i="3" s="1"/>
  <c r="AI40" i="3" s="1"/>
  <c r="AI28" i="3" s="1"/>
  <c r="AI27" i="3" s="1"/>
  <c r="AH48" i="3"/>
  <c r="AH47" i="3" s="1"/>
  <c r="AH40" i="3" s="1"/>
  <c r="AH28" i="3" s="1"/>
  <c r="AH27" i="3" s="1"/>
  <c r="AG48" i="3"/>
  <c r="AG47" i="3" s="1"/>
  <c r="AG40" i="3" s="1"/>
  <c r="AG28" i="3" s="1"/>
  <c r="AG27" i="3" s="1"/>
  <c r="AF48" i="3"/>
  <c r="AF47" i="3" s="1"/>
  <c r="AF40" i="3" s="1"/>
  <c r="AE48" i="3"/>
  <c r="AE47" i="3" s="1"/>
  <c r="AE40" i="3" s="1"/>
  <c r="AE28" i="3" s="1"/>
  <c r="AE27" i="3" s="1"/>
  <c r="AD48" i="3"/>
  <c r="AD47" i="3" s="1"/>
  <c r="AD40" i="3" s="1"/>
  <c r="AD28" i="3" s="1"/>
  <c r="AD27" i="3" s="1"/>
  <c r="AC48" i="3"/>
  <c r="AC47" i="3" s="1"/>
  <c r="AC40" i="3" s="1"/>
  <c r="AC28" i="3" s="1"/>
  <c r="AC27" i="3" s="1"/>
  <c r="AB48" i="3"/>
  <c r="AB47" i="3" s="1"/>
  <c r="AB40" i="3" s="1"/>
  <c r="AB28" i="3" s="1"/>
  <c r="AB27" i="3" s="1"/>
  <c r="Z48" i="3"/>
  <c r="Z47" i="3" s="1"/>
  <c r="Y48" i="3"/>
  <c r="Y47" i="3" s="1"/>
  <c r="V48" i="3"/>
  <c r="V47" i="3" s="1"/>
  <c r="U48" i="3"/>
  <c r="U47" i="3" s="1"/>
  <c r="S48" i="3"/>
  <c r="S47" i="3" s="1"/>
  <c r="O48" i="3"/>
  <c r="O47" i="3" s="1"/>
  <c r="H48" i="3"/>
  <c r="H47" i="3" s="1"/>
  <c r="G48" i="3"/>
  <c r="G47" i="3" s="1"/>
  <c r="O46" i="3"/>
  <c r="Y45" i="3"/>
  <c r="U45" i="3"/>
  <c r="Y44" i="3"/>
  <c r="U44" i="3"/>
  <c r="O43" i="3"/>
  <c r="O40" i="3" s="1"/>
  <c r="X42" i="3"/>
  <c r="X40" i="3" s="1"/>
  <c r="Q42" i="3"/>
  <c r="Q40" i="3" s="1"/>
  <c r="Z40" i="3"/>
  <c r="V40" i="3"/>
  <c r="S40" i="3"/>
  <c r="R40" i="3"/>
  <c r="P40" i="3"/>
  <c r="H40" i="3"/>
  <c r="G40" i="3"/>
  <c r="P39" i="3"/>
  <c r="O39" i="3"/>
  <c r="P37" i="3"/>
  <c r="O37" i="3"/>
  <c r="U36" i="3"/>
  <c r="T36" i="3"/>
  <c r="O36" i="3"/>
  <c r="Q35" i="3"/>
  <c r="O35" i="3"/>
  <c r="U35" i="3" s="1"/>
  <c r="R34" i="3"/>
  <c r="Q34" i="3"/>
  <c r="X33" i="3"/>
  <c r="X28" i="3" s="1"/>
  <c r="X27" i="3" s="1"/>
  <c r="R33" i="3"/>
  <c r="AE574" i="3" s="1"/>
  <c r="AE572" i="3" s="1"/>
  <c r="Q33" i="3"/>
  <c r="O33" i="3"/>
  <c r="T33" i="3" s="1"/>
  <c r="Q32" i="3"/>
  <c r="AF28" i="3"/>
  <c r="AF27" i="3" s="1"/>
  <c r="Z28" i="3"/>
  <c r="Z27" i="3" s="1"/>
  <c r="Y28" i="3"/>
  <c r="V28" i="3"/>
  <c r="S28" i="3"/>
  <c r="H28" i="3"/>
  <c r="G28" i="3"/>
  <c r="O25" i="3"/>
  <c r="O20" i="3" s="1"/>
  <c r="O19" i="3" s="1"/>
  <c r="Q22" i="3"/>
  <c r="Q21" i="3"/>
  <c r="AO20" i="3"/>
  <c r="AO19" i="3" s="1"/>
  <c r="AN20" i="3"/>
  <c r="AM20" i="3"/>
  <c r="AL20" i="3"/>
  <c r="AL19" i="3" s="1"/>
  <c r="AK20" i="3"/>
  <c r="AK19" i="3" s="1"/>
  <c r="AJ20" i="3"/>
  <c r="AJ19" i="3" s="1"/>
  <c r="AI20" i="3"/>
  <c r="AI19" i="3" s="1"/>
  <c r="AH20" i="3"/>
  <c r="AH19" i="3" s="1"/>
  <c r="AG20" i="3"/>
  <c r="AG19" i="3" s="1"/>
  <c r="AF20" i="3"/>
  <c r="AF19" i="3" s="1"/>
  <c r="AE20" i="3"/>
  <c r="AD20" i="3"/>
  <c r="AD19" i="3" s="1"/>
  <c r="AC20" i="3"/>
  <c r="AC19" i="3" s="1"/>
  <c r="AB20" i="3"/>
  <c r="AB19" i="3" s="1"/>
  <c r="Z20" i="3"/>
  <c r="Z19" i="3" s="1"/>
  <c r="Y20" i="3"/>
  <c r="Y19" i="3" s="1"/>
  <c r="X20" i="3"/>
  <c r="X19" i="3" s="1"/>
  <c r="V20" i="3"/>
  <c r="V19" i="3" s="1"/>
  <c r="U20" i="3"/>
  <c r="U19" i="3" s="1"/>
  <c r="T20" i="3"/>
  <c r="T19" i="3" s="1"/>
  <c r="S20" i="3"/>
  <c r="S19" i="3" s="1"/>
  <c r="R20" i="3"/>
  <c r="R19" i="3" s="1"/>
  <c r="P20" i="3"/>
  <c r="P19" i="3" s="1"/>
  <c r="H20" i="3"/>
  <c r="H19" i="3" s="1"/>
  <c r="G20" i="3"/>
  <c r="G19" i="3" s="1"/>
  <c r="AN19" i="3"/>
  <c r="AM19" i="3"/>
  <c r="AE19" i="3"/>
  <c r="Q17" i="3"/>
  <c r="Q16" i="3" s="1"/>
  <c r="H17" i="3"/>
  <c r="AO16" i="3"/>
  <c r="AN16" i="3"/>
  <c r="AM16" i="3"/>
  <c r="AL16" i="3"/>
  <c r="AK16" i="3"/>
  <c r="AJ16" i="3"/>
  <c r="AI16" i="3"/>
  <c r="AH16" i="3"/>
  <c r="AG16" i="3"/>
  <c r="AF16" i="3"/>
  <c r="AE16" i="3"/>
  <c r="AD16" i="3"/>
  <c r="AC16" i="3"/>
  <c r="AB16" i="3"/>
  <c r="Z16" i="3"/>
  <c r="Y16" i="3"/>
  <c r="X16" i="3"/>
  <c r="V16" i="3"/>
  <c r="U16" i="3"/>
  <c r="T16" i="3"/>
  <c r="S16" i="3"/>
  <c r="P16" i="3"/>
  <c r="O16" i="3"/>
  <c r="G16" i="3"/>
  <c r="M28" i="3" l="1"/>
  <c r="Q20" i="3"/>
  <c r="Q19" i="3" s="1"/>
  <c r="N109" i="3"/>
  <c r="AK417" i="3"/>
  <c r="AF370" i="3"/>
  <c r="AJ370" i="3"/>
  <c r="I265" i="3"/>
  <c r="H248" i="3"/>
  <c r="U289" i="3"/>
  <c r="AB403" i="3"/>
  <c r="AF403" i="3"/>
  <c r="AJ403" i="3"/>
  <c r="AJ402" i="3" s="1"/>
  <c r="AN403" i="3"/>
  <c r="N323" i="3"/>
  <c r="J323" i="3"/>
  <c r="J308" i="3" s="1"/>
  <c r="J298" i="3" s="1"/>
  <c r="J297" i="3" s="1"/>
  <c r="L323" i="3"/>
  <c r="L308" i="3" s="1"/>
  <c r="L298" i="3" s="1"/>
  <c r="N256" i="3"/>
  <c r="L248" i="3"/>
  <c r="M109" i="3"/>
  <c r="AB370" i="3"/>
  <c r="AN370" i="3"/>
  <c r="P379" i="3"/>
  <c r="O379" i="3"/>
  <c r="T387" i="3"/>
  <c r="Y387" i="3"/>
  <c r="AL403" i="3"/>
  <c r="AL402" i="3" s="1"/>
  <c r="S417" i="3"/>
  <c r="AG439" i="3"/>
  <c r="L353" i="3"/>
  <c r="I177" i="3"/>
  <c r="T22" i="1"/>
  <c r="T13" i="1" s="1"/>
  <c r="C14" i="2"/>
  <c r="C12" i="2" s="1"/>
  <c r="G15" i="2" s="1"/>
  <c r="D14" i="2"/>
  <c r="D12" i="2" s="1"/>
  <c r="U22" i="1"/>
  <c r="U13" i="1" s="1"/>
  <c r="V22" i="1"/>
  <c r="V13" i="1" s="1"/>
  <c r="E14" i="2"/>
  <c r="E12" i="2" s="1"/>
  <c r="F15" i="2" s="1"/>
  <c r="T93" i="3"/>
  <c r="X417" i="3"/>
  <c r="AC417" i="3"/>
  <c r="AG417" i="3"/>
  <c r="AO417" i="3"/>
  <c r="U417" i="3"/>
  <c r="Z417" i="3"/>
  <c r="AE417" i="3"/>
  <c r="AI417" i="3"/>
  <c r="AM417" i="3"/>
  <c r="O539" i="3"/>
  <c r="O538" i="3" s="1"/>
  <c r="O577" i="3"/>
  <c r="G584" i="3"/>
  <c r="N583" i="3"/>
  <c r="J583" i="3"/>
  <c r="M559" i="3"/>
  <c r="M556" i="3" s="1"/>
  <c r="I40" i="3"/>
  <c r="R98" i="3"/>
  <c r="Z370" i="3"/>
  <c r="AE370" i="3"/>
  <c r="AI370" i="3"/>
  <c r="AM370" i="3"/>
  <c r="U387" i="3"/>
  <c r="Z387" i="3"/>
  <c r="AN556" i="3"/>
  <c r="S577" i="3"/>
  <c r="AE577" i="3"/>
  <c r="AI577" i="3"/>
  <c r="AM577" i="3"/>
  <c r="M503" i="3"/>
  <c r="K439" i="3"/>
  <c r="L426" i="3"/>
  <c r="M426" i="3"/>
  <c r="L417" i="3"/>
  <c r="N177" i="3"/>
  <c r="AG370" i="3"/>
  <c r="AN256" i="3"/>
  <c r="AE362" i="3"/>
  <c r="K583" i="3"/>
  <c r="K568" i="3"/>
  <c r="K373" i="3"/>
  <c r="J109" i="3"/>
  <c r="T217" i="3"/>
  <c r="AD217" i="3"/>
  <c r="AD199" i="3" s="1"/>
  <c r="AD196" i="3" s="1"/>
  <c r="AL217" i="3"/>
  <c r="AL199" i="3" s="1"/>
  <c r="AL196" i="3" s="1"/>
  <c r="AO248" i="3"/>
  <c r="G370" i="3"/>
  <c r="V502" i="3"/>
  <c r="M417" i="3"/>
  <c r="N67" i="3"/>
  <c r="N66" i="3" s="1"/>
  <c r="N65" i="3" s="1"/>
  <c r="H51" i="3"/>
  <c r="Z51" i="3"/>
  <c r="Z18" i="3" s="1"/>
  <c r="Z15" i="3" s="1"/>
  <c r="AI51" i="3"/>
  <c r="AI18" i="3" s="1"/>
  <c r="AI15" i="3" s="1"/>
  <c r="AM51" i="3"/>
  <c r="AM18" i="3" s="1"/>
  <c r="AM15" i="3" s="1"/>
  <c r="V67" i="3"/>
  <c r="Y67" i="3"/>
  <c r="AH120" i="3"/>
  <c r="X163" i="3"/>
  <c r="AF177" i="3"/>
  <c r="AF173" i="3" s="1"/>
  <c r="AF172" i="3" s="1"/>
  <c r="P482" i="3"/>
  <c r="P471" i="3" s="1"/>
  <c r="P464" i="3" s="1"/>
  <c r="K417" i="3"/>
  <c r="M367" i="3"/>
  <c r="J362" i="3"/>
  <c r="M256" i="3"/>
  <c r="K248" i="3"/>
  <c r="K242" i="3" s="1"/>
  <c r="K240" i="3" s="1"/>
  <c r="I163" i="3"/>
  <c r="N149" i="3"/>
  <c r="I105" i="3"/>
  <c r="I104" i="3" s="1"/>
  <c r="I101" i="3"/>
  <c r="I98" i="3" s="1"/>
  <c r="M132" i="3"/>
  <c r="J27" i="3"/>
  <c r="Y217" i="3"/>
  <c r="Y199" i="3" s="1"/>
  <c r="Y196" i="3" s="1"/>
  <c r="AH217" i="3"/>
  <c r="AH199" i="3" s="1"/>
  <c r="AH196" i="3" s="1"/>
  <c r="V370" i="3"/>
  <c r="X482" i="3"/>
  <c r="X471" i="3" s="1"/>
  <c r="X464" i="3" s="1"/>
  <c r="AB502" i="3"/>
  <c r="H502" i="3"/>
  <c r="K217" i="3"/>
  <c r="K199" i="3" s="1"/>
  <c r="K196" i="3" s="1"/>
  <c r="T48" i="3"/>
  <c r="T47" i="3" s="1"/>
  <c r="G67" i="3"/>
  <c r="P105" i="3"/>
  <c r="P104" i="3" s="1"/>
  <c r="AL109" i="3"/>
  <c r="P358" i="3"/>
  <c r="P373" i="3"/>
  <c r="P370" i="3" s="1"/>
  <c r="U439" i="3"/>
  <c r="AE439" i="3"/>
  <c r="AL439" i="3"/>
  <c r="H482" i="3"/>
  <c r="Y568" i="3"/>
  <c r="AD568" i="3"/>
  <c r="L556" i="3"/>
  <c r="L514" i="3"/>
  <c r="L501" i="3" s="1"/>
  <c r="L498" i="3" s="1"/>
  <c r="I503" i="3"/>
  <c r="I406" i="3"/>
  <c r="K387" i="3"/>
  <c r="L387" i="3"/>
  <c r="L217" i="3"/>
  <c r="L199" i="3" s="1"/>
  <c r="L196" i="3" s="1"/>
  <c r="K121" i="3"/>
  <c r="M121" i="3"/>
  <c r="I121" i="3"/>
  <c r="L98" i="3"/>
  <c r="L97" i="3" s="1"/>
  <c r="L92" i="3" s="1"/>
  <c r="L51" i="3"/>
  <c r="AN248" i="3"/>
  <c r="R17" i="3"/>
  <c r="R16" i="3" s="1"/>
  <c r="H16" i="3"/>
  <c r="AO370" i="3"/>
  <c r="AB248" i="3"/>
  <c r="Y66" i="3"/>
  <c r="Y65" i="3" s="1"/>
  <c r="AC148" i="3"/>
  <c r="AG148" i="3"/>
  <c r="O368" i="3"/>
  <c r="O367" i="3" s="1"/>
  <c r="P367" i="3"/>
  <c r="H27" i="3"/>
  <c r="Q105" i="3"/>
  <c r="Q104" i="3" s="1"/>
  <c r="J528" i="3"/>
  <c r="I201" i="3"/>
  <c r="I200" i="3" s="1"/>
  <c r="I151" i="3"/>
  <c r="I150" i="3" s="1"/>
  <c r="I149" i="3" s="1"/>
  <c r="V27" i="3"/>
  <c r="T109" i="3"/>
  <c r="Y109" i="3"/>
  <c r="AH109" i="3"/>
  <c r="AH97" i="3" s="1"/>
  <c r="AH92" i="3" s="1"/>
  <c r="AB109" i="3"/>
  <c r="AB97" i="3" s="1"/>
  <c r="AB92" i="3" s="1"/>
  <c r="AF109" i="3"/>
  <c r="AF97" i="3" s="1"/>
  <c r="AF92" i="3" s="1"/>
  <c r="AJ109" i="3"/>
  <c r="AJ97" i="3" s="1"/>
  <c r="AJ92" i="3" s="1"/>
  <c r="AN109" i="3"/>
  <c r="AN97" i="3" s="1"/>
  <c r="AN92" i="3" s="1"/>
  <c r="X132" i="3"/>
  <c r="AK148" i="3"/>
  <c r="AO148" i="3"/>
  <c r="AJ148" i="3"/>
  <c r="AC323" i="3"/>
  <c r="AC308" i="3" s="1"/>
  <c r="AC298" i="3" s="1"/>
  <c r="U362" i="3"/>
  <c r="Z362" i="3"/>
  <c r="AI362" i="3"/>
  <c r="AM362" i="3"/>
  <c r="AC568" i="3"/>
  <c r="Q569" i="3"/>
  <c r="Q568" i="3" s="1"/>
  <c r="J577" i="3"/>
  <c r="I568" i="3"/>
  <c r="N482" i="3"/>
  <c r="N439" i="3"/>
  <c r="J439" i="3"/>
  <c r="K426" i="3"/>
  <c r="M387" i="3"/>
  <c r="N362" i="3"/>
  <c r="J353" i="3"/>
  <c r="K323" i="3"/>
  <c r="K308" i="3" s="1"/>
  <c r="K298" i="3" s="1"/>
  <c r="M323" i="3"/>
  <c r="I323" i="3"/>
  <c r="I308" i="3" s="1"/>
  <c r="I298" i="3" s="1"/>
  <c r="M149" i="3"/>
  <c r="L149" i="3"/>
  <c r="N121" i="3"/>
  <c r="J121" i="3"/>
  <c r="L177" i="3"/>
  <c r="L173" i="3" s="1"/>
  <c r="L172" i="3" s="1"/>
  <c r="H217" i="3"/>
  <c r="H199" i="3" s="1"/>
  <c r="H196" i="3" s="1"/>
  <c r="AI274" i="3"/>
  <c r="AI271" i="3" s="1"/>
  <c r="P387" i="3"/>
  <c r="AG403" i="3"/>
  <c r="AG402" i="3" s="1"/>
  <c r="M577" i="3"/>
  <c r="L482" i="3"/>
  <c r="L439" i="3"/>
  <c r="AE568" i="3"/>
  <c r="X48" i="3"/>
  <c r="X47" i="3" s="1"/>
  <c r="AE66" i="3"/>
  <c r="AE65" i="3" s="1"/>
  <c r="AB120" i="3"/>
  <c r="AF120" i="3"/>
  <c r="AJ120" i="3"/>
  <c r="AC120" i="3"/>
  <c r="AO120" i="3"/>
  <c r="V132" i="3"/>
  <c r="Y132" i="3"/>
  <c r="P149" i="3"/>
  <c r="AM162" i="3"/>
  <c r="S217" i="3"/>
  <c r="S199" i="3" s="1"/>
  <c r="S196" i="3" s="1"/>
  <c r="X217" i="3"/>
  <c r="X199" i="3" s="1"/>
  <c r="X196" i="3" s="1"/>
  <c r="AC217" i="3"/>
  <c r="AG217" i="3"/>
  <c r="AK217" i="3"/>
  <c r="AK199" i="3" s="1"/>
  <c r="AK196" i="3" s="1"/>
  <c r="AO217" i="3"/>
  <c r="Z323" i="3"/>
  <c r="AE323" i="3"/>
  <c r="AI323" i="3"/>
  <c r="AI308" i="3" s="1"/>
  <c r="AI298" i="3" s="1"/>
  <c r="AO323" i="3"/>
  <c r="AO308" i="3" s="1"/>
  <c r="AO298" i="3" s="1"/>
  <c r="R353" i="3"/>
  <c r="V353" i="3"/>
  <c r="AB353" i="3"/>
  <c r="AF353" i="3"/>
  <c r="AJ353" i="3"/>
  <c r="AN353" i="3"/>
  <c r="AD362" i="3"/>
  <c r="S426" i="3"/>
  <c r="X426" i="3"/>
  <c r="X445" i="3"/>
  <c r="X439" i="3" s="1"/>
  <c r="T506" i="3"/>
  <c r="AL577" i="3"/>
  <c r="I473" i="3"/>
  <c r="I472" i="3" s="1"/>
  <c r="J417" i="3"/>
  <c r="N403" i="3"/>
  <c r="I373" i="3"/>
  <c r="I338" i="3"/>
  <c r="N289" i="3"/>
  <c r="N285" i="3" s="1"/>
  <c r="L289" i="3"/>
  <c r="L285" i="3" s="1"/>
  <c r="M217" i="3"/>
  <c r="M163" i="3"/>
  <c r="K163" i="3"/>
  <c r="J149" i="3"/>
  <c r="I109" i="3"/>
  <c r="G132" i="3"/>
  <c r="G163" i="3"/>
  <c r="AE208" i="3"/>
  <c r="AE207" i="3" s="1"/>
  <c r="Y353" i="3"/>
  <c r="AE120" i="3"/>
  <c r="AI120" i="3"/>
  <c r="AM120" i="3"/>
  <c r="H121" i="3"/>
  <c r="Z256" i="3"/>
  <c r="AE256" i="3"/>
  <c r="AI256" i="3"/>
  <c r="AM256" i="3"/>
  <c r="AJ514" i="3"/>
  <c r="Y40" i="3"/>
  <c r="Y27" i="3" s="1"/>
  <c r="AG120" i="3"/>
  <c r="AK120" i="3"/>
  <c r="Q217" i="3"/>
  <c r="R248" i="3"/>
  <c r="AC248" i="3"/>
  <c r="O427" i="3"/>
  <c r="Z426" i="3"/>
  <c r="I556" i="3"/>
  <c r="M531" i="3"/>
  <c r="M528" i="3" s="1"/>
  <c r="I491" i="3"/>
  <c r="I490" i="3" s="1"/>
  <c r="J289" i="3"/>
  <c r="J285" i="3" s="1"/>
  <c r="J284" i="3" s="1"/>
  <c r="I274" i="3"/>
  <c r="I271" i="3" s="1"/>
  <c r="J274" i="3"/>
  <c r="J271" i="3" s="1"/>
  <c r="J270" i="3" s="1"/>
  <c r="N163" i="3"/>
  <c r="J163" i="3"/>
  <c r="L163" i="3"/>
  <c r="G98" i="3"/>
  <c r="T121" i="3"/>
  <c r="Y121" i="3"/>
  <c r="AO162" i="3"/>
  <c r="Y403" i="3"/>
  <c r="AH403" i="3"/>
  <c r="AH402" i="3" s="1"/>
  <c r="O406" i="3"/>
  <c r="V568" i="3"/>
  <c r="AB568" i="3"/>
  <c r="M482" i="3"/>
  <c r="M471" i="3" s="1"/>
  <c r="M464" i="3" s="1"/>
  <c r="N471" i="3"/>
  <c r="N464" i="3" s="1"/>
  <c r="I465" i="3"/>
  <c r="N274" i="3"/>
  <c r="N271" i="3" s="1"/>
  <c r="M173" i="3"/>
  <c r="M172" i="3" s="1"/>
  <c r="M51" i="3"/>
  <c r="N517" i="3"/>
  <c r="M518" i="3"/>
  <c r="M517" i="3" s="1"/>
  <c r="M514" i="3" s="1"/>
  <c r="L367" i="3"/>
  <c r="L362" i="3" s="1"/>
  <c r="K369" i="3"/>
  <c r="K367" i="3" s="1"/>
  <c r="K363" i="3"/>
  <c r="AH51" i="3"/>
  <c r="AH18" i="3" s="1"/>
  <c r="AH15" i="3" s="1"/>
  <c r="G66" i="3"/>
  <c r="G65" i="3" s="1"/>
  <c r="T67" i="3"/>
  <c r="O105" i="3"/>
  <c r="O104" i="3" s="1"/>
  <c r="X121" i="3"/>
  <c r="AN148" i="3"/>
  <c r="U149" i="3"/>
  <c r="Z149" i="3"/>
  <c r="Q201" i="3"/>
  <c r="Q200" i="3" s="1"/>
  <c r="AE248" i="3"/>
  <c r="AI248" i="3"/>
  <c r="AI242" i="3" s="1"/>
  <c r="AM248" i="3"/>
  <c r="AM242" i="3" s="1"/>
  <c r="S256" i="3"/>
  <c r="S242" i="3" s="1"/>
  <c r="S240" i="3" s="1"/>
  <c r="AB323" i="3"/>
  <c r="AF323" i="3"/>
  <c r="AF308" i="3" s="1"/>
  <c r="AF298" i="3" s="1"/>
  <c r="AJ323" i="3"/>
  <c r="AJ308" i="3" s="1"/>
  <c r="AJ298" i="3" s="1"/>
  <c r="H324" i="3"/>
  <c r="H323" i="3" s="1"/>
  <c r="H308" i="3" s="1"/>
  <c r="H298" i="3" s="1"/>
  <c r="Q379" i="3"/>
  <c r="P403" i="3"/>
  <c r="S403" i="3"/>
  <c r="AC403" i="3"/>
  <c r="AC402" i="3" s="1"/>
  <c r="AO403" i="3"/>
  <c r="AO402" i="3" s="1"/>
  <c r="V417" i="3"/>
  <c r="AJ417" i="3"/>
  <c r="AN417" i="3"/>
  <c r="Q421" i="3"/>
  <c r="I577" i="3"/>
  <c r="L471" i="3"/>
  <c r="L464" i="3" s="1"/>
  <c r="I445" i="3"/>
  <c r="I439" i="3" s="1"/>
  <c r="M353" i="3"/>
  <c r="K353" i="3"/>
  <c r="M274" i="3"/>
  <c r="M271" i="3" s="1"/>
  <c r="M251" i="3"/>
  <c r="M248" i="3" s="1"/>
  <c r="M242" i="3" s="1"/>
  <c r="M240" i="3" s="1"/>
  <c r="J177" i="3"/>
  <c r="J173" i="3" s="1"/>
  <c r="J172" i="3" s="1"/>
  <c r="J171" i="3" s="1"/>
  <c r="N132" i="3"/>
  <c r="J132" i="3"/>
  <c r="M98" i="3"/>
  <c r="AG323" i="3"/>
  <c r="AG308" i="3" s="1"/>
  <c r="AG298" i="3" s="1"/>
  <c r="AK323" i="3"/>
  <c r="AC353" i="3"/>
  <c r="Q390" i="3"/>
  <c r="Q387" i="3" s="1"/>
  <c r="Q409" i="3"/>
  <c r="Q403" i="3" s="1"/>
  <c r="Y426" i="3"/>
  <c r="T503" i="3"/>
  <c r="R517" i="3"/>
  <c r="Q531" i="3"/>
  <c r="Q528" i="3" s="1"/>
  <c r="N568" i="3"/>
  <c r="N556" i="3"/>
  <c r="J556" i="3"/>
  <c r="K531" i="3"/>
  <c r="I506" i="3"/>
  <c r="K503" i="3"/>
  <c r="I431" i="3"/>
  <c r="I426" i="3" s="1"/>
  <c r="N426" i="3"/>
  <c r="J426" i="3"/>
  <c r="K406" i="3"/>
  <c r="M379" i="3"/>
  <c r="J370" i="3"/>
  <c r="I358" i="3"/>
  <c r="I353" i="3" s="1"/>
  <c r="M289" i="3"/>
  <c r="M285" i="3" s="1"/>
  <c r="I289" i="3"/>
  <c r="I285" i="3" s="1"/>
  <c r="I251" i="3"/>
  <c r="I248" i="3" s="1"/>
  <c r="I173" i="3"/>
  <c r="I172" i="3" s="1"/>
  <c r="K149" i="3"/>
  <c r="K109" i="3"/>
  <c r="M105" i="3"/>
  <c r="M104" i="3" s="1"/>
  <c r="K98" i="3"/>
  <c r="J67" i="3"/>
  <c r="J66" i="3" s="1"/>
  <c r="J65" i="3" s="1"/>
  <c r="J64" i="3" s="1"/>
  <c r="I67" i="3"/>
  <c r="I66" i="3" s="1"/>
  <c r="I65" i="3" s="1"/>
  <c r="N27" i="3"/>
  <c r="I28" i="3"/>
  <c r="AD556" i="3"/>
  <c r="AH556" i="3"/>
  <c r="G577" i="3"/>
  <c r="AC577" i="3"/>
  <c r="AD583" i="3"/>
  <c r="AL583" i="3"/>
  <c r="L583" i="3"/>
  <c r="I584" i="3"/>
  <c r="I583" i="3" s="1"/>
  <c r="M583" i="3"/>
  <c r="N577" i="3"/>
  <c r="J568" i="3"/>
  <c r="N528" i="3"/>
  <c r="K482" i="3"/>
  <c r="K471" i="3" s="1"/>
  <c r="K464" i="3" s="1"/>
  <c r="M439" i="3"/>
  <c r="N417" i="3"/>
  <c r="J403" i="3"/>
  <c r="I379" i="3"/>
  <c r="I370" i="3" s="1"/>
  <c r="N370" i="3"/>
  <c r="M363" i="3"/>
  <c r="L256" i="3"/>
  <c r="L242" i="3" s="1"/>
  <c r="L240" i="3" s="1"/>
  <c r="I260" i="3"/>
  <c r="I256" i="3" s="1"/>
  <c r="J248" i="3"/>
  <c r="I244" i="3"/>
  <c r="I243" i="3" s="1"/>
  <c r="N217" i="3"/>
  <c r="J217" i="3"/>
  <c r="J199" i="3" s="1"/>
  <c r="J196" i="3" s="1"/>
  <c r="J195" i="3" s="1"/>
  <c r="I133" i="3"/>
  <c r="I132" i="3" s="1"/>
  <c r="M68" i="3"/>
  <c r="M67" i="3" s="1"/>
  <c r="M66" i="3" s="1"/>
  <c r="M65" i="3" s="1"/>
  <c r="L67" i="3"/>
  <c r="L66" i="3" s="1"/>
  <c r="L65" i="3" s="1"/>
  <c r="I52" i="3"/>
  <c r="I51" i="3" s="1"/>
  <c r="K51" i="3"/>
  <c r="L27" i="3"/>
  <c r="K27" i="3"/>
  <c r="N407" i="1"/>
  <c r="I410" i="1"/>
  <c r="N410" i="1"/>
  <c r="H407" i="1"/>
  <c r="H401" i="1" s="1"/>
  <c r="H398" i="1" s="1"/>
  <c r="J401" i="1"/>
  <c r="J398" i="1" s="1"/>
  <c r="I402" i="1"/>
  <c r="K402" i="1"/>
  <c r="K410" i="1"/>
  <c r="M401" i="1"/>
  <c r="M398" i="1" s="1"/>
  <c r="P401" i="1"/>
  <c r="P398" i="1" s="1"/>
  <c r="O401" i="1"/>
  <c r="I407" i="1"/>
  <c r="N399" i="1"/>
  <c r="L401" i="1"/>
  <c r="L398" i="1" s="1"/>
  <c r="G401" i="1"/>
  <c r="G398" i="1" s="1"/>
  <c r="S27" i="3"/>
  <c r="AC84" i="3"/>
  <c r="AC66" i="3" s="1"/>
  <c r="AC65" i="3" s="1"/>
  <c r="O98" i="3"/>
  <c r="U67" i="3"/>
  <c r="U66" i="3" s="1"/>
  <c r="U65" i="3" s="1"/>
  <c r="AA65" i="3" s="1"/>
  <c r="P67" i="3"/>
  <c r="Q93" i="3"/>
  <c r="Q121" i="3"/>
  <c r="U121" i="3"/>
  <c r="O121" i="3"/>
  <c r="U132" i="3"/>
  <c r="O163" i="3"/>
  <c r="P201" i="3"/>
  <c r="P200" i="3" s="1"/>
  <c r="AB289" i="3"/>
  <c r="AB285" i="3" s="1"/>
  <c r="AB292" i="3"/>
  <c r="Y439" i="3"/>
  <c r="K506" i="3"/>
  <c r="K274" i="3"/>
  <c r="K271" i="3" s="1"/>
  <c r="M511" i="3"/>
  <c r="M506" i="3" s="1"/>
  <c r="M502" i="3" s="1"/>
  <c r="N506" i="3"/>
  <c r="O28" i="3"/>
  <c r="O27" i="3" s="1"/>
  <c r="Y51" i="3"/>
  <c r="AL51" i="3"/>
  <c r="AL18" i="3" s="1"/>
  <c r="AL15" i="3" s="1"/>
  <c r="Y98" i="3"/>
  <c r="AE148" i="3"/>
  <c r="AC162" i="3"/>
  <c r="AK162" i="3"/>
  <c r="P289" i="3"/>
  <c r="P285" i="3" s="1"/>
  <c r="T289" i="3"/>
  <c r="T285" i="3" s="1"/>
  <c r="Y289" i="3"/>
  <c r="Y285" i="3" s="1"/>
  <c r="I517" i="3"/>
  <c r="I514" i="3" s="1"/>
  <c r="K517" i="3"/>
  <c r="K514" i="3" s="1"/>
  <c r="K403" i="3"/>
  <c r="L403" i="3"/>
  <c r="AG84" i="3"/>
  <c r="AG66" i="3" s="1"/>
  <c r="AG65" i="3" s="1"/>
  <c r="AG199" i="3"/>
  <c r="AG196" i="3" s="1"/>
  <c r="T51" i="3"/>
  <c r="AD51" i="3"/>
  <c r="AD18" i="3" s="1"/>
  <c r="AD15" i="3" s="1"/>
  <c r="T98" i="3"/>
  <c r="T97" i="3" s="1"/>
  <c r="T92" i="3" s="1"/>
  <c r="P109" i="3"/>
  <c r="AM148" i="3"/>
  <c r="AG162" i="3"/>
  <c r="G27" i="3"/>
  <c r="U51" i="3"/>
  <c r="AE51" i="3"/>
  <c r="AE18" i="3" s="1"/>
  <c r="AE15" i="3" s="1"/>
  <c r="Q60" i="3"/>
  <c r="R67" i="3"/>
  <c r="R66" i="3" s="1"/>
  <c r="R65" i="3" s="1"/>
  <c r="AI66" i="3"/>
  <c r="AI65" i="3" s="1"/>
  <c r="U98" i="3"/>
  <c r="Z98" i="3"/>
  <c r="O133" i="3"/>
  <c r="O132" i="3" s="1"/>
  <c r="Q135" i="3"/>
  <c r="Q133" i="3" s="1"/>
  <c r="Q132" i="3" s="1"/>
  <c r="Z177" i="3"/>
  <c r="AE177" i="3"/>
  <c r="AI177" i="3"/>
  <c r="AI173" i="3" s="1"/>
  <c r="AI172" i="3" s="1"/>
  <c r="AM177" i="3"/>
  <c r="AM173" i="3" s="1"/>
  <c r="AM172" i="3" s="1"/>
  <c r="AB177" i="3"/>
  <c r="AB173" i="3" s="1"/>
  <c r="AB172" i="3" s="1"/>
  <c r="AN177" i="3"/>
  <c r="AN173" i="3" s="1"/>
  <c r="AN172" i="3" s="1"/>
  <c r="V248" i="3"/>
  <c r="Q353" i="3"/>
  <c r="G417" i="3"/>
  <c r="AE482" i="3"/>
  <c r="AE471" i="3" s="1"/>
  <c r="AE464" i="3" s="1"/>
  <c r="J502" i="3"/>
  <c r="J501" i="3" s="1"/>
  <c r="J498" i="3" s="1"/>
  <c r="J497" i="3" s="1"/>
  <c r="N503" i="3"/>
  <c r="M373" i="3"/>
  <c r="P51" i="3"/>
  <c r="AB51" i="3"/>
  <c r="AB18" i="3" s="1"/>
  <c r="AB15" i="3" s="1"/>
  <c r="AF51" i="3"/>
  <c r="AJ51" i="3"/>
  <c r="AN51" i="3"/>
  <c r="AN18" i="3" s="1"/>
  <c r="AN15" i="3" s="1"/>
  <c r="X51" i="3"/>
  <c r="AC51" i="3"/>
  <c r="AC18" i="3" s="1"/>
  <c r="AC15" i="3" s="1"/>
  <c r="AG51" i="3"/>
  <c r="AG18" i="3" s="1"/>
  <c r="AG15" i="3" s="1"/>
  <c r="AK51" i="3"/>
  <c r="AK18" i="3" s="1"/>
  <c r="AK15" i="3" s="1"/>
  <c r="AO51" i="3"/>
  <c r="AD84" i="3"/>
  <c r="AD66" i="3" s="1"/>
  <c r="AD65" i="3" s="1"/>
  <c r="AH84" i="3"/>
  <c r="AL84" i="3"/>
  <c r="AL66" i="3" s="1"/>
  <c r="AL65" i="3" s="1"/>
  <c r="Q101" i="3"/>
  <c r="Q98" i="3" s="1"/>
  <c r="G109" i="3"/>
  <c r="G97" i="3" s="1"/>
  <c r="G92" i="3" s="1"/>
  <c r="U109" i="3"/>
  <c r="Z109" i="3"/>
  <c r="AE109" i="3"/>
  <c r="AE97" i="3" s="1"/>
  <c r="AE92" i="3" s="1"/>
  <c r="AI109" i="3"/>
  <c r="AI97" i="3" s="1"/>
  <c r="AI92" i="3" s="1"/>
  <c r="AM109" i="3"/>
  <c r="AM97" i="3" s="1"/>
  <c r="AM92" i="3" s="1"/>
  <c r="AK109" i="3"/>
  <c r="AK97" i="3" s="1"/>
  <c r="AK92" i="3" s="1"/>
  <c r="AD131" i="3"/>
  <c r="AH131" i="3"/>
  <c r="AL131" i="3"/>
  <c r="AC131" i="3"/>
  <c r="AO131" i="3"/>
  <c r="AL148" i="3"/>
  <c r="G149" i="3"/>
  <c r="Q149" i="3"/>
  <c r="AE162" i="3"/>
  <c r="AE119" i="3" s="1"/>
  <c r="AE115" i="3" s="1"/>
  <c r="AI162" i="3"/>
  <c r="H163" i="3"/>
  <c r="R163" i="3"/>
  <c r="AB256" i="3"/>
  <c r="AB242" i="3" s="1"/>
  <c r="AF256" i="3"/>
  <c r="AC274" i="3"/>
  <c r="AC271" i="3" s="1"/>
  <c r="AG274" i="3"/>
  <c r="AG271" i="3" s="1"/>
  <c r="G289" i="3"/>
  <c r="G285" i="3" s="1"/>
  <c r="Q289" i="3"/>
  <c r="Q285" i="3" s="1"/>
  <c r="Z289" i="3"/>
  <c r="Z285" i="3" s="1"/>
  <c r="AE289" i="3"/>
  <c r="AE285" i="3" s="1"/>
  <c r="AI289" i="3"/>
  <c r="AI285" i="3" s="1"/>
  <c r="AM289" i="3"/>
  <c r="R289" i="3"/>
  <c r="V289" i="3"/>
  <c r="V285" i="3" s="1"/>
  <c r="AE308" i="3"/>
  <c r="AE298" i="3" s="1"/>
  <c r="V323" i="3"/>
  <c r="V308" i="3" s="1"/>
  <c r="V298" i="3" s="1"/>
  <c r="AC362" i="3"/>
  <c r="AG362" i="3"/>
  <c r="AK362" i="3"/>
  <c r="X403" i="3"/>
  <c r="AK403" i="3"/>
  <c r="U426" i="3"/>
  <c r="X528" i="3"/>
  <c r="X577" i="3"/>
  <c r="AG577" i="3"/>
  <c r="AK577" i="3"/>
  <c r="AO577" i="3"/>
  <c r="L568" i="3"/>
  <c r="K559" i="3"/>
  <c r="K556" i="3" s="1"/>
  <c r="I539" i="3"/>
  <c r="N515" i="3"/>
  <c r="N514" i="3" s="1"/>
  <c r="J482" i="3"/>
  <c r="J471" i="3" s="1"/>
  <c r="J464" i="3" s="1"/>
  <c r="J463" i="3" s="1"/>
  <c r="I417" i="3"/>
  <c r="I409" i="3"/>
  <c r="N387" i="3"/>
  <c r="J387" i="3"/>
  <c r="L370" i="3"/>
  <c r="N308" i="3"/>
  <c r="N298" i="3" s="1"/>
  <c r="O244" i="3"/>
  <c r="O243" i="3" s="1"/>
  <c r="G256" i="3"/>
  <c r="G242" i="3" s="1"/>
  <c r="G240" i="3" s="1"/>
  <c r="P354" i="3"/>
  <c r="P353" i="3" s="1"/>
  <c r="T353" i="3"/>
  <c r="AD353" i="3"/>
  <c r="AH353" i="3"/>
  <c r="AL353" i="3"/>
  <c r="G403" i="3"/>
  <c r="AJ502" i="3"/>
  <c r="AB514" i="3"/>
  <c r="AF514" i="3"/>
  <c r="AN514" i="3"/>
  <c r="K577" i="3"/>
  <c r="I531" i="3"/>
  <c r="I528" i="3" s="1"/>
  <c r="K528" i="3"/>
  <c r="M406" i="3"/>
  <c r="M403" i="3" s="1"/>
  <c r="K379" i="3"/>
  <c r="R367" i="3"/>
  <c r="AC370" i="3"/>
  <c r="AK370" i="3"/>
  <c r="O387" i="3"/>
  <c r="H426" i="3"/>
  <c r="AD439" i="3"/>
  <c r="AH439" i="3"/>
  <c r="O445" i="3"/>
  <c r="O439" i="3" s="1"/>
  <c r="AL471" i="3"/>
  <c r="AL464" i="3" s="1"/>
  <c r="AC471" i="3"/>
  <c r="AC464" i="3" s="1"/>
  <c r="AK471" i="3"/>
  <c r="AK464" i="3" s="1"/>
  <c r="Q482" i="3"/>
  <c r="Q471" i="3" s="1"/>
  <c r="Q464" i="3" s="1"/>
  <c r="G502" i="3"/>
  <c r="U502" i="3"/>
  <c r="Z502" i="3"/>
  <c r="AE502" i="3"/>
  <c r="AI502" i="3"/>
  <c r="AM502" i="3"/>
  <c r="P506" i="3"/>
  <c r="P502" i="3" s="1"/>
  <c r="H514" i="3"/>
  <c r="AI514" i="3"/>
  <c r="G528" i="3"/>
  <c r="P531" i="3"/>
  <c r="P528" i="3" s="1"/>
  <c r="T539" i="3"/>
  <c r="T538" i="3" s="1"/>
  <c r="Q539" i="3"/>
  <c r="Q538" i="3" s="1"/>
  <c r="X556" i="3"/>
  <c r="AG556" i="3"/>
  <c r="AK556" i="3"/>
  <c r="AB577" i="3"/>
  <c r="I488" i="3"/>
  <c r="I485" i="3" s="1"/>
  <c r="I482" i="3" s="1"/>
  <c r="K289" i="3"/>
  <c r="K285" i="3" s="1"/>
  <c r="M27" i="3"/>
  <c r="I20" i="3"/>
  <c r="I19" i="3" s="1"/>
  <c r="N353" i="3"/>
  <c r="M308" i="3"/>
  <c r="M298" i="3" s="1"/>
  <c r="J256" i="3"/>
  <c r="AK308" i="3"/>
  <c r="AK298" i="3" s="1"/>
  <c r="AN323" i="3"/>
  <c r="AN308" i="3" s="1"/>
  <c r="AN298" i="3" s="1"/>
  <c r="U353" i="3"/>
  <c r="Z353" i="3"/>
  <c r="AE353" i="3"/>
  <c r="AI353" i="3"/>
  <c r="AM353" i="3"/>
  <c r="G390" i="3"/>
  <c r="G387" i="3" s="1"/>
  <c r="AD403" i="3"/>
  <c r="AD402" i="3" s="1"/>
  <c r="T417" i="3"/>
  <c r="Y417" i="3"/>
  <c r="AD417" i="3"/>
  <c r="AH417" i="3"/>
  <c r="AL417" i="3"/>
  <c r="AL401" i="3" s="1"/>
  <c r="AL394" i="3" s="1"/>
  <c r="AL388" i="3" s="1"/>
  <c r="AL387" i="3" s="1"/>
  <c r="G426" i="3"/>
  <c r="T426" i="3"/>
  <c r="Q427" i="3"/>
  <c r="P426" i="3"/>
  <c r="AC439" i="3"/>
  <c r="AK439" i="3"/>
  <c r="AO439" i="3"/>
  <c r="H440" i="3"/>
  <c r="H439" i="3" s="1"/>
  <c r="Z439" i="3"/>
  <c r="AI439" i="3"/>
  <c r="AM439" i="3"/>
  <c r="AB482" i="3"/>
  <c r="AB471" i="3" s="1"/>
  <c r="AB464" i="3" s="1"/>
  <c r="AF482" i="3"/>
  <c r="AF471" i="3" s="1"/>
  <c r="AF464" i="3" s="1"/>
  <c r="AJ482" i="3"/>
  <c r="AN482" i="3"/>
  <c r="AN471" i="3" s="1"/>
  <c r="AN464" i="3" s="1"/>
  <c r="X502" i="3"/>
  <c r="AC502" i="3"/>
  <c r="AK502" i="3"/>
  <c r="AO502" i="3"/>
  <c r="Q503" i="3"/>
  <c r="Y502" i="3"/>
  <c r="AD502" i="3"/>
  <c r="AH502" i="3"/>
  <c r="AL502" i="3"/>
  <c r="T528" i="3"/>
  <c r="Y528" i="3"/>
  <c r="AD528" i="3"/>
  <c r="AL528" i="3"/>
  <c r="P568" i="3"/>
  <c r="Y577" i="3"/>
  <c r="AH577" i="3"/>
  <c r="Z583" i="3"/>
  <c r="AE583" i="3"/>
  <c r="AI583" i="3"/>
  <c r="AM583" i="3"/>
  <c r="X584" i="3"/>
  <c r="X583" i="3" s="1"/>
  <c r="T584" i="3"/>
  <c r="Q584" i="3"/>
  <c r="Q589" i="3"/>
  <c r="I387" i="3"/>
  <c r="I363" i="3"/>
  <c r="I362" i="3" s="1"/>
  <c r="L274" i="3"/>
  <c r="L271" i="3" s="1"/>
  <c r="N248" i="3"/>
  <c r="N242" i="3" s="1"/>
  <c r="N240" i="3" s="1"/>
  <c r="I208" i="3"/>
  <c r="I207" i="3" s="1"/>
  <c r="N199" i="3"/>
  <c r="N196" i="3" s="1"/>
  <c r="N173" i="3"/>
  <c r="N172" i="3" s="1"/>
  <c r="M20" i="3"/>
  <c r="M19" i="3" s="1"/>
  <c r="I220" i="3"/>
  <c r="I217" i="3" s="1"/>
  <c r="K177" i="3"/>
  <c r="K173" i="3" s="1"/>
  <c r="K172" i="3" s="1"/>
  <c r="L132" i="3"/>
  <c r="N51" i="3"/>
  <c r="J51" i="3"/>
  <c r="M199" i="3"/>
  <c r="M196" i="3" s="1"/>
  <c r="K132" i="3"/>
  <c r="N98" i="3"/>
  <c r="N97" i="3" s="1"/>
  <c r="N92" i="3" s="1"/>
  <c r="J98" i="3"/>
  <c r="J97" i="3" s="1"/>
  <c r="J92" i="3" s="1"/>
  <c r="J91" i="3" s="1"/>
  <c r="K68" i="3"/>
  <c r="K67" i="3" s="1"/>
  <c r="K66" i="3" s="1"/>
  <c r="K65" i="3" s="1"/>
  <c r="AJ274" i="3"/>
  <c r="AJ271" i="3" s="1"/>
  <c r="G51" i="3"/>
  <c r="AM66" i="3"/>
  <c r="AM65" i="3" s="1"/>
  <c r="P85" i="3"/>
  <c r="P84" i="3" s="1"/>
  <c r="P66" i="3" s="1"/>
  <c r="P65" i="3" s="1"/>
  <c r="O86" i="3"/>
  <c r="O85" i="3" s="1"/>
  <c r="O84" i="3" s="1"/>
  <c r="O66" i="3" s="1"/>
  <c r="O65" i="3" s="1"/>
  <c r="G121" i="3"/>
  <c r="AF274" i="3"/>
  <c r="AF271" i="3" s="1"/>
  <c r="R28" i="3"/>
  <c r="R27" i="3" s="1"/>
  <c r="R58" i="3"/>
  <c r="R52" i="3" s="1"/>
  <c r="O52" i="3"/>
  <c r="O51" i="3" s="1"/>
  <c r="Q67" i="3"/>
  <c r="Q66" i="3" s="1"/>
  <c r="Q65" i="3" s="1"/>
  <c r="AF66" i="3"/>
  <c r="AF65" i="3" s="1"/>
  <c r="AJ66" i="3"/>
  <c r="AJ65" i="3" s="1"/>
  <c r="AN66" i="3"/>
  <c r="AN65" i="3" s="1"/>
  <c r="X149" i="3"/>
  <c r="T163" i="3"/>
  <c r="Y163" i="3"/>
  <c r="AI471" i="3"/>
  <c r="AI464" i="3" s="1"/>
  <c r="U28" i="3"/>
  <c r="T35" i="3"/>
  <c r="T28" i="3" s="1"/>
  <c r="AB274" i="3"/>
  <c r="AB271" i="3" s="1"/>
  <c r="R375" i="3"/>
  <c r="R373" i="3" s="1"/>
  <c r="R370" i="3" s="1"/>
  <c r="H373" i="3"/>
  <c r="H370" i="3" s="1"/>
  <c r="AF18" i="3"/>
  <c r="AF15" i="3" s="1"/>
  <c r="AD120" i="3"/>
  <c r="AL120" i="3"/>
  <c r="AJ18" i="3"/>
  <c r="AJ15" i="3" s="1"/>
  <c r="AB66" i="3"/>
  <c r="AB65" i="3" s="1"/>
  <c r="AO199" i="3"/>
  <c r="AO196" i="3" s="1"/>
  <c r="T208" i="3"/>
  <c r="T207" i="3" s="1"/>
  <c r="T199" i="3" s="1"/>
  <c r="T196" i="3" s="1"/>
  <c r="AN274" i="3"/>
  <c r="AN271" i="3" s="1"/>
  <c r="T338" i="3"/>
  <c r="G362" i="3"/>
  <c r="P559" i="3"/>
  <c r="P556" i="3" s="1"/>
  <c r="Z67" i="3"/>
  <c r="Z66" i="3" s="1"/>
  <c r="Z65" i="3" s="1"/>
  <c r="AL97" i="3"/>
  <c r="AL92" i="3" s="1"/>
  <c r="AG131" i="3"/>
  <c r="AK131" i="3"/>
  <c r="H149" i="3"/>
  <c r="AD162" i="3"/>
  <c r="AH162" i="3"/>
  <c r="AL162" i="3"/>
  <c r="Q163" i="3"/>
  <c r="Z173" i="3"/>
  <c r="Z172" i="3" s="1"/>
  <c r="AC199" i="3"/>
  <c r="AC196" i="3" s="1"/>
  <c r="AE274" i="3"/>
  <c r="AE271" i="3" s="1"/>
  <c r="AD289" i="3"/>
  <c r="AD285" i="3" s="1"/>
  <c r="AH289" i="3"/>
  <c r="AH285" i="3" s="1"/>
  <c r="AL289" i="3"/>
  <c r="AL285" i="3" s="1"/>
  <c r="X362" i="3"/>
  <c r="AJ471" i="3"/>
  <c r="AJ464" i="3" s="1"/>
  <c r="H568" i="3"/>
  <c r="O584" i="3"/>
  <c r="O583" i="3" s="1"/>
  <c r="S51" i="3"/>
  <c r="R60" i="3"/>
  <c r="T66" i="3"/>
  <c r="T65" i="3" s="1"/>
  <c r="S109" i="3"/>
  <c r="X109" i="3"/>
  <c r="AC109" i="3"/>
  <c r="AC97" i="3" s="1"/>
  <c r="AC92" i="3" s="1"/>
  <c r="AG109" i="3"/>
  <c r="AG97" i="3" s="1"/>
  <c r="AG92" i="3" s="1"/>
  <c r="AO109" i="3"/>
  <c r="AO97" i="3" s="1"/>
  <c r="AO92" i="3" s="1"/>
  <c r="S121" i="3"/>
  <c r="S149" i="3"/>
  <c r="V177" i="3"/>
  <c r="V173" i="3" s="1"/>
  <c r="V172" i="3" s="1"/>
  <c r="AJ177" i="3"/>
  <c r="AJ173" i="3" s="1"/>
  <c r="AJ172" i="3" s="1"/>
  <c r="AC177" i="3"/>
  <c r="AC173" i="3" s="1"/>
  <c r="AC172" i="3" s="1"/>
  <c r="AG177" i="3"/>
  <c r="AG173" i="3" s="1"/>
  <c r="AG172" i="3" s="1"/>
  <c r="AK177" i="3"/>
  <c r="AK173" i="3" s="1"/>
  <c r="AK172" i="3" s="1"/>
  <c r="AO177" i="3"/>
  <c r="AO173" i="3" s="1"/>
  <c r="AO172" i="3" s="1"/>
  <c r="P192" i="3"/>
  <c r="P191" i="3" s="1"/>
  <c r="G217" i="3"/>
  <c r="G199" i="3" s="1"/>
  <c r="G196" i="3" s="1"/>
  <c r="R220" i="3"/>
  <c r="R217" i="3" s="1"/>
  <c r="R199" i="3" s="1"/>
  <c r="R196" i="3" s="1"/>
  <c r="AF248" i="3"/>
  <c r="AF242" i="3" s="1"/>
  <c r="AJ248" i="3"/>
  <c r="AJ242" i="3" s="1"/>
  <c r="G274" i="3"/>
  <c r="G271" i="3" s="1"/>
  <c r="AK274" i="3"/>
  <c r="AK271" i="3" s="1"/>
  <c r="AM285" i="3"/>
  <c r="AB308" i="3"/>
  <c r="AB298" i="3" s="1"/>
  <c r="X353" i="3"/>
  <c r="AG353" i="3"/>
  <c r="AK353" i="3"/>
  <c r="AO353" i="3"/>
  <c r="S370" i="3"/>
  <c r="AM471" i="3"/>
  <c r="AM464" i="3" s="1"/>
  <c r="Q522" i="3"/>
  <c r="AE556" i="3"/>
  <c r="AI556" i="3"/>
  <c r="AM556" i="3"/>
  <c r="AK84" i="3"/>
  <c r="AK66" i="3" s="1"/>
  <c r="AK65" i="3" s="1"/>
  <c r="AO84" i="3"/>
  <c r="AO66" i="3" s="1"/>
  <c r="AO65" i="3" s="1"/>
  <c r="H98" i="3"/>
  <c r="V98" i="3"/>
  <c r="H109" i="3"/>
  <c r="AD109" i="3"/>
  <c r="AD97" i="3" s="1"/>
  <c r="AD92" i="3" s="1"/>
  <c r="AB131" i="3"/>
  <c r="AF131" i="3"/>
  <c r="AJ131" i="3"/>
  <c r="AN131" i="3"/>
  <c r="AD148" i="3"/>
  <c r="AH148" i="3"/>
  <c r="AI148" i="3"/>
  <c r="U163" i="3"/>
  <c r="Z163" i="3"/>
  <c r="V163" i="3"/>
  <c r="Q208" i="3"/>
  <c r="Q207" i="3" s="1"/>
  <c r="AB217" i="3"/>
  <c r="AB199" i="3" s="1"/>
  <c r="AB196" i="3" s="1"/>
  <c r="AF217" i="3"/>
  <c r="AF199" i="3" s="1"/>
  <c r="AF196" i="3" s="1"/>
  <c r="AJ217" i="3"/>
  <c r="AJ199" i="3" s="1"/>
  <c r="AJ196" i="3" s="1"/>
  <c r="AN217" i="3"/>
  <c r="AN199" i="3" s="1"/>
  <c r="AN196" i="3" s="1"/>
  <c r="P217" i="3"/>
  <c r="U217" i="3"/>
  <c r="Z217" i="3"/>
  <c r="AE217" i="3"/>
  <c r="AE199" i="3" s="1"/>
  <c r="AE196" i="3" s="1"/>
  <c r="AI217" i="3"/>
  <c r="AI199" i="3" s="1"/>
  <c r="AI196" i="3" s="1"/>
  <c r="AM217" i="3"/>
  <c r="AM199" i="3" s="1"/>
  <c r="AM196" i="3" s="1"/>
  <c r="Y248" i="3"/>
  <c r="AD248" i="3"/>
  <c r="AH248" i="3"/>
  <c r="AL248" i="3"/>
  <c r="AC256" i="3"/>
  <c r="AG256" i="3"/>
  <c r="AG242" i="3" s="1"/>
  <c r="AK256" i="3"/>
  <c r="AK242" i="3" s="1"/>
  <c r="AO256" i="3"/>
  <c r="Q256" i="3"/>
  <c r="U256" i="3"/>
  <c r="O256" i="3"/>
  <c r="AM274" i="3"/>
  <c r="AM271" i="3" s="1"/>
  <c r="H289" i="3"/>
  <c r="H285" i="3" s="1"/>
  <c r="X323" i="3"/>
  <c r="X308" i="3" s="1"/>
  <c r="X298" i="3" s="1"/>
  <c r="AE403" i="3"/>
  <c r="AE402" i="3" s="1"/>
  <c r="AI403" i="3"/>
  <c r="AM403" i="3"/>
  <c r="AM402" i="3" s="1"/>
  <c r="O409" i="3"/>
  <c r="R462" i="3"/>
  <c r="R445" i="3" s="1"/>
  <c r="R439" i="3" s="1"/>
  <c r="Q462" i="3"/>
  <c r="Q445" i="3" s="1"/>
  <c r="Q439" i="3" s="1"/>
  <c r="AD471" i="3"/>
  <c r="AD464" i="3" s="1"/>
  <c r="AO471" i="3"/>
  <c r="AO464" i="3" s="1"/>
  <c r="AF502" i="3"/>
  <c r="AN502" i="3"/>
  <c r="AH568" i="3"/>
  <c r="AL568" i="3"/>
  <c r="U583" i="3"/>
  <c r="R590" i="3"/>
  <c r="R589" i="3" s="1"/>
  <c r="R583" i="3" s="1"/>
  <c r="G583" i="3"/>
  <c r="Z248" i="3"/>
  <c r="R256" i="3"/>
  <c r="X256" i="3"/>
  <c r="X242" i="3" s="1"/>
  <c r="X240" i="3" s="1"/>
  <c r="AC289" i="3"/>
  <c r="AC285" i="3" s="1"/>
  <c r="AG289" i="3"/>
  <c r="AG285" i="3" s="1"/>
  <c r="AK289" i="3"/>
  <c r="AK285" i="3" s="1"/>
  <c r="AO289" i="3"/>
  <c r="AO285" i="3" s="1"/>
  <c r="O310" i="3"/>
  <c r="O309" i="3" s="1"/>
  <c r="R328" i="3"/>
  <c r="O354" i="3"/>
  <c r="G353" i="3"/>
  <c r="AO362" i="3"/>
  <c r="O365" i="3"/>
  <c r="O363" i="3" s="1"/>
  <c r="P363" i="3"/>
  <c r="P362" i="3" s="1"/>
  <c r="X373" i="3"/>
  <c r="P439" i="3"/>
  <c r="O465" i="3"/>
  <c r="G559" i="3"/>
  <c r="G556" i="3" s="1"/>
  <c r="AG568" i="3"/>
  <c r="AK568" i="3"/>
  <c r="AO568" i="3"/>
  <c r="G568" i="3"/>
  <c r="S568" i="3"/>
  <c r="AH583" i="3"/>
  <c r="AF289" i="3"/>
  <c r="AF285" i="3" s="1"/>
  <c r="AJ289" i="3"/>
  <c r="AJ285" i="3" s="1"/>
  <c r="AN289" i="3"/>
  <c r="AN285" i="3" s="1"/>
  <c r="AM323" i="3"/>
  <c r="AM308" i="3" s="1"/>
  <c r="AM298" i="3" s="1"/>
  <c r="O323" i="3"/>
  <c r="Q328" i="3"/>
  <c r="Q323" i="3" s="1"/>
  <c r="Q308" i="3" s="1"/>
  <c r="Q298" i="3" s="1"/>
  <c r="V362" i="3"/>
  <c r="AB362" i="3"/>
  <c r="AF362" i="3"/>
  <c r="AJ362" i="3"/>
  <c r="AN362" i="3"/>
  <c r="H362" i="3"/>
  <c r="AH362" i="3"/>
  <c r="T373" i="3"/>
  <c r="H387" i="3"/>
  <c r="V387" i="3"/>
  <c r="R390" i="3"/>
  <c r="R387" i="3" s="1"/>
  <c r="Q417" i="3"/>
  <c r="AB417" i="3"/>
  <c r="AF417" i="3"/>
  <c r="G482" i="3"/>
  <c r="G471" i="3" s="1"/>
  <c r="G464" i="3" s="1"/>
  <c r="U482" i="3"/>
  <c r="U471" i="3" s="1"/>
  <c r="U464" i="3" s="1"/>
  <c r="AA464" i="3" s="1"/>
  <c r="S502" i="3"/>
  <c r="G514" i="3"/>
  <c r="AG514" i="3"/>
  <c r="AG501" i="3" s="1"/>
  <c r="AG498" i="3" s="1"/>
  <c r="AK514" i="3"/>
  <c r="AO514" i="3"/>
  <c r="AK528" i="3"/>
  <c r="AN528" i="3"/>
  <c r="R539" i="3"/>
  <c r="R538" i="3" s="1"/>
  <c r="AB556" i="3"/>
  <c r="AF556" i="3"/>
  <c r="AJ556" i="3"/>
  <c r="T577" i="3"/>
  <c r="AD577" i="3"/>
  <c r="S387" i="3"/>
  <c r="X387" i="3"/>
  <c r="T403" i="3"/>
  <c r="H406" i="3"/>
  <c r="H403" i="3" s="1"/>
  <c r="R417" i="3"/>
  <c r="Q431" i="3"/>
  <c r="G439" i="3"/>
  <c r="V439" i="3"/>
  <c r="AB439" i="3"/>
  <c r="AF439" i="3"/>
  <c r="AJ439" i="3"/>
  <c r="AN439" i="3"/>
  <c r="V482" i="3"/>
  <c r="V471" i="3" s="1"/>
  <c r="V464" i="3" s="1"/>
  <c r="Z514" i="3"/>
  <c r="AM514" i="3"/>
  <c r="X514" i="3"/>
  <c r="AC514" i="3"/>
  <c r="U522" i="3"/>
  <c r="T522" i="3" s="1"/>
  <c r="Y556" i="3"/>
  <c r="AL556" i="3"/>
  <c r="O569" i="3"/>
  <c r="O568" i="3" s="1"/>
  <c r="AF568" i="3"/>
  <c r="AC583" i="3"/>
  <c r="AG583" i="3"/>
  <c r="AK583" i="3"/>
  <c r="AO583" i="3"/>
  <c r="Y583" i="3"/>
  <c r="AJ568" i="3"/>
  <c r="AF577" i="3"/>
  <c r="AJ577" i="3"/>
  <c r="AN577" i="3"/>
  <c r="Q578" i="3"/>
  <c r="Q577" i="3" s="1"/>
  <c r="V583" i="3"/>
  <c r="AB583" i="3"/>
  <c r="AF583" i="3"/>
  <c r="AJ583" i="3"/>
  <c r="AN583" i="3"/>
  <c r="V66" i="3"/>
  <c r="V65" i="3" s="1"/>
  <c r="R426" i="3"/>
  <c r="V426" i="3"/>
  <c r="V403" i="3"/>
  <c r="O426" i="3"/>
  <c r="Z121" i="3"/>
  <c r="S163" i="3"/>
  <c r="Y274" i="3"/>
  <c r="Y271" i="3" s="1"/>
  <c r="O274" i="3"/>
  <c r="O271" i="3" s="1"/>
  <c r="U274" i="3"/>
  <c r="U271" i="3" s="1"/>
  <c r="AA271" i="3" s="1"/>
  <c r="S353" i="3"/>
  <c r="H353" i="3"/>
  <c r="R149" i="3"/>
  <c r="O217" i="3"/>
  <c r="U248" i="3"/>
  <c r="R403" i="3"/>
  <c r="V51" i="3"/>
  <c r="S67" i="3"/>
  <c r="S66" i="3" s="1"/>
  <c r="S65" i="3" s="1"/>
  <c r="X67" i="3"/>
  <c r="X66" i="3" s="1"/>
  <c r="X65" i="3" s="1"/>
  <c r="O109" i="3"/>
  <c r="P121" i="3"/>
  <c r="V274" i="3"/>
  <c r="V271" i="3" s="1"/>
  <c r="R323" i="3"/>
  <c r="R308" i="3" s="1"/>
  <c r="R298" i="3" s="1"/>
  <c r="R514" i="3"/>
  <c r="U177" i="3"/>
  <c r="U173" i="3" s="1"/>
  <c r="U172" i="3" s="1"/>
  <c r="AA172" i="3" s="1"/>
  <c r="R180" i="3"/>
  <c r="R177" i="3" s="1"/>
  <c r="R173" i="3" s="1"/>
  <c r="R172" i="3" s="1"/>
  <c r="Z199" i="3"/>
  <c r="Z196" i="3" s="1"/>
  <c r="V217" i="3"/>
  <c r="V199" i="3" s="1"/>
  <c r="V196" i="3" s="1"/>
  <c r="T248" i="3"/>
  <c r="Q248" i="3"/>
  <c r="V256" i="3"/>
  <c r="O289" i="3"/>
  <c r="O285" i="3" s="1"/>
  <c r="S289" i="3"/>
  <c r="S285" i="3" s="1"/>
  <c r="X289" i="3"/>
  <c r="X285" i="3" s="1"/>
  <c r="P323" i="3"/>
  <c r="U323" i="3"/>
  <c r="U308" i="3" s="1"/>
  <c r="U298" i="3" s="1"/>
  <c r="AA298" i="3" s="1"/>
  <c r="P417" i="3"/>
  <c r="O417" i="3"/>
  <c r="H471" i="3"/>
  <c r="H464" i="3" s="1"/>
  <c r="Y471" i="3"/>
  <c r="Y464" i="3" s="1"/>
  <c r="V514" i="3"/>
  <c r="T556" i="3"/>
  <c r="H556" i="3"/>
  <c r="X568" i="3"/>
  <c r="Q556" i="3"/>
  <c r="U556" i="3"/>
  <c r="Z556" i="3"/>
  <c r="U577" i="3"/>
  <c r="Z577" i="3"/>
  <c r="R109" i="3"/>
  <c r="R97" i="3" s="1"/>
  <c r="R92" i="3" s="1"/>
  <c r="V109" i="3"/>
  <c r="V97" i="3" s="1"/>
  <c r="V92" i="3" s="1"/>
  <c r="R121" i="3"/>
  <c r="V121" i="3"/>
  <c r="S132" i="3"/>
  <c r="H132" i="3"/>
  <c r="P163" i="3"/>
  <c r="O177" i="3"/>
  <c r="O173" i="3" s="1"/>
  <c r="O172" i="3" s="1"/>
  <c r="G177" i="3"/>
  <c r="G173" i="3" s="1"/>
  <c r="G172" i="3" s="1"/>
  <c r="S177" i="3"/>
  <c r="S173" i="3" s="1"/>
  <c r="S172" i="3" s="1"/>
  <c r="X177" i="3"/>
  <c r="X173" i="3" s="1"/>
  <c r="X172" i="3" s="1"/>
  <c r="Q180" i="3"/>
  <c r="Q177" i="3" s="1"/>
  <c r="Q173" i="3" s="1"/>
  <c r="Q172" i="3" s="1"/>
  <c r="P248" i="3"/>
  <c r="T256" i="3"/>
  <c r="Z274" i="3"/>
  <c r="Z271" i="3" s="1"/>
  <c r="S308" i="3"/>
  <c r="S298" i="3" s="1"/>
  <c r="T323" i="3"/>
  <c r="T308" i="3" s="1"/>
  <c r="T298" i="3" s="1"/>
  <c r="G323" i="3"/>
  <c r="G308" i="3" s="1"/>
  <c r="G298" i="3" s="1"/>
  <c r="S362" i="3"/>
  <c r="U370" i="3"/>
  <c r="O482" i="3"/>
  <c r="O471" i="3" s="1"/>
  <c r="S482" i="3"/>
  <c r="S471" i="3" s="1"/>
  <c r="S464" i="3" s="1"/>
  <c r="R482" i="3"/>
  <c r="R471" i="3" s="1"/>
  <c r="R464" i="3" s="1"/>
  <c r="S514" i="3"/>
  <c r="S528" i="3"/>
  <c r="H528" i="3"/>
  <c r="R556" i="3"/>
  <c r="V556" i="3"/>
  <c r="V577" i="3"/>
  <c r="S583" i="3"/>
  <c r="H583" i="3"/>
  <c r="P583" i="3"/>
  <c r="X98" i="3"/>
  <c r="AO18" i="3"/>
  <c r="AO15" i="3" s="1"/>
  <c r="Q28" i="3"/>
  <c r="Q27" i="3" s="1"/>
  <c r="P28" i="3"/>
  <c r="P27" i="3" s="1"/>
  <c r="U40" i="3"/>
  <c r="H66" i="3"/>
  <c r="H65" i="3" s="1"/>
  <c r="AH66" i="3"/>
  <c r="AH65" i="3" s="1"/>
  <c r="X93" i="3"/>
  <c r="P98" i="3"/>
  <c r="P274" i="3"/>
  <c r="P271" i="3" s="1"/>
  <c r="S98" i="3"/>
  <c r="AE173" i="3"/>
  <c r="AE172" i="3" s="1"/>
  <c r="T177" i="3"/>
  <c r="T173" i="3" s="1"/>
  <c r="T172" i="3" s="1"/>
  <c r="Y177" i="3"/>
  <c r="Y173" i="3" s="1"/>
  <c r="Y172" i="3" s="1"/>
  <c r="AH177" i="3"/>
  <c r="AH173" i="3" s="1"/>
  <c r="AH172" i="3" s="1"/>
  <c r="H274" i="3"/>
  <c r="T274" i="3"/>
  <c r="T271" i="3" s="1"/>
  <c r="T42" i="3"/>
  <c r="T40" i="3" s="1"/>
  <c r="Q58" i="3"/>
  <c r="Q52" i="3" s="1"/>
  <c r="R135" i="3"/>
  <c r="R133" i="3" s="1"/>
  <c r="R132" i="3" s="1"/>
  <c r="P133" i="3"/>
  <c r="P132" i="3" s="1"/>
  <c r="U208" i="3"/>
  <c r="U207" i="3" s="1"/>
  <c r="U199" i="3" s="1"/>
  <c r="U196" i="3" s="1"/>
  <c r="AA196" i="3" s="1"/>
  <c r="H256" i="3"/>
  <c r="Y256" i="3"/>
  <c r="Y242" i="3" s="1"/>
  <c r="Y240" i="3" s="1"/>
  <c r="AD256" i="3"/>
  <c r="AH256" i="3"/>
  <c r="AL256" i="3"/>
  <c r="H271" i="3"/>
  <c r="AD274" i="3"/>
  <c r="AD271" i="3" s="1"/>
  <c r="R277" i="3"/>
  <c r="R276" i="3" s="1"/>
  <c r="R275" i="3" s="1"/>
  <c r="R274" i="3" s="1"/>
  <c r="R271" i="3" s="1"/>
  <c r="Q276" i="3"/>
  <c r="Q275" i="3" s="1"/>
  <c r="Q274" i="3" s="1"/>
  <c r="Q271" i="3" s="1"/>
  <c r="R285" i="3"/>
  <c r="Z308" i="3"/>
  <c r="Z298" i="3" s="1"/>
  <c r="V149" i="3"/>
  <c r="P177" i="3"/>
  <c r="AD177" i="3"/>
  <c r="AD173" i="3" s="1"/>
  <c r="AD172" i="3" s="1"/>
  <c r="AL177" i="3"/>
  <c r="AL173" i="3" s="1"/>
  <c r="AL172" i="3" s="1"/>
  <c r="P244" i="3"/>
  <c r="P243" i="3" s="1"/>
  <c r="P256" i="3"/>
  <c r="AL274" i="3"/>
  <c r="AL271" i="3" s="1"/>
  <c r="Q109" i="3"/>
  <c r="Z132" i="3"/>
  <c r="AB162" i="3"/>
  <c r="AF162" i="3"/>
  <c r="AJ162" i="3"/>
  <c r="AN162" i="3"/>
  <c r="H177" i="3"/>
  <c r="H173" i="3" s="1"/>
  <c r="H172" i="3" s="1"/>
  <c r="O208" i="3"/>
  <c r="O207" i="3" s="1"/>
  <c r="Q244" i="3"/>
  <c r="Q243" i="3" s="1"/>
  <c r="O251" i="3"/>
  <c r="O248" i="3" s="1"/>
  <c r="AH274" i="3"/>
  <c r="AH271" i="3" s="1"/>
  <c r="S274" i="3"/>
  <c r="S271" i="3" s="1"/>
  <c r="X274" i="3"/>
  <c r="X271" i="3" s="1"/>
  <c r="AO274" i="3"/>
  <c r="AO271" i="3" s="1"/>
  <c r="AG471" i="3"/>
  <c r="AG464" i="3" s="1"/>
  <c r="Y323" i="3"/>
  <c r="Y308" i="3" s="1"/>
  <c r="Y298" i="3" s="1"/>
  <c r="AD323" i="3"/>
  <c r="AD308" i="3" s="1"/>
  <c r="AD298" i="3" s="1"/>
  <c r="AH323" i="3"/>
  <c r="AH308" i="3" s="1"/>
  <c r="AH298" i="3" s="1"/>
  <c r="AL323" i="3"/>
  <c r="AL308" i="3" s="1"/>
  <c r="AL298" i="3" s="1"/>
  <c r="G338" i="3"/>
  <c r="X338" i="3"/>
  <c r="O360" i="3"/>
  <c r="O358" i="3" s="1"/>
  <c r="T362" i="3"/>
  <c r="Y362" i="3"/>
  <c r="AL362" i="3"/>
  <c r="Q365" i="3"/>
  <c r="Q363" i="3" s="1"/>
  <c r="Q362" i="3" s="1"/>
  <c r="R363" i="3"/>
  <c r="S439" i="3"/>
  <c r="S402" i="3" s="1"/>
  <c r="S394" i="3" s="1"/>
  <c r="U285" i="3"/>
  <c r="AA285" i="3" s="1"/>
  <c r="P310" i="3"/>
  <c r="P309" i="3" s="1"/>
  <c r="O343" i="3"/>
  <c r="O338" i="3" s="1"/>
  <c r="P338" i="3"/>
  <c r="Y370" i="3"/>
  <c r="AD370" i="3"/>
  <c r="AH370" i="3"/>
  <c r="AL370" i="3"/>
  <c r="T379" i="3"/>
  <c r="AF402" i="3"/>
  <c r="AK402" i="3"/>
  <c r="AH471" i="3"/>
  <c r="AH464" i="3" s="1"/>
  <c r="AB402" i="3"/>
  <c r="U403" i="3"/>
  <c r="Z403" i="3"/>
  <c r="AE514" i="3"/>
  <c r="O373" i="3"/>
  <c r="X379" i="3"/>
  <c r="AN402" i="3"/>
  <c r="O516" i="3"/>
  <c r="O515" i="3" s="1"/>
  <c r="P515" i="3"/>
  <c r="R531" i="3"/>
  <c r="R528" i="3" s="1"/>
  <c r="Z471" i="3"/>
  <c r="Z464" i="3" s="1"/>
  <c r="T482" i="3"/>
  <c r="T471" i="3" s="1"/>
  <c r="T464" i="3" s="1"/>
  <c r="AI501" i="3"/>
  <c r="AI498" i="3" s="1"/>
  <c r="P521" i="3"/>
  <c r="O517" i="3"/>
  <c r="R568" i="3"/>
  <c r="R580" i="3"/>
  <c r="R578" i="3" s="1"/>
  <c r="R577" i="3" s="1"/>
  <c r="H578" i="3"/>
  <c r="H577" i="3" s="1"/>
  <c r="T445" i="3"/>
  <c r="T439" i="3" s="1"/>
  <c r="R506" i="3"/>
  <c r="R502" i="3" s="1"/>
  <c r="Q508" i="3"/>
  <c r="Q506" i="3" s="1"/>
  <c r="O506" i="3"/>
  <c r="O502" i="3" s="1"/>
  <c r="AH514" i="3"/>
  <c r="AL514" i="3"/>
  <c r="AF528" i="3"/>
  <c r="AJ528" i="3"/>
  <c r="O531" i="3"/>
  <c r="O528" i="3" s="1"/>
  <c r="Y514" i="3"/>
  <c r="AD514" i="3"/>
  <c r="T521" i="3"/>
  <c r="U523" i="3"/>
  <c r="T523" i="3" s="1"/>
  <c r="Q523" i="3"/>
  <c r="O559" i="3"/>
  <c r="O556" i="3" s="1"/>
  <c r="T568" i="3"/>
  <c r="T590" i="3"/>
  <c r="T589" i="3" s="1"/>
  <c r="U568" i="3"/>
  <c r="Z568" i="3"/>
  <c r="AI568" i="3"/>
  <c r="AM568" i="3"/>
  <c r="G18" i="3" l="1"/>
  <c r="G15" i="3" s="1"/>
  <c r="Z352" i="3"/>
  <c r="Z337" i="3" s="1"/>
  <c r="V242" i="3"/>
  <c r="V240" i="3" s="1"/>
  <c r="Q502" i="3"/>
  <c r="O370" i="3"/>
  <c r="AL555" i="3"/>
  <c r="AL554" i="3" s="1"/>
  <c r="AN401" i="3"/>
  <c r="AN394" i="3" s="1"/>
  <c r="AN388" i="3" s="1"/>
  <c r="AN387" i="3" s="1"/>
  <c r="AN352" i="3" s="1"/>
  <c r="AN337" i="3" s="1"/>
  <c r="AO501" i="3"/>
  <c r="AO498" i="3" s="1"/>
  <c r="Z242" i="3"/>
  <c r="Z240" i="3" s="1"/>
  <c r="Q199" i="3"/>
  <c r="Q196" i="3" s="1"/>
  <c r="X120" i="3"/>
  <c r="X115" i="3" s="1"/>
  <c r="J18" i="3"/>
  <c r="J15" i="3" s="1"/>
  <c r="AB501" i="3"/>
  <c r="AB498" i="3" s="1"/>
  <c r="K502" i="3"/>
  <c r="T502" i="3"/>
  <c r="V501" i="3"/>
  <c r="V498" i="3" s="1"/>
  <c r="I471" i="3"/>
  <c r="I464" i="3" s="1"/>
  <c r="AC119" i="3"/>
  <c r="AC115" i="3" s="1"/>
  <c r="AC13" i="3" s="1"/>
  <c r="H242" i="3"/>
  <c r="H240" i="3" s="1"/>
  <c r="AJ401" i="3"/>
  <c r="AJ394" i="3" s="1"/>
  <c r="AJ388" i="3" s="1"/>
  <c r="AJ387" i="3" s="1"/>
  <c r="AJ352" i="3" s="1"/>
  <c r="AJ337" i="3" s="1"/>
  <c r="O18" i="3"/>
  <c r="O15" i="3" s="1"/>
  <c r="K18" i="3"/>
  <c r="K15" i="3" s="1"/>
  <c r="M97" i="3"/>
  <c r="M92" i="3" s="1"/>
  <c r="I242" i="3"/>
  <c r="I240" i="3" s="1"/>
  <c r="R242" i="3"/>
  <c r="R240" i="3" s="1"/>
  <c r="H18" i="3"/>
  <c r="H15" i="3" s="1"/>
  <c r="I97" i="3"/>
  <c r="I92" i="3" s="1"/>
  <c r="AN242" i="3"/>
  <c r="F20" i="2"/>
  <c r="F38" i="2"/>
  <c r="G20" i="2"/>
  <c r="G38" i="2"/>
  <c r="V12" i="1"/>
  <c r="E23" i="2"/>
  <c r="E22" i="2" s="1"/>
  <c r="F22" i="2" s="1"/>
  <c r="C23" i="2"/>
  <c r="C22" i="2" s="1"/>
  <c r="G22" i="2" s="1"/>
  <c r="T12" i="1"/>
  <c r="U12" i="1"/>
  <c r="D23" i="2"/>
  <c r="D22" i="2" s="1"/>
  <c r="AG401" i="3"/>
  <c r="AG394" i="3" s="1"/>
  <c r="AG388" i="3" s="1"/>
  <c r="AG387" i="3" s="1"/>
  <c r="AG352" i="3" s="1"/>
  <c r="AG337" i="3" s="1"/>
  <c r="T120" i="3"/>
  <c r="T115" i="3" s="1"/>
  <c r="AE242" i="3"/>
  <c r="I120" i="3"/>
  <c r="I115" i="3" s="1"/>
  <c r="X370" i="3"/>
  <c r="X352" i="3" s="1"/>
  <c r="X337" i="3" s="1"/>
  <c r="T370" i="3"/>
  <c r="P308" i="3"/>
  <c r="P298" i="3" s="1"/>
  <c r="AH242" i="3"/>
  <c r="U27" i="3"/>
  <c r="U18" i="3" s="1"/>
  <c r="U15" i="3" s="1"/>
  <c r="O97" i="3"/>
  <c r="O92" i="3" s="1"/>
  <c r="K120" i="3"/>
  <c r="K115" i="3" s="1"/>
  <c r="N18" i="3"/>
  <c r="N15" i="3" s="1"/>
  <c r="AO401" i="3"/>
  <c r="AO394" i="3" s="1"/>
  <c r="AO388" i="3" s="1"/>
  <c r="AO387" i="3" s="1"/>
  <c r="AO352" i="3" s="1"/>
  <c r="AO337" i="3" s="1"/>
  <c r="AH401" i="3"/>
  <c r="AH394" i="3" s="1"/>
  <c r="AH388" i="3" s="1"/>
  <c r="AH387" i="3" s="1"/>
  <c r="K370" i="3"/>
  <c r="Y501" i="3"/>
  <c r="Y498" i="3" s="1"/>
  <c r="AG555" i="3"/>
  <c r="AG554" i="3" s="1"/>
  <c r="H352" i="3"/>
  <c r="H337" i="3" s="1"/>
  <c r="I27" i="3"/>
  <c r="J402" i="3"/>
  <c r="J394" i="3" s="1"/>
  <c r="J393" i="3" s="1"/>
  <c r="I502" i="3"/>
  <c r="I501" i="3" s="1"/>
  <c r="I498" i="3" s="1"/>
  <c r="AM119" i="3"/>
  <c r="AM115" i="3" s="1"/>
  <c r="X18" i="3"/>
  <c r="X15" i="3" s="1"/>
  <c r="O398" i="1"/>
  <c r="P173" i="3"/>
  <c r="P172" i="3" s="1"/>
  <c r="X501" i="3"/>
  <c r="X498" i="3" s="1"/>
  <c r="AD555" i="3"/>
  <c r="AD554" i="3" s="1"/>
  <c r="AM401" i="3"/>
  <c r="AM394" i="3" s="1"/>
  <c r="AM388" i="3" s="1"/>
  <c r="AM387" i="3" s="1"/>
  <c r="AM352" i="3" s="1"/>
  <c r="AM337" i="3" s="1"/>
  <c r="J555" i="3"/>
  <c r="J554" i="3" s="1"/>
  <c r="J553" i="3" s="1"/>
  <c r="AL501" i="3"/>
  <c r="AL498" i="3" s="1"/>
  <c r="AO242" i="3"/>
  <c r="L120" i="3"/>
  <c r="L115" i="3" s="1"/>
  <c r="L555" i="3"/>
  <c r="L554" i="3" s="1"/>
  <c r="P199" i="3"/>
  <c r="P196" i="3" s="1"/>
  <c r="N120" i="3"/>
  <c r="N115" i="3" s="1"/>
  <c r="T402" i="3"/>
  <c r="T394" i="3" s="1"/>
  <c r="Q97" i="3"/>
  <c r="Q92" i="3" s="1"/>
  <c r="AO555" i="3"/>
  <c r="AO554" i="3" s="1"/>
  <c r="O308" i="3"/>
  <c r="O298" i="3" s="1"/>
  <c r="Q120" i="3"/>
  <c r="Q115" i="3" s="1"/>
  <c r="X555" i="3"/>
  <c r="X554" i="3" s="1"/>
  <c r="M402" i="3"/>
  <c r="M394" i="3" s="1"/>
  <c r="I403" i="3"/>
  <c r="I402" i="3" s="1"/>
  <c r="I394" i="3" s="1"/>
  <c r="K402" i="3"/>
  <c r="K394" i="3" s="1"/>
  <c r="L18" i="3"/>
  <c r="L15" i="3" s="1"/>
  <c r="M362" i="3"/>
  <c r="N402" i="3"/>
  <c r="N394" i="3" s="1"/>
  <c r="M555" i="3"/>
  <c r="M554" i="3" s="1"/>
  <c r="AB555" i="3"/>
  <c r="AB554" i="3" s="1"/>
  <c r="K97" i="3"/>
  <c r="K92" i="3" s="1"/>
  <c r="I352" i="3"/>
  <c r="I337" i="3" s="1"/>
  <c r="O403" i="3"/>
  <c r="O402" i="3" s="1"/>
  <c r="O394" i="3" s="1"/>
  <c r="Y120" i="3"/>
  <c r="Y115" i="3" s="1"/>
  <c r="O555" i="3"/>
  <c r="O554" i="3" s="1"/>
  <c r="Z402" i="3"/>
  <c r="Z394" i="3" s="1"/>
  <c r="AF119" i="3"/>
  <c r="AF115" i="3" s="1"/>
  <c r="AF13" i="3" s="1"/>
  <c r="H501" i="3"/>
  <c r="H498" i="3" s="1"/>
  <c r="U352" i="3"/>
  <c r="U337" i="3" s="1"/>
  <c r="AP337" i="3" s="1"/>
  <c r="X402" i="3"/>
  <c r="X394" i="3" s="1"/>
  <c r="S18" i="3"/>
  <c r="S15" i="3" s="1"/>
  <c r="AH119" i="3"/>
  <c r="AH115" i="3" s="1"/>
  <c r="AH13" i="3" s="1"/>
  <c r="AG119" i="3"/>
  <c r="AG115" i="3" s="1"/>
  <c r="AG13" i="3" s="1"/>
  <c r="AK401" i="3"/>
  <c r="AK394" i="3" s="1"/>
  <c r="AK388" i="3" s="1"/>
  <c r="AK387" i="3" s="1"/>
  <c r="AK352" i="3" s="1"/>
  <c r="AK337" i="3" s="1"/>
  <c r="AJ501" i="3"/>
  <c r="AJ498" i="3" s="1"/>
  <c r="U97" i="3"/>
  <c r="U92" i="3" s="1"/>
  <c r="AA92" i="3" s="1"/>
  <c r="M370" i="3"/>
  <c r="M352" i="3" s="1"/>
  <c r="M337" i="3" s="1"/>
  <c r="L402" i="3"/>
  <c r="L394" i="3" s="1"/>
  <c r="Y97" i="3"/>
  <c r="Y92" i="3" s="1"/>
  <c r="J352" i="3"/>
  <c r="J337" i="3" s="1"/>
  <c r="J336" i="3" s="1"/>
  <c r="L352" i="3"/>
  <c r="L337" i="3" s="1"/>
  <c r="AE501" i="3"/>
  <c r="AE498" i="3" s="1"/>
  <c r="M501" i="3"/>
  <c r="M498" i="3" s="1"/>
  <c r="I555" i="3"/>
  <c r="I554" i="3" s="1"/>
  <c r="Y402" i="3"/>
  <c r="Y394" i="3" s="1"/>
  <c r="T583" i="3"/>
  <c r="AC401" i="3"/>
  <c r="AC394" i="3" s="1"/>
  <c r="AC388" i="3" s="1"/>
  <c r="AC387" i="3" s="1"/>
  <c r="AC352" i="3" s="1"/>
  <c r="AC337" i="3" s="1"/>
  <c r="O242" i="3"/>
  <c r="O240" i="3" s="1"/>
  <c r="S352" i="3"/>
  <c r="S337" i="3" s="1"/>
  <c r="P402" i="3"/>
  <c r="P394" i="3" s="1"/>
  <c r="V18" i="3"/>
  <c r="V15" i="3" s="1"/>
  <c r="AH555" i="3"/>
  <c r="AH554" i="3" s="1"/>
  <c r="O362" i="3"/>
  <c r="AN501" i="3"/>
  <c r="AN498" i="3" s="1"/>
  <c r="AO119" i="3"/>
  <c r="AO115" i="3" s="1"/>
  <c r="AO13" i="3" s="1"/>
  <c r="K362" i="3"/>
  <c r="M120" i="3"/>
  <c r="M115" i="3" s="1"/>
  <c r="N401" i="1"/>
  <c r="N398" i="1" s="1"/>
  <c r="I401" i="1"/>
  <c r="I398" i="1" s="1"/>
  <c r="Z97" i="3"/>
  <c r="Z92" i="3" s="1"/>
  <c r="AH501" i="3"/>
  <c r="AH498" i="3" s="1"/>
  <c r="O199" i="3"/>
  <c r="O196" i="3" s="1"/>
  <c r="AL242" i="3"/>
  <c r="AF555" i="3"/>
  <c r="AF554" i="3" s="1"/>
  <c r="AN555" i="3"/>
  <c r="AN554" i="3" s="1"/>
  <c r="AC555" i="3"/>
  <c r="AC554" i="3" s="1"/>
  <c r="Y555" i="3"/>
  <c r="Y554" i="3" s="1"/>
  <c r="AM501" i="3"/>
  <c r="AM498" i="3" s="1"/>
  <c r="AF401" i="3"/>
  <c r="AF394" i="3" s="1"/>
  <c r="AF388" i="3" s="1"/>
  <c r="AF387" i="3" s="1"/>
  <c r="AF352" i="3" s="1"/>
  <c r="AF337" i="3" s="1"/>
  <c r="V352" i="3"/>
  <c r="V337" i="3" s="1"/>
  <c r="S555" i="3"/>
  <c r="S554" i="3" s="1"/>
  <c r="AK501" i="3"/>
  <c r="AK498" i="3" s="1"/>
  <c r="J242" i="3"/>
  <c r="J240" i="3" s="1"/>
  <c r="J239" i="3" s="1"/>
  <c r="N555" i="3"/>
  <c r="N554" i="3" s="1"/>
  <c r="P97" i="3"/>
  <c r="P92" i="3" s="1"/>
  <c r="AC501" i="3"/>
  <c r="AC498" i="3" s="1"/>
  <c r="AB401" i="3"/>
  <c r="AB394" i="3" s="1"/>
  <c r="AB388" i="3" s="1"/>
  <c r="AB387" i="3" s="1"/>
  <c r="G501" i="3"/>
  <c r="G498" i="3" s="1"/>
  <c r="AC242" i="3"/>
  <c r="U120" i="3"/>
  <c r="U115" i="3" s="1"/>
  <c r="AA115" i="3" s="1"/>
  <c r="AE555" i="3"/>
  <c r="AE554" i="3" s="1"/>
  <c r="I199" i="3"/>
  <c r="I196" i="3" s="1"/>
  <c r="I18" i="3"/>
  <c r="I15" i="3" s="1"/>
  <c r="Z501" i="3"/>
  <c r="Z498" i="3" s="1"/>
  <c r="K555" i="3"/>
  <c r="K554" i="3" s="1"/>
  <c r="AK119" i="3"/>
  <c r="AK115" i="3" s="1"/>
  <c r="N502" i="3"/>
  <c r="N501" i="3" s="1"/>
  <c r="N498" i="3" s="1"/>
  <c r="O120" i="3"/>
  <c r="O115" i="3" s="1"/>
  <c r="J120" i="3"/>
  <c r="J115" i="3" s="1"/>
  <c r="J114" i="3" s="1"/>
  <c r="K401" i="1"/>
  <c r="K398" i="1" s="1"/>
  <c r="J14" i="3"/>
  <c r="AJ555" i="3"/>
  <c r="AJ554" i="3" s="1"/>
  <c r="AH352" i="3"/>
  <c r="AH337" i="3" s="1"/>
  <c r="AK13" i="3"/>
  <c r="K501" i="3"/>
  <c r="K498" i="3" s="1"/>
  <c r="T517" i="3"/>
  <c r="T514" i="3" s="1"/>
  <c r="T501" i="3" s="1"/>
  <c r="T498" i="3" s="1"/>
  <c r="P352" i="3"/>
  <c r="P337" i="3" s="1"/>
  <c r="Q375" i="3"/>
  <c r="Q373" i="3" s="1"/>
  <c r="Q370" i="3" s="1"/>
  <c r="AD401" i="3"/>
  <c r="AD394" i="3" s="1"/>
  <c r="AD388" i="3" s="1"/>
  <c r="AD387" i="3" s="1"/>
  <c r="AD352" i="3" s="1"/>
  <c r="AD337" i="3" s="1"/>
  <c r="AN119" i="3"/>
  <c r="AN115" i="3" s="1"/>
  <c r="Q51" i="3"/>
  <c r="Q18" i="3" s="1"/>
  <c r="Q15" i="3" s="1"/>
  <c r="V555" i="3"/>
  <c r="V554" i="3" s="1"/>
  <c r="S501" i="3"/>
  <c r="S498" i="3" s="1"/>
  <c r="O464" i="3"/>
  <c r="Q426" i="3"/>
  <c r="Q402" i="3" s="1"/>
  <c r="Q394" i="3" s="1"/>
  <c r="G555" i="3"/>
  <c r="G554" i="3" s="1"/>
  <c r="AI119" i="3"/>
  <c r="AI115" i="3" s="1"/>
  <c r="AI13" i="3" s="1"/>
  <c r="AJ119" i="3"/>
  <c r="AJ115" i="3" s="1"/>
  <c r="H97" i="3"/>
  <c r="H92" i="3" s="1"/>
  <c r="AM555" i="3"/>
  <c r="AM554" i="3" s="1"/>
  <c r="G120" i="3"/>
  <c r="G115" i="3" s="1"/>
  <c r="M18" i="3"/>
  <c r="M15" i="3" s="1"/>
  <c r="N352" i="3"/>
  <c r="N337" i="3" s="1"/>
  <c r="Q352" i="3"/>
  <c r="Q337" i="3" s="1"/>
  <c r="U242" i="3"/>
  <c r="U240" i="3" s="1"/>
  <c r="AA240" i="3" s="1"/>
  <c r="AB119" i="3"/>
  <c r="AB115" i="3" s="1"/>
  <c r="R120" i="3"/>
  <c r="R115" i="3" s="1"/>
  <c r="G402" i="3"/>
  <c r="G394" i="3" s="1"/>
  <c r="Q583" i="3"/>
  <c r="Q555" i="3" s="1"/>
  <c r="Q554" i="3" s="1"/>
  <c r="AD501" i="3"/>
  <c r="AD498" i="3" s="1"/>
  <c r="U402" i="3"/>
  <c r="U394" i="3" s="1"/>
  <c r="AA394" i="3" s="1"/>
  <c r="R362" i="3"/>
  <c r="R352" i="3" s="1"/>
  <c r="R337" i="3" s="1"/>
  <c r="T27" i="3"/>
  <c r="T18" i="3" s="1"/>
  <c r="T15" i="3" s="1"/>
  <c r="P18" i="3"/>
  <c r="P15" i="3" s="1"/>
  <c r="X97" i="3"/>
  <c r="X92" i="3" s="1"/>
  <c r="H120" i="3"/>
  <c r="H115" i="3" s="1"/>
  <c r="Y18" i="3"/>
  <c r="Y15" i="3" s="1"/>
  <c r="AK555" i="3"/>
  <c r="AK554" i="3" s="1"/>
  <c r="AB352" i="3"/>
  <c r="AB337" i="3" s="1"/>
  <c r="AI555" i="3"/>
  <c r="AI554" i="3" s="1"/>
  <c r="AJ13" i="3"/>
  <c r="H402" i="3"/>
  <c r="H394" i="3" s="1"/>
  <c r="AI402" i="3"/>
  <c r="AI401" i="3"/>
  <c r="AI394" i="3" s="1"/>
  <c r="AI388" i="3" s="1"/>
  <c r="AI387" i="3" s="1"/>
  <c r="AI352" i="3" s="1"/>
  <c r="AI337" i="3" s="1"/>
  <c r="AF501" i="3"/>
  <c r="AF498" i="3" s="1"/>
  <c r="H555" i="3"/>
  <c r="H554" i="3" s="1"/>
  <c r="T242" i="3"/>
  <c r="T240" i="3" s="1"/>
  <c r="Z120" i="3"/>
  <c r="Z115" i="3" s="1"/>
  <c r="AL119" i="3"/>
  <c r="AL115" i="3" s="1"/>
  <c r="AL13" i="3" s="1"/>
  <c r="R51" i="3"/>
  <c r="R18" i="3" s="1"/>
  <c r="R15" i="3" s="1"/>
  <c r="O514" i="3"/>
  <c r="O501" i="3" s="1"/>
  <c r="O498" i="3" s="1"/>
  <c r="Q517" i="3"/>
  <c r="Q514" i="3" s="1"/>
  <c r="Q501" i="3" s="1"/>
  <c r="Q498" i="3" s="1"/>
  <c r="AE401" i="3"/>
  <c r="AE394" i="3" s="1"/>
  <c r="AE388" i="3" s="1"/>
  <c r="AE387" i="3" s="1"/>
  <c r="AE352" i="3" s="1"/>
  <c r="AE337" i="3" s="1"/>
  <c r="O353" i="3"/>
  <c r="V120" i="3"/>
  <c r="V115" i="3" s="1"/>
  <c r="AD242" i="3"/>
  <c r="P120" i="3"/>
  <c r="P115" i="3" s="1"/>
  <c r="S97" i="3"/>
  <c r="S92" i="3" s="1"/>
  <c r="V402" i="3"/>
  <c r="V394" i="3" s="1"/>
  <c r="G352" i="3"/>
  <c r="G337" i="3" s="1"/>
  <c r="AD119" i="3"/>
  <c r="AD115" i="3" s="1"/>
  <c r="AD13" i="3" s="1"/>
  <c r="Q242" i="3"/>
  <c r="Q240" i="3" s="1"/>
  <c r="Z555" i="3"/>
  <c r="Z554" i="3" s="1"/>
  <c r="R402" i="3"/>
  <c r="R394" i="3" s="1"/>
  <c r="S120" i="3"/>
  <c r="S115" i="3" s="1"/>
  <c r="P555" i="3"/>
  <c r="P554" i="3" s="1"/>
  <c r="U555" i="3"/>
  <c r="U554" i="3" s="1"/>
  <c r="AA554" i="3" s="1"/>
  <c r="T555" i="3"/>
  <c r="T554" i="3" s="1"/>
  <c r="AA15" i="3"/>
  <c r="R555" i="3"/>
  <c r="R554" i="3" s="1"/>
  <c r="Y352" i="3"/>
  <c r="Y337" i="3" s="1"/>
  <c r="P517" i="3"/>
  <c r="P514" i="3" s="1"/>
  <c r="P501" i="3" s="1"/>
  <c r="P498" i="3" s="1"/>
  <c r="U521" i="3"/>
  <c r="U517" i="3" s="1"/>
  <c r="U514" i="3" s="1"/>
  <c r="U501" i="3" s="1"/>
  <c r="U498" i="3" s="1"/>
  <c r="AA498" i="3" s="1"/>
  <c r="T352" i="3"/>
  <c r="T337" i="3" s="1"/>
  <c r="P242" i="3"/>
  <c r="P240" i="3" s="1"/>
  <c r="AN13" i="3"/>
  <c r="R501" i="3"/>
  <c r="R498" i="3" s="1"/>
  <c r="AB13" i="3"/>
  <c r="AM13" i="3"/>
  <c r="AL352" i="3"/>
  <c r="AL337" i="3" s="1"/>
  <c r="AE13" i="3"/>
  <c r="K352" i="3" l="1"/>
  <c r="K337" i="3" s="1"/>
  <c r="L13" i="3"/>
  <c r="O352" i="3"/>
  <c r="O337" i="3" s="1"/>
  <c r="H13" i="3"/>
  <c r="I13" i="3"/>
  <c r="K13" i="3"/>
  <c r="AA337" i="3"/>
  <c r="M13" i="3"/>
  <c r="J13" i="3"/>
  <c r="J12" i="3" s="1"/>
  <c r="Y13" i="3"/>
  <c r="Y12" i="3" s="1"/>
  <c r="Z13" i="3"/>
  <c r="N13" i="3"/>
  <c r="V13" i="3"/>
  <c r="S13" i="3"/>
  <c r="O13" i="3"/>
  <c r="Q13" i="3"/>
  <c r="T13" i="3"/>
  <c r="AP394" i="3"/>
  <c r="AP336" i="3" s="1"/>
  <c r="AQ336" i="3" s="1"/>
  <c r="AR336" i="3" s="1"/>
  <c r="G13" i="3"/>
  <c r="X13" i="3"/>
  <c r="R13" i="3"/>
  <c r="U13" i="3"/>
  <c r="U12" i="3" s="1"/>
  <c r="P13" i="3"/>
  <c r="Q350" i="1" l="1"/>
  <c r="Q76" i="1" l="1"/>
  <c r="Q319" i="1" l="1"/>
  <c r="Q318" i="1"/>
  <c r="S23" i="1"/>
  <c r="G50" i="1"/>
  <c r="I23" i="1"/>
  <c r="J23" i="1"/>
  <c r="M23" i="1"/>
  <c r="N23" i="1"/>
  <c r="O23" i="1"/>
  <c r="P23" i="1"/>
  <c r="Q23" i="1"/>
  <c r="R23" i="1"/>
  <c r="G23" i="1"/>
  <c r="Q322" i="1" l="1"/>
  <c r="Q320" i="1"/>
  <c r="Q315" i="1"/>
  <c r="Q313" i="1" s="1"/>
  <c r="Q237" i="1"/>
  <c r="Q236" i="1"/>
  <c r="Q235" i="1"/>
  <c r="Q230" i="1"/>
  <c r="Q229" i="1"/>
  <c r="Q228" i="1"/>
  <c r="Q227" i="1"/>
  <c r="Q226" i="1"/>
  <c r="Q225" i="1"/>
  <c r="Q224" i="1"/>
  <c r="Q223" i="1"/>
  <c r="Q222" i="1"/>
  <c r="Q221" i="1"/>
  <c r="Q212" i="1"/>
  <c r="Q207" i="1"/>
  <c r="Q205" i="1"/>
  <c r="Q204" i="1"/>
  <c r="Q203" i="1"/>
  <c r="Q202" i="1"/>
  <c r="Q201" i="1"/>
  <c r="Q200" i="1"/>
  <c r="Q183" i="1"/>
  <c r="Q182" i="1"/>
  <c r="Q181" i="1"/>
  <c r="Q195" i="1"/>
  <c r="Q193" i="1"/>
  <c r="Q192" i="1"/>
  <c r="Q187" i="1"/>
  <c r="Q191" i="1"/>
  <c r="Q190" i="1"/>
  <c r="Q185" i="1"/>
  <c r="Q184" i="1"/>
  <c r="Q194" i="1"/>
  <c r="Q189" i="1"/>
  <c r="Q180" i="1"/>
  <c r="Q161" i="1"/>
  <c r="Q158" i="1"/>
  <c r="Q157" i="1"/>
  <c r="Q156" i="1"/>
  <c r="Q155" i="1"/>
  <c r="Q154" i="1"/>
  <c r="Q146" i="1"/>
  <c r="Q143" i="1"/>
  <c r="Q142" i="1"/>
  <c r="Q140" i="1"/>
  <c r="Q139" i="1"/>
  <c r="Q131" i="1"/>
  <c r="Q130" i="1"/>
  <c r="Q129" i="1"/>
  <c r="Q126" i="1"/>
  <c r="Q125" i="1" s="1"/>
  <c r="Q120" i="1"/>
  <c r="Q115" i="1"/>
  <c r="Q114" i="1" s="1"/>
  <c r="Q113" i="1"/>
  <c r="Q112" i="1" s="1"/>
  <c r="Q302" i="1"/>
  <c r="Q301" i="1"/>
  <c r="Q300" i="1"/>
  <c r="Q296" i="1"/>
  <c r="Q293" i="1"/>
  <c r="Q292" i="1"/>
  <c r="Q291" i="1"/>
  <c r="Q289" i="1"/>
  <c r="Q286" i="1"/>
  <c r="Q285" i="1"/>
  <c r="Q282" i="1"/>
  <c r="Q280" i="1"/>
  <c r="Q279" i="1"/>
  <c r="Q278" i="1"/>
  <c r="Q276" i="1"/>
  <c r="Q275" i="1"/>
  <c r="Q281" i="1"/>
  <c r="Q274" i="1"/>
  <c r="Q271" i="1"/>
  <c r="Q270" i="1"/>
  <c r="Q269" i="1"/>
  <c r="Q268" i="1"/>
  <c r="Q267" i="1"/>
  <c r="Q266" i="1"/>
  <c r="Q260" i="1"/>
  <c r="Q264" i="1"/>
  <c r="Q259" i="1"/>
  <c r="Q257" i="1"/>
  <c r="Q256" i="1" s="1"/>
  <c r="Q16" i="1" s="1"/>
  <c r="Q254" i="1"/>
  <c r="Q253" i="1"/>
  <c r="S252" i="1"/>
  <c r="R252" i="1"/>
  <c r="Q111" i="1" l="1"/>
  <c r="Q206" i="1"/>
  <c r="Q273" i="1"/>
  <c r="Q265" i="1" s="1"/>
  <c r="Q288" i="1"/>
  <c r="Q294" i="1"/>
  <c r="Q258" i="1"/>
  <c r="Q213" i="1"/>
  <c r="Q197" i="1"/>
  <c r="Q172" i="1"/>
  <c r="Q162" i="1"/>
  <c r="Q160" i="1"/>
  <c r="Q133" i="1"/>
  <c r="Q137" i="1"/>
  <c r="Q122" i="1"/>
  <c r="Q252" i="1"/>
  <c r="L138" i="1"/>
  <c r="K138" i="1"/>
  <c r="Q159" i="1" l="1"/>
  <c r="Q132" i="1"/>
  <c r="Q287" i="1"/>
  <c r="Q196" i="1"/>
  <c r="H353" i="1"/>
  <c r="I353" i="1"/>
  <c r="J353" i="1"/>
  <c r="K353" i="1"/>
  <c r="L353" i="1"/>
  <c r="M353" i="1"/>
  <c r="O353" i="1"/>
  <c r="P353" i="1"/>
  <c r="R353" i="1"/>
  <c r="S353" i="1"/>
  <c r="H350" i="1"/>
  <c r="I350" i="1"/>
  <c r="J350" i="1"/>
  <c r="K350" i="1"/>
  <c r="L350" i="1"/>
  <c r="M350" i="1"/>
  <c r="N350" i="1"/>
  <c r="O350" i="1"/>
  <c r="P350" i="1"/>
  <c r="R350" i="1"/>
  <c r="S350" i="1"/>
  <c r="H347" i="1"/>
  <c r="I347" i="1"/>
  <c r="J347" i="1"/>
  <c r="K347" i="1"/>
  <c r="L347" i="1"/>
  <c r="M347" i="1"/>
  <c r="N347" i="1"/>
  <c r="O347" i="1"/>
  <c r="P347" i="1"/>
  <c r="Q347" i="1"/>
  <c r="R347" i="1"/>
  <c r="S347" i="1"/>
  <c r="H342" i="1"/>
  <c r="I342" i="1"/>
  <c r="J342" i="1"/>
  <c r="K342" i="1"/>
  <c r="L342" i="1"/>
  <c r="M342" i="1"/>
  <c r="N342" i="1"/>
  <c r="O342" i="1"/>
  <c r="P342" i="1"/>
  <c r="Q342" i="1"/>
  <c r="R342" i="1"/>
  <c r="S342" i="1"/>
  <c r="H340" i="1"/>
  <c r="I340" i="1"/>
  <c r="J340" i="1"/>
  <c r="K340" i="1"/>
  <c r="L340" i="1"/>
  <c r="M340" i="1"/>
  <c r="N340" i="1"/>
  <c r="O340" i="1"/>
  <c r="P340" i="1"/>
  <c r="Q340" i="1"/>
  <c r="R340" i="1"/>
  <c r="S340" i="1"/>
  <c r="H338" i="1"/>
  <c r="H337" i="1" s="1"/>
  <c r="I338" i="1"/>
  <c r="I337" i="1" s="1"/>
  <c r="J338" i="1"/>
  <c r="J337" i="1" s="1"/>
  <c r="K338" i="1"/>
  <c r="K337" i="1" s="1"/>
  <c r="L338" i="1"/>
  <c r="L337" i="1" s="1"/>
  <c r="M338" i="1"/>
  <c r="M337" i="1" s="1"/>
  <c r="N338" i="1"/>
  <c r="N337" i="1" s="1"/>
  <c r="O338" i="1"/>
  <c r="O337" i="1" s="1"/>
  <c r="P338" i="1"/>
  <c r="P337" i="1" s="1"/>
  <c r="Q338" i="1"/>
  <c r="R338" i="1"/>
  <c r="S338" i="1"/>
  <c r="H284" i="1"/>
  <c r="I284" i="1"/>
  <c r="J284" i="1"/>
  <c r="M284" i="1"/>
  <c r="N284" i="1"/>
  <c r="O284" i="1"/>
  <c r="P284" i="1"/>
  <c r="Q284" i="1"/>
  <c r="R284" i="1"/>
  <c r="S284" i="1"/>
  <c r="H252" i="1"/>
  <c r="I252" i="1"/>
  <c r="J252" i="1"/>
  <c r="K252" i="1"/>
  <c r="L252" i="1"/>
  <c r="M252" i="1"/>
  <c r="N252" i="1"/>
  <c r="O252" i="1"/>
  <c r="P252" i="1"/>
  <c r="H179" i="1"/>
  <c r="I179" i="1"/>
  <c r="J179" i="1"/>
  <c r="K179" i="1"/>
  <c r="L179" i="1"/>
  <c r="M179" i="1"/>
  <c r="N179" i="1"/>
  <c r="O179" i="1"/>
  <c r="P179" i="1"/>
  <c r="Q179" i="1"/>
  <c r="R179" i="1"/>
  <c r="S179" i="1"/>
  <c r="H150" i="1"/>
  <c r="J150" i="1"/>
  <c r="M150" i="1"/>
  <c r="N150" i="1"/>
  <c r="O150" i="1"/>
  <c r="P150" i="1"/>
  <c r="Q150" i="1"/>
  <c r="R150" i="1"/>
  <c r="S150" i="1"/>
  <c r="H128" i="1"/>
  <c r="I128" i="1"/>
  <c r="J128" i="1"/>
  <c r="K128" i="1"/>
  <c r="L128" i="1"/>
  <c r="M128" i="1"/>
  <c r="N128" i="1"/>
  <c r="O128" i="1"/>
  <c r="P128" i="1"/>
  <c r="Q128" i="1"/>
  <c r="R128" i="1"/>
  <c r="S128" i="1"/>
  <c r="J88" i="1"/>
  <c r="J85" i="1" s="1"/>
  <c r="K88" i="1"/>
  <c r="L88" i="1"/>
  <c r="M88" i="1"/>
  <c r="M85" i="1" s="1"/>
  <c r="M18" i="1" s="1"/>
  <c r="N76" i="1"/>
  <c r="H71" i="1"/>
  <c r="I71" i="1"/>
  <c r="J71" i="1"/>
  <c r="J14" i="1" s="1"/>
  <c r="K71" i="1"/>
  <c r="L71" i="1"/>
  <c r="M71" i="1"/>
  <c r="N71" i="1"/>
  <c r="O71" i="1"/>
  <c r="P71" i="1"/>
  <c r="Q71" i="1"/>
  <c r="R71" i="1"/>
  <c r="R14" i="1" s="1"/>
  <c r="S71" i="1"/>
  <c r="H47" i="1"/>
  <c r="H46" i="1" s="1"/>
  <c r="I47" i="1"/>
  <c r="I46" i="1" s="1"/>
  <c r="J47" i="1"/>
  <c r="J46" i="1" s="1"/>
  <c r="M47" i="1"/>
  <c r="M46" i="1" s="1"/>
  <c r="Q47" i="1"/>
  <c r="Q46" i="1" s="1"/>
  <c r="S47" i="1"/>
  <c r="S46" i="1" s="1"/>
  <c r="G353" i="1"/>
  <c r="G350" i="1"/>
  <c r="G347" i="1"/>
  <c r="G342" i="1"/>
  <c r="G340" i="1"/>
  <c r="G338" i="1"/>
  <c r="G305" i="1"/>
  <c r="G284" i="1"/>
  <c r="G252" i="1"/>
  <c r="G179" i="1"/>
  <c r="G128" i="1"/>
  <c r="G88" i="1"/>
  <c r="G85" i="1" s="1"/>
  <c r="G71" i="1"/>
  <c r="G47" i="1"/>
  <c r="G46" i="1" s="1"/>
  <c r="G31" i="1"/>
  <c r="G29" i="1" s="1"/>
  <c r="I207" i="1"/>
  <c r="J250" i="1"/>
  <c r="L48" i="1"/>
  <c r="L47" i="1" s="1"/>
  <c r="L46" i="1" s="1"/>
  <c r="K48" i="1"/>
  <c r="K47" i="1" s="1"/>
  <c r="K46" i="1" s="1"/>
  <c r="L45" i="1"/>
  <c r="L44" i="1" s="1"/>
  <c r="K45" i="1"/>
  <c r="K44" i="1" s="1"/>
  <c r="L35" i="1"/>
  <c r="L29" i="1" s="1"/>
  <c r="K35" i="1"/>
  <c r="I35" i="1"/>
  <c r="K34" i="1"/>
  <c r="J33" i="1"/>
  <c r="I33" i="1"/>
  <c r="K32" i="1"/>
  <c r="J32" i="1"/>
  <c r="I32" i="1"/>
  <c r="K30" i="1"/>
  <c r="J30" i="1"/>
  <c r="I30" i="1"/>
  <c r="S337" i="1" l="1"/>
  <c r="S317" i="1" s="1"/>
  <c r="Q337" i="1"/>
  <c r="Q317" i="1" s="1"/>
  <c r="G337" i="1"/>
  <c r="R337" i="1"/>
  <c r="R317" i="1" s="1"/>
  <c r="N317" i="1"/>
  <c r="J317" i="1"/>
  <c r="P14" i="1"/>
  <c r="S14" i="1"/>
  <c r="O14" i="1"/>
  <c r="M14" i="1"/>
  <c r="O317" i="1"/>
  <c r="O19" i="1" s="1"/>
  <c r="K317" i="1"/>
  <c r="M317" i="1"/>
  <c r="M19" i="1" s="1"/>
  <c r="G317" i="1"/>
  <c r="G312" i="1" s="1"/>
  <c r="G304" i="1" s="1"/>
  <c r="P317" i="1"/>
  <c r="P19" i="1" s="1"/>
  <c r="L317" i="1"/>
  <c r="L312" i="1" s="1"/>
  <c r="L304" i="1" s="1"/>
  <c r="P76" i="1"/>
  <c r="G76" i="1"/>
  <c r="O76" i="1"/>
  <c r="S76" i="1"/>
  <c r="R76" i="1"/>
  <c r="M76" i="1"/>
  <c r="I250" i="1"/>
  <c r="I249" i="1" s="1"/>
  <c r="J249" i="1"/>
  <c r="K31" i="1"/>
  <c r="I31" i="1"/>
  <c r="J31" i="1"/>
  <c r="P127" i="1"/>
  <c r="R127" i="1"/>
  <c r="N127" i="1"/>
  <c r="H127" i="1"/>
  <c r="R119" i="1"/>
  <c r="N119" i="1"/>
  <c r="N118" i="1" s="1"/>
  <c r="S62" i="1"/>
  <c r="L119" i="1"/>
  <c r="L118" i="1" s="1"/>
  <c r="P119" i="1"/>
  <c r="P118" i="1" s="1"/>
  <c r="H119" i="1"/>
  <c r="H118" i="1" s="1"/>
  <c r="J312" i="1"/>
  <c r="J304" i="1" s="1"/>
  <c r="P312" i="1"/>
  <c r="P304" i="1" s="1"/>
  <c r="N312" i="1"/>
  <c r="N304" i="1" s="1"/>
  <c r="R52" i="1"/>
  <c r="P52" i="1"/>
  <c r="L52" i="1"/>
  <c r="H52" i="1"/>
  <c r="O62" i="1"/>
  <c r="M62" i="1"/>
  <c r="S119" i="1"/>
  <c r="S118" i="1" s="1"/>
  <c r="Q119" i="1"/>
  <c r="O119" i="1"/>
  <c r="M119" i="1"/>
  <c r="M118" i="1" s="1"/>
  <c r="K119" i="1"/>
  <c r="K118" i="1" s="1"/>
  <c r="S127" i="1"/>
  <c r="Q127" i="1"/>
  <c r="O127" i="1"/>
  <c r="M127" i="1"/>
  <c r="O243" i="1"/>
  <c r="M243" i="1"/>
  <c r="M240" i="1" s="1"/>
  <c r="O312" i="1"/>
  <c r="M312" i="1"/>
  <c r="M304" i="1" s="1"/>
  <c r="R255" i="1"/>
  <c r="P255" i="1"/>
  <c r="P251" i="1" s="1"/>
  <c r="N255" i="1"/>
  <c r="N251" i="1" s="1"/>
  <c r="S255" i="1"/>
  <c r="S251" i="1" s="1"/>
  <c r="Q255" i="1"/>
  <c r="Q251" i="1" s="1"/>
  <c r="O255" i="1"/>
  <c r="M255" i="1"/>
  <c r="M251" i="1" s="1"/>
  <c r="P108" i="1"/>
  <c r="N108" i="1"/>
  <c r="J108" i="1"/>
  <c r="M108" i="1"/>
  <c r="S52" i="1"/>
  <c r="O52" i="1"/>
  <c r="M52" i="1"/>
  <c r="G127" i="1"/>
  <c r="G119" i="1"/>
  <c r="G118" i="1" s="1"/>
  <c r="G108" i="1"/>
  <c r="R19" i="1" l="1"/>
  <c r="R312" i="1"/>
  <c r="S19" i="1"/>
  <c r="S312" i="1"/>
  <c r="S304" i="1" s="1"/>
  <c r="O251" i="1"/>
  <c r="O108" i="1"/>
  <c r="O240" i="1"/>
  <c r="R304" i="1"/>
  <c r="O304" i="1"/>
  <c r="R108" i="1"/>
  <c r="R118" i="1"/>
  <c r="O118" i="1"/>
  <c r="S108" i="1"/>
  <c r="Q108" i="1"/>
  <c r="P243" i="1"/>
  <c r="P240" i="1" s="1"/>
  <c r="N149" i="1"/>
  <c r="S70" i="1"/>
  <c r="P62" i="1"/>
  <c r="N243" i="1"/>
  <c r="N240" i="1" s="1"/>
  <c r="R243" i="1"/>
  <c r="O70" i="1"/>
  <c r="M70" i="1"/>
  <c r="P149" i="1"/>
  <c r="G352" i="1"/>
  <c r="M352" i="1"/>
  <c r="H352" i="1"/>
  <c r="G243" i="1"/>
  <c r="G240" i="1" s="1"/>
  <c r="H283" i="1"/>
  <c r="R62" i="1"/>
  <c r="M283" i="1"/>
  <c r="M178" i="1"/>
  <c r="S352" i="1"/>
  <c r="R178" i="1"/>
  <c r="Q243" i="1"/>
  <c r="Q240" i="1" s="1"/>
  <c r="L62" i="1"/>
  <c r="P178" i="1"/>
  <c r="N283" i="1"/>
  <c r="Q312" i="1"/>
  <c r="Q304" i="1" s="1"/>
  <c r="S243" i="1"/>
  <c r="N70" i="1"/>
  <c r="H62" i="1"/>
  <c r="R283" i="1"/>
  <c r="P352" i="1"/>
  <c r="R70" i="1"/>
  <c r="J352" i="1"/>
  <c r="N178" i="1"/>
  <c r="L352" i="1"/>
  <c r="Q283" i="1"/>
  <c r="O283" i="1"/>
  <c r="K352" i="1"/>
  <c r="I352" i="1"/>
  <c r="O178" i="1"/>
  <c r="Q178" i="1"/>
  <c r="S149" i="1"/>
  <c r="O352" i="1"/>
  <c r="P283" i="1"/>
  <c r="G62" i="1"/>
  <c r="P70" i="1"/>
  <c r="R251" i="1"/>
  <c r="Q118" i="1"/>
  <c r="G178" i="1"/>
  <c r="P28" i="1" l="1"/>
  <c r="P15" i="1" s="1"/>
  <c r="R240" i="1"/>
  <c r="R149" i="1"/>
  <c r="O149" i="1"/>
  <c r="M149" i="1"/>
  <c r="S240" i="1"/>
  <c r="S283" i="1"/>
  <c r="S178" i="1"/>
  <c r="Q149" i="1"/>
  <c r="Q70" i="1"/>
  <c r="I228" i="1"/>
  <c r="I227" i="1"/>
  <c r="L226" i="1"/>
  <c r="L225" i="1"/>
  <c r="L224" i="1"/>
  <c r="K224" i="1"/>
  <c r="K213" i="1" s="1"/>
  <c r="I223" i="1"/>
  <c r="L216" i="1"/>
  <c r="J216" i="1"/>
  <c r="J213" i="1" s="1"/>
  <c r="L215" i="1"/>
  <c r="I215" i="1"/>
  <c r="L212" i="1"/>
  <c r="J212" i="1"/>
  <c r="L211" i="1"/>
  <c r="J211" i="1"/>
  <c r="K210" i="1"/>
  <c r="L209" i="1"/>
  <c r="K209" i="1"/>
  <c r="I209" i="1"/>
  <c r="I206" i="1" s="1"/>
  <c r="L208" i="1"/>
  <c r="J208" i="1"/>
  <c r="L205" i="1"/>
  <c r="K205" i="1"/>
  <c r="L204" i="1"/>
  <c r="L203" i="1"/>
  <c r="L201" i="1"/>
  <c r="K201" i="1"/>
  <c r="L200" i="1"/>
  <c r="J200" i="1"/>
  <c r="I200" i="1"/>
  <c r="J198" i="1"/>
  <c r="I198" i="1"/>
  <c r="H198" i="1"/>
  <c r="H197" i="1" s="1"/>
  <c r="H196" i="1" s="1"/>
  <c r="I175" i="1"/>
  <c r="G175" i="1"/>
  <c r="K174" i="1"/>
  <c r="K172" i="1" s="1"/>
  <c r="I174" i="1"/>
  <c r="G174" i="1"/>
  <c r="I169" i="1"/>
  <c r="G169" i="1"/>
  <c r="G162" i="1" s="1"/>
  <c r="G18" i="1" s="1"/>
  <c r="I168" i="1"/>
  <c r="H168" i="1"/>
  <c r="I167" i="1"/>
  <c r="H167" i="1"/>
  <c r="L166" i="1"/>
  <c r="K166" i="1" s="1"/>
  <c r="I166" i="1"/>
  <c r="L165" i="1"/>
  <c r="K165" i="1" s="1"/>
  <c r="J165" i="1"/>
  <c r="I165" i="1" s="1"/>
  <c r="J164" i="1"/>
  <c r="I164" i="1" s="1"/>
  <c r="H164" i="1"/>
  <c r="J163" i="1"/>
  <c r="L161" i="1"/>
  <c r="K161" i="1"/>
  <c r="J161" i="1"/>
  <c r="L158" i="1"/>
  <c r="K158" i="1"/>
  <c r="L157" i="1"/>
  <c r="K157" i="1"/>
  <c r="L156" i="1"/>
  <c r="K156" i="1"/>
  <c r="L155" i="1"/>
  <c r="K155" i="1"/>
  <c r="L154" i="1"/>
  <c r="I154" i="1"/>
  <c r="K154" i="1" s="1"/>
  <c r="I151" i="1"/>
  <c r="G151" i="1"/>
  <c r="G150" i="1" s="1"/>
  <c r="G14" i="1" s="1"/>
  <c r="L147" i="1"/>
  <c r="K147" i="1"/>
  <c r="K146" i="1"/>
  <c r="L146" i="1" s="1"/>
  <c r="K140" i="1"/>
  <c r="L139" i="1"/>
  <c r="K139" i="1"/>
  <c r="J134" i="1"/>
  <c r="J133" i="1" s="1"/>
  <c r="J132" i="1" s="1"/>
  <c r="H114" i="1"/>
  <c r="K113" i="1"/>
  <c r="K112" i="1" s="1"/>
  <c r="K111" i="1" s="1"/>
  <c r="I113" i="1"/>
  <c r="H113" i="1"/>
  <c r="H112" i="1" s="1"/>
  <c r="I323" i="1"/>
  <c r="I317" i="1" s="1"/>
  <c r="H322" i="1"/>
  <c r="H321" i="1"/>
  <c r="H320" i="1"/>
  <c r="K315" i="1"/>
  <c r="I294" i="1"/>
  <c r="I293" i="1"/>
  <c r="I292" i="1"/>
  <c r="L291" i="1"/>
  <c r="K291" i="1" s="1"/>
  <c r="J291" i="1"/>
  <c r="I291" i="1"/>
  <c r="L290" i="1"/>
  <c r="J290" i="1"/>
  <c r="G290" i="1"/>
  <c r="L289" i="1"/>
  <c r="K289" i="1"/>
  <c r="J289" i="1"/>
  <c r="I289" i="1"/>
  <c r="L286" i="1"/>
  <c r="L284" i="1" s="1"/>
  <c r="K286" i="1"/>
  <c r="K284" i="1" s="1"/>
  <c r="K279" i="1"/>
  <c r="L276" i="1"/>
  <c r="H276" i="1"/>
  <c r="H273" i="1" s="1"/>
  <c r="H265" i="1" s="1"/>
  <c r="L275" i="1"/>
  <c r="L273" i="1" s="1"/>
  <c r="L265" i="1" s="1"/>
  <c r="K275" i="1"/>
  <c r="G271" i="1"/>
  <c r="G265" i="1" s="1"/>
  <c r="K263" i="1"/>
  <c r="I263" i="1"/>
  <c r="I262" i="1"/>
  <c r="L259" i="1"/>
  <c r="L258" i="1" s="1"/>
  <c r="K259" i="1"/>
  <c r="J259" i="1"/>
  <c r="J258" i="1" s="1"/>
  <c r="J257" i="1"/>
  <c r="J256" i="1" s="1"/>
  <c r="J16" i="1" s="1"/>
  <c r="H317" i="1" l="1"/>
  <c r="H111" i="1"/>
  <c r="H108" i="1" s="1"/>
  <c r="S28" i="1"/>
  <c r="S15" i="1" s="1"/>
  <c r="M28" i="1"/>
  <c r="M15" i="1" s="1"/>
  <c r="J206" i="1"/>
  <c r="L206" i="1"/>
  <c r="K206" i="1"/>
  <c r="K273" i="1"/>
  <c r="K265" i="1" s="1"/>
  <c r="R148" i="1"/>
  <c r="K197" i="1"/>
  <c r="H312" i="1"/>
  <c r="H304" i="1" s="1"/>
  <c r="K313" i="1"/>
  <c r="K312" i="1" s="1"/>
  <c r="K304" i="1" s="1"/>
  <c r="I312" i="1"/>
  <c r="I304" i="1" s="1"/>
  <c r="J288" i="1"/>
  <c r="J287" i="1" s="1"/>
  <c r="G288" i="1"/>
  <c r="G17" i="1" s="1"/>
  <c r="L288" i="1"/>
  <c r="L287" i="1" s="1"/>
  <c r="L283" i="1" s="1"/>
  <c r="H255" i="1"/>
  <c r="H251" i="1" s="1"/>
  <c r="G255" i="1"/>
  <c r="G251" i="1" s="1"/>
  <c r="K258" i="1"/>
  <c r="I197" i="1"/>
  <c r="J197" i="1"/>
  <c r="I213" i="1"/>
  <c r="L213" i="1"/>
  <c r="I172" i="1"/>
  <c r="G172" i="1"/>
  <c r="G19" i="1" s="1"/>
  <c r="J162" i="1"/>
  <c r="J160" i="1"/>
  <c r="H162" i="1"/>
  <c r="H159" i="1" s="1"/>
  <c r="L160" i="1"/>
  <c r="L137" i="1"/>
  <c r="K137" i="1"/>
  <c r="J120" i="1"/>
  <c r="J119" i="1" s="1"/>
  <c r="J118" i="1" s="1"/>
  <c r="I120" i="1"/>
  <c r="I119" i="1" s="1"/>
  <c r="I118" i="1" s="1"/>
  <c r="I112" i="1"/>
  <c r="K150" i="1"/>
  <c r="L150" i="1"/>
  <c r="I127" i="1"/>
  <c r="I150" i="1"/>
  <c r="I14" i="1" s="1"/>
  <c r="L257" i="1"/>
  <c r="L256" i="1" s="1"/>
  <c r="L16" i="1" s="1"/>
  <c r="J255" i="1"/>
  <c r="J251" i="1" s="1"/>
  <c r="K290" i="1"/>
  <c r="K288" i="1" s="1"/>
  <c r="K287" i="1" s="1"/>
  <c r="L164" i="1"/>
  <c r="K164" i="1" s="1"/>
  <c r="I290" i="1"/>
  <c r="I288" i="1" s="1"/>
  <c r="I287" i="1" s="1"/>
  <c r="L113" i="1"/>
  <c r="K108" i="1"/>
  <c r="I163" i="1"/>
  <c r="I162" i="1" s="1"/>
  <c r="L198" i="1"/>
  <c r="L197" i="1" s="1"/>
  <c r="I257" i="1"/>
  <c r="I256" i="1" s="1"/>
  <c r="I16" i="1" s="1"/>
  <c r="K160" i="1"/>
  <c r="L163" i="1"/>
  <c r="I259" i="1"/>
  <c r="I258" i="1" s="1"/>
  <c r="I111" i="1" l="1"/>
  <c r="I108" i="1" s="1"/>
  <c r="S22" i="1"/>
  <c r="H19" i="1"/>
  <c r="K196" i="1"/>
  <c r="K178" i="1" s="1"/>
  <c r="J159" i="1"/>
  <c r="J149" i="1" s="1"/>
  <c r="G159" i="1"/>
  <c r="G149" i="1" s="1"/>
  <c r="G287" i="1"/>
  <c r="G283" i="1" s="1"/>
  <c r="K132" i="1"/>
  <c r="K127" i="1" s="1"/>
  <c r="L132" i="1"/>
  <c r="L127" i="1" s="1"/>
  <c r="K283" i="1"/>
  <c r="I196" i="1"/>
  <c r="I178" i="1" s="1"/>
  <c r="J196" i="1"/>
  <c r="J178" i="1" s="1"/>
  <c r="L196" i="1"/>
  <c r="L162" i="1"/>
  <c r="I160" i="1"/>
  <c r="I159" i="1" s="1"/>
  <c r="H178" i="1"/>
  <c r="H149" i="1"/>
  <c r="L112" i="1"/>
  <c r="K163" i="1"/>
  <c r="K162" i="1" s="1"/>
  <c r="K159" i="1" s="1"/>
  <c r="L255" i="1"/>
  <c r="L251" i="1" s="1"/>
  <c r="J283" i="1"/>
  <c r="I283" i="1"/>
  <c r="J127" i="1"/>
  <c r="K257" i="1"/>
  <c r="I255" i="1"/>
  <c r="I251" i="1" s="1"/>
  <c r="M22" i="1"/>
  <c r="M13" i="1" s="1"/>
  <c r="P22" i="1"/>
  <c r="P13" i="1" s="1"/>
  <c r="S13" i="1" l="1"/>
  <c r="S12" i="1" s="1"/>
  <c r="L111" i="1"/>
  <c r="L108" i="1" s="1"/>
  <c r="L159" i="1"/>
  <c r="L149" i="1" s="1"/>
  <c r="K256" i="1"/>
  <c r="K16" i="1" s="1"/>
  <c r="I149" i="1"/>
  <c r="K149" i="1"/>
  <c r="L178" i="1"/>
  <c r="L247" i="1"/>
  <c r="K247" i="1"/>
  <c r="L246" i="1"/>
  <c r="J246" i="1"/>
  <c r="I246" i="1"/>
  <c r="H246" i="1"/>
  <c r="L245" i="1"/>
  <c r="K245" i="1"/>
  <c r="J245" i="1"/>
  <c r="I245" i="1"/>
  <c r="L98" i="1"/>
  <c r="L97" i="1" s="1"/>
  <c r="L19" i="1" s="1"/>
  <c r="K98" i="1"/>
  <c r="K97" i="1" s="1"/>
  <c r="K19" i="1" s="1"/>
  <c r="L94" i="1"/>
  <c r="K94" i="1"/>
  <c r="K85" i="1" s="1"/>
  <c r="I88" i="1"/>
  <c r="I85" i="1" s="1"/>
  <c r="H90" i="1"/>
  <c r="H88" i="1" s="1"/>
  <c r="H85" i="1" s="1"/>
  <c r="H18" i="1" s="1"/>
  <c r="J79" i="1"/>
  <c r="J77" i="1" s="1"/>
  <c r="J76" i="1" s="1"/>
  <c r="I79" i="1"/>
  <c r="K65" i="1"/>
  <c r="Q66" i="1"/>
  <c r="Q65" i="1" s="1"/>
  <c r="N66" i="1"/>
  <c r="N65" i="1" s="1"/>
  <c r="N60" i="1"/>
  <c r="N56" i="1" s="1"/>
  <c r="J57" i="1"/>
  <c r="J55" i="1"/>
  <c r="J54" i="1" s="1"/>
  <c r="I55" i="1"/>
  <c r="I54" i="1" s="1"/>
  <c r="I43" i="1"/>
  <c r="I42" i="1"/>
  <c r="N38" i="1"/>
  <c r="J38" i="1"/>
  <c r="I38" i="1"/>
  <c r="R37" i="1"/>
  <c r="O37" i="1"/>
  <c r="N37" i="1"/>
  <c r="I37" i="1"/>
  <c r="K29" i="1"/>
  <c r="K25" i="1"/>
  <c r="K24" i="1"/>
  <c r="H24" i="1"/>
  <c r="H23" i="1" s="1"/>
  <c r="H14" i="1" s="1"/>
  <c r="Q394" i="1"/>
  <c r="Q393" i="1"/>
  <c r="Q391" i="1"/>
  <c r="Q389" i="1"/>
  <c r="Q388" i="1"/>
  <c r="Q390" i="1"/>
  <c r="Q387" i="1"/>
  <c r="Q383" i="1"/>
  <c r="Q382" i="1"/>
  <c r="Q355" i="1"/>
  <c r="Q378" i="1"/>
  <c r="Q377" i="1"/>
  <c r="Q376" i="1"/>
  <c r="Q375" i="1"/>
  <c r="Q374" i="1"/>
  <c r="Q373" i="1"/>
  <c r="Q371" i="1"/>
  <c r="Q370" i="1"/>
  <c r="Q368" i="1"/>
  <c r="Q363" i="1"/>
  <c r="Q362" i="1"/>
  <c r="Q366" i="1"/>
  <c r="Q365" i="1"/>
  <c r="Q354" i="1"/>
  <c r="N388" i="1"/>
  <c r="N382" i="1"/>
  <c r="N355" i="1"/>
  <c r="N353" i="1" s="1"/>
  <c r="N14" i="1" s="1"/>
  <c r="N377" i="1"/>
  <c r="N376" i="1"/>
  <c r="N375" i="1"/>
  <c r="N374" i="1"/>
  <c r="N373" i="1"/>
  <c r="N371" i="1"/>
  <c r="Q372" i="1"/>
  <c r="N372" i="1"/>
  <c r="N370" i="1"/>
  <c r="Q364" i="1"/>
  <c r="N362" i="1"/>
  <c r="R359" i="1"/>
  <c r="J56" i="1" l="1"/>
  <c r="J19" i="1" s="1"/>
  <c r="N64" i="1"/>
  <c r="L85" i="1"/>
  <c r="L18" i="1" s="1"/>
  <c r="R29" i="1"/>
  <c r="R17" i="1" s="1"/>
  <c r="N360" i="1"/>
  <c r="K255" i="1"/>
  <c r="K251" i="1" s="1"/>
  <c r="N53" i="1"/>
  <c r="N52" i="1" s="1"/>
  <c r="K64" i="1"/>
  <c r="Q53" i="1"/>
  <c r="Q52" i="1" s="1"/>
  <c r="Q64" i="1"/>
  <c r="I57" i="1"/>
  <c r="N369" i="1"/>
  <c r="N18" i="1" s="1"/>
  <c r="N379" i="1"/>
  <c r="N19" i="1" s="1"/>
  <c r="Q353" i="1"/>
  <c r="Q14" i="1" s="1"/>
  <c r="Q369" i="1"/>
  <c r="Q18" i="1" s="1"/>
  <c r="Q379" i="1"/>
  <c r="Q19" i="1" s="1"/>
  <c r="I244" i="1"/>
  <c r="I243" i="1" s="1"/>
  <c r="I240" i="1" s="1"/>
  <c r="K249" i="1"/>
  <c r="K18" i="1" s="1"/>
  <c r="L244" i="1"/>
  <c r="L17" i="1" s="1"/>
  <c r="H244" i="1"/>
  <c r="H17" i="1" s="1"/>
  <c r="J244" i="1"/>
  <c r="J243" i="1" s="1"/>
  <c r="J240" i="1" s="1"/>
  <c r="K76" i="1"/>
  <c r="K70" i="1" s="1"/>
  <c r="I77" i="1"/>
  <c r="I76" i="1" s="1"/>
  <c r="J65" i="1"/>
  <c r="J64" i="1" s="1"/>
  <c r="J62" i="1" s="1"/>
  <c r="I65" i="1"/>
  <c r="I64" i="1" s="1"/>
  <c r="I62" i="1" s="1"/>
  <c r="N29" i="1"/>
  <c r="I29" i="1"/>
  <c r="O29" i="1"/>
  <c r="O17" i="1" s="1"/>
  <c r="J29" i="1"/>
  <c r="J17" i="1" s="1"/>
  <c r="Q37" i="1"/>
  <c r="Q29" i="1" s="1"/>
  <c r="K52" i="1"/>
  <c r="J70" i="1"/>
  <c r="K23" i="1"/>
  <c r="K14" i="1" s="1"/>
  <c r="K246" i="1"/>
  <c r="K244" i="1" s="1"/>
  <c r="K17" i="1" s="1"/>
  <c r="Q367" i="1"/>
  <c r="Q360" i="1" s="1"/>
  <c r="R352" i="1"/>
  <c r="G70" i="1"/>
  <c r="L24" i="1"/>
  <c r="L23" i="1" s="1"/>
  <c r="L14" i="1" s="1"/>
  <c r="I56" i="1" l="1"/>
  <c r="I19" i="1" s="1"/>
  <c r="I17" i="1"/>
  <c r="Q17" i="1"/>
  <c r="N17" i="1"/>
  <c r="J18" i="1"/>
  <c r="I18" i="1"/>
  <c r="L76" i="1"/>
  <c r="L70" i="1" s="1"/>
  <c r="R28" i="1"/>
  <c r="R15" i="1" s="1"/>
  <c r="F12" i="2"/>
  <c r="F39" i="2"/>
  <c r="F17" i="2"/>
  <c r="F16" i="2"/>
  <c r="F24" i="2"/>
  <c r="F34" i="2"/>
  <c r="F18" i="2"/>
  <c r="F36" i="2"/>
  <c r="F26" i="2"/>
  <c r="F31" i="2"/>
  <c r="F37" i="2"/>
  <c r="F35" i="2"/>
  <c r="F29" i="2"/>
  <c r="F13" i="2"/>
  <c r="F25" i="2"/>
  <c r="F32" i="2"/>
  <c r="F28" i="2"/>
  <c r="F27" i="2"/>
  <c r="F30" i="2"/>
  <c r="F43" i="2" s="1"/>
  <c r="F44" i="2" s="1"/>
  <c r="F19" i="2"/>
  <c r="F33" i="2"/>
  <c r="F23" i="2"/>
  <c r="F14" i="2"/>
  <c r="J53" i="1"/>
  <c r="J52" i="1" s="1"/>
  <c r="H76" i="1"/>
  <c r="H70" i="1" s="1"/>
  <c r="H243" i="1"/>
  <c r="H240" i="1" s="1"/>
  <c r="O28" i="1"/>
  <c r="O15" i="1" s="1"/>
  <c r="L243" i="1"/>
  <c r="L240" i="1" s="1"/>
  <c r="I53" i="1"/>
  <c r="I52" i="1" s="1"/>
  <c r="N62" i="1"/>
  <c r="N359" i="1"/>
  <c r="N352" i="1" s="1"/>
  <c r="Q359" i="1"/>
  <c r="G53" i="1"/>
  <c r="K62" i="1"/>
  <c r="I70" i="1"/>
  <c r="Q62" i="1"/>
  <c r="K243" i="1"/>
  <c r="K240" i="1" s="1"/>
  <c r="J28" i="1" l="1"/>
  <c r="J15" i="1" s="1"/>
  <c r="N28" i="1"/>
  <c r="K28" i="1"/>
  <c r="R22" i="1"/>
  <c r="R13" i="1" s="1"/>
  <c r="O22" i="1"/>
  <c r="O13" i="1" s="1"/>
  <c r="G52" i="1"/>
  <c r="Q352" i="1"/>
  <c r="J22" i="1" l="1"/>
  <c r="J13" i="1" s="1"/>
  <c r="K22" i="1"/>
  <c r="K13" i="1" s="1"/>
  <c r="K15" i="1"/>
  <c r="N22" i="1"/>
  <c r="N13" i="1" s="1"/>
  <c r="N15" i="1"/>
  <c r="L28" i="1"/>
  <c r="L15" i="1" s="1"/>
  <c r="Q28" i="1"/>
  <c r="Q15" i="1" s="1"/>
  <c r="H28" i="1"/>
  <c r="H15" i="1" s="1"/>
  <c r="I28" i="1"/>
  <c r="I15" i="1" s="1"/>
  <c r="L22" i="1"/>
  <c r="L13" i="1" s="1"/>
  <c r="R12" i="1"/>
  <c r="I22" i="1" l="1"/>
  <c r="I13" i="1" s="1"/>
  <c r="H22" i="1"/>
  <c r="H13" i="1" s="1"/>
  <c r="G28" i="1"/>
  <c r="G15" i="1" s="1"/>
  <c r="Q22" i="1"/>
  <c r="G12" i="2"/>
  <c r="G39" i="2"/>
  <c r="G28" i="2"/>
  <c r="G26" i="2"/>
  <c r="G32" i="2"/>
  <c r="G25" i="2"/>
  <c r="G27" i="2"/>
  <c r="G35" i="2"/>
  <c r="G16" i="2"/>
  <c r="G37" i="2"/>
  <c r="G24" i="2"/>
  <c r="G31" i="2"/>
  <c r="G34" i="2"/>
  <c r="G36" i="2"/>
  <c r="G18" i="2"/>
  <c r="G33" i="2"/>
  <c r="G17" i="2"/>
  <c r="G19" i="2"/>
  <c r="G30" i="2"/>
  <c r="G13" i="2"/>
  <c r="G29" i="2"/>
  <c r="G23" i="2"/>
  <c r="G14" i="2"/>
  <c r="Q13" i="1" l="1"/>
  <c r="Q12" i="1" s="1"/>
  <c r="G22" i="1"/>
  <c r="G13" i="1" s="1"/>
</calcChain>
</file>

<file path=xl/comments1.xml><?xml version="1.0" encoding="utf-8"?>
<comments xmlns="http://schemas.openxmlformats.org/spreadsheetml/2006/main">
  <authors>
    <author>Nguyen Van Phong</author>
    <author>khanh</author>
    <author>User</author>
    <author>User!</author>
  </authors>
  <commentList>
    <comment ref="L161" authorId="0">
      <text>
        <r>
          <rPr>
            <b/>
            <sz val="12"/>
            <color indexed="81"/>
            <rFont val="Tahoma"/>
            <family val="2"/>
          </rPr>
          <t>4125 (trong 11700 của vốn TW)</t>
        </r>
      </text>
    </comment>
    <comment ref="N161" authorId="0">
      <text>
        <r>
          <rPr>
            <b/>
            <sz val="12"/>
            <color indexed="81"/>
            <rFont val="Tahoma"/>
            <family val="2"/>
          </rPr>
          <t>7575 đăng ký vốn TW</t>
        </r>
      </text>
    </comment>
    <comment ref="N163" authorId="0">
      <text>
        <r>
          <rPr>
            <b/>
            <sz val="12"/>
            <color indexed="81"/>
            <rFont val="Tahoma"/>
            <family val="2"/>
          </rPr>
          <t>7684 đăng ký vốn TW</t>
        </r>
      </text>
    </comment>
    <comment ref="K271" authorId="1">
      <text>
        <r>
          <rPr>
            <b/>
            <sz val="8"/>
            <color indexed="81"/>
            <rFont val="Tahoma"/>
            <family val="2"/>
          </rPr>
          <t>khanh:</t>
        </r>
        <r>
          <rPr>
            <sz val="8"/>
            <color indexed="81"/>
            <rFont val="Tahoma"/>
            <family val="2"/>
          </rPr>
          <t xml:space="preserve">
dự phòng phí: 1,105 trđ</t>
        </r>
      </text>
    </comment>
    <comment ref="K286" authorId="1">
      <text>
        <r>
          <rPr>
            <b/>
            <sz val="8"/>
            <color indexed="81"/>
            <rFont val="Tahoma"/>
            <family val="2"/>
          </rPr>
          <t>khanh:</t>
        </r>
        <r>
          <rPr>
            <sz val="8"/>
            <color indexed="81"/>
            <rFont val="Tahoma"/>
            <family val="2"/>
          </rPr>
          <t xml:space="preserve">
dự phòng: nst: 2624 trđ</t>
        </r>
      </text>
    </comment>
    <comment ref="K290" authorId="1">
      <text>
        <r>
          <rPr>
            <b/>
            <sz val="8"/>
            <color indexed="81"/>
            <rFont val="Tahoma"/>
            <family val="2"/>
          </rPr>
          <t>khanh:</t>
        </r>
        <r>
          <rPr>
            <sz val="8"/>
            <color indexed="81"/>
            <rFont val="Tahoma"/>
            <family val="2"/>
          </rPr>
          <t xml:space="preserve">
dự phòng 272 trđ</t>
        </r>
      </text>
    </comment>
    <comment ref="K291" authorId="1">
      <text>
        <r>
          <rPr>
            <b/>
            <sz val="8"/>
            <color indexed="81"/>
            <rFont val="Tahoma"/>
            <family val="2"/>
          </rPr>
          <t>khanh:</t>
        </r>
        <r>
          <rPr>
            <sz val="8"/>
            <color indexed="81"/>
            <rFont val="Tahoma"/>
            <family val="2"/>
          </rPr>
          <t xml:space="preserve">
dự phòng: 883</t>
        </r>
      </text>
    </comment>
    <comment ref="F296" authorId="2">
      <text>
        <r>
          <rPr>
            <b/>
            <sz val="9"/>
            <color indexed="81"/>
            <rFont val="Tahoma"/>
            <family val="2"/>
          </rPr>
          <t>User:</t>
        </r>
        <r>
          <rPr>
            <sz val="9"/>
            <color indexed="81"/>
            <rFont val="Tahoma"/>
            <family val="2"/>
          </rPr>
          <t xml:space="preserve">
288/QĐ-UBND 21/2/2011</t>
        </r>
      </text>
    </comment>
    <comment ref="G296" authorId="2">
      <text>
        <r>
          <rPr>
            <b/>
            <sz val="9"/>
            <color indexed="81"/>
            <rFont val="Tahoma"/>
            <family val="2"/>
          </rPr>
          <t>User:</t>
        </r>
        <r>
          <rPr>
            <sz val="9"/>
            <color indexed="81"/>
            <rFont val="Tahoma"/>
            <family val="2"/>
          </rPr>
          <t xml:space="preserve">
Vốn tinh: 59,310 tr</t>
        </r>
      </text>
    </comment>
    <comment ref="K296" authorId="2">
      <text>
        <r>
          <rPr>
            <b/>
            <sz val="9"/>
            <color indexed="81"/>
            <rFont val="Tahoma"/>
            <family val="2"/>
          </rPr>
          <t>User:</t>
        </r>
        <r>
          <rPr>
            <sz val="9"/>
            <color indexed="81"/>
            <rFont val="Tahoma"/>
            <family val="2"/>
          </rPr>
          <t xml:space="preserve">
Vốn tinh: 59,310 tr</t>
        </r>
      </text>
    </comment>
    <comment ref="O355" authorId="3">
      <text>
        <r>
          <rPr>
            <b/>
            <sz val="14"/>
            <color indexed="81"/>
            <rFont val="Tahoma"/>
            <family val="2"/>
            <charset val="163"/>
          </rPr>
          <t>Chi phí chuẩn bị đầu tư</t>
        </r>
      </text>
    </comment>
  </commentList>
</comments>
</file>

<file path=xl/comments2.xml><?xml version="1.0" encoding="utf-8"?>
<comments xmlns="http://schemas.openxmlformats.org/spreadsheetml/2006/main">
  <authors>
    <author>Nguyen Van Phong</author>
    <author>khanh</author>
    <author>User</author>
    <author>User!</author>
  </authors>
  <commentList>
    <comment ref="L160" authorId="0">
      <text>
        <r>
          <rPr>
            <b/>
            <sz val="12"/>
            <color indexed="81"/>
            <rFont val="Tahoma"/>
            <family val="2"/>
          </rPr>
          <t>4125 (trong 11700 của vốn TW)</t>
        </r>
      </text>
    </comment>
    <comment ref="N160" authorId="0">
      <text>
        <r>
          <rPr>
            <b/>
            <sz val="12"/>
            <color indexed="81"/>
            <rFont val="Tahoma"/>
            <family val="2"/>
          </rPr>
          <t>7575 đăng ký vốn TW</t>
        </r>
      </text>
    </comment>
    <comment ref="N162" authorId="0">
      <text>
        <r>
          <rPr>
            <b/>
            <sz val="12"/>
            <color indexed="81"/>
            <rFont val="Tahoma"/>
            <family val="2"/>
          </rPr>
          <t>7684 đăng ký vốn TW</t>
        </r>
      </text>
    </comment>
    <comment ref="K270" authorId="1">
      <text>
        <r>
          <rPr>
            <b/>
            <sz val="8"/>
            <color indexed="81"/>
            <rFont val="Tahoma"/>
            <family val="2"/>
          </rPr>
          <t>khanh:</t>
        </r>
        <r>
          <rPr>
            <sz val="8"/>
            <color indexed="81"/>
            <rFont val="Tahoma"/>
            <family val="2"/>
          </rPr>
          <t xml:space="preserve">
dự phòng phí: 1,105 trđ</t>
        </r>
      </text>
    </comment>
    <comment ref="K294" authorId="1">
      <text>
        <r>
          <rPr>
            <b/>
            <sz val="8"/>
            <color indexed="81"/>
            <rFont val="Tahoma"/>
            <family val="2"/>
          </rPr>
          <t>khanh:</t>
        </r>
        <r>
          <rPr>
            <sz val="8"/>
            <color indexed="81"/>
            <rFont val="Tahoma"/>
            <family val="2"/>
          </rPr>
          <t xml:space="preserve">
dự phòng: nst: 2624 trđ</t>
        </r>
      </text>
    </comment>
    <comment ref="K298" authorId="1">
      <text>
        <r>
          <rPr>
            <b/>
            <sz val="8"/>
            <color indexed="81"/>
            <rFont val="Tahoma"/>
            <family val="2"/>
          </rPr>
          <t>khanh:</t>
        </r>
        <r>
          <rPr>
            <sz val="8"/>
            <color indexed="81"/>
            <rFont val="Tahoma"/>
            <family val="2"/>
          </rPr>
          <t xml:space="preserve">
dự phòng 272 trđ</t>
        </r>
      </text>
    </comment>
    <comment ref="K299" authorId="1">
      <text>
        <r>
          <rPr>
            <b/>
            <sz val="8"/>
            <color indexed="81"/>
            <rFont val="Tahoma"/>
            <family val="2"/>
          </rPr>
          <t>khanh:</t>
        </r>
        <r>
          <rPr>
            <sz val="8"/>
            <color indexed="81"/>
            <rFont val="Tahoma"/>
            <family val="2"/>
          </rPr>
          <t xml:space="preserve">
dự phòng: 883</t>
        </r>
      </text>
    </comment>
    <comment ref="F304" authorId="2">
      <text>
        <r>
          <rPr>
            <b/>
            <sz val="9"/>
            <color indexed="81"/>
            <rFont val="Tahoma"/>
            <family val="2"/>
          </rPr>
          <t>User:</t>
        </r>
        <r>
          <rPr>
            <sz val="9"/>
            <color indexed="81"/>
            <rFont val="Tahoma"/>
            <family val="2"/>
          </rPr>
          <t xml:space="preserve">
288/QĐ-UBND 21/2/2011</t>
        </r>
      </text>
    </comment>
    <comment ref="G304" authorId="2">
      <text>
        <r>
          <rPr>
            <b/>
            <sz val="9"/>
            <color indexed="81"/>
            <rFont val="Tahoma"/>
            <family val="2"/>
          </rPr>
          <t>User:</t>
        </r>
        <r>
          <rPr>
            <sz val="9"/>
            <color indexed="81"/>
            <rFont val="Tahoma"/>
            <family val="2"/>
          </rPr>
          <t xml:space="preserve">
Vốn tinh: 59,310 tr</t>
        </r>
      </text>
    </comment>
    <comment ref="K304" authorId="2">
      <text>
        <r>
          <rPr>
            <b/>
            <sz val="9"/>
            <color indexed="81"/>
            <rFont val="Tahoma"/>
            <family val="2"/>
          </rPr>
          <t>User:</t>
        </r>
        <r>
          <rPr>
            <sz val="9"/>
            <color indexed="81"/>
            <rFont val="Tahoma"/>
            <family val="2"/>
          </rPr>
          <t xml:space="preserve">
Vốn tinh: 59,310 tr</t>
        </r>
      </text>
    </comment>
    <comment ref="O366" authorId="3">
      <text>
        <r>
          <rPr>
            <b/>
            <sz val="14"/>
            <color indexed="81"/>
            <rFont val="Tahoma"/>
            <family val="2"/>
            <charset val="163"/>
          </rPr>
          <t>Chi phí chuẩn bị đầu tư</t>
        </r>
      </text>
    </comment>
  </commentList>
</comments>
</file>

<file path=xl/comments3.xml><?xml version="1.0" encoding="utf-8"?>
<comments xmlns="http://schemas.openxmlformats.org/spreadsheetml/2006/main">
  <authors>
    <author>Nguyen Van Phong</author>
  </authors>
  <commentList>
    <comment ref="L53" authorId="0">
      <text>
        <r>
          <rPr>
            <b/>
            <sz val="12"/>
            <color indexed="81"/>
            <rFont val="Tahoma"/>
            <family val="2"/>
          </rPr>
          <t>4125 (trong 11700 của vốn TW)</t>
        </r>
      </text>
    </comment>
    <comment ref="N53" authorId="0">
      <text>
        <r>
          <rPr>
            <b/>
            <sz val="12"/>
            <color indexed="81"/>
            <rFont val="Tahoma"/>
            <family val="2"/>
          </rPr>
          <t>7575 đăng ký vốn TW</t>
        </r>
      </text>
    </comment>
    <comment ref="N55" authorId="0">
      <text>
        <r>
          <rPr>
            <b/>
            <sz val="12"/>
            <color indexed="81"/>
            <rFont val="Tahoma"/>
            <family val="2"/>
          </rPr>
          <t>7684 đăng ký vốn TW</t>
        </r>
      </text>
    </comment>
  </commentList>
</comments>
</file>

<file path=xl/comments4.xml><?xml version="1.0" encoding="utf-8"?>
<comments xmlns="http://schemas.openxmlformats.org/spreadsheetml/2006/main">
  <authors>
    <author>khanh</author>
  </authors>
  <commentList>
    <comment ref="G106" authorId="0">
      <text>
        <r>
          <rPr>
            <b/>
            <sz val="8"/>
            <color indexed="81"/>
            <rFont val="Tahoma"/>
            <family val="2"/>
          </rPr>
          <t>khanh:</t>
        </r>
        <r>
          <rPr>
            <sz val="8"/>
            <color indexed="81"/>
            <rFont val="Tahoma"/>
            <family val="2"/>
          </rPr>
          <t xml:space="preserve">
dự phòng phí: TW: 484; tỉnh 1,992</t>
        </r>
      </text>
    </comment>
    <comment ref="K134" authorId="0">
      <text>
        <r>
          <rPr>
            <b/>
            <sz val="8"/>
            <color indexed="81"/>
            <rFont val="Tahoma"/>
            <family val="2"/>
          </rPr>
          <t>khanh:</t>
        </r>
        <r>
          <rPr>
            <sz val="9"/>
            <color indexed="81"/>
            <rFont val="Tahoma"/>
            <family val="2"/>
          </rPr>
          <t xml:space="preserve">
dự phòng: 549 -NSH</t>
        </r>
      </text>
    </comment>
  </commentList>
</comments>
</file>

<file path=xl/comments5.xml><?xml version="1.0" encoding="utf-8"?>
<comments xmlns="http://schemas.openxmlformats.org/spreadsheetml/2006/main">
  <authors>
    <author>User</author>
    <author>User!</author>
  </authors>
  <commentList>
    <comment ref="F259" authorId="0">
      <text>
        <r>
          <rPr>
            <b/>
            <sz val="9"/>
            <color indexed="81"/>
            <rFont val="Tahoma"/>
            <family val="2"/>
          </rPr>
          <t>User:</t>
        </r>
        <r>
          <rPr>
            <sz val="9"/>
            <color indexed="81"/>
            <rFont val="Tahoma"/>
            <family val="2"/>
          </rPr>
          <t xml:space="preserve">
288/QĐ-UBND 21/2/2011</t>
        </r>
      </text>
    </comment>
    <comment ref="G259" authorId="0">
      <text>
        <r>
          <rPr>
            <b/>
            <sz val="9"/>
            <color indexed="81"/>
            <rFont val="Tahoma"/>
            <family val="2"/>
          </rPr>
          <t>User:</t>
        </r>
        <r>
          <rPr>
            <sz val="9"/>
            <color indexed="81"/>
            <rFont val="Tahoma"/>
            <family val="2"/>
          </rPr>
          <t xml:space="preserve">
Vốn tinh: 59,310 tr</t>
        </r>
      </text>
    </comment>
    <comment ref="Q259" authorId="0">
      <text>
        <r>
          <rPr>
            <b/>
            <sz val="9"/>
            <color indexed="81"/>
            <rFont val="Tahoma"/>
            <family val="2"/>
          </rPr>
          <t>User:</t>
        </r>
        <r>
          <rPr>
            <sz val="9"/>
            <color indexed="81"/>
            <rFont val="Tahoma"/>
            <family val="2"/>
          </rPr>
          <t xml:space="preserve">
Vốn tinh: 59,310 tr</t>
        </r>
      </text>
    </comment>
    <comment ref="Y541" authorId="1">
      <text>
        <r>
          <rPr>
            <b/>
            <sz val="14"/>
            <color indexed="81"/>
            <rFont val="Tahoma"/>
            <family val="2"/>
            <charset val="163"/>
          </rPr>
          <t>Chi phí chuẩn bị đầu tư</t>
        </r>
      </text>
    </comment>
    <comment ref="AC541" authorId="1">
      <text>
        <r>
          <rPr>
            <b/>
            <sz val="14"/>
            <color indexed="81"/>
            <rFont val="Tahoma"/>
            <family val="2"/>
            <charset val="163"/>
          </rPr>
          <t>Chi phí chuẩn bị đầu tư</t>
        </r>
      </text>
    </comment>
  </commentList>
</comments>
</file>

<file path=xl/sharedStrings.xml><?xml version="1.0" encoding="utf-8"?>
<sst xmlns="http://schemas.openxmlformats.org/spreadsheetml/2006/main" count="8238" uniqueCount="1763">
  <si>
    <t>Tỉnh An Giang</t>
  </si>
  <si>
    <t>Biểu mẫu số 19</t>
  </si>
  <si>
    <r>
      <t xml:space="preserve">TÌNH HÌNH THỰC HIỆN CÁC DỰ ÁN ĐẦU TƯ SỬ DỤNG VỐN CÂN ĐỐI NGÂN SÁCH TỈNH NĂM 2016 </t>
    </r>
    <r>
      <rPr>
        <b/>
        <vertAlign val="superscript"/>
        <sz val="16"/>
        <rFont val="Times New Roman"/>
        <family val="1"/>
      </rPr>
      <t>(1)</t>
    </r>
    <r>
      <rPr>
        <b/>
        <sz val="16"/>
        <rFont val="Times New Roman"/>
        <family val="1"/>
      </rPr>
      <t xml:space="preserve"> VÀ DỰ KIẾN KẾ HOẠCH NĂM 2017</t>
    </r>
  </si>
  <si>
    <t>(Biểu kèm theo công văn số  1297 /UBND-TH ngày 09 tháng 9 năm 2016 của UBND tỉnh An Giang)</t>
  </si>
  <si>
    <t>Đơn vị: Triệu đồng</t>
  </si>
  <si>
    <t>TT</t>
  </si>
  <si>
    <t>Danh mục dự án</t>
  </si>
  <si>
    <t>Địa điểm XD</t>
  </si>
  <si>
    <t>Năng lực thiết kế</t>
  </si>
  <si>
    <t>Thời gian KC-HT</t>
  </si>
  <si>
    <t>QĐ đầu tư được cấp có thẩm quyền giao KH các năm</t>
  </si>
  <si>
    <t>Năm 2016</t>
  </si>
  <si>
    <t>Lũy kế vốn đã bố trí đến hết kế hoạch năm 2016</t>
  </si>
  <si>
    <t>Dự kiến kế hoạch trung hạn 5 năm 2016-2020</t>
  </si>
  <si>
    <t>Dự kiến kế hoạch năm 2017 (đề nghị của CĐT)</t>
  </si>
  <si>
    <t>Ghi chú</t>
  </si>
  <si>
    <t>Số quyết định; ngày, tháng, năm ban hành</t>
  </si>
  <si>
    <t xml:space="preserve">TMĐT </t>
  </si>
  <si>
    <t>Kế hoạch năm 2016 được giao</t>
  </si>
  <si>
    <t>Số vốn kéo dài các năm trước sang năm 2016 (nếu có)</t>
  </si>
  <si>
    <t>Tổng số (tất cả các nguồn vốn)</t>
  </si>
  <si>
    <t>Trong đó: NST</t>
  </si>
  <si>
    <t>Tổng số</t>
  </si>
  <si>
    <t>Trong đó: Thanh toán nợ XDCB</t>
  </si>
  <si>
    <t>TỔNG SỐ</t>
  </si>
  <si>
    <t>I</t>
  </si>
  <si>
    <t>CHUẨN BỊ ĐẦU TƯ</t>
  </si>
  <si>
    <t>1</t>
  </si>
  <si>
    <t>Trung tâm tiếp nhận và trả kết quả hành chính tỉnh</t>
  </si>
  <si>
    <t>LX</t>
  </si>
  <si>
    <t>2016-2018</t>
  </si>
  <si>
    <t>THỰC HIỆN DỰ ÁN</t>
  </si>
  <si>
    <t>(1)</t>
  </si>
  <si>
    <t>Các dự án hoàn thành, bàn giao, đưa vào sử dụng trước ngày 31/12/2016</t>
  </si>
  <si>
    <t>a</t>
  </si>
  <si>
    <t>Dự án nhóm B</t>
  </si>
  <si>
    <t>Nhà khách Văn phòng UBND tỉnh</t>
  </si>
  <si>
    <t>400m2</t>
  </si>
  <si>
    <t>2013-2016</t>
  </si>
  <si>
    <t>2490/QĐ-UBND 03/11/2015</t>
  </si>
  <si>
    <t>TT đủ 2016</t>
  </si>
  <si>
    <t>2</t>
  </si>
  <si>
    <t>Trụ sở Khối cơ quan ban ngành thành phố Châu Đốc</t>
  </si>
  <si>
    <t>CĐ</t>
  </si>
  <si>
    <t>5ha</t>
  </si>
  <si>
    <t>2015-2018</t>
  </si>
  <si>
    <t>2357/QĐ-UBND 16/9/2015; 2576/QĐ-UBND 13/11/2015</t>
  </si>
  <si>
    <t>b</t>
  </si>
  <si>
    <t>Dự án nhóm C</t>
  </si>
  <si>
    <t>Trụ sở Sở Tư pháp tỉnh An Giang</t>
  </si>
  <si>
    <t>1.520 m2</t>
  </si>
  <si>
    <t>2012 - 2017</t>
  </si>
  <si>
    <t>1132/QĐ-UBND  25/034/2016</t>
  </si>
  <si>
    <t>Hội trường Huyện Ủy Tri Tôn</t>
  </si>
  <si>
    <t xml:space="preserve">TT </t>
  </si>
  <si>
    <t>400 chỗ; DT 1.422 m2</t>
  </si>
  <si>
    <t>Đến 2016</t>
  </si>
  <si>
    <t>1898/QĐ-UBND 29/10/2014</t>
  </si>
  <si>
    <t>3</t>
  </si>
  <si>
    <t>Trụ sở UBND xã Núi Voi</t>
  </si>
  <si>
    <t>TB</t>
  </si>
  <si>
    <t>647m2</t>
  </si>
  <si>
    <t>2015</t>
  </si>
  <si>
    <t>2696/QĐ-UBND 24/10/2014</t>
  </si>
  <si>
    <t>4</t>
  </si>
  <si>
    <t>Trụ sở UBND xã Vĩnh Trạch</t>
  </si>
  <si>
    <t>TS</t>
  </si>
  <si>
    <t>SL 2.967m2</t>
  </si>
  <si>
    <t>2427/QĐ-UBND 02/10/2014; 1711/QĐ-UBND 24/6/2016</t>
  </si>
  <si>
    <t>5</t>
  </si>
  <si>
    <t>Cải tạo hội trường Huyện ủy Phú Tân</t>
  </si>
  <si>
    <t>PT</t>
  </si>
  <si>
    <t>Trang thiết bị máy lạnh; C.Tạo sơn phết H.Trường</t>
  </si>
  <si>
    <t>4162/QĐ-UBPT 30/10/2015</t>
  </si>
  <si>
    <t>6</t>
  </si>
  <si>
    <t>Trụ sở làm việc Liên đoàn Lao động huyện Phú Tân</t>
  </si>
  <si>
    <t>Nhà làm việc; CT phụ trợ</t>
  </si>
  <si>
    <t>2384/QĐ-UBND 30/10/2015</t>
  </si>
  <si>
    <t>(2)</t>
  </si>
  <si>
    <t>Các dự án dự kiến hoàn thành năm 2017</t>
  </si>
  <si>
    <t>Khu hành chánh TP Long Xuyên</t>
  </si>
  <si>
    <t>4,4 Ha</t>
  </si>
  <si>
    <t>Hết 2016</t>
  </si>
  <si>
    <t>2371/QĐ-UBND 15/11/2013</t>
  </si>
  <si>
    <t>Khu Hành chánh xã Vĩnh Xương</t>
  </si>
  <si>
    <t>TC</t>
  </si>
  <si>
    <t>SLMB + Trụ 
sở UBND xã + Nhà làm việc CA xã + HTKT + TB</t>
  </si>
  <si>
    <t>2014-2017</t>
  </si>
  <si>
    <t>1968/QĐ-UBND  30/10/2014</t>
  </si>
  <si>
    <t>Trụ sở UBND thị trấn Núi Sập</t>
  </si>
  <si>
    <t>8000m2</t>
  </si>
  <si>
    <t>2432/QĐ-UBND ngày 30/10/2015</t>
  </si>
  <si>
    <t>Trụ sở UBND thị trấn Tịnh Biên</t>
  </si>
  <si>
    <t>681,37 m2</t>
  </si>
  <si>
    <t>2015-2017</t>
  </si>
  <si>
    <t>Số 1967/QĐ-UBND ngày 30/10/2014</t>
  </si>
  <si>
    <t>Trụ sở UBND thị trấn Tri Tôn</t>
  </si>
  <si>
    <t>Khối nhà chính DT sàn 949m2; CT phụ+HTKT; TB</t>
  </si>
  <si>
    <t>2488/QĐ-UBND 30/10/2015</t>
  </si>
  <si>
    <t xml:space="preserve">Cải tạo trụ sở làm việc UBND tỉnh An Giang (giai đoạn 2)        </t>
  </si>
  <si>
    <t xml:space="preserve">Cải tạo </t>
  </si>
  <si>
    <t>3010/QĐ-UBND 28/10/2016</t>
  </si>
  <si>
    <t>Trụ sở Sở Xây dựng</t>
  </si>
  <si>
    <t>1.660m2</t>
  </si>
  <si>
    <t>2132/QĐ-UBND 7/10/2015</t>
  </si>
  <si>
    <t>Trụ sở Sở Lao động Thương binh và XH</t>
  </si>
  <si>
    <t>1.800 m2</t>
  </si>
  <si>
    <t>1953/QĐ-UBND ngày 18/9/2015 (Điều chỉnh lần 2)</t>
  </si>
  <si>
    <t>Trụ sở UBND xã Phú Bình</t>
  </si>
  <si>
    <t>680 m2</t>
  </si>
  <si>
    <t>2449a/QDUBND 30/10/2015</t>
  </si>
  <si>
    <t>Trụ sở UBND xã Vĩnh Nhuận</t>
  </si>
  <si>
    <t>CT</t>
  </si>
  <si>
    <t>605m2</t>
  </si>
  <si>
    <t>2015-2016</t>
  </si>
  <si>
    <t>38/QĐ-UBND 29/02/2016</t>
  </si>
  <si>
    <t>(3)</t>
  </si>
  <si>
    <t>Các dự án chuyển tiếp hoàn thành sau năm 2017</t>
  </si>
  <si>
    <t>Kho lưu trữ chuyên dụng tỉnh An Giang</t>
  </si>
  <si>
    <t>DTXD5.810m2, HTKT</t>
  </si>
  <si>
    <t>2016-2020</t>
  </si>
  <si>
    <t>2400/QĐ-UBND 30/10/2015</t>
  </si>
  <si>
    <t>Trụ sở Ban Dân tộc tỉnh</t>
  </si>
  <si>
    <t>Knch 1.118,72 m2; CT phụ; TB</t>
  </si>
  <si>
    <t>2385/QĐ-UBND ngày 30/10/2015</t>
  </si>
  <si>
    <t>Trụ sở Sở nội vụ</t>
  </si>
  <si>
    <t>Kh.nhchính 2.603m2 và CT phụ</t>
  </si>
  <si>
    <t>2005/QĐ-UBND ngày 24/9/2015</t>
  </si>
  <si>
    <t>Cải tạo, mở rộng Trụ sở Sở Thông tin Truyền thông</t>
  </si>
  <si>
    <t>Cải tạo, mở rộng nhà làm việc, CHR</t>
  </si>
  <si>
    <t>2415/QĐ-UBND 30/10/2015</t>
  </si>
  <si>
    <t>Trụ sở Sở Khoa học và Công nghệ tỉnh</t>
  </si>
  <si>
    <t>DT khu đất 1.420m2</t>
  </si>
  <si>
    <t>2404/QĐ-UBND 30/10/2015</t>
  </si>
  <si>
    <t>NST hỗ trợ 14,217, còn lại 7,271 sử dụng đất</t>
  </si>
  <si>
    <t>Tăng cường năng lực kiểm định chất lượng công trình</t>
  </si>
  <si>
    <t>Nhà làm việc; khối thí nghiệm; CT phụ; TB</t>
  </si>
  <si>
    <t>2401/QĐ-UBND 30/10/2015</t>
  </si>
  <si>
    <t>Trụ sở Ban Quản lý khu kinh tế</t>
  </si>
  <si>
    <t>Nhà làm việc ĐTXD 469m2; 
Nhà x;CT phụ</t>
  </si>
  <si>
    <t>2414/QĐ-UBND, ngày 30/10/2015</t>
  </si>
  <si>
    <t>7</t>
  </si>
  <si>
    <t>Trụ sở Huyện ủy An Phú</t>
  </si>
  <si>
    <t>AP</t>
  </si>
  <si>
    <t>Khối nhà chính, HT 400 chổ, nhà công vụ, HTKT</t>
  </si>
  <si>
    <t>2447/QĐ-UBND
30/10/2015</t>
  </si>
  <si>
    <t>8</t>
  </si>
  <si>
    <t>Trụ sở HĐND &amp; UBND huyện Phú Tân</t>
  </si>
  <si>
    <t>Khối nhà chính; CT phụ+HTKT; TB</t>
  </si>
  <si>
    <t>2449/QĐ-UBND 30/10/2015</t>
  </si>
  <si>
    <t>(4)</t>
  </si>
  <si>
    <t>Các dự án khởi công mới năm 2017</t>
  </si>
  <si>
    <t>Mở rộng trụ sở làm việc Sở Kế hoạch và Đầu tư</t>
  </si>
  <si>
    <t>Nhà làm việc (600m2+trang TB</t>
  </si>
  <si>
    <t>2017-2018</t>
  </si>
  <si>
    <t>524/QĐ-UBND 08/3/2016</t>
  </si>
  <si>
    <t>Cải tạo, sửa chữa trụ sở làm việc Sở Tài chính</t>
  </si>
  <si>
    <t>1740m2</t>
  </si>
  <si>
    <t>713/QĐ-UBND
16/3/2016</t>
  </si>
  <si>
    <t>Cải tạo trụ sở Sở Công thương</t>
  </si>
  <si>
    <t>Nhà làm việc</t>
  </si>
  <si>
    <t>3001/QĐ-UBND 28/10/2016</t>
  </si>
  <si>
    <t>Trụ sở Ban QLDA ĐTXD và khu vực phát triển đô thị</t>
  </si>
  <si>
    <t>2017-2019</t>
  </si>
  <si>
    <t>1303/QĐ-UBND 11/5/2016</t>
  </si>
  <si>
    <t>Trụ sở làm việc Liên đoàn lao động huyện Châu Thành</t>
  </si>
  <si>
    <t>2016-2017</t>
  </si>
  <si>
    <t>1316A/QĐ-ND ngày 12/5/2016</t>
  </si>
  <si>
    <t>NC, CT và mở rộng Trụ sở UBND xã Vĩnh Gia</t>
  </si>
  <si>
    <t>Mở rộng 610  m2; Nâng cấp, cải tạo 229.7 m2</t>
  </si>
  <si>
    <t>891/QĐ-UBND 31/03/2016</t>
  </si>
  <si>
    <t>NTM 2016</t>
  </si>
  <si>
    <t>Trụ sở UBND xã Kiến Thành</t>
  </si>
  <si>
    <t>CM</t>
  </si>
  <si>
    <r>
      <t>1001 m</t>
    </r>
    <r>
      <rPr>
        <vertAlign val="superscript"/>
        <sz val="11"/>
        <rFont val="Times New Roman"/>
        <family val="1"/>
      </rPr>
      <t>2</t>
    </r>
    <r>
      <rPr>
        <sz val="11"/>
        <rFont val="Times New Roman"/>
        <family val="1"/>
      </rPr>
      <t xml:space="preserve"> </t>
    </r>
  </si>
  <si>
    <t>2855/QĐ-UBND 19/10/2016</t>
  </si>
  <si>
    <t>Trụ sở UBND xã Thới Sơn</t>
  </si>
  <si>
    <t>3002/QĐ-UBND 28/10/2016</t>
  </si>
  <si>
    <t>NTM 2017</t>
  </si>
  <si>
    <t>9</t>
  </si>
  <si>
    <t>Trụ sở UBND xã Thoại Giang</t>
  </si>
  <si>
    <t>3059/QĐ-UBND 09/10/2015</t>
  </si>
  <si>
    <t>10</t>
  </si>
  <si>
    <t>Trụ sở UBND xã Phú Thạnh</t>
  </si>
  <si>
    <t>504,12m2</t>
  </si>
  <si>
    <t>4941/QĐ-UBND 17/10/2016</t>
  </si>
  <si>
    <t>NTM 2020</t>
  </si>
  <si>
    <t>11</t>
  </si>
  <si>
    <t>Trụ sở UBND xã An Phú</t>
  </si>
  <si>
    <t>734 m2</t>
  </si>
  <si>
    <t>4188/QĐ-UBND 30/10/2015</t>
  </si>
  <si>
    <t>12</t>
  </si>
  <si>
    <t>Trụ sở UBND xã Núi Tô</t>
  </si>
  <si>
    <t>4.000 m2</t>
  </si>
  <si>
    <t>889/QĐ-UBND 31/03/2016</t>
  </si>
  <si>
    <t>13</t>
  </si>
  <si>
    <t>Trụ sở UBND xã Ô Lâm</t>
  </si>
  <si>
    <t>657,92 m2</t>
  </si>
  <si>
    <t>1424/QĐ-UBND 07/4/2016</t>
  </si>
  <si>
    <t>Trong đó</t>
  </si>
  <si>
    <t>ĐTTT</t>
  </si>
  <si>
    <t>XSKT</t>
  </si>
  <si>
    <t>Kế hoạch vốn ngân sách tỉnh năm 2017 (đề nghị của các phòng)</t>
  </si>
  <si>
    <t>Nâng cấp trại giống thủy sản công nghệ cao Bình Thạnh 1+2+3</t>
  </si>
  <si>
    <t>CT, TS, PT</t>
  </si>
  <si>
    <t>07/HĐND-TT</t>
  </si>
  <si>
    <t>Kiểm soát lũ vùng Tây sông Hậu</t>
  </si>
  <si>
    <t>DT kiểm soát 19.600 ha; 107km đê; 39 cống; 8 cầu</t>
  </si>
  <si>
    <t>Dự án bảo vệ và phát triển rừng bền vững tỉnh An Giang giai đoạn 2016 - 2020</t>
  </si>
  <si>
    <t>T. tỉnh</t>
  </si>
  <si>
    <t>25.801 ha</t>
  </si>
  <si>
    <t>Hoàn ứng kinh phí giữ cây trên Núi Cấm</t>
  </si>
  <si>
    <t>2443/QĐ-UBND 
11/10/2002; 2444/QĐ-UBND 
11/10/2002; 2445/QĐ-UBND 
11/10/2002; 2464/QĐ-UBND 
15/10/2002</t>
  </si>
  <si>
    <t>Mô hình hồ chứa nước vùng khô hạn phục vụ nước sinh hoạt cho dân cư vùng Tri Tôn</t>
  </si>
  <si>
    <t>DT 2,26km2; dun gtích 293.000m3</t>
  </si>
  <si>
    <t>2395/QĐ-UBND 15/11/2013; 2317/QĐ-UBND 17/8/2016</t>
  </si>
  <si>
    <t>Bảo vệ và phát triển rừng phòng hộ, đặc dụng</t>
  </si>
  <si>
    <t>TT, TB, CĐ, TS</t>
  </si>
  <si>
    <t>18.864ha</t>
  </si>
  <si>
    <t>2011-2015</t>
  </si>
  <si>
    <t>1810/QĐ-UBND 12/10/2011</t>
  </si>
  <si>
    <t>Trồng cây lâm nghiệp phân tán</t>
  </si>
  <si>
    <t>T.Tỉnh</t>
  </si>
  <si>
    <t>12.792ha</t>
  </si>
  <si>
    <t>2515/QĐ-UBND 30/12/2010</t>
  </si>
  <si>
    <t>Trạm BVTV- Thú y - Khuyến nông Tri Tôn</t>
  </si>
  <si>
    <t>6278/QĐ-UBND 29/10/2015</t>
  </si>
  <si>
    <t>Gia cố sạt lở cua đầu voi Ba Bần</t>
  </si>
  <si>
    <t>155m</t>
  </si>
  <si>
    <t>3183/QĐ-UBND 30/10/2015</t>
  </si>
  <si>
    <t>Khu tái định cư Bình Đức (phục vụ TĐC khắc phục sạt lở bờ hữu sông Hậu phường Bình Đức - Bình Khánh)</t>
  </si>
  <si>
    <t>DT san lấp 51,853 m2; hệ thống HTKT</t>
  </si>
  <si>
    <t>2397/QĐ-UBND 30/10/2015</t>
  </si>
  <si>
    <t>Kè bờ sông Hậu bảo vệ khu vực Tỉnh ủy An Giang (đoạn từ CLB Hưu Trí đến cầu Nguyễn Trung Trực)</t>
  </si>
  <si>
    <t>1.650md</t>
  </si>
  <si>
    <t>Hết 2017</t>
  </si>
  <si>
    <t>1048/QĐ-UBND 13/4/2016</t>
  </si>
  <si>
    <t xml:space="preserve">Kè chống sạt lở cấp bách kết hợp đê bao chống lũ bờ sông Châu Đốc </t>
  </si>
  <si>
    <t>314m</t>
  </si>
  <si>
    <t>230/QĐ-UBND  05/02/2015</t>
  </si>
  <si>
    <t>Kè chống sạt lở bờ sông Tiền bảo vệ thị trấn Phú Mỹ</t>
  </si>
  <si>
    <t>GĐ 1: 169 md;
GĐ 2: 254 md.</t>
  </si>
  <si>
    <t>2013-2017</t>
  </si>
  <si>
    <t>1311/QĐ-UBND ngày 08/7/2015</t>
  </si>
  <si>
    <t>Cải tạo, nâng cấp Trạm bơm 3 tháng 2</t>
  </si>
  <si>
    <t>Tưới tiêu 2.050 ha</t>
  </si>
  <si>
    <t>297QĐ-UBND 03/02/2016</t>
  </si>
  <si>
    <t>Khu bảo tồn các loài thủy sản rừng tràm Trà Sư</t>
  </si>
  <si>
    <t>845ha</t>
  </si>
  <si>
    <t>1546/QĐ-UBND  10/4/2014; 2295/QĐ-UBND 15/8/2016</t>
  </si>
  <si>
    <t>Trạm Thú y - Khuyến nông - Bảo Vệ TV huyện Tịnh Biên</t>
  </si>
  <si>
    <r>
      <t>635,6</t>
    </r>
    <r>
      <rPr>
        <i/>
        <sz val="9"/>
        <rFont val="Times New Roman"/>
        <family val="1"/>
      </rPr>
      <t xml:space="preserve"> </t>
    </r>
    <r>
      <rPr>
        <sz val="9"/>
        <rFont val="Times New Roman"/>
        <family val="1"/>
      </rPr>
      <t>m2</t>
    </r>
  </si>
  <si>
    <t>Số 4187/QĐ-UBND ngày  30/10/2015</t>
  </si>
  <si>
    <t>Trạm BVTV- Thú y - Khuyến nông Châu Đốc</t>
  </si>
  <si>
    <t>348m2</t>
  </si>
  <si>
    <t>760/QĐ-UBND 28/10/2015</t>
  </si>
  <si>
    <t>Trạm BVTV- Thú y - Khuyến nông Châu Thành</t>
  </si>
  <si>
    <t>Trụ sở 567,36m2; CT phụ</t>
  </si>
  <si>
    <t>72/QĐ-UBCT 28/3/2016</t>
  </si>
  <si>
    <t>Trạm BVTV- Thú y - Khuyến nông Châu Phú</t>
  </si>
  <si>
    <t>CP</t>
  </si>
  <si>
    <t>Khối nhà làm việc, HTKT, TB</t>
  </si>
  <si>
    <t>1834/QĐ-UBCP 29/10/2015</t>
  </si>
  <si>
    <t>Chỉnh trị dòng chảy và gia cố sạt lỡ sông Bình Di ấp Tắc Trúc- Nhơn Hội-An Phú</t>
  </si>
  <si>
    <t>1164/QĐ-UBND 
30/3/2016</t>
  </si>
  <si>
    <t xml:space="preserve">Trả nợ vay kiên cố hoá kênh mương </t>
  </si>
  <si>
    <t>Chống ngập và nâng cấp đô thị thành phố Châu Đốc thích ứng với Biến đổi khí hậu</t>
  </si>
  <si>
    <t>5796m kè</t>
  </si>
  <si>
    <t>699/QĐ-UBND 07/5/2012</t>
  </si>
  <si>
    <t>Xây dựng và nhân rộng mô hình “Cánh đồng lớn” tỉnh An Giang giai đoạn 2016-2020</t>
  </si>
  <si>
    <t>45 TV=36.292 ha</t>
  </si>
  <si>
    <t>60/HĐND-TT</t>
  </si>
  <si>
    <t>Thực hiện chính sách khuyến khích Doanh nghiệp đầu tư vào lĩnh vực nông nghiệp, nông thôn theo Nghị định số 210/2013/NĐ-CP ngày 19/12/2013</t>
  </si>
  <si>
    <t>c</t>
  </si>
  <si>
    <t>Xây dựng nhà công vụ Trạm kiểm dịch Động vật Vĩnh Xương</t>
  </si>
  <si>
    <t>75m2</t>
  </si>
  <si>
    <t>1197/QĐ-UBND 04/5/2016</t>
  </si>
  <si>
    <t>Hỗ trợ đầu tư phát triển kết cấu hạ tầng của hợp tác xã nông, lâm, ngư nghiệp tỉnh An Giang</t>
  </si>
  <si>
    <t>Toàn tỉnh</t>
  </si>
  <si>
    <t>VP làm việc,  NN, nhà kho và SLMB, Đường GT nội đồng, mương dẫn nước, lò sấy lúa.</t>
  </si>
  <si>
    <t>2016-2025</t>
  </si>
  <si>
    <t>II</t>
  </si>
  <si>
    <t xml:space="preserve"> Hạ tầng KCN Bình Hòa</t>
  </si>
  <si>
    <t xml:space="preserve">Hệ thống giao thông hệ thống thoát nước mưa (giai đoạn 2) </t>
  </si>
  <si>
    <t>Hàng rào</t>
  </si>
  <si>
    <t>Cửa cổng</t>
  </si>
  <si>
    <t>Nâng cao tĩnh không đường dây 110KV</t>
  </si>
  <si>
    <t>CSHT KCN Bình Long</t>
  </si>
  <si>
    <t>CSHT khu công nghiệp Bình Long:Đền bù bổ sung</t>
  </si>
  <si>
    <t>SLMB khu TĐC KCN Bình Long</t>
  </si>
  <si>
    <t>HTGT+HTTN khu TĐC giai đoạn 2KCN Bình Long</t>
  </si>
  <si>
    <t>Đường nối KCN Bình Hòa ra S.Hậu (cả Cầu Tàu)</t>
  </si>
  <si>
    <t>504m</t>
  </si>
  <si>
    <t>1909/QĐ-UBND
31/10/2012</t>
  </si>
  <si>
    <t>Hệ thống chiếu sáng KCN Bình Hòa (giai đoạn 1)</t>
  </si>
  <si>
    <t>1.260m</t>
  </si>
  <si>
    <t>2113/QĐ-UBND
07/10/2015</t>
  </si>
  <si>
    <t>Hệ thống xử lý nước thải KCN Bình Hòa</t>
  </si>
  <si>
    <r>
      <t>2.000m</t>
    </r>
    <r>
      <rPr>
        <vertAlign val="superscript"/>
        <sz val="11"/>
        <rFont val="Times New Roman"/>
        <family val="1"/>
      </rPr>
      <t>3</t>
    </r>
    <r>
      <rPr>
        <sz val="11"/>
        <rFont val="Times New Roman"/>
        <family val="1"/>
      </rPr>
      <t>/ngày.đêm</t>
    </r>
  </si>
  <si>
    <t>1943/QĐ-UBND 
30/10/2014</t>
  </si>
  <si>
    <t>Hệ thống xử lý nước thải KCN Bình Long</t>
  </si>
  <si>
    <r>
      <t>4.000 m</t>
    </r>
    <r>
      <rPr>
        <vertAlign val="superscript"/>
        <sz val="11"/>
        <rFont val="Times New Roman"/>
        <family val="1"/>
      </rPr>
      <t>3</t>
    </r>
    <r>
      <rPr>
        <sz val="11"/>
        <rFont val="Times New Roman"/>
        <family val="1"/>
      </rPr>
      <t>/ngày.đêm</t>
    </r>
  </si>
  <si>
    <t>2017-2021</t>
  </si>
  <si>
    <t>158/HĐND-TT, ngày 16/10/2015</t>
  </si>
  <si>
    <t>Cấp điện cho các thôn, ấp chưa có điện tỉnh An Giang giai đoạn 2013-2020</t>
  </si>
  <si>
    <t>TTỉnh</t>
  </si>
  <si>
    <t xml:space="preserve">601,4km </t>
  </si>
  <si>
    <t>3027/QĐ-UBND 31/10/2016</t>
  </si>
  <si>
    <t>Trong đó giai đoạn 1</t>
  </si>
  <si>
    <t>Hệ thống chiếu sáng KCN Bình hòa (giai đoạn 2)</t>
  </si>
  <si>
    <t>2021m</t>
  </si>
  <si>
    <t>San lấp mặt bằng Khu công nghiệp Bình hòa mở rộng</t>
  </si>
  <si>
    <t>30 ha'</t>
  </si>
  <si>
    <t>2016-2021</t>
  </si>
  <si>
    <t>Cụm công nghiệp Lương An Trà</t>
  </si>
  <si>
    <t>III</t>
  </si>
  <si>
    <t>Trạm KSLH cửa khẩu Vĩnh Xương</t>
  </si>
  <si>
    <t>2018-2022</t>
  </si>
  <si>
    <t>23/HĐND-TT, ngày 03/02/2016</t>
  </si>
  <si>
    <t>Quốc môn cửa khẩu Vĩnh Xương</t>
  </si>
  <si>
    <t>0,5 ha</t>
  </si>
  <si>
    <t>2017</t>
  </si>
  <si>
    <t>Thông báo số 198/TB-VPUBND, ngày 21/6/2016</t>
  </si>
  <si>
    <t>Quốc môn cửa khẩu Khánh Bình</t>
  </si>
  <si>
    <t>Tạo quỹ đất khu TMDV cửa khẩu Khánh Bình</t>
  </si>
  <si>
    <t>Trạm KSLH cửa khẩu Vĩnh Hội Đông</t>
  </si>
  <si>
    <r>
      <t>7.300m</t>
    </r>
    <r>
      <rPr>
        <vertAlign val="superscript"/>
        <sz val="11"/>
        <rFont val="Times New Roman"/>
        <family val="1"/>
      </rPr>
      <t>2</t>
    </r>
  </si>
  <si>
    <t>1376/QĐ-UBND
15/07/2015</t>
  </si>
  <si>
    <t>HTKT Khu thương mại - Công nghiệp Vĩnh Xương</t>
  </si>
  <si>
    <t>21,5 ha</t>
  </si>
  <si>
    <t>2014-2018</t>
  </si>
  <si>
    <t>2273/QĐ-UBND
31/10/2013; 1720/QĐ-UBND 25/8/2015; 1493/QĐ-UBND 01/6/2016</t>
  </si>
  <si>
    <t>Trạm KSLH cửa khẩu Tịnh Biên</t>
  </si>
  <si>
    <t>4,1 ha</t>
  </si>
  <si>
    <t>2014-2019</t>
  </si>
  <si>
    <t>1944/QĐ-UBND, ngày 30/10/2014; 1495/QĐ-UBND 03/8/2015; 981/QĐ-UBND 08/4/2016</t>
  </si>
  <si>
    <t>HTKT khu Thương mại - Dịch vụ cửa khẩu Khánh Bình (giai đoạn 1)</t>
  </si>
  <si>
    <t>34,42 ha</t>
  </si>
  <si>
    <t>2015-2020</t>
  </si>
  <si>
    <t>2402/QĐ-UBND 30/10/2015</t>
  </si>
  <si>
    <t>Trạm KSLH cửa khẩu Khánh Bình</t>
  </si>
  <si>
    <t>7,56 ha</t>
  </si>
  <si>
    <t>Mở cửa khẩu phụ Vĩnh Gia, xã Vĩnh Gia</t>
  </si>
  <si>
    <t>62.049m2</t>
  </si>
  <si>
    <t>3030/QĐ-UBND 31/10/2016</t>
  </si>
  <si>
    <t>Kể cả vốn CBĐT</t>
  </si>
  <si>
    <t>Dự án nhóm c</t>
  </si>
  <si>
    <t>Đường giao thông số 29 Khu vực cửa khẩu Khánh Bình</t>
  </si>
  <si>
    <t>395m</t>
  </si>
  <si>
    <t>2304/QĐ-UBND 16/8/2016</t>
  </si>
  <si>
    <t>IV</t>
  </si>
  <si>
    <t>Cầu Nguyễn Thái Học</t>
  </si>
  <si>
    <t>Cầu 170m, rộng 16m; đường dẫn; CT phụ</t>
  </si>
  <si>
    <t>Nâng cấp đường tỉnh 949</t>
  </si>
  <si>
    <t>TB-TT</t>
  </si>
  <si>
    <t>2017-2020</t>
  </si>
  <si>
    <t>Nâng cấp đường tỉnh 942 (đoạn cầu Ông Chưởng-Phà Thuận Giang)</t>
  </si>
  <si>
    <t>3,6km</t>
  </si>
  <si>
    <t xml:space="preserve"> 98/HĐND-TT 9/3/2015</t>
  </si>
  <si>
    <t>Nâng cấp mở rông khẩn cấp đường tỉnh 948 thuộc tuyến quốc phòng an ninh vùng biên giới và dân tộc</t>
  </si>
  <si>
    <t>Tịnh Biên - Tri Tôn</t>
  </si>
  <si>
    <t>9601m</t>
  </si>
  <si>
    <t>Láng nhựa đường Latina</t>
  </si>
  <si>
    <t>Nâng cấp mở rộng đường tỉnh 943 (đoạn từ cầu Phú Hòa đến cầu Thoại Giang)</t>
  </si>
  <si>
    <t>16.895,8m</t>
  </si>
  <si>
    <t>2009-2016</t>
  </si>
  <si>
    <t>237/QĐ-UBND 04/02/2013</t>
  </si>
  <si>
    <t>Cầu Cái Tắc - Đường tỉnh 954</t>
  </si>
  <si>
    <t>20,5m</t>
  </si>
  <si>
    <t>1926/QĐ-UBND 30/10/2014</t>
  </si>
  <si>
    <t>Cầu Phú Hội (bắc qua sông Châu Đốc)</t>
  </si>
  <si>
    <t>Cầu 139m; đường dẫn 70,08m</t>
  </si>
  <si>
    <t>1015/QĐ-UBND 11/6/2015</t>
  </si>
  <si>
    <t>Cầu Xã Diễu (km22+597) ĐT.961</t>
  </si>
  <si>
    <t>Cầu 43,6m; đường dẫn 86,4m</t>
  </si>
  <si>
    <t>448/QĐ-UBND 28/10/2014</t>
  </si>
  <si>
    <t>Cầu kênh E -ĐT.943</t>
  </si>
  <si>
    <t>34,41mx4m</t>
  </si>
  <si>
    <t>3790/QĐ-UBND 22/12/2015</t>
  </si>
  <si>
    <t>Xây dựng đường kênh E</t>
  </si>
  <si>
    <t>1.579m</t>
  </si>
  <si>
    <t>562/QĐ-UBND 04/5/2015</t>
  </si>
  <si>
    <t>Đường tránh Đại đội Ba Xoài</t>
  </si>
  <si>
    <t>1.541,1m, mặt 3m, nền 4m</t>
  </si>
  <si>
    <t>4440/QĐ-UBTB 29/10/2015</t>
  </si>
  <si>
    <t>Nâng cấp láng nhựa đoạn còn lại và xây dựng cầu trên đường vào khu di tích Ô Tà Sóc</t>
  </si>
  <si>
    <t>114m</t>
  </si>
  <si>
    <t>6244/QĐ-UBND 26/10/2015</t>
  </si>
  <si>
    <t>Cải tạo, nâng cấp mặt đường và xây kè ĐT.941</t>
  </si>
  <si>
    <t>CT-TT</t>
  </si>
  <si>
    <t>39 km</t>
  </si>
  <si>
    <t>2030/QĐ-UBND 29/9/2015</t>
  </si>
  <si>
    <t>Nâng cấp mở rộng đường tỉnh 943 (đoạn từ ngã 3 đường số 1 đến cầu Phú Hòa)</t>
  </si>
  <si>
    <t>1.373m</t>
  </si>
  <si>
    <t>1569/QĐ-UBND 12/9/2014</t>
  </si>
  <si>
    <t>Đường Lý Thái Tổ nối dài (đoạn từ đường Trần Hưng Đạo đến hẻm 12)</t>
  </si>
  <si>
    <t>231,2 m</t>
  </si>
  <si>
    <t>2005/QĐ-UBND 15/7/2016</t>
  </si>
  <si>
    <t>Nâng cấp ĐT943 đoạn tân Tuyến - Sóc Triết</t>
  </si>
  <si>
    <t>10km</t>
  </si>
  <si>
    <t>2015 - 
2017</t>
  </si>
  <si>
    <t>2090/QĐ-UBND
05/10/2015</t>
  </si>
  <si>
    <t>Nâng cấp mở rộng ĐT 957 thuộc tuyến đường tuần tra biên giới kết hợp cứu hộ, cứu nạn và đê bao ngăn lũ</t>
  </si>
  <si>
    <t>30,3km</t>
  </si>
  <si>
    <t>2012-2016</t>
  </si>
  <si>
    <t>1185/QĐ-UBND 30/7/2014</t>
  </si>
  <si>
    <t>Cầu Tân An</t>
  </si>
  <si>
    <t>5.200m</t>
  </si>
  <si>
    <t>308/QĐ-UBND 26/02/2015</t>
  </si>
  <si>
    <t>Đường kênh Thần Nông (đoạn phường Long Phú)</t>
  </si>
  <si>
    <t>2,7km</t>
  </si>
  <si>
    <t>2014-2016</t>
  </si>
  <si>
    <t>1163/QĐ-UB 25/6/2015</t>
  </si>
  <si>
    <t>Đường sau Sông Tiền nối Bờ Bắc kênh Km2 (đoạn từ đường Tôn Đức Thắng đến Km1+180)</t>
  </si>
  <si>
    <t>1.180m</t>
  </si>
  <si>
    <t>4113/QĐ-UBND 30/10/2015</t>
  </si>
  <si>
    <t>Mở rộng nút giao thông tại vị trí cầu kênh E (cầu Vàng)</t>
  </si>
  <si>
    <t>Cầu 19,4m; đường dẫn 44,2m</t>
  </si>
  <si>
    <t>3182/QĐ-UBND 30/10/2015</t>
  </si>
  <si>
    <t>Cầu kênh F</t>
  </si>
  <si>
    <t>30,18 m; đường dẫn</t>
  </si>
  <si>
    <t>1586/QĐ-UBND 30/03/2016</t>
  </si>
  <si>
    <t>Cầu kênh G</t>
  </si>
  <si>
    <t>1587/QĐ-UBND 30/03/2016</t>
  </si>
  <si>
    <t>Cầu kênh H</t>
  </si>
  <si>
    <t>1588/QĐ-UBND 30/03/2016</t>
  </si>
  <si>
    <t>Cầu kênh Ông Cò</t>
  </si>
  <si>
    <t>36,22 m; đường dẫn</t>
  </si>
  <si>
    <t>1589/QĐ-UBND 30/3/2016</t>
  </si>
  <si>
    <t>Cầu kênh Mương Trâu</t>
  </si>
  <si>
    <t>1590/QĐ-UBND 30/03/2016</t>
  </si>
  <si>
    <t>Nâng cấp Đường phục vụ an ninh quốc phòng kết hợp với đê ngăn lũ vùng tứ giác Long Xuyên đoạn từ Châu Đốc – Cửa khẩu Tịnh Biên, tỉnh An Giang (ĐT955A)</t>
  </si>
  <si>
    <t>CĐ-TB</t>
  </si>
  <si>
    <t>21,15 km</t>
  </si>
  <si>
    <t>1936/QĐ-UBND 30/10/2014; 2388A/QĐ-UBND 30/10/2015; 2675/QĐ-UBND 28/9/2016</t>
  </si>
  <si>
    <t>Giai đoạn I: Đoạn từ cầu Hữu Nghị (cửa khẩu Tịnh Biên) đến xã Nhơn Hưng</t>
  </si>
  <si>
    <t>1936/QĐ-UBND 30/10/2014</t>
  </si>
  <si>
    <t>Giai đoạn II: Đoạn từ xã Nhơn Hưng đến Châu Đốc</t>
  </si>
  <si>
    <t>2388A/QĐ-UBND 30/10/2015</t>
  </si>
  <si>
    <t>Nâng cấp tuyến tránh thị trấn Núi Sập</t>
  </si>
  <si>
    <t>4.058m; 01 cầu thép đôi</t>
  </si>
  <si>
    <t>2463/QĐ-UBND 30/10/2015</t>
  </si>
  <si>
    <t>Đường giao thông liên xã Mỹ Khánh (từ cầu Thông Lưu đến cầu Cái Chiêng)</t>
  </si>
  <si>
    <t>đường 5.325m, 01 cầu, 6 cống</t>
  </si>
  <si>
    <t>2390A/QĐ-UBND 30/10/2015</t>
  </si>
  <si>
    <t>Cầu Am Lôi Thôi tuyến đường tỉnh 952</t>
  </si>
  <si>
    <t>Cầu BTCT 55,9m; đường 444,1m</t>
  </si>
  <si>
    <t>2351/QĐ-UBND 30/10/2015</t>
  </si>
  <si>
    <t>Đường Nguyễn Văn Linh nối dài</t>
  </si>
  <si>
    <t>420m</t>
  </si>
  <si>
    <t>2418/QĐ-UBND 30/10/2015</t>
  </si>
  <si>
    <t>Nâng cấp mở rộng đường Ung Văn Khiêm (đoạn từ cầu Ung Văn Khiêm đến đường Phạm Cự Lượng)</t>
  </si>
  <si>
    <t>360m; CT phụ</t>
  </si>
  <si>
    <t>2419/QĐ-UBND 30/10/2015</t>
  </si>
  <si>
    <t>Nâng cấp, cải tạo đường Chu văn An</t>
  </si>
  <si>
    <t>4.184m, mặt 7-8m; CT phụ</t>
  </si>
  <si>
    <t>886A/QĐ-UBND
30/03/2016</t>
  </si>
  <si>
    <t>Nâng cấp đường hương lộ 11</t>
  </si>
  <si>
    <t>6.633m, mặt 5,5m</t>
  </si>
  <si>
    <t>544/QĐ-UBND 08/3/2016</t>
  </si>
  <si>
    <t>Hạ tầng kỹ thuật đường số 12 kết hợp khu tái định cư - Khu quy hoạch Bắc Hà Hoàng Hổ</t>
  </si>
  <si>
    <t>31.205 m2</t>
  </si>
  <si>
    <t>2016 - 2018</t>
  </si>
  <si>
    <t>609/QĐ-UBND 11/3/2016</t>
  </si>
  <si>
    <t>Nâng cấp mở rộng tuyến Thoại Giang-Xã Diễu (đoạn từ cầu Thoại Giang đến cầu Xã Diễu)</t>
  </si>
  <si>
    <t>10.763m, mặt 5,5m; 02 cầu</t>
  </si>
  <si>
    <t>2198/QĐ-UBND 03/8/2016</t>
  </si>
  <si>
    <t>Kể cả chi phí CBĐT</t>
  </si>
  <si>
    <t>Cầu Cái Đầm - ĐT.954</t>
  </si>
  <si>
    <t>Cầu 99,2m, rộng 10m; đường dẫn 783,8m, rộng 8m; CT phụ</t>
  </si>
  <si>
    <t>2899/QĐ-UBND 26/10/2016</t>
  </si>
  <si>
    <t>Đường gom dân sinh dưới chân cầu Tôn Đức Thắng</t>
  </si>
  <si>
    <t>2.988,7 m2</t>
  </si>
  <si>
    <t xml:space="preserve"> 1346/QĐ-UBND 16/5/2016 </t>
  </si>
  <si>
    <t>Xây dựng 08 cầu trên tuyến đường vào làng nghề may mùng xã Bình Hoà</t>
  </si>
  <si>
    <t>Từ 15m đến 28m</t>
  </si>
  <si>
    <t>411/QĐ-UBND 27/10/2016; 412/QĐ-UBND 27/10/2016; 413/QĐ-UBND 27/10/2016; 414/QĐ-UBND 27/10/2016</t>
  </si>
  <si>
    <t>Đường giao thông nông thôn đến trung tâm xã Bình Thạnh</t>
  </si>
  <si>
    <t>3976m</t>
  </si>
  <si>
    <t>416/QĐ-UBND 27/10/2016</t>
  </si>
  <si>
    <t>Nâng cấp đường GTNT đến trung tâm xã Hòa Bình Thạnh (từ Quốc lộ 91 đến cầu treo Ủy ban nhân dân xã Hòa Bình Thạnh)</t>
  </si>
  <si>
    <t>3.807m; mặt 3,5m; nền 6,5m; 01 cầu</t>
  </si>
  <si>
    <t>1296/QĐ-UBND 11/5/2016</t>
  </si>
  <si>
    <t>XD mới cầu Bà Chủ trên tuyến đường GTNT Liên xã Cần Đăng - Hòa Bình Thạnh - Vĩnh Lợi - Vĩnh Thành</t>
  </si>
  <si>
    <t>CĐ-CT</t>
  </si>
  <si>
    <t>48m</t>
  </si>
  <si>
    <t>410/QĐ-UBND 27/10/2016</t>
  </si>
  <si>
    <t>Tuyến đường giao thông nông thôn Vĩnh Lợi-Vĩnh Nhuận- Tân Phú (ĐH5)</t>
  </si>
  <si>
    <t>11553m2</t>
  </si>
  <si>
    <t>2016-2019</t>
  </si>
  <si>
    <t>3025/QĐ-UBND 31/10/2016</t>
  </si>
  <si>
    <t>Tuyến đường giao thông nông thôn An Hoà-Cần Đăng (ĐH12)</t>
  </si>
  <si>
    <t>3000m</t>
  </si>
  <si>
    <t>Tuyến đường giao thông nông thôn Cần Đăng-Vĩnh Hanh</t>
  </si>
  <si>
    <t>16219m</t>
  </si>
  <si>
    <t>3026/QĐ-UBND 31/10/2016</t>
  </si>
  <si>
    <t>Tuyến đường giao thông An Hoà-Cần Đăng-Vĩnh Hanh (ĐH03)</t>
  </si>
  <si>
    <t>1475m</t>
  </si>
  <si>
    <t>V</t>
  </si>
  <si>
    <t>B</t>
  </si>
  <si>
    <t>Hạ tầng khu liên hợp xử lý chất thải rắn cụm Long Xuyên (giai đoạn I)</t>
  </si>
  <si>
    <t>8,16ha</t>
  </si>
  <si>
    <t>129/QĐ-UBND 21/1/16</t>
  </si>
  <si>
    <t>Đường đến trạm XLNT TP Long Xuyên</t>
  </si>
  <si>
    <t>750m</t>
  </si>
  <si>
    <t>1902/QĐ-UBND
29/10/2014</t>
  </si>
  <si>
    <t>Hạ tầng nhà máy xử lý rác huyện An Phú</t>
  </si>
  <si>
    <t>DT sử dụng đất 14.742m2</t>
  </si>
  <si>
    <t>2431/QĐ-UBND 30/10/2015</t>
  </si>
  <si>
    <t>NST: vốn ĐTPT2,5tỷ và vốn SNMT2,5tỷ</t>
  </si>
  <si>
    <t>Lò đốt rác thị trấn Núi Sập</t>
  </si>
  <si>
    <t>700,9m2</t>
  </si>
  <si>
    <t>2141/QĐ-UBND 28/7/2016</t>
  </si>
  <si>
    <t>Lò đốt rác sinh hoạt xã Vĩnh Gia</t>
  </si>
  <si>
    <t>403,4m2</t>
  </si>
  <si>
    <t>5600/QĐ-UBND 25/10/2016</t>
  </si>
  <si>
    <t>Các dự án dự kiến hoàn thành sau năm 2017</t>
  </si>
  <si>
    <t>Lò đốt chất thải rắn sinh hoạt TT Mỹ Luông</t>
  </si>
  <si>
    <t>30tấn/ngđ</t>
  </si>
  <si>
    <t>2018-2019</t>
  </si>
  <si>
    <t>Lò đốt chất thải rắn sinh hoạt TT Cái Dầu</t>
  </si>
  <si>
    <t>15tấn/ngày</t>
  </si>
  <si>
    <t>Lò đốt rác xã Bình Phước Xuân</t>
  </si>
  <si>
    <t>15tấn/ngđ</t>
  </si>
  <si>
    <t>VI</t>
  </si>
  <si>
    <t>A</t>
  </si>
  <si>
    <t>VII</t>
  </si>
  <si>
    <t>Khu tái định cư giai đoạn 4 - Khu quy hoạch Bắc Hà Hoàng Hổ</t>
  </si>
  <si>
    <t>24.281,54 m2</t>
  </si>
  <si>
    <t>2381/QĐ-UBND 24/8/2016</t>
  </si>
  <si>
    <t>Khu tái định cư giai đoạn 5 - Khu quy hoạch Bắc Hà Hoàng Hổ</t>
  </si>
  <si>
    <t>10.551 m2</t>
  </si>
  <si>
    <t>2380/QĐ-UBND 24/8/2016</t>
  </si>
  <si>
    <t>TDC dân tộc Chăm xã Đa Phước</t>
  </si>
  <si>
    <t>50.594 m2</t>
  </si>
  <si>
    <t>1433/QĐ-UBND 
25/5/2016</t>
  </si>
  <si>
    <t>Khu dân cư dưới chân Núi Cấm</t>
  </si>
  <si>
    <t>6,3ha</t>
  </si>
  <si>
    <t>1676/QĐ-UBND 21/6/2016</t>
  </si>
  <si>
    <t>CT XD CSHT các xã biên giới (QĐ160)</t>
  </si>
  <si>
    <t>TT, TB, CĐ, AP, TC</t>
  </si>
  <si>
    <t>- Thành phố Châu Đốc</t>
  </si>
  <si>
    <t>- Thị xã Tân Châu</t>
  </si>
  <si>
    <t>- Huyện An Phú</t>
  </si>
  <si>
    <t>- Huyện Tịnh Biên</t>
  </si>
  <si>
    <t>- Huyện Tri Tôn</t>
  </si>
  <si>
    <t>VIII</t>
  </si>
  <si>
    <t>Đội QLTT Số 5 thị xã  Tân Châu</t>
  </si>
  <si>
    <t>Đội QLTT Số 7 huyện Châu Phú</t>
  </si>
  <si>
    <t>2019-2020</t>
  </si>
  <si>
    <t>Đội QLTT Số 10 huyện Phú Tân</t>
  </si>
  <si>
    <t>Trụ sở Đội Quản lý thị trường số 6</t>
  </si>
  <si>
    <t>504,7m2</t>
  </si>
  <si>
    <t>3049/QĐ-UBND 31/10/2016</t>
  </si>
  <si>
    <t>Trụ sở Đội Quản lý thị trường số 13</t>
  </si>
  <si>
    <t>3050/QĐ-UBND 31/10/2016</t>
  </si>
  <si>
    <t>IX</t>
  </si>
  <si>
    <t>Thành phố Long Xuyên</t>
  </si>
  <si>
    <t>Nâng cấp, sữa chữa và mua sắm trang thiết bị cho văn phòng 9 ấp</t>
  </si>
  <si>
    <t>Nâng cấp cầu Năm Mến</t>
  </si>
  <si>
    <t>18x3,5m</t>
  </si>
  <si>
    <t>Thị xã Tân Châu</t>
  </si>
  <si>
    <t>Nâng cấp láng nhựa đường bờ tây kênh đào Đức Ông</t>
  </si>
  <si>
    <t>1.000 m</t>
  </si>
  <si>
    <t>Huyện Phú Tân</t>
  </si>
  <si>
    <t>Cải tạo, nâng cấp chợ Bắc Cái Đầm</t>
  </si>
  <si>
    <t>Cải tạo, nâng cấp tuyến đường Hậu Giang 1 (đoạn từ bưu cục xã đến cầu Cái Đầm)</t>
  </si>
  <si>
    <t>141 m</t>
  </si>
  <si>
    <t>Xây dựng cổng chào xã nông thôn mới</t>
  </si>
  <si>
    <t>Xây dựng hệ thống điện chiếu sáng công cộng tuyến đường thuộc xã Tân Hoà</t>
  </si>
  <si>
    <t>Huyện Chợ Mới</t>
  </si>
  <si>
    <t>Bê tông đường bờ tây kênh Hòa Bình</t>
  </si>
  <si>
    <t>1.900 m</t>
  </si>
  <si>
    <t>Bê tông hóa tuyến đường nối từ đường vành đai ấp Long Quới 2 đến đường dẫn vào trung tâm hành chính xã Long Điền B</t>
  </si>
  <si>
    <t>Huyện Thoại Sơn</t>
  </si>
  <si>
    <t>Nâng cấp, mở rộng tuyến Vĩnh An - Vĩnh Tây</t>
  </si>
  <si>
    <t>5.000 m</t>
  </si>
  <si>
    <t>Nâng cấp tuyến bờ nam Vĩnh Tây (từ ngã tư NCNG đến đất ông Minh)</t>
  </si>
  <si>
    <t>2.000 m</t>
  </si>
  <si>
    <t>Huyện Châu Phú</t>
  </si>
  <si>
    <t>Láng nhựa đường bãi Mỹ Chánh</t>
  </si>
  <si>
    <t>1.200 m</t>
  </si>
  <si>
    <t>Bê tông đường giao thông ấp Bình Hòa</t>
  </si>
  <si>
    <t>Văn phòng một cửa xã Bình Thuỷ</t>
  </si>
  <si>
    <t>Huyện Tịnh Biên</t>
  </si>
  <si>
    <t>Xây dựng kè trụ sở UBND xã Núi Voi</t>
  </si>
  <si>
    <t>Huyện Châu Thành</t>
  </si>
  <si>
    <t>Công viên văn hoá thể dục, thể thao xã Vĩnh Thành</t>
  </si>
  <si>
    <t>1609m2</t>
  </si>
  <si>
    <t>CT-TS</t>
  </si>
  <si>
    <t>14</t>
  </si>
  <si>
    <t>15</t>
  </si>
  <si>
    <t>Trùng tu Khu lưu niệm Chủ tịch Tôn Đức Thắng</t>
  </si>
  <si>
    <t>65.400 m2</t>
  </si>
  <si>
    <t>Nhà hát tỉnh</t>
  </si>
  <si>
    <t>1500 chỗ</t>
  </si>
  <si>
    <t>Trung tâm Văn hóa và Học tập cộng đồng xã Vĩnh Thành</t>
  </si>
  <si>
    <t>1272 m2</t>
  </si>
  <si>
    <t>1948/QĐ-UBND 30/10/2014</t>
  </si>
  <si>
    <t>Trung tâm văn hoá và Học tập cộng đồng xã Long Điền A</t>
  </si>
  <si>
    <t>1147 m2</t>
  </si>
  <si>
    <t>1927/QĐ-UBND 30/10/2014</t>
  </si>
  <si>
    <t>Trung tâm văn hoá và Học tập cộng đồng xã Long Điền B</t>
  </si>
  <si>
    <t>1164 m2</t>
  </si>
  <si>
    <t>1970/QĐ-UBND 30/10/2014</t>
  </si>
  <si>
    <t>Trung tâm văn hóa và học tập cộng đồng  xã Vĩnh Phước</t>
  </si>
  <si>
    <t>H.Trường; p.chức năng; CT phụ; HTKT; TB</t>
  </si>
  <si>
    <t>219/QĐ-UBND 04/02/2015</t>
  </si>
  <si>
    <t xml:space="preserve">Trung tâm văn hóa và học tập cộng đồng  xã Mỹ Khánh </t>
  </si>
  <si>
    <t>04 p.chức năng; CT nhà chính, HR</t>
  </si>
  <si>
    <t>244/QĐ-UBND ngày 14/3/2016</t>
  </si>
  <si>
    <t>Các dự án hoàn thành năm 2017</t>
  </si>
  <si>
    <t>Nâng cấp đường vào khu di tích Óc Eo</t>
  </si>
  <si>
    <t>2.891 m + 01 cầu</t>
  </si>
  <si>
    <t>1938/QĐ-UBND 30/10/2014</t>
  </si>
  <si>
    <t>Trung tâm văn hóa và học tập cộng đồng xã Vĩnh Gia</t>
  </si>
  <si>
    <t>Hội trường; p.Chức năng; CT phụ+HTKT; TB</t>
  </si>
  <si>
    <t>2398/QĐ-UBND 30/10/2015</t>
  </si>
  <si>
    <t>Nhà Văn hóa kết hợp Trung tâm VHHTCĐ xã Vĩnh Nhuận</t>
  </si>
  <si>
    <t>2422/QĐ-UBND 30/10/215</t>
  </si>
  <si>
    <t>Trung tâm văn hóa và học tập cộng đồng  xã Phú Bình</t>
  </si>
  <si>
    <t>2453/QĐ-UBND 30/10/2015</t>
  </si>
  <si>
    <t>Trung tâm văn hóa và học tập cộng đồng  xã Khánh An</t>
  </si>
  <si>
    <t>2429/QĐ-UBND 30/10/2015</t>
  </si>
  <si>
    <t>Trung tâm văn hóa và học tập cộng đồng  xã Kiến Thành</t>
  </si>
  <si>
    <t>Khối nhà chính 1.127m2; CT phụ+HTKT; TB</t>
  </si>
  <si>
    <t>2458/QĐ-UBND 30/10/2015</t>
  </si>
  <si>
    <t>Trung tâm văn hóa và học tập cộng đồng xã Bình Chánh</t>
  </si>
  <si>
    <t>2428/QĐ-UBND 30/10/2015</t>
  </si>
  <si>
    <t>Trung tâm văn hoá thể thao và Học tập công đồng xã Thoại Giang</t>
  </si>
  <si>
    <t>3000m2</t>
  </si>
  <si>
    <t>2434/QĐ-UBND 30/10/2015</t>
  </si>
  <si>
    <t>Các dự án  khởi công mới năm 2017</t>
  </si>
  <si>
    <t>Cải tạo nâng cấp thư viện tỉnh</t>
  </si>
  <si>
    <t>Cải tạo: Khối chính, hàng rào, công viên,…</t>
  </si>
  <si>
    <t>2016-
2017</t>
  </si>
  <si>
    <t>961/QĐ-UBND 06/4/2016</t>
  </si>
  <si>
    <t>Trùng tu, sửa chữa Tượng đài chiến thắng Dốc Bà Đắc</t>
  </si>
  <si>
    <t>Cải tạo tượng đài, công trình phụ trợ + HTKT</t>
  </si>
  <si>
    <t>1739/QĐ-UBND 28/6/2016</t>
  </si>
  <si>
    <t>Trùng tu, sửa chữa Di tích lịch sử cách mạng Giồng Trà Dên</t>
  </si>
  <si>
    <t>Cải tạo nhà bia, bia lưu niệm, nhà truyền thống,…</t>
  </si>
  <si>
    <t>1907/QĐ-UBND 11/07/2016</t>
  </si>
  <si>
    <t>Trùng tu, sửa chữa Phủ thờ Nguyễn Tộc</t>
  </si>
  <si>
    <t>Cải tạo Phủ thờ chính</t>
  </si>
  <si>
    <t>2016-
2018</t>
  </si>
  <si>
    <t>2636/QĐ-UBND 22/9/2016</t>
  </si>
  <si>
    <t>Mua sắm nhạc cụ dân tộc cho 20 chùa Khmer và 09 xóm Chăm trên địa bàn tỉnh AG</t>
  </si>
  <si>
    <t>AG</t>
  </si>
  <si>
    <t>Thiết bị 
nhạc cụ</t>
  </si>
  <si>
    <t>1579/QĐ-UBND 09/6/2016</t>
  </si>
  <si>
    <t>Trùng tu, phục dựng Đình Phú Nhuận</t>
  </si>
  <si>
    <t>2923/QĐ-UBND
26/10/2016</t>
  </si>
  <si>
    <t>Khu di tích Óc Eo: Đầu tư bổ sung một số hạng mục</t>
  </si>
  <si>
    <t>Trung tâm văn hóa và học tập cộng đồng xã Tà Đảnh</t>
  </si>
  <si>
    <t>H.Trường; p.chức năng;…</t>
  </si>
  <si>
    <t>5596/QĐ-UBND
24/10/2016</t>
  </si>
  <si>
    <t>Trung tâm văn hoá thể thao và Học tập công đồng xã Định Mỹ</t>
  </si>
  <si>
    <t>7680m2</t>
  </si>
  <si>
    <t>2435/QĐ-UBND 30/10/2015</t>
  </si>
  <si>
    <t xml:space="preserve">Trung tâm Văn hóa và Học tập cộng đồng xã Cần Đăng </t>
  </si>
  <si>
    <t>Hội trường, sân khấu,P.Chức năng; CT phụ +KTHT, TB</t>
  </si>
  <si>
    <t>2847/QĐ-UBND
18/10/2016</t>
  </si>
  <si>
    <t>Trung tâm Văn hóa và Học tập cộng đồng Bình Mỹ</t>
  </si>
  <si>
    <t>KCN+ HTKT + TB</t>
  </si>
  <si>
    <t>Điểm sinh hoạt văn hóa, thể thao  xã Phú Vĩnh</t>
  </si>
  <si>
    <t>CT NVH cũ: 144 m2;
xây mới: nhà tập đa năng, nhà xe, trang thiết bị</t>
  </si>
  <si>
    <t>Trung tâm Văn hóa và Học tập cộng đồng xã Phú Lâm</t>
  </si>
  <si>
    <t>2,501m2</t>
  </si>
  <si>
    <t>5025/QĐ-UBND
27/10/2016</t>
  </si>
  <si>
    <t>Điểm sinh hoạt văn hóa, thể thao xã Thới Sơn</t>
  </si>
  <si>
    <t>18</t>
  </si>
  <si>
    <t>Điểm sinh hoạt văn hóa, thể thao xã Định Thành</t>
  </si>
  <si>
    <t>Dãy khán đài 2.000 chỗ ngồi sân bóng đá Trường Năng khiếu thể thao tỉnh</t>
  </si>
  <si>
    <t>2.000  chỗ</t>
  </si>
  <si>
    <t>Hồ bơi 50 m TP.Long Xuyên</t>
  </si>
  <si>
    <t>50 m</t>
  </si>
  <si>
    <t>2665/QĐ-UBND
26/9/2016</t>
  </si>
  <si>
    <t>Các dự án hoàn thành trước ngày 31/12/2016</t>
  </si>
  <si>
    <t>Trung tâm hoạt động TTN tỉnh An Giang</t>
  </si>
  <si>
    <t>7.566m2</t>
  </si>
  <si>
    <t>551-QĐ/TWĐTN
12/5/2014</t>
  </si>
  <si>
    <t>Cải tạo, sửa chữa Trụ sở Trung tâm Huấn luyện và Thi đấu thể thao tỉnh</t>
  </si>
  <si>
    <t>Cải tạo 2.176 m2 và thiết bị</t>
  </si>
  <si>
    <t>359/QĐ-UBND 17/02/2016</t>
  </si>
  <si>
    <t>Mua sắm trang thiết bị khu thể thao dưới nước Búng Bình Thiên</t>
  </si>
  <si>
    <t>TB sinh hoạt và TB tập luyện</t>
  </si>
  <si>
    <t>124/QĐ-UBND 21/01/2016</t>
  </si>
  <si>
    <t>Nhà thi đấu  thể thao huyện An Phú</t>
  </si>
  <si>
    <t>DT300m2
800 chỗ</t>
  </si>
  <si>
    <t>2130/QĐ-UBND 07/10/2015</t>
  </si>
  <si>
    <t>Hồ bơi  25m An Phú</t>
  </si>
  <si>
    <t>2015-
2016</t>
  </si>
  <si>
    <t>2576QĐ-UBND 15/9/2016</t>
  </si>
  <si>
    <t>Hồ bơi 25m Tịnh Biên</t>
  </si>
  <si>
    <t>2014-
2017</t>
  </si>
  <si>
    <t>2312/QĐ-UBND 17/8/2016</t>
  </si>
  <si>
    <t>Hồ bơi 25m huyện Châu Thành</t>
  </si>
  <si>
    <t>Hồ bơi lớn 425m2, hồ bơi trẻ em 55m2</t>
  </si>
  <si>
    <t>2015-
2017</t>
  </si>
  <si>
    <t>2469/QĐ-UBND 06/9/2016</t>
  </si>
  <si>
    <t>Hồ bơi 25m huyện Châu Phú</t>
  </si>
  <si>
    <t>1200/QĐ-UBND 4/5/2016</t>
  </si>
  <si>
    <t>Nhà tập và nhà ở cho vận động viên thể thao</t>
  </si>
  <si>
    <t>DT 4.850m2 và trang thiết bị</t>
  </si>
  <si>
    <t>1855/QĐ-UBND 06/7/2016</t>
  </si>
  <si>
    <t>Nhà thi đấu đa năng TP Châu Đốc</t>
  </si>
  <si>
    <t>P.B</t>
  </si>
  <si>
    <t>62.000
m2</t>
  </si>
  <si>
    <t>2015
2018</t>
  </si>
  <si>
    <t>853/QĐ-UBND 30/3/2016</t>
  </si>
  <si>
    <t>Nhà văn hóa lao động tỉnh An Giang</t>
  </si>
  <si>
    <t>1354/QĐ-TLĐ
05/8/2016</t>
  </si>
  <si>
    <t>Mua sắm trang thiết bị phục vụ tập luyện theo Đề án xây dựng lực lượng Đoàn thể thao AG</t>
  </si>
  <si>
    <t>TB tập luyện các loại</t>
  </si>
  <si>
    <t>2015-
2018</t>
  </si>
  <si>
    <t>128/QĐ-UBND 21/01/2016</t>
  </si>
  <si>
    <t>Hồ bơi 25m thành phố Châu Đốc</t>
  </si>
  <si>
    <t>TPCĐ</t>
  </si>
  <si>
    <t>25m + thiết bị</t>
  </si>
  <si>
    <t>1575/QĐ-UBND 09/6/2016</t>
  </si>
  <si>
    <t>Đường chạy điền kinh nhựa tổng hợp tại trường năng khiếu thể thao tỉnh</t>
  </si>
  <si>
    <t>Đường chạy điền kinh, công trình phụ trợ và TTB</t>
  </si>
  <si>
    <t>2922/QĐ-UBND 26/10/2016</t>
  </si>
  <si>
    <t>Nhà thi đấu đa năng huyện Châu Thành</t>
  </si>
  <si>
    <t>Khán đài 
1.000 chỗ</t>
  </si>
  <si>
    <t>2015/QĐ-UBND 15/7/2016</t>
  </si>
  <si>
    <t>Nhà thiếu nhi huyện An Phú</t>
  </si>
  <si>
    <t>2016-
2019</t>
  </si>
  <si>
    <t>2976/QĐ-UBND
28/10/2016</t>
  </si>
  <si>
    <t>Nhà thiếu nhi huyện Thoại Sơn</t>
  </si>
  <si>
    <t>2667/QĐ-UBND
26/9/2016</t>
  </si>
  <si>
    <t>Nhà thiếu nhi huyện Chợ Mới</t>
  </si>
  <si>
    <t>2666/QĐ-UBND
26/9/2016</t>
  </si>
  <si>
    <t>Sân đua bò huyện Tri Tôn</t>
  </si>
  <si>
    <t>5,529ha, quy mô 50.000 người</t>
  </si>
  <si>
    <t>3052/QĐ-UBND
31/10/2016</t>
  </si>
  <si>
    <t>Khu du lịch Núi Sập</t>
  </si>
  <si>
    <t>TTNS</t>
  </si>
  <si>
    <t>21ha</t>
  </si>
  <si>
    <t>1966/QĐ-UBND  31/10/2014</t>
  </si>
  <si>
    <t>Cơ sở hạ tầng khu du lịch núi Cấm</t>
  </si>
  <si>
    <t>An Hảo</t>
  </si>
  <si>
    <t>12,22 km đường; gia cố ta luy bờ hổ Thủy Liêm; chống sạt lỡ núi</t>
  </si>
  <si>
    <t>903/QĐ-UBND
 31/3/2016</t>
  </si>
  <si>
    <t>Khu du lịch Hồ Soài So, Núi Tô, huyện Tri Tôn</t>
  </si>
  <si>
    <t>362/QĐ-UBND 30/3/2016</t>
  </si>
  <si>
    <t>Các dự án chuyển tiếp hoàn thành năm 2017</t>
  </si>
  <si>
    <t>Trung tâm Công nghệ sinh học tỉnh An Giang</t>
  </si>
  <si>
    <t>35,8 ha</t>
  </si>
  <si>
    <t>Đến 2017</t>
  </si>
  <si>
    <t>1893/QĐ-UBND
04/9/2013</t>
  </si>
  <si>
    <t>Tăng cường trang thiết bị Trung tâm Công nghệ sinh học</t>
  </si>
  <si>
    <t>Các loại thiết bị</t>
  </si>
  <si>
    <t>2124/QĐ-UBND 07/10/2015</t>
  </si>
  <si>
    <t>Mua sắm thay thế thiết bị chuẩn đo lường giai đoạn 2016-2020</t>
  </si>
  <si>
    <t>2341/QĐ-UBND 29/10/2015</t>
  </si>
  <si>
    <t xml:space="preserve">Dự án: Đầu tư trang thiết bị cho Trung tâm Ứng dụng tiến bộ khoa học và công nghệ giai đoạn 2016 - 2020 </t>
  </si>
  <si>
    <t>Nâng cấp phòng nghiên cứu, thí nghiệm; TB</t>
  </si>
  <si>
    <t>127/QĐ-UBND 21/01/2016</t>
  </si>
  <si>
    <t>X</t>
  </si>
  <si>
    <t>Ứng dụng CNTT quản lý cán bộ, hội viên và xây dựng CSDL Hội Nông dân trên địa bàn tỉnh</t>
  </si>
  <si>
    <t>phần cứng và phần mềm</t>
  </si>
  <si>
    <t>Nâng cấp, mở rộng TTB, phần mềm ứng dụng CNTT tại Sở Xây dựng</t>
  </si>
  <si>
    <t>Ứng dụng CNTT quản lý và xây dựng CSDL đội ngũ cán bộ, công chức, viên chức trên địa bàn tỉnh</t>
  </si>
  <si>
    <t>TTỉnh</t>
  </si>
  <si>
    <t>Dự án xây dựng CSDL chuyên ngành kết hợp phần mềm một cửa tại Sở TTTT</t>
  </si>
  <si>
    <t>206/QĐ-SKHĐT 21/11/2013</t>
  </si>
  <si>
    <t>Dự án  ứng dụng CNTT công tác điều hành, quản lý của Hội Liên hiệp phụ nữ</t>
  </si>
  <si>
    <t>1897/QĐ-UBND 29/10/2014</t>
  </si>
  <si>
    <t>Dự án XD CS dữ liệu chuyên ngành để kết hợp phần mền quản lý một cửa tại Sở GTVT</t>
  </si>
  <si>
    <t>Phần mềm, phần cứng</t>
  </si>
  <si>
    <t>30/QĐ-SKHĐT  13/02/2014</t>
  </si>
  <si>
    <t>Dự án xây dựng các CSDL chuyên ngành để kết hợp phần mềm quản lý một cửa tại Sở Công Thương</t>
  </si>
  <si>
    <t>154/QĐ-SKHĐT 11/10/2013</t>
  </si>
  <si>
    <t>Xây dựng hệ thống thông tin về kinh tế tập thể tỉnh An Giang</t>
  </si>
  <si>
    <t>Phần mềm và dịch vụ</t>
  </si>
  <si>
    <t>2340/QĐ-UBND 29/10/2015</t>
  </si>
  <si>
    <t>Xây dựng CSDL chuyên ngành kết hợp phần mềm quản lý một cửa và dịch vụ công trực tuyến tại Sở VHTTDL</t>
  </si>
  <si>
    <t>TTB và phần mềm</t>
  </si>
  <si>
    <t>2332/QĐ-UBND 29/10/2015</t>
  </si>
  <si>
    <t>Ứng dụng phần mềm chấm điểm CBCC tại bộ phận tiếp nhận và trả kết quả cấp xã</t>
  </si>
  <si>
    <t>Phần cứng và phần mềm</t>
  </si>
  <si>
    <t>2342/QĐ-UBND 29/10/2015</t>
  </si>
  <si>
    <t>Ứng dụng công nghệ thông tin trong hoạt động của các cơ quan Đảng trực thuộc Tỉnh ủy</t>
  </si>
  <si>
    <t>Phòng họp TTuyến; TT tích hợp dữ liệu; HT TTin, phần mềm</t>
  </si>
  <si>
    <t>2469/QĐ-UBND 30/10/2015</t>
  </si>
  <si>
    <t>Thiết bị sản xuất chương trình chất lượng HD</t>
  </si>
  <si>
    <t>Thiết bị chuẩn HD</t>
  </si>
  <si>
    <t>2918/QĐ-UBND 26/10/2016</t>
  </si>
  <si>
    <t>Dự án đầu tư thiết bị chống tấn công hạ tầng mạng</t>
  </si>
  <si>
    <t>2954/QĐ-UBND 27/10/2016</t>
  </si>
  <si>
    <t>Nâng cấp mở rộng trang thiết bị, phần mềm ứng dụng công nghệ thông tin tại Sở Tài chính</t>
  </si>
  <si>
    <t>3039/QĐ-UBND 31/10/2016</t>
  </si>
  <si>
    <t>Dự án nâng cấp mở rộng trang thiết bị, phần mềm ứng dụng công nghệ thông tin tại Văn phòng Ủy ban nhân dân tỉnh</t>
  </si>
  <si>
    <t>3037/QĐ-UBND 31/10/2016</t>
  </si>
  <si>
    <t xml:space="preserve">Xây dựng Công nghệ thông tin quản trị Bệnh viện Đa khoa trung tâm AG </t>
  </si>
  <si>
    <t>Phần mền, phần cứng, camera, TB</t>
  </si>
  <si>
    <t>3038/QĐ-UBND 31/10/2016</t>
  </si>
  <si>
    <t>Dự án nâng cấp mở rộng trang thiết bị, phần mềm ứng dụng công nghệ thông tin tại Sở Lao động Thương binh và Xã hội</t>
  </si>
  <si>
    <t>2828/QĐ-UBND  17/10/2016</t>
  </si>
  <si>
    <t>Cơ sở dữ liệu kỹ thuật hỗ trợ phát triển nông nghiệp</t>
  </si>
  <si>
    <t>2981/QĐ-UBND  28/10/2016</t>
  </si>
  <si>
    <t>Hệ thống lưu trữ, tổng khống chế truyền dẫn phát sóng</t>
  </si>
  <si>
    <t>Số hóa lưu trữ, phát sóng</t>
  </si>
  <si>
    <t>2919/QĐ-UBND 26/10/2016</t>
  </si>
  <si>
    <t>XI</t>
  </si>
  <si>
    <t>Đổi mới và nâng cao chất lượng giáo dục nghề nghiệp Trường trung cấp nghề Dân tộc nội trú An Giang</t>
  </si>
  <si>
    <t>Trường Cao đẳng nghề An Giang (giai đoạn 2)</t>
  </si>
  <si>
    <t>Nâng cấp, mở rộng trường Trung cấp nghề Châu Đốc</t>
  </si>
  <si>
    <t>2ha</t>
  </si>
  <si>
    <t>Nâng cấp, mở rộng trường Trung cấp nghề Chợ Mới</t>
  </si>
  <si>
    <t xml:space="preserve"> Trường Trung cấp Kinh tế- Kỹ Thuật</t>
  </si>
  <si>
    <t>Cải tạo PH, HT, TB</t>
  </si>
  <si>
    <t>16-20</t>
  </si>
  <si>
    <t>Trường THPT An Phú 2</t>
  </si>
  <si>
    <t>XD 02 PHBM+TV+P.HĐCĐ, CT phòng
học cũ, HTKT…</t>
  </si>
  <si>
    <t>Trường DTNT THCS Tri Tôn</t>
  </si>
  <si>
    <t>48P ở n.trú, Khối HC, PBM, cải tạo khối HC, CT phụ trợ, HTKT, TB</t>
  </si>
  <si>
    <t>17-20</t>
  </si>
  <si>
    <t>Trường THPT Tịnh Biên</t>
  </si>
  <si>
    <t>Cải tạo 20P và 02 PTNTH, XD 04P BM, Hàng rào, HTKKT…</t>
  </si>
  <si>
    <t>Dự án mua sắm bàn, ghế học sinh cho các cấp học trên địa bàn tỉnh An Giang.</t>
  </si>
  <si>
    <t>12.228 bộ</t>
  </si>
  <si>
    <t>Trường THCS Trần Hưng Đạo</t>
  </si>
  <si>
    <t>P.Chức năng</t>
  </si>
  <si>
    <t>699/QĐ-UBND 12/5/2014</t>
  </si>
  <si>
    <t>Trường THCS Bình Mỹ</t>
  </si>
  <si>
    <t>2342/QĐ-UBND 17/12/2012</t>
  </si>
  <si>
    <t>Đề án trường chuẩn quốc gia</t>
  </si>
  <si>
    <t>Trường THPT Dân tộc nội trú tỉnh</t>
  </si>
  <si>
    <t>15PH, K.HB, 6PBM, nhà đa năng, KTX nam, KTX nữ, NA-khu ở cho GVNT, NVS, SLMB,…</t>
  </si>
  <si>
    <t>957/QĐ-UBND 06/4/2016</t>
  </si>
  <si>
    <t>Trường THPT Long Xuyên</t>
  </si>
  <si>
    <t>Khối CT chính: K1, 2, 3, 4, CT phụ trợ, HTKT, TB</t>
  </si>
  <si>
    <t>17-19</t>
  </si>
  <si>
    <t>1947/QĐ-UBND 31/10/11</t>
  </si>
  <si>
    <t>Trường THPT Cô Tô</t>
  </si>
  <si>
    <t>15,VP,6PBM,HTKT…</t>
  </si>
  <si>
    <t>12-16</t>
  </si>
  <si>
    <t>904/QĐ-UBND 17/6/14</t>
  </si>
  <si>
    <t>Trường THPT Mỹ Thới</t>
  </si>
  <si>
    <t>Khối 15PH, 6PBM; Tháo dỡ các CT cũ; TB 15PH; NVS; Khối 6PBM, …</t>
  </si>
  <si>
    <t>10-15</t>
  </si>
  <si>
    <t>254/QĐ-UBND 18/2/2014</t>
  </si>
  <si>
    <t>Trường THPT An Phú (GĐ2)</t>
  </si>
  <si>
    <t>06PHBM, 09PH</t>
  </si>
  <si>
    <t>1741/QĐ-UBND 05/10/12</t>
  </si>
  <si>
    <t>Đề án phổ cập mầm non cho trẻ 5 tuổi</t>
  </si>
  <si>
    <t>Dự án nhóm A</t>
  </si>
  <si>
    <t>Trường Đại học An Giang (khu mới)</t>
  </si>
  <si>
    <t>10.000 SV</t>
  </si>
  <si>
    <t>2006-2017</t>
  </si>
  <si>
    <t>955/QĐ-UBND 06/4/2016</t>
  </si>
  <si>
    <t>Trường DTNT THCS Tịnh Biên</t>
  </si>
  <si>
    <t>12PH,6PBM,NĐN,KTX,…</t>
  </si>
  <si>
    <t>2015 - 2019</t>
  </si>
  <si>
    <t xml:space="preserve">2023/QĐ-UBND 19/7/2016 </t>
  </si>
  <si>
    <t>Trường THPT Long Sơn</t>
  </si>
  <si>
    <t>30P,VP,6PBM,HTKT…</t>
  </si>
  <si>
    <t>13-18</t>
  </si>
  <si>
    <t>2245/QĐ-UBND  30/10/13</t>
  </si>
  <si>
    <t>Trường THPT Bình Chánh</t>
  </si>
  <si>
    <t>12P, 06PBM, SLMB, HTKT…</t>
  </si>
  <si>
    <t>Trường THPT Nguyễn Trường Tộ</t>
  </si>
  <si>
    <t>24PH, khu WC</t>
  </si>
  <si>
    <t>2448/QĐ-UBND 30/10/15</t>
  </si>
  <si>
    <t>Trường Phổ thông cấp 2,3 Long Bình</t>
  </si>
  <si>
    <t>24PH,6PBM,VP,SL,WC</t>
  </si>
  <si>
    <t>2420/QĐ-UBND 30/10/15</t>
  </si>
  <si>
    <t>Tr.THPT Chi Lăng (GĐ2)</t>
  </si>
  <si>
    <t>12P, 6P BM, HTKT…</t>
  </si>
  <si>
    <t>Trường THPT Thạnh Mỹ Tây</t>
  </si>
  <si>
    <t>04P,6PBM,VP,HTKT…</t>
  </si>
  <si>
    <t>Trường THPT Tân Châu</t>
  </si>
  <si>
    <t>Cải tạo 4 P, 06BM, HTKT</t>
  </si>
  <si>
    <t>16-18</t>
  </si>
  <si>
    <t>829/QĐ-UBND  28/3/2016</t>
  </si>
  <si>
    <t xml:space="preserve">Trường THPT Huỳnh Thị Hưởng </t>
  </si>
  <si>
    <t>Khối 06 phòng học + hàng rào</t>
  </si>
  <si>
    <t>2403/QĐ-UBND  30/10/2015</t>
  </si>
  <si>
    <t>Trường THPT Nguyễn Khuyến</t>
  </si>
  <si>
    <t>Khối 06 phòng học + Hàng rào</t>
  </si>
  <si>
    <t>962/QĐ-UBND 31/3/2016</t>
  </si>
  <si>
    <t>Trường chính trị Tôn Đức Thắng</t>
  </si>
  <si>
    <t>Cải tạo KTX 2, 3 tầng, giảng đường, xây mới giảng đường, khu hội trường - thư viện 5 tầng….</t>
  </si>
  <si>
    <t xml:space="preserve">2652/QĐ-UBND 23/9/2016
</t>
  </si>
  <si>
    <t>Mua sắm thiết bị phòng bộ môn ngoại ngữ cho cấp tiểu học và trung học trên địa bàn tỉnh An Giang giai đoạn 2016-2020</t>
  </si>
  <si>
    <t>241
 phòng</t>
  </si>
  <si>
    <t>2963/QĐ-UBND 28/10/2016</t>
  </si>
  <si>
    <t>Mua sắm thiết bị phòng bộ môn tin học cho các trường trung học trên địa bàn tỉnh An Giang</t>
  </si>
  <si>
    <t>Mua sắm máy tính</t>
  </si>
  <si>
    <t>1580/QĐ-UBND 09/6/2016</t>
  </si>
  <si>
    <t>XII</t>
  </si>
  <si>
    <t>Bệnh viện Đa khoa huyện Thoại Sơn</t>
  </si>
  <si>
    <t>2629/QĐ-UBND 21/9/2016</t>
  </si>
  <si>
    <t>Trạm Y tế xã Nhơn Mỹ</t>
  </si>
  <si>
    <t>Trạm Y tế xã Nhơn Hưng (NTM)</t>
  </si>
  <si>
    <t>Trạm Y tế phường Mỹ Thới</t>
  </si>
  <si>
    <t>902m2</t>
  </si>
  <si>
    <t xml:space="preserve">Trạm Y tế xã Tân An  </t>
  </si>
  <si>
    <t>439,6m2</t>
  </si>
  <si>
    <t>Trạm Y tế xã An Hòa</t>
  </si>
  <si>
    <t>Trạm Y tế xã Vĩnh Thạnh Trung</t>
  </si>
  <si>
    <t>Khối nhà chính 408m2; CT phụ trợ+HTKT+TB</t>
  </si>
  <si>
    <t>Trạm Y tế xã Vĩnh Hậu</t>
  </si>
  <si>
    <t>385,60m2</t>
  </si>
  <si>
    <t>Trạm Y tế xã Đa Phước</t>
  </si>
  <si>
    <t xml:space="preserve">Trạm Y tế xã Hiệp Xương </t>
  </si>
  <si>
    <t>2255m2</t>
  </si>
  <si>
    <t>Trạm Y tế xã Phú Xuân</t>
  </si>
  <si>
    <t>683,55m2</t>
  </si>
  <si>
    <t>Trạm Y tế xã Tân Lập</t>
  </si>
  <si>
    <t>10 giường</t>
  </si>
  <si>
    <t>Trạm Y tế xã Tân Lợi</t>
  </si>
  <si>
    <t>2,385m2</t>
  </si>
  <si>
    <t>16</t>
  </si>
  <si>
    <t>Bệnh viện Y học cổ truyền</t>
  </si>
  <si>
    <t>100 giường</t>
  </si>
  <si>
    <t>17</t>
  </si>
  <si>
    <t>Thiết bị y tế Bệnh viện Tim mạch AG</t>
  </si>
  <si>
    <t>HT thăm dò điện sinh lý, đốt điện bằng sóng cao tần; máy CT scan 64 lát cắt</t>
  </si>
  <si>
    <t>Bệnh viện Sản nhi tỉnh An Giang
(Khối Sản 200 giường)</t>
  </si>
  <si>
    <t>dt sàn 15,445 m2, Hệ thống kỹ thuật, công trình phụ trợ, HTKT, TB xây lắp, TB chuyên ngành</t>
  </si>
  <si>
    <t>Bệnh viện ĐKTT An Giang (600 giường)</t>
  </si>
  <si>
    <t>TPLX</t>
  </si>
  <si>
    <t>600 giường</t>
  </si>
  <si>
    <t>190A/QĐ-UBND  07/02/2014; số 1119/QĐ-UBND  25/4/2016</t>
  </si>
  <si>
    <t>Trang thiết bị y tế bổ sung Bệnh viện Đa khoa Trung tâm An Giang (600 giường)</t>
  </si>
  <si>
    <t>TTB</t>
  </si>
  <si>
    <t>2374/QĐ-UBND
30/10/2015</t>
  </si>
  <si>
    <t xml:space="preserve">Bệnh viện đa khoa huyện 
Châu Phú </t>
  </si>
  <si>
    <t>2007-2016</t>
  </si>
  <si>
    <t>2526/QĐ-UBND 09/11/2015</t>
  </si>
  <si>
    <t>Trạm y tế Phú Bình</t>
  </si>
  <si>
    <t>606m2</t>
  </si>
  <si>
    <t>128/QĐ-SKHĐT
11/7/2014</t>
  </si>
  <si>
    <t>Trạm y tế Vĩnh An</t>
  </si>
  <si>
    <t>294m2</t>
  </si>
  <si>
    <t>316/QĐ-UBND; 28/10/2014</t>
  </si>
  <si>
    <t xml:space="preserve">Trạm Y tế xã Tà Đảnh </t>
  </si>
  <si>
    <t>378 m2</t>
  </si>
  <si>
    <t>6033/QĐ-UBND 15/9/2015</t>
  </si>
  <si>
    <t>Trạm Y tế xã Cô Tô</t>
  </si>
  <si>
    <t>4809/QĐ-UBND 30/10/2014</t>
  </si>
  <si>
    <t>Trạm y tế xã Ô Lâm</t>
  </si>
  <si>
    <t>Khối nhà chính 328m2</t>
  </si>
  <si>
    <t>6319/QĐ-UBND 12/10/2015</t>
  </si>
  <si>
    <t>Trạm Y tế TT. Long Bình</t>
  </si>
  <si>
    <t>20/QĐ-UBND 06/01/2015</t>
  </si>
  <si>
    <t>Trạm y tế xã Kiến Thành</t>
  </si>
  <si>
    <t>2922/QĐ-UBND 29/10/2014</t>
  </si>
  <si>
    <t>Bệnh viện ĐKKV Châu Đốc (500 giường)</t>
  </si>
  <si>
    <t>500 giường</t>
  </si>
  <si>
    <t xml:space="preserve">832/QĐ-UBND 28/3/2016  </t>
  </si>
  <si>
    <t xml:space="preserve">Trang thiết bị cho Phòng phẫu thuật tim mạch thuộc Bệnh viện Tim mạch An Giang </t>
  </si>
  <si>
    <t xml:space="preserve">2313/QĐ-UBND 27/10/2015 </t>
  </si>
  <si>
    <t>Bệnh viện đa khoa huyện An Phú (giai đoạn 2)</t>
  </si>
  <si>
    <t>Thêm 50 giường</t>
  </si>
  <si>
    <t>2251/QĐ-UBND 30/10/2014</t>
  </si>
  <si>
    <t>Trạm Y tế xã Vĩnh Xương</t>
  </si>
  <si>
    <t>Khối nhà chính 349m2</t>
  </si>
  <si>
    <t>4125/QĐ-UBND 30/10/2015</t>
  </si>
  <si>
    <t xml:space="preserve">Trạm Y tế xã Mỹ Phú </t>
  </si>
  <si>
    <t>Nhà nhà việc 380m2; CT phụ; TB</t>
  </si>
  <si>
    <t>789/QĐ-UBND 04/6/2012</t>
  </si>
  <si>
    <t>Trạm y tế xã Thới Sơn</t>
  </si>
  <si>
    <t>Nhà L.Việc; CT phụ; TB</t>
  </si>
  <si>
    <t>2408/QĐ-UBND 29/8/2016</t>
  </si>
  <si>
    <t>Trạm y tế xã Văn Giáo</t>
  </si>
  <si>
    <t>2445/QĐ-UBND 30/10/2015</t>
  </si>
  <si>
    <t>Trạm y tế xã Hòa Bình</t>
  </si>
  <si>
    <t>388m2</t>
  </si>
  <si>
    <t>3907H/QĐ-UBND 30/10/2015</t>
  </si>
  <si>
    <t>Mở rộng bệnh viện tim mạch An Giang (điểm cũ)</t>
  </si>
  <si>
    <t>Khối nhà 7 tầng, CTPT, HTKT,TB</t>
  </si>
  <si>
    <t>1053/QĐ-UBND
13/4/2016</t>
  </si>
  <si>
    <t xml:space="preserve">Trụ sở 4 đơn vị Y tế </t>
  </si>
  <si>
    <t>7-8 tầng</t>
  </si>
  <si>
    <t>2412QĐ-
UBND 
30/10/2015</t>
  </si>
  <si>
    <t>Cung cấp trang thiết bị y tế Bệnh viện đa khoa khu vực Châu Đốc</t>
  </si>
  <si>
    <t>Phòng khám Đa khoa khu vực Thạnh Mỹ Tây</t>
  </si>
  <si>
    <t>Khối nhà chính, CT phụ, TB</t>
  </si>
  <si>
    <t>2426/QĐ-UBND 30/10/2015</t>
  </si>
  <si>
    <t>Phòng khám ĐK khu vực thị trấn Tịnh Biên</t>
  </si>
  <si>
    <t>C.Tạo khối H.Chánh, khám-điều trị Ng.Trú; sản; CT phụ; TB</t>
  </si>
  <si>
    <t>2443/QĐ-UBND 30/10/2015</t>
  </si>
  <si>
    <t>Trạm Y tế xã Long Kiến</t>
  </si>
  <si>
    <t>2460/QĐ-UBND 30/10/2015</t>
  </si>
  <si>
    <t>Bệnh viện đa khoa thị xã Tân Châu (GĐ2)</t>
  </si>
  <si>
    <t>2924/QĐ-UBND 26/10/2016</t>
  </si>
  <si>
    <t>Cung cấp trang thiết bị y tế cho BV ĐK KV Tân Châu</t>
  </si>
  <si>
    <t>2579/QĐ-UBND 13/11/2015</t>
  </si>
  <si>
    <t>Chi cục an toàn vệ sinh thực phẩm</t>
  </si>
  <si>
    <t>2539/QĐ-UBND 12/9/2016;
2833/QĐ-UBND 18/10/2016</t>
  </si>
  <si>
    <t>Bệnh viện Sản nhi tỉnh An Giang
(Cải tạo sửa chữa và TTB)</t>
  </si>
  <si>
    <t>3024/QĐ-UBND 31/10/2015</t>
  </si>
  <si>
    <t>Khu Nhà vệ sinh công cộng Bệnh viện ĐK huyện Châu Phú</t>
  </si>
  <si>
    <t>2711/QĐ-UBND 04/10/2016</t>
  </si>
  <si>
    <t>Kho lưu trữ hồ sơ và cơ sở nhân đạo của Bệnh viện ĐKTT An Giang (điểm mới)</t>
  </si>
  <si>
    <t>1.500 m2</t>
  </si>
  <si>
    <t>3040/QĐ-UBND 31/10/2016</t>
  </si>
  <si>
    <t>Nhà công vụ Trạm kiểm dịch y tế cửa khẩu sông Tiền</t>
  </si>
  <si>
    <t>75 m2</t>
  </si>
  <si>
    <t>Trạm Y tế phường Long Châu</t>
  </si>
  <si>
    <t>459,81m2</t>
  </si>
  <si>
    <t>41050/QĐ-UBND 30/10/2015</t>
  </si>
  <si>
    <t>Trạm Y tế xã Phú Vĩnh</t>
  </si>
  <si>
    <t>4141/QĐ-UBND 25/10/2016</t>
  </si>
  <si>
    <t>Trạm y tế xã Vĩnh Lợi</t>
  </si>
  <si>
    <t>Khối nhà chính 362m2</t>
  </si>
  <si>
    <t>75/QĐ-UBND 30/03/2016</t>
  </si>
  <si>
    <t xml:space="preserve">Trạm Y tế xã Cần Đăng </t>
  </si>
  <si>
    <t>Trạm 392m2 + CT phụ + HTKT</t>
  </si>
  <si>
    <t>408/QĐ-UBND 27/10/2016</t>
  </si>
  <si>
    <t xml:space="preserve">Trạm Y tế xã Vĩnh Hội Đông </t>
  </si>
  <si>
    <t>481m2</t>
  </si>
  <si>
    <t>3439/QĐ-UBND 27/10/2016</t>
  </si>
  <si>
    <t xml:space="preserve">Trạm Y tế xã Vĩnh Lộc </t>
  </si>
  <si>
    <t>235,48m2</t>
  </si>
  <si>
    <t>3440/QĐ-UBND 27/10/2016</t>
  </si>
  <si>
    <t>Trạm Y tế xã Hoà Lạc</t>
  </si>
  <si>
    <t>Khối nhà chính 565,3m3</t>
  </si>
  <si>
    <t>4616/QĐ-UBND 07/10/2016</t>
  </si>
  <si>
    <t>Trạm Y tế xã Phú Thuận</t>
  </si>
  <si>
    <t>Khối nhà chính 572,22m2</t>
  </si>
  <si>
    <t>1585/QĐ-UBND 25/3/2016</t>
  </si>
  <si>
    <t>Trạm Y tế xã Bình Long</t>
  </si>
  <si>
    <t>Trạm 332,75m2; CT phụ; TB</t>
  </si>
  <si>
    <t>1816/QĐ-UBND 26/10/2016</t>
  </si>
  <si>
    <t xml:space="preserve">Trạm Y tế xã Khánh Hòa </t>
  </si>
  <si>
    <t>1814/QĐ-UBND 26/10/2016</t>
  </si>
  <si>
    <t xml:space="preserve">Trạm Y tế xã Bình Chánh </t>
  </si>
  <si>
    <t>2262/QĐ-UBND 30/10/2015</t>
  </si>
  <si>
    <t>Trạm Y tế xã Bình Mỹ</t>
  </si>
  <si>
    <t>1815/QĐ-UBND 26/10/2016</t>
  </si>
  <si>
    <t>Trạm y tế Mỹ Thạnh</t>
  </si>
  <si>
    <t>Trạm y tế xã Hội An</t>
  </si>
  <si>
    <t>2043/QĐ-UBND 26/10/2016</t>
  </si>
  <si>
    <t xml:space="preserve">Trạm y tế xã Lê Trì </t>
  </si>
  <si>
    <t>5597/QĐ-UBND 25/10/2016</t>
  </si>
  <si>
    <t>19</t>
  </si>
  <si>
    <t>Trạm y tế xã Lương An Trà</t>
  </si>
  <si>
    <t>5598/QĐ-UBND 25/10/2016</t>
  </si>
  <si>
    <t>20</t>
  </si>
  <si>
    <t>Trạm y tế xã Vĩnh Phước</t>
  </si>
  <si>
    <t>5599/QĐ-UBND 25/10/2016</t>
  </si>
  <si>
    <t>XIII</t>
  </si>
  <si>
    <t>Trung tâm bảo trợ xã hội Châu Đốc</t>
  </si>
  <si>
    <t>998,4m2</t>
  </si>
  <si>
    <t>Trung tâm Bảo trợ xã hội chăm sóc và phục hồi chức năng cho người tâm thần, người rối nhiễu tâm trí tỉnh An Giang</t>
  </si>
  <si>
    <t>3ha</t>
  </si>
  <si>
    <t>Trung tâm điều dưỡng người có công</t>
  </si>
  <si>
    <t>Nghĩa trang liệt sĩ khu vực Tây Nam Bộ</t>
  </si>
  <si>
    <t>10 ha</t>
  </si>
  <si>
    <t>Nâng cấp, cải tạo nghĩa trang liệt sỹ tỉnh</t>
  </si>
  <si>
    <t>74.680 m2</t>
  </si>
  <si>
    <t>2014 - 2017</t>
  </si>
  <si>
    <t>1401/QĐ-UBND  03/09/2014</t>
  </si>
  <si>
    <t>Hỗ trợ người có công với cách mạng về nhà ở: Vốn đối ứng</t>
  </si>
  <si>
    <t>Toàn
 tỉnh</t>
  </si>
  <si>
    <t>3762 hộ</t>
  </si>
  <si>
    <t>2308/QĐ-UBND 17/8/2016</t>
  </si>
  <si>
    <t>Hỗ trợ nhà ở đối với hộ nghèo theo chuẩn nghèo giai đoạn 2011-2015: Vốn hỗ trợ thêm từ ngân sách tỉnh</t>
  </si>
  <si>
    <t>7.226 hộ</t>
  </si>
  <si>
    <t>84/KH-UBND 26/02/2016</t>
  </si>
  <si>
    <t>Khắc phục sạt lỡ đê bao tường rào Trung tâm chữa bệnh giáo dục lao động xã hội tỉnh</t>
  </si>
  <si>
    <t>1776/QĐ-UBND  29/6/16</t>
  </si>
  <si>
    <t>Cơ sở tiếp nhận đối tượng xã hội</t>
  </si>
  <si>
    <t>DT cải tạo: 1.623,94m2</t>
  </si>
  <si>
    <t>1791/QĐ-UBND 
30/6/2016</t>
  </si>
  <si>
    <t>Nhà bia ghi danh AHLS xã Phú Hội</t>
  </si>
  <si>
    <t>103m2</t>
  </si>
  <si>
    <t>1174/QĐ-UBND, 
31/3/2016</t>
  </si>
  <si>
    <t>Nhà bia ghi danh AHLS xã Vĩnh Lộc</t>
  </si>
  <si>
    <t>908/QĐ-UBND, 07/3/2016</t>
  </si>
  <si>
    <t>Nhà bia ghi danh AHLS xã Vĩnh Hậu</t>
  </si>
  <si>
    <t>883/QĐ-UBND  24/02/2016</t>
  </si>
  <si>
    <t>TTr  473/TTr-UBND ngày 06/9/2016 của UBND tỉnh gửi TTg</t>
  </si>
  <si>
    <t>CV 2332/VPUBND-KTTH</t>
  </si>
  <si>
    <t>bổ sung KHV cuối năm</t>
  </si>
  <si>
    <t>QĐ 1778/QĐ-TTg ngày 10/9/2016 của Thủ tướng CP</t>
  </si>
  <si>
    <t>3031/QĐ-UBND
31/10/2016</t>
  </si>
  <si>
    <t xml:space="preserve">QĐ 2979/QĐ-UBND ngày 28/10/2016 </t>
  </si>
  <si>
    <t>2920/QĐ-UBND
26/10/2016</t>
  </si>
  <si>
    <t>CV 68/HĐND-TT
31/3/2016</t>
  </si>
  <si>
    <t>CV 70/HĐND-TT
31/3/2016</t>
  </si>
  <si>
    <t>CV 69/HĐND-TT
31/3/2016</t>
  </si>
  <si>
    <t>173/HĐND-TT 27/5/2016</t>
  </si>
  <si>
    <t>CTĐT
2218/QĐ-UBND 04/08/2016</t>
  </si>
  <si>
    <t>CTĐT
1264/QĐ-UBND 06/05/2016</t>
  </si>
  <si>
    <t>CTĐT
1153/QĐ-UBND 26/04/2016</t>
  </si>
  <si>
    <t>1948/QĐ-UBND 18/9/2015</t>
  </si>
  <si>
    <t>1982/QĐ-UBND 13/7/2016</t>
  </si>
  <si>
    <t>199/QĐ-UBND 28/01/2016</t>
  </si>
  <si>
    <t>522/QĐ-UBND 08/03/2016</t>
  </si>
  <si>
    <t>1697/QĐ-UBND  23/6/2016</t>
  </si>
  <si>
    <t>259/HĐND-TT 28/10/2016</t>
  </si>
  <si>
    <t>2293/QĐ-UBND  15/8/2016</t>
  </si>
  <si>
    <t>2283/QĐ-UBND 12/8/2016</t>
  </si>
  <si>
    <t>2478/QĐ-UBND 06/9/16</t>
  </si>
  <si>
    <t>11/HĐND 15/01/2016</t>
  </si>
  <si>
    <t>2732/QĐ-UBND  05/10/2016</t>
  </si>
  <si>
    <t>2588/QĐ-UBND  15/9/2016</t>
  </si>
  <si>
    <t>CTĐT
2680/QĐ-UBND 28/9/2016</t>
  </si>
  <si>
    <t>CTĐT
2586/QĐ-UBND 15/9/2016</t>
  </si>
  <si>
    <t>CTĐT
4053/QĐ-UBND 26/10/2015</t>
  </si>
  <si>
    <t>CTĐT 116/QĐ-UBNDH 27/4/2016</t>
  </si>
  <si>
    <t>CTĐT   1798/QĐ-UBND 23/10/2015</t>
  </si>
  <si>
    <t>CTĐT   2230/QĐ-UBNDH 05/7/2016</t>
  </si>
  <si>
    <t>CTĐT   3931/QĐ-UBND 14/10/2015</t>
  </si>
  <si>
    <t>CTĐT   1050/QĐ-UBND 13/4/2016</t>
  </si>
  <si>
    <t>CTĐT   2634/QĐ-UBND 23/11/2015</t>
  </si>
  <si>
    <t xml:space="preserve"> CV 3679/VPUBND-KGVX
28/9/2016</t>
  </si>
  <si>
    <t>CV 3402/VPUBND-KGVX
13/9/2016</t>
  </si>
  <si>
    <t>10/HĐND-TT 15/01/2016</t>
  </si>
  <si>
    <t>Thông báo kết luận 79/BCSĐ
19/9/2016</t>
  </si>
  <si>
    <t>CV 1540/UBND-KGVX ngày 21/10/2016</t>
  </si>
  <si>
    <t>KH vốn 2016: 7 ty (NHCS)</t>
  </si>
  <si>
    <t>XIV</t>
  </si>
  <si>
    <t>XV</t>
  </si>
  <si>
    <t>ĐVT: Triệu đồng</t>
  </si>
  <si>
    <t>Số TT</t>
  </si>
  <si>
    <t>Cơ cấu ngành - lĩnh vực đầu tư</t>
  </si>
  <si>
    <t>Cơ cấu vốn XSKT (%)</t>
  </si>
  <si>
    <t>Cơ cấu tổng các nguồn vốn (%)</t>
  </si>
  <si>
    <t>Số công trình</t>
  </si>
  <si>
    <t>Đầu tư tập trung</t>
  </si>
  <si>
    <t>Xổ số kiến thiết</t>
  </si>
  <si>
    <t>TỔNG CỘNG</t>
  </si>
  <si>
    <t>Công nghiệp</t>
  </si>
  <si>
    <t>Thương mại</t>
  </si>
  <si>
    <t>Giao thông</t>
  </si>
  <si>
    <t>Khoa học, công nghệ</t>
  </si>
  <si>
    <t>Du lịch</t>
  </si>
  <si>
    <t>Giáo dục, đào tạo và giáo dục nghề nghiệp</t>
  </si>
  <si>
    <t>Y tế, dân số và vệ sinh an toàn thực phẩm</t>
  </si>
  <si>
    <t>QUẢN LÝ NHÀ NƯỚC</t>
  </si>
  <si>
    <t>Kế hoạch năm 2017</t>
  </si>
  <si>
    <t>NÔNG NGHIỆP - THỦY LỢI</t>
  </si>
  <si>
    <t>CÔNG NGHIỆP</t>
  </si>
  <si>
    <t>THƯƠNG MẠI</t>
  </si>
  <si>
    <t>GIAO THÔNG</t>
  </si>
  <si>
    <t>KHOA HỌC - CÔNG NGHỆ</t>
  </si>
  <si>
    <t>DU LỊCH</t>
  </si>
  <si>
    <t>GIÁO DỤC - ĐÀO TẠO - DẠY NGHỀ</t>
  </si>
  <si>
    <t>Y TẾ - DÂN SỐ - VSATTP</t>
  </si>
  <si>
    <t>CẤP NƯỚC, THOÁT NƯỚC - XỬ LÝ RÁC THẢI, NƯỚC THẢI</t>
  </si>
  <si>
    <t>VĂN HÓA</t>
  </si>
  <si>
    <t>THỂ THAO</t>
  </si>
  <si>
    <t>XÃ HỘI</t>
  </si>
  <si>
    <t>Kè chống sạt lở bờ sông Hậu bảo vệ Thành phố Long Xuyên</t>
  </si>
  <si>
    <t>1.418 m kè và 882 mét đường giao thông</t>
  </si>
  <si>
    <t>1663/QĐ-UBND 17/8/2015</t>
  </si>
  <si>
    <t>Thủy lợi phục vụ NN, phát triển Nông thôn vùng Bắc Vàm Nao (WB6)</t>
  </si>
  <si>
    <t xml:space="preserve">Hợp phần 2: Hệ thống TL phục vụ nông nghiệp vùng Bắc Vàm Nao- </t>
  </si>
  <si>
    <t>TC,PT</t>
  </si>
  <si>
    <t>2011-2017</t>
  </si>
  <si>
    <t>1039/QĐ-UBND 13/4/2016</t>
  </si>
  <si>
    <t>Hợp phần 3: Cấp nước và vệ sinh môi trường nông thôn</t>
  </si>
  <si>
    <t>AP,CM, CP,TS,CT</t>
  </si>
  <si>
    <t>431/QĐ-UBND 29/02/2016; 2303/QĐ-UBND 16/8/2016</t>
  </si>
  <si>
    <t>Tiểu Hợp phần vệ sinh nông thôn</t>
  </si>
  <si>
    <t>AP,CM,PT,TS</t>
  </si>
  <si>
    <t>05 NVS trường học + 2.475 NVS hộ GĐ</t>
  </si>
  <si>
    <t>1206/QĐ-UBND 30/6/2015</t>
  </si>
  <si>
    <t>Dự án thí điểm nâng cao hiệu quả thủy lợi nội đồng tại miền tây Nam ĐBSCL - Mô hình thí điểm tại xã Phú Xuân, huyện Phú Tân, An Giang.</t>
  </si>
  <si>
    <t>2015 - 2017</t>
  </si>
  <si>
    <t>1992/QĐ-UBND 23/9/2015</t>
  </si>
  <si>
    <t>Chuyển đổi nông nghiệp bền vững tại Việt Nam (VnSAT)</t>
  </si>
  <si>
    <t>AP,CP,TB,TS</t>
  </si>
  <si>
    <t>2539/QĐ-UBND 09/11/2015</t>
  </si>
  <si>
    <t>DA chống chịu khí hậu tổng hợp và sinh kế bền vững ĐB SCL(WB9)</t>
  </si>
  <si>
    <t>-</t>
  </si>
  <si>
    <t>Tăng cường khả năng thích ứng và quản lý nước cho vùng thượng nguồn sông Cửu Long, huyện An Phú</t>
  </si>
  <si>
    <t>An Phú</t>
  </si>
  <si>
    <t>1234/QĐ-UBND 05/5/2016</t>
  </si>
  <si>
    <t>Dự án Hệ thống thoát nước và xử lý nước thải TP Long Xuyên</t>
  </si>
  <si>
    <t>30.000
m³/ngđ</t>
  </si>
  <si>
    <t>2011-2018</t>
  </si>
  <si>
    <t>2249/QĐ-UBND và 360/QĐ-UBND</t>
  </si>
  <si>
    <t>Dự án Phát triển đô thị thành phố Long Xuyên</t>
  </si>
  <si>
    <t>CV 1888/TTg-QHQT ngày 27/10/2016 (TTgCP phê duyệt đề xuất dự án)</t>
  </si>
  <si>
    <t>1441/QĐ-UBND  24/8/2012</t>
  </si>
  <si>
    <t>12-17</t>
  </si>
  <si>
    <t>1126/QĐ-UBND 22/7/14</t>
  </si>
  <si>
    <t>1152/QĐ-UBND  23/7/14</t>
  </si>
  <si>
    <t>1529/QĐ-UBND 09/9/2014 ; 1858/QĐ-UBND, ngày 07/7/2016</t>
  </si>
  <si>
    <t>An ninh y tế khu vực tiểu vùng Mê Công mở rộng</t>
  </si>
  <si>
    <t>21</t>
  </si>
  <si>
    <t>Tăng cường quản lý đất đai và cơ sở dữ liệu đất đai tỉnh An Giang</t>
  </si>
  <si>
    <t>10 huyện</t>
  </si>
  <si>
    <t>2017-2022</t>
  </si>
  <si>
    <t>Đang làm lại thủ tục QĐ đầu tư theo quy định</t>
  </si>
  <si>
    <t>22</t>
  </si>
  <si>
    <t>23</t>
  </si>
  <si>
    <t>VB 1481/UBND-KGVX 13/10/2016</t>
  </si>
  <si>
    <t>Chương trình Hỗ trợ đầu tư phát triển kết cấu hạ tầng của hợp tác xã nông, lâm, ngư nghiệp tỉnh An Giang</t>
  </si>
  <si>
    <t>Ttinh</t>
  </si>
  <si>
    <t>10HTX</t>
  </si>
  <si>
    <t>Hệ thống tháp sấy lúa</t>
  </si>
  <si>
    <t>240 tấn/ngày</t>
  </si>
  <si>
    <t>3033/QĐ-UBND 31/10/2016</t>
  </si>
  <si>
    <r>
      <t>10-40 m</t>
    </r>
    <r>
      <rPr>
        <vertAlign val="superscript"/>
        <sz val="11"/>
        <rFont val="Times New Roman"/>
        <family val="1"/>
      </rPr>
      <t>3</t>
    </r>
    <r>
      <rPr>
        <sz val="11"/>
        <rFont val="Times New Roman"/>
        <family val="1"/>
      </rPr>
      <t>/h</t>
    </r>
  </si>
  <si>
    <r>
      <t>635,6</t>
    </r>
    <r>
      <rPr>
        <i/>
        <sz val="11"/>
        <rFont val="Times New Roman"/>
        <family val="1"/>
      </rPr>
      <t xml:space="preserve"> </t>
    </r>
    <r>
      <rPr>
        <sz val="11"/>
        <rFont val="Times New Roman"/>
        <family val="1"/>
      </rPr>
      <t>m2</t>
    </r>
  </si>
  <si>
    <t>Nguồn vốn đầu tư tập trung do cấp tỉnh quản lý và vốn thu xổ số kiến thiết</t>
  </si>
  <si>
    <t>KẾ HOẠCH VỐN VÀ DANH MỤC DỰ ÁN ĐẦU TƯ XÂY DỰNG NĂM 2017</t>
  </si>
  <si>
    <t>Dự kiến kế hoạch năm trung hạn 5 năm 2016-2020</t>
  </si>
  <si>
    <t>Dự kiến kế hoạch năm 2017</t>
  </si>
  <si>
    <t>Dự kiến kế hoạch năm 2017 (đề nghị của các Phòng)</t>
  </si>
  <si>
    <t>Chuẩn bị đầu tư</t>
  </si>
  <si>
    <t>DA chuyển tiếp hoàn thành năm trước và năm 2017</t>
  </si>
  <si>
    <t>DA chuyển tiếp hoàn thành sau năm 2017</t>
  </si>
  <si>
    <t>DA khởi công mới</t>
  </si>
  <si>
    <r>
      <t>Giải ngân từ 1/1/2016 đến 30/6/2016</t>
    </r>
    <r>
      <rPr>
        <vertAlign val="superscript"/>
        <sz val="12"/>
        <rFont val="Times New Roman"/>
        <family val="1"/>
      </rPr>
      <t xml:space="preserve"> (1)</t>
    </r>
  </si>
  <si>
    <t>Tđó: Đã hoàn thành năm trước</t>
  </si>
  <si>
    <t>Tđó: DA bố trí đúng tiến độ</t>
  </si>
  <si>
    <t>Tđó: Hoàn thành năm 2017</t>
  </si>
  <si>
    <t>DA</t>
  </si>
  <si>
    <t>Vốn</t>
  </si>
  <si>
    <t>Nông nghiệp - Thủy lợi</t>
  </si>
  <si>
    <t>431/QĐ-UBND 29/02/2016</t>
  </si>
  <si>
    <t>Hệ thống thủy lợi vùng cao thích ứng với biến đổi khí hậu nhằm phục vụ tái cơ cấu sản xuất Nông nghiệp cho đồng bào vùng Bảy Núi, tỉnh An Giang</t>
  </si>
  <si>
    <t>TT-TB</t>
  </si>
  <si>
    <t>125/HĐND-TT 23/09/2015</t>
  </si>
  <si>
    <t>Chỉnh trị dòng chảy sông Hậu đoạn qua thành phố Long Xuyên, tỉnh An Giang thích ứng với biến đổi khí hậu</t>
  </si>
  <si>
    <t>12.035m kè và TĐC 1.000 hộ</t>
  </si>
  <si>
    <t>95/HĐND-TT 24/8/2015</t>
  </si>
  <si>
    <t>Theo quyết định phân bổ chi tiết</t>
  </si>
  <si>
    <t>VP làm việc, cửa hàng vật tư NN, nhà kho và SLMB, Đường giao thông nội đồng, mương dẫn nước, lò sấy lúa.</t>
  </si>
  <si>
    <t>LĨNH VỰC CÔNG NGHIỆP</t>
  </si>
  <si>
    <t>LĨNH VỰC THƯƠNG MẠI</t>
  </si>
  <si>
    <t>Hoàn ứng kinh phí đền bù khu dân cư xã Xuân Tô (2002)</t>
  </si>
  <si>
    <t>2402/QĐ-UBND, ngày 30/10/2015</t>
  </si>
  <si>
    <t>24/HĐND-TT, ngày 03/02/2016</t>
  </si>
  <si>
    <t>LĨNH VỰC GIAO THÔNG</t>
  </si>
  <si>
    <t>GĐ 2016-2020</t>
  </si>
  <si>
    <t>212/HĐND-TT 07/12/2015</t>
  </si>
  <si>
    <t>Cầu Sắt Giữa</t>
  </si>
  <si>
    <t>143m</t>
  </si>
  <si>
    <t>32/QĐ-UBND 11/1/2016</t>
  </si>
  <si>
    <t>1936/QĐ-UBND 30/10/2014; 2388A/QĐ-UBND 30/10/2015</t>
  </si>
  <si>
    <t>Chiều dài 4.003m, mặt 3,5m; CT phụ</t>
  </si>
  <si>
    <t>60/QĐ-UBND 07/3/2016</t>
  </si>
  <si>
    <t>01 cầu BTCT dài 48m</t>
  </si>
  <si>
    <t>Lĩnh vực cấp nước, thoát nước và xử lý rác thải, nước thải</t>
  </si>
  <si>
    <t>HT thoát nước, xử lý nước thải C.Đốc: Đối ứng</t>
  </si>
  <si>
    <t>5.000 m3/ngày</t>
  </si>
  <si>
    <t>2110/QĐ-UBND 24/11/2011</t>
  </si>
  <si>
    <t>Lò đốt rác sinh hoạt xã An Bình</t>
  </si>
  <si>
    <t>AB</t>
  </si>
  <si>
    <t>12 tần/ ngày đêm</t>
  </si>
  <si>
    <t>3196/QĐ-UBND 28/10/2015</t>
  </si>
  <si>
    <t>Lò đốt rác xã Kiến An</t>
  </si>
  <si>
    <t>910/QĐ-UBND 01/6/2015</t>
  </si>
  <si>
    <t>Lò đốt rác xã Long Điền A</t>
  </si>
  <si>
    <t>2623/QĐ-TTg 31/12/2013</t>
  </si>
  <si>
    <t>Lĩnh vực Văn hóa</t>
  </si>
  <si>
    <t>Trùng tu Di tích Đình Mỹ Đức</t>
  </si>
  <si>
    <t>CV 3474/UBND ngày 5/11/2015</t>
  </si>
  <si>
    <t>Trung tâm văn hoá và Học tập cộng đồng xã Long Điển A</t>
  </si>
  <si>
    <t>Trung tâm văn hoá và Học tập cộng đồng xã Long Điển B</t>
  </si>
  <si>
    <t>2422/QĐ-UBND 30/10/2015</t>
  </si>
  <si>
    <t>35/QĐ-UBND 11/01/2016</t>
  </si>
  <si>
    <t>các huyện
trên địa
 bàn tỉnh</t>
  </si>
  <si>
    <t>2435/QĐ-UBND ngày 30/10/2015</t>
  </si>
  <si>
    <t>Trung tâm văn hóa và học tập cộng đồng  xã Kiến An</t>
  </si>
  <si>
    <t>133/QĐ-UBND 28/01/2016</t>
  </si>
  <si>
    <t>Hội trường, P.Chức năng; CT phụ +KTHT, TB</t>
  </si>
  <si>
    <t>2593/QĐ-UBND
17/11/2015</t>
  </si>
  <si>
    <t>Trung tâm Văn hóa và Học tập cộng đồng xã Phú Vĩnh</t>
  </si>
  <si>
    <t>4366/QĐ-UBND ngày 25/11/2015</t>
  </si>
  <si>
    <t>Trung tâm Văn hóa và Học tập cộng đồng xã Thới Sơn</t>
  </si>
  <si>
    <t>Trung tâm Văn hóa và Học tập cộng đồng xã Mỹ Hiệp</t>
  </si>
  <si>
    <t>Trung tâm Văn hóa và Học tập cộng đồng xã Hòa An</t>
  </si>
  <si>
    <t>Trung tâm Văn hóa và Học tập cộng đồng xã Định Thành</t>
  </si>
  <si>
    <t>Lĩnh vực Thể thao</t>
  </si>
  <si>
    <t>7.655m2</t>
  </si>
  <si>
    <t>551-QĐ/TWĐTN</t>
  </si>
  <si>
    <t>Hồ bơi  An Phú</t>
  </si>
  <si>
    <t>569/QĐ-UBND 10/3/2016</t>
  </si>
  <si>
    <t>Nhà thiếu nhi các huyện:</t>
  </si>
  <si>
    <t xml:space="preserve"> - Huyện An Phú</t>
  </si>
  <si>
    <t xml:space="preserve"> - Huyện Thoại Sơn</t>
  </si>
  <si>
    <t xml:space="preserve"> - Huyện Chợ Mới</t>
  </si>
  <si>
    <t>Lĩnh vực Du lịch</t>
  </si>
  <si>
    <t>Khu  du lịch Núi Sam: Tuyến đường đoạn từ đường tránh quốc lộ 91 đến chợ Vĩnh Đông phường Núi Sam</t>
  </si>
  <si>
    <t>Dài 1.900 m, Rộng: 15m</t>
  </si>
  <si>
    <t>CV 40/HĐND-TT
15/02/2016</t>
  </si>
  <si>
    <t>1966/QĐ-UBND ngày 31/10/2014</t>
  </si>
  <si>
    <t>Số 903/QĐ-UBND ngày 31/3/2016</t>
  </si>
  <si>
    <t>Lĩnh vực Khoa học, công nghệ</t>
  </si>
  <si>
    <t>Lĩnh vực Công nghệ thông tin</t>
  </si>
  <si>
    <t>Ứng dụng công nghệ thông tin quản lý đồng bộ về nhân sự, khám chữa bệnh từ Bệnh viện tuyến tỉnh, huyện, trạm y tế cấp xã</t>
  </si>
  <si>
    <t>2018-2020</t>
  </si>
  <si>
    <t>2827/QĐ-UBND 17/12/2015</t>
  </si>
  <si>
    <t>Hệ thống phần mềm quản lý văn bản và chỉ đạo điều hành trên môi trường mạng ngành Y tế</t>
  </si>
  <si>
    <t>2824/QĐ-UBND 17/12/2015</t>
  </si>
  <si>
    <t>Nâng cấp mở rộng trang thiết bị, phần mềm ứng dụng công nghệ thông tin tại Sở Nội vụ</t>
  </si>
  <si>
    <t>Ứng dụng CNTT quản lý và xây dựng CSDL cán bộ công chức trên địa bàn tỉnh</t>
  </si>
  <si>
    <t>Phần mềm quản lý hộ tịch (mở rộng, tích hợp liên thông cấp giấy khai sinh, nhập hộ khẩu và cấp thể BHYT)</t>
  </si>
  <si>
    <t>Lx</t>
  </si>
  <si>
    <t>Nâng cấp mở rộng trang thiết bị, phần mềm ứng dụng công nghệ thông tin tại Thanh Tra tỉnh</t>
  </si>
  <si>
    <t>Dự án đầu tư trang thiết bị, ứng dụng công nghệ thông tin tại Trung tâm tiếp nhận và trả kết quả thủ tục hành chính tỉnh An Giang.</t>
  </si>
  <si>
    <t>2467/QĐ-UBND 06/9/2016</t>
  </si>
  <si>
    <t xml:space="preserve">Ứng dụng công nghệ thông tin trong quản lý tổng thể bệnh viện đa khoa TT AG </t>
  </si>
  <si>
    <t>Lĩnh vực Giáo dục, đào tạo và dạy nghề</t>
  </si>
  <si>
    <t xml:space="preserve">Trường THPT chuyên Thủ Khoa Nghĩa </t>
  </si>
  <si>
    <t>Nhà làm việc Ban giám hiệu, 36PH,TNTH</t>
  </si>
  <si>
    <t>1869/UBND-ĐTXD 05/11/15</t>
  </si>
  <si>
    <t>2016
2020</t>
  </si>
  <si>
    <t>2283/QĐ-UBND 02/8/2016</t>
  </si>
  <si>
    <t>CV 11/HĐND ngày 15/01/2016</t>
  </si>
  <si>
    <t>Mua sắm thiết bị phòng bộ môn ngoại ngữ cho các cấp học trên địa bàn tỉnh An Giang giai đoạn 2016-2020</t>
  </si>
  <si>
    <t>65/HĐND 30/03/2016</t>
  </si>
  <si>
    <t>Dự án mua sắm mua sắm bàn, ghế học sinh cho các cấp học trên địa bàn tỉnh An Giang giai đoạn 2016 – 2020</t>
  </si>
  <si>
    <t>2588/QĐ-UBND ngày 15/9/2016</t>
  </si>
  <si>
    <t>Trường THPT Vĩnh Xương</t>
  </si>
  <si>
    <t>6 PHBM, CT phụ trợ, HTKT, TB</t>
  </si>
  <si>
    <t>1795/QĐ-UBND ngày 28/6/16</t>
  </si>
  <si>
    <t>Trường THPT Nguyễn Chí Thanh</t>
  </si>
  <si>
    <t>1693/QĐ-UBND ngày 23/6/16</t>
  </si>
  <si>
    <t>Trường Phổ thông THCS&amp;THPT Vĩnh Nhuận</t>
  </si>
  <si>
    <t>8 PH, CT phụ trợ, HTKT, TB</t>
  </si>
  <si>
    <t>1692/QĐ-UBND ngày 23/6/16</t>
  </si>
  <si>
    <t>Trường Cao đẳng nghề An Giang</t>
  </si>
  <si>
    <t>5000 HV</t>
  </si>
  <si>
    <t>2008-2016</t>
  </si>
  <si>
    <t>227/QĐ-UBND  05/02/2015</t>
  </si>
  <si>
    <t>Dự án thành phần 5: CT đào tạo nghề 2008</t>
  </si>
  <si>
    <t>Thiết bị</t>
  </si>
  <si>
    <t>2149/QĐ-UBND 16/10/2013</t>
  </si>
  <si>
    <t>Trung tâm dạy nghề huyện Châu Thành</t>
  </si>
  <si>
    <t>300 học viên</t>
  </si>
  <si>
    <t>1715/QĐ-UBND 24/06/2016</t>
  </si>
  <si>
    <t>Trường THPT Ba Chúc</t>
  </si>
  <si>
    <t>6PH</t>
  </si>
  <si>
    <t>hết 2016</t>
  </si>
  <si>
    <t>157/QĐ-SKHĐT 31/7/14</t>
  </si>
  <si>
    <t>11-15</t>
  </si>
  <si>
    <t>2014 - 2019</t>
  </si>
  <si>
    <t>16-17</t>
  </si>
  <si>
    <t>2279/QĐ-UBND  22/10/2015</t>
  </si>
  <si>
    <t>2278/QĐ-UBND 22/10/2015
962/QĐ-UBND 31/3/2016</t>
  </si>
  <si>
    <t>Trường THPT Nguyễn Văn Hưởng</t>
  </si>
  <si>
    <t>6PBM, PCN,CT 18PH và PCN</t>
  </si>
  <si>
    <t>301/UBND-ĐXD 
03/2/2016</t>
  </si>
  <si>
    <t>Mua sắm thiết bị phòng bộ môn tin học cho các Trường trung học trên địa bàn tỉnh An Giang</t>
  </si>
  <si>
    <t>2017
2020</t>
  </si>
  <si>
    <t>1580/QĐ-UBND 09/6/16</t>
  </si>
  <si>
    <t>Lĩnh vực Y tế, dân số và vệ sinh an toàn thực phẩm</t>
  </si>
  <si>
    <t>Trạm Y tế xã Nhơn Hưng</t>
  </si>
  <si>
    <t>Trung tâm pháp y</t>
  </si>
  <si>
    <t>CV 3679/VPUBND-KGVX
28/9/2016</t>
  </si>
  <si>
    <t>190A/QĐ-UBND ngày 07/02/2014; số 1119/QĐ-UBND ngày 25/4/2016</t>
  </si>
  <si>
    <t>Bệnh viện đa khoa huyện Châu Thành</t>
  </si>
  <si>
    <t>739/QĐ-UBND 18/3/2016</t>
  </si>
  <si>
    <t>Thêm 
50 giường</t>
  </si>
  <si>
    <t>2251/QĐ-UBND
30/10/2014</t>
  </si>
  <si>
    <t>Mở rộng bệnh viện tim mạch An Giang</t>
  </si>
  <si>
    <t>4052/QĐ-UBND 26/10/2015</t>
  </si>
  <si>
    <t>2444/QĐ-UBND 30/10/2015</t>
  </si>
  <si>
    <t>Bệnh viện Y học cổ 
truyền</t>
  </si>
  <si>
    <t>Trung tâm Phòng 
chống HIV/AIDS</t>
  </si>
  <si>
    <t>2539/QĐ-UBND 12/9/2016</t>
  </si>
  <si>
    <t>2016-2016</t>
  </si>
  <si>
    <t>1753/QĐ-UBND 31/8/2015</t>
  </si>
  <si>
    <t>3932/QĐ-UBND 14/10/2015</t>
  </si>
  <si>
    <t>1837/QĐ-UBND 19/10/2015</t>
  </si>
  <si>
    <t>1800/QĐ-UBND 26/10/2015</t>
  </si>
  <si>
    <t>203/QĐ-UBND 28/01/2016</t>
  </si>
  <si>
    <t>1330/QĐ-UBND 30/6/2016</t>
  </si>
  <si>
    <t>1802/QĐ-UBND 28/5/2016</t>
  </si>
  <si>
    <t>1804QĐ-UBND 28/5/2016</t>
  </si>
  <si>
    <t>Lĩnh vực Xã hội</t>
  </si>
  <si>
    <t xml:space="preserve"> Nâng cấp trung tâm bảo trợ xã hội tỉnh (KH đã ghi Xây dựng trung tâm chăm sóc và phục hồi chức năng cho người tâm thần) </t>
  </si>
  <si>
    <t>60-70 đối tượng</t>
  </si>
  <si>
    <t>Mở rộng nghĩa trang liệt sĩ tỉnh</t>
  </si>
  <si>
    <t>1,74ha</t>
  </si>
  <si>
    <t>Trung tâm chăm sóc và phục hồi chức năng cho người tâm thần</t>
  </si>
  <si>
    <t>Trung tâm giới thiệu việc làm Chợ Mới</t>
  </si>
  <si>
    <t>395,175 m2</t>
  </si>
  <si>
    <t>2013 - 2015</t>
  </si>
  <si>
    <t>1054/QĐ-UBND ngày 13/4/16 (Điều chỉnh lần 2)</t>
  </si>
  <si>
    <t>Đối ứng thực hiện Quyết định số 29/QĐ-TTg về hỗ trợ giải quyết đất ở và giải quyết việc làm cho ĐBDT thiểu số nghèo</t>
  </si>
  <si>
    <t>155/QĐ-UBND ngày 25/01/2016</t>
  </si>
  <si>
    <t>1401/QĐ-UBND ngày 03/09/2014</t>
  </si>
  <si>
    <t>Trung tâm giới thiệu việc làm Châu Đốc</t>
  </si>
  <si>
    <t>450m2</t>
  </si>
  <si>
    <t>925A/QĐ-UBND 31/3/2016</t>
  </si>
  <si>
    <t>Trung tâm giáo dục trẻ mồ côi và người già cô đơn</t>
  </si>
  <si>
    <t>2013 - 2016</t>
  </si>
  <si>
    <t>2212/QĐ-UBND 24/10/2013</t>
  </si>
  <si>
    <t>4.678 hộ</t>
  </si>
  <si>
    <t>1776/QĐ-UBND ngày 29/6/16</t>
  </si>
  <si>
    <t>Lĩnh vực Quản lý Nhà nước</t>
  </si>
  <si>
    <t>1132/QĐ-UBND 25/4/2016</t>
  </si>
  <si>
    <t>TT Tịnh Biên</t>
  </si>
  <si>
    <t xml:space="preserve">Tp. Long Xuyên </t>
  </si>
  <si>
    <t xml:space="preserve">2396/QĐ-UBND, 0/10/2015 </t>
  </si>
  <si>
    <t>2014-2015</t>
  </si>
  <si>
    <t>329/QĐ-UBND 14/9/2015</t>
  </si>
  <si>
    <t>925/QĐ-UBND 31/3/2016</t>
  </si>
  <si>
    <t>3934/QĐ-UBND 15/10/2015</t>
  </si>
  <si>
    <t>Lĩnh vực Quốc phòng, an ninh</t>
  </si>
  <si>
    <t>Mở rộng Ban CHQS TP Long Xuyên</t>
  </si>
  <si>
    <t>2016
-2017</t>
  </si>
  <si>
    <t>2468/QĐ-UBND 30/10/2015</t>
  </si>
  <si>
    <t>Nâng cấp doanh trại 
Đại đội thông tin</t>
  </si>
  <si>
    <t>2525/QĐ-UBND 09/11/2015</t>
  </si>
  <si>
    <t>Nhà hội trường Ban CHQS huyện An Phú</t>
  </si>
  <si>
    <t>373 m2</t>
  </si>
  <si>
    <t>2495/QĐ-UBND 04/11/2015</t>
  </si>
  <si>
    <t>Cải tạo, nâng cấp doanh trại cBB7.dBB511/eBB892</t>
  </si>
  <si>
    <t>2405/QĐ-UBND 30/10/2015</t>
  </si>
  <si>
    <t>Thao trường huấn luyện quân sự của Trung đoàn BB892</t>
  </si>
  <si>
    <t>16,4ha</t>
  </si>
  <si>
    <t>2407/QĐ-UBND 30/10/2015</t>
  </si>
  <si>
    <t>Nhà hội trường Ban CHQS TX Tân Châu</t>
  </si>
  <si>
    <t>2409/QĐ-UBND 30/10/2015</t>
  </si>
  <si>
    <t>Tường rào, nhà bia tưởng niệm anh hùng liệt sĩ, chống sét kho vũ khí, hệ thống Thông tin liên lạc Đồn Biên phòng CKQT Sông Tiền</t>
  </si>
  <si>
    <t>493,023m,
 chống sét, Hệ thống TTLL</t>
  </si>
  <si>
    <t>2416/QĐ-UBND 30/10/2015</t>
  </si>
  <si>
    <t>Đội Cảnh sát PCCC và CNCH Tân Châu</t>
  </si>
  <si>
    <t>Sàn: 2.200,13M2</t>
  </si>
  <si>
    <t>1550/QĐ-UBND 10/5/2014</t>
  </si>
  <si>
    <t>Trụ sở làm việc Trạm Quản lý xuất nhập cảnh Vĩnh Xương</t>
  </si>
  <si>
    <t>Sàn: 894 M2</t>
  </si>
  <si>
    <t>543/QĐ-UBND 10/5/2015</t>
  </si>
  <si>
    <t>Hạ tầng cụm dân cư, quân nhân BĐBP Khu vực Biên giới tỉnh An Giang</t>
  </si>
  <si>
    <t>80.000 
m2</t>
  </si>
  <si>
    <t>Hết năm 2017</t>
  </si>
  <si>
    <t xml:space="preserve">443/QĐ-UBND 11/3/2013 </t>
  </si>
  <si>
    <t>Vốn SD đất 28.000 trđ, còn lại vốn góp</t>
  </si>
  <si>
    <t>Chốt dân quân, chốt bộ đội biên phòng tuyến biên giới</t>
  </si>
  <si>
    <t>AP, CĐ, TT, TB</t>
  </si>
  <si>
    <t>21 chốt</t>
  </si>
  <si>
    <t>2014
-2017</t>
  </si>
  <si>
    <t>1145/QĐ-UBND 26/4/2016</t>
  </si>
  <si>
    <t>Đường ra chốt dân quân, chốt bộ đội biên phòng tuyến biên giới</t>
  </si>
  <si>
    <t>6 km</t>
  </si>
  <si>
    <t>1945/QĐ-UBND 30/10/2014</t>
  </si>
  <si>
    <t>Trường bắn Ban CHQS 
huyện Tri Tôn</t>
  </si>
  <si>
    <t>2015
-2017</t>
  </si>
  <si>
    <t>2408/QD-UBND 30/10/2015</t>
  </si>
  <si>
    <t>Doanh trại Tiểu đoàn
BB511</t>
  </si>
  <si>
    <t>2406/QD-UBND 30/10/2015</t>
  </si>
  <si>
    <t>Trụ sở làm việc phòng Cảnh sát quản lý hành chính về trật tự xã hội</t>
  </si>
  <si>
    <t>Sàn: 894 M3</t>
  </si>
  <si>
    <t>2411//QĐ-UBND 30/10/2015</t>
  </si>
  <si>
    <t>Khu vực phòng thủ tỉnh : Sở CH cơ bản (ĐH01-AG)</t>
  </si>
  <si>
    <t>2010-2019</t>
  </si>
  <si>
    <t>1433/QĐ-BTL25/8/2011</t>
  </si>
  <si>
    <t>Đường ra Trạm Kiểm soát Biên phòng Phú Hội (939)</t>
  </si>
  <si>
    <t>5.104 m</t>
  </si>
  <si>
    <t>2015-
2020</t>
  </si>
  <si>
    <t>2405A/QĐ-UBND
30/10/2015</t>
  </si>
  <si>
    <t>Phòng Cảnh sát PCCC và CNCH khu vực Chợ Mới</t>
  </si>
  <si>
    <t>2410/QĐ-UBND 15/10/2015</t>
  </si>
  <si>
    <t>Doanh trại Trung đoàn BB892</t>
  </si>
  <si>
    <t>212/HĐND-TT 22/8/2016</t>
  </si>
  <si>
    <t>Tiểu dự án đầu tư trang thiết bị, phương tiện PCCC và CNCH  thuộc Công an tỉnh An Giang</t>
  </si>
  <si>
    <t>1096/QĐ-UBND 22/4/2016</t>
  </si>
  <si>
    <t>Cơ sở PCCC và CNCH khu vực Châu Phú, Phú Tân, Tri Tôn</t>
  </si>
  <si>
    <t>CP. PT, TT</t>
  </si>
  <si>
    <t>Trụ sở Công an tỉnh An Giang</t>
  </si>
  <si>
    <t>Bồi thường GPMB đất xây dựng Tiểu đoàn 19</t>
  </si>
  <si>
    <t>15,72 ha</t>
  </si>
  <si>
    <t>490/QĐ-UBND 01/3/2016</t>
  </si>
  <si>
    <t>Nhà tạm giữ hành chính 3 cấp (gđ 2)</t>
  </si>
  <si>
    <t>2386/QĐ-UBND 30/10/2015</t>
  </si>
  <si>
    <t>XVI</t>
  </si>
  <si>
    <t>Chung các lĩnh vực</t>
  </si>
  <si>
    <t>XVIII</t>
  </si>
  <si>
    <t>Vốn sử dụng đất</t>
  </si>
  <si>
    <t xml:space="preserve">Do Sở TC trình UBND tỉnh phân bổ riêng </t>
  </si>
  <si>
    <t xml:space="preserve"> - Do cấp tỉnh quản lý</t>
  </si>
  <si>
    <t xml:space="preserve"> - Do cấp huyện quản lý</t>
  </si>
  <si>
    <t>Nguồn vốn ĐTPT do cấp huyện quản lý</t>
  </si>
  <si>
    <t>Tăng 10% so với KH 2016 và do cấp huyện phân bổ</t>
  </si>
  <si>
    <t>Ghi chú: (1) Bao gồm số vốn đầu tư các năm trước kéo dài sang năm 2016 (nếu có)</t>
  </si>
  <si>
    <t xml:space="preserve"> - Vốn cân đối ngân sách tỉnh bao gồm các nguồn: (1) Đầu tư tập trung, (2) Xổ số kiến thiết và (3) Thu tiền sử dụng đất </t>
  </si>
  <si>
    <t>Tđó: Thanh toán nợ XDCB</t>
  </si>
  <si>
    <t>Đường ra chốt dân quân, chốt bộ đội biên phòng tuyến biên giới (giai đoạn 2)</t>
  </si>
  <si>
    <t>8,4 km</t>
  </si>
  <si>
    <t>22/HĐND-TT 03/02/2016</t>
  </si>
  <si>
    <t>11,2 ha</t>
  </si>
  <si>
    <t>Chủ đầu tư</t>
  </si>
  <si>
    <t>LĨNH VỰC QUỐC PHÒNG AN NINH</t>
  </si>
  <si>
    <t>Chi phí quyết toán</t>
  </si>
  <si>
    <t>THÔNG TIN - TRUYỀN THÔNG</t>
  </si>
  <si>
    <t>46140 m2</t>
  </si>
  <si>
    <t>3076/QĐ-UBND 31/10/2016</t>
  </si>
  <si>
    <t>GN 9 tháng 2016 &lt;30%</t>
  </si>
  <si>
    <t>Đài PTTH phải bố trí vốn đối ứng theo QĐ được duyệt</t>
  </si>
  <si>
    <t xml:space="preserve">Đầu tư trang thiết bị cho Trung tâm Ứng dụng tiến bộ khoa học và công nghệ giai đoạn 2016 - 2020 </t>
  </si>
  <si>
    <t>DA chống chịu khí hậu tổng hợp và sinh kế bền vững ĐB SCL(WB9):</t>
  </si>
  <si>
    <t>24</t>
  </si>
  <si>
    <t>25</t>
  </si>
  <si>
    <t>XVII</t>
  </si>
  <si>
    <t>Nâng cấp HT thuỷ lợi phục vụ nuôi trồng thuỷ sản khu vực Tây đường tránh TPLX</t>
  </si>
  <si>
    <t>51853m2</t>
  </si>
  <si>
    <t>Sao vừa bố trí vốn CBĐT và THĐT???</t>
  </si>
  <si>
    <t>3102/QĐ-UBND 31/10/2016</t>
  </si>
  <si>
    <t>Nâng cấp, cải tạo đường lên đỉnh Núi Sam</t>
  </si>
  <si>
    <t>dài 2.151m, mặt 7,5 m</t>
  </si>
  <si>
    <t>Tuyến đường vòng Công viên văn hóa Núi Sam (kết hợp bãi đậu xe)</t>
  </si>
  <si>
    <t>NS</t>
  </si>
  <si>
    <t>1.521m</t>
  </si>
  <si>
    <t>Tuyến tránh quốc lộ 91 đến chợ Vĩnh Đông</t>
  </si>
  <si>
    <t>3092/QĐ-UBND 31/10/2016</t>
  </si>
  <si>
    <t>6780/QĐ-UBND 31/10/2016</t>
  </si>
  <si>
    <t>26</t>
  </si>
  <si>
    <t>NTM</t>
  </si>
  <si>
    <t>Sở NN&amp;PTNT</t>
  </si>
  <si>
    <t>TT NS&amp; VSMTNT</t>
  </si>
  <si>
    <t>H. Phú Tân</t>
  </si>
  <si>
    <t>H. Tịnh Biên</t>
  </si>
  <si>
    <t>H. An Phú</t>
  </si>
  <si>
    <t>Sở Tài chính</t>
  </si>
  <si>
    <t>Ban QL KKT</t>
  </si>
  <si>
    <t>H. Tri Tôn</t>
  </si>
  <si>
    <t>Sở Công thương</t>
  </si>
  <si>
    <t>TB 198/TB-VPUBND 21/6/2016</t>
  </si>
  <si>
    <t>Sở GTVT</t>
  </si>
  <si>
    <t>TX. Tân Châu</t>
  </si>
  <si>
    <t>H. Thoại Sơn</t>
  </si>
  <si>
    <t>TP. Long Xuyên</t>
  </si>
  <si>
    <t>TT PT QĐ tỉnh</t>
  </si>
  <si>
    <t>H. Châu Thành</t>
  </si>
  <si>
    <t>TP. Châu Đốc</t>
  </si>
  <si>
    <t>Sở KH&amp;CN</t>
  </si>
  <si>
    <t>TT Công nghệ sinh học</t>
  </si>
  <si>
    <t>CC T.chuẩn Đ.lường</t>
  </si>
  <si>
    <t>Trung tâm Ứng dụng tiến bộ KH&amp;CN</t>
  </si>
  <si>
    <t>Hội Nông dân tỉnh</t>
  </si>
  <si>
    <t>Sở Xây dựng</t>
  </si>
  <si>
    <t>Sở TTTT</t>
  </si>
  <si>
    <t>Sở KH&amp;ĐT</t>
  </si>
  <si>
    <t>Văn phòng Tỉnh ủy</t>
  </si>
  <si>
    <t>Sở TNMT</t>
  </si>
  <si>
    <t>Đài PTTH</t>
  </si>
  <si>
    <t>VP UBND tỉnh</t>
  </si>
  <si>
    <t>BV ĐK TTAG</t>
  </si>
  <si>
    <t>Sở LĐTBXH</t>
  </si>
  <si>
    <t>Sở GD&amp;ĐT</t>
  </si>
  <si>
    <t>Trường CĐ nghề</t>
  </si>
  <si>
    <t>Sở GD&amp;ĐT và các huyện, thị, TP</t>
  </si>
  <si>
    <t>Các huyện, thị, TP</t>
  </si>
  <si>
    <t>Trường CT Tôn Đức Thắng</t>
  </si>
  <si>
    <t>Sở Y tế</t>
  </si>
  <si>
    <t>H. Chợ Mới</t>
  </si>
  <si>
    <t>H. Châu Phú</t>
  </si>
  <si>
    <t>BV ĐK KV tỉnh (Châu Đốc)</t>
  </si>
  <si>
    <t>TT Kiểm dịch y tế quốc tế</t>
  </si>
  <si>
    <t>Cty Điện nước AG</t>
  </si>
  <si>
    <t>Cty Môi trường đô thị</t>
  </si>
  <si>
    <t>Sở VHTTDL</t>
  </si>
  <si>
    <t>BQL Khu DTVH Óc Eo</t>
  </si>
  <si>
    <t>Tỉnh đoàn AG</t>
  </si>
  <si>
    <t>Sở Nội vụ</t>
  </si>
  <si>
    <t>Ban Dân tộc tỉnh</t>
  </si>
  <si>
    <t>Sở KHCN</t>
  </si>
  <si>
    <t>TT TVKĐ XD</t>
  </si>
  <si>
    <t>BQL KKT tỉnh</t>
  </si>
  <si>
    <t>Ban QLDA ĐTXD và KV PT đô thị</t>
  </si>
  <si>
    <t>LĐLĐ tỉnh</t>
  </si>
  <si>
    <t>Bộ CHQS tỉnh</t>
  </si>
  <si>
    <t>Công an tỉnh</t>
  </si>
  <si>
    <t>Bộ CH BĐBP tỉnh</t>
  </si>
  <si>
    <t>Vốn dân góp 4.301 triệu đồng</t>
  </si>
  <si>
    <t>KH vốn 2016: 7 tỷ (NHCS)</t>
  </si>
  <si>
    <t/>
  </si>
  <si>
    <t>(3) Các dự án chuyển tiếp hoàn thành sau năm 2017</t>
  </si>
  <si>
    <t>(4) Các dự án khởi công mới năm 2017</t>
  </si>
  <si>
    <t>(1) Các dự án hoàn thành, bàn giao, đưa vào sử dụng trước ngày 31/12/2016</t>
  </si>
  <si>
    <t>(2) Các dự án dự kiến hoàn thành năm 2017</t>
  </si>
  <si>
    <t>Thông tin truyền thông</t>
  </si>
  <si>
    <t>Cấp nước, thoát nước và xử lý rác thải, nước thải</t>
  </si>
  <si>
    <t>Văn hóa</t>
  </si>
  <si>
    <t>Thể thao</t>
  </si>
  <si>
    <t>Xã hội</t>
  </si>
  <si>
    <t>Nông thôn mới</t>
  </si>
  <si>
    <t>Quản lý nhà nước</t>
  </si>
  <si>
    <t>Quốc phòng - An ninh</t>
  </si>
  <si>
    <t>Hệ thống thoát nước và xử lý nước thải TP Long Xuyên</t>
  </si>
  <si>
    <t>CC Quản lý thị trường</t>
  </si>
  <si>
    <t>Đầu tư trang thiết bị, ứng dụng công nghệ thông tin tại Trung tâm tiếp nhận và kết quả TTHC tỉnh An Giang</t>
  </si>
  <si>
    <t>TỔNG HỢP KẾ HOẠCH VỐN VÀ DANH MỤC DỰ ÁN ĐẦU TƯ XÂY DỰNG NĂM 2017</t>
  </si>
  <si>
    <t>2013/QĐ-UBND 15/7/2016</t>
  </si>
  <si>
    <t>2467/QĐ-UBND 6/9/2016</t>
  </si>
  <si>
    <t>BV ĐK KV Tân Châu</t>
  </si>
  <si>
    <t>1529/QĐ-UBND 09/9/2014 ; 1858/QĐ-UBND 07/7/2016</t>
  </si>
  <si>
    <t>Kế hoạch vốn ngân sách tỉnh năm 2017</t>
  </si>
  <si>
    <t>Đối ứng vốn SP-RCC</t>
  </si>
  <si>
    <t>Nhu cầu của chủ đầu tư năm 2017</t>
  </si>
  <si>
    <t>NST: vốn ĐTPT 2,5tỷ và vốn SNMT 2,5tỷ</t>
  </si>
  <si>
    <t>Khắc phục sạt lở đê bao tường rào Trung tâm chữa bệnh giáo dục lao động xã hội tỉnh</t>
  </si>
  <si>
    <t>3055/QĐ-UBND 31/10/2016</t>
  </si>
  <si>
    <t>5601/QĐ-UBND 25/10/2016</t>
  </si>
  <si>
    <t>3095/QĐ-UBND 31/10/2016</t>
  </si>
  <si>
    <t>5062/QĐ-UBND 25/10/2016</t>
  </si>
  <si>
    <t>1316A/QĐ-HND 12/5/2016</t>
  </si>
  <si>
    <t>Doanh trại Tiểu đoàn BB511</t>
  </si>
  <si>
    <t>QĐ CTĐT 263/HĐND-TT 03/11/2016</t>
  </si>
  <si>
    <t>QĐ CTĐT 4234/QĐ-BNN-KH 18/10/2016</t>
  </si>
  <si>
    <t>QĐ CTĐT 253/HĐND-TT 27/10/2016</t>
  </si>
  <si>
    <t>2620/QĐ-UBND 20/9/2016</t>
  </si>
  <si>
    <t>Chưa có QĐ ĐT</t>
  </si>
  <si>
    <t>3134/QĐ-UBND 31/10/2016</t>
  </si>
  <si>
    <t>PKTN đề nghị chưa bố trí</t>
  </si>
  <si>
    <t>Trao đổi lại hoãn dự án</t>
  </si>
  <si>
    <t>3021,42m2</t>
  </si>
  <si>
    <t>3101/QĐ-UBND 31/10/2016</t>
  </si>
  <si>
    <t>2090/QĐ-UBND
05/10/2015; 1754/QĐ-UBND 29/6/2016</t>
  </si>
  <si>
    <t>QĐ CTĐT 98/HĐND-TT 3/9/2015</t>
  </si>
  <si>
    <t>QĐ CTĐT 264/HĐND-TT 03/11/2016</t>
  </si>
  <si>
    <t>Đường Ung Văn Khiêm (đoạn từ đường Hà Hoàng Hổ đến đường Võ Thị Sáu)</t>
  </si>
  <si>
    <t>360m</t>
  </si>
  <si>
    <t>2905/QĐ-UBND 25/10/2016</t>
  </si>
  <si>
    <t>Long Xuyên</t>
  </si>
  <si>
    <t>(có lấy số)</t>
  </si>
  <si>
    <t>1900m</t>
  </si>
  <si>
    <t>Bê tông hóa bờ bắc kênh Huỳnh Văn Thu</t>
  </si>
  <si>
    <t>Vĩnh Tế</t>
  </si>
  <si>
    <t>4.115m</t>
  </si>
  <si>
    <t>2211/QĐ-UBND 24/10/2014</t>
  </si>
  <si>
    <t>Lát gạch vĩa hè đường Phan xích Long</t>
  </si>
  <si>
    <t>Vĩnh Nguơn</t>
  </si>
  <si>
    <t>3.570m2</t>
  </si>
  <si>
    <t>7322/QĐ-UBND 31/12/2016</t>
  </si>
  <si>
    <t>Nâng cấp, sửa chữa cống chợ xã Phú Lộc</t>
  </si>
  <si>
    <t>Phú Lộc</t>
  </si>
  <si>
    <t>145 m</t>
  </si>
  <si>
    <t>4196/QĐ-UBND 31/10/2016</t>
  </si>
  <si>
    <t>Nền hạ đường Đình nối dài</t>
  </si>
  <si>
    <t>Nhơn Hưng</t>
  </si>
  <si>
    <t>310 m</t>
  </si>
  <si>
    <t>6777/QĐ-UBND 31/10/2016</t>
  </si>
  <si>
    <t>Hệ thống thoát nước Phum Cây Dầu</t>
  </si>
  <si>
    <t>Đal 615,6m; mương 226m</t>
  </si>
  <si>
    <t>2692/QĐ-UBND 24/10/2014</t>
  </si>
  <si>
    <t>Bê tông xi măng đường nối QL N1vào tuyến dân cư ấp Vĩnh Quới</t>
  </si>
  <si>
    <t>Lạc Quới</t>
  </si>
  <si>
    <t>28m</t>
  </si>
  <si>
    <t>5605/QĐ-UBND 31/10/2016</t>
  </si>
  <si>
    <t>Bê tông xi măng đường nối QL N1vào trường tiểu học Lạc Quới</t>
  </si>
  <si>
    <t>80m</t>
  </si>
  <si>
    <t>5606/QĐ-UBND 31/10/2016</t>
  </si>
  <si>
    <t>Mở rộng chợ Vĩnh Gia</t>
  </si>
  <si>
    <t>Vĩnh Gia</t>
  </si>
  <si>
    <t>5608/QĐ-UBND 31/10/2016</t>
  </si>
  <si>
    <t>9 ấp</t>
  </si>
  <si>
    <t>2183/QĐ-UBND 31/10/2016</t>
  </si>
  <si>
    <t>4148/QĐ-UBND 31/10/2016</t>
  </si>
  <si>
    <t>5037/QĐ-UBND 28/10/2016</t>
  </si>
  <si>
    <t>5036/QĐ-UBND 28/10/2016</t>
  </si>
  <si>
    <t>5040/QĐ-UBND 28/10/2016</t>
  </si>
  <si>
    <t>5038/QĐ-UBND 28/10/2016</t>
  </si>
  <si>
    <t>562m</t>
  </si>
  <si>
    <t>2059/QĐ-UBND 31/10/2016</t>
  </si>
  <si>
    <t>267 m</t>
  </si>
  <si>
    <t>6774/QĐ-UBND 31/10/2016</t>
  </si>
  <si>
    <t>423/QĐ-UBND 31/10/2016</t>
  </si>
  <si>
    <t>Chưa kể vốn do SNN quản lý</t>
  </si>
  <si>
    <t>3078/QĐ-UBND 31/10/2016</t>
  </si>
  <si>
    <t>Hoàn ứng ngân sách tỉnh 2016; Vốn NST: 50%; vốn Quỹ PTĐ: 50%</t>
  </si>
  <si>
    <t>3745/QĐ-UBND 28/10/2016</t>
  </si>
  <si>
    <t>2061/QĐ-UBND 31/10/2016</t>
  </si>
  <si>
    <t>phần cứng và phần mềm + TTB</t>
  </si>
  <si>
    <t>3113/QĐ-UBND 31/10/2016</t>
  </si>
  <si>
    <t>Nâng cấp mở rộng trang thiết bị, phần mềm ứng dụng công nghệ thông tin tại Văn phòng Ủy ban nhân dân tỉnh</t>
  </si>
  <si>
    <t>Đầu tư thiết bị chống tấn công hạ tầng mạng</t>
  </si>
  <si>
    <t>2013-2018</t>
  </si>
  <si>
    <t>2012-2017</t>
  </si>
  <si>
    <t>Trạm Y tế xã Khánh Bình</t>
  </si>
  <si>
    <t>Xây mới + Cải tạo</t>
  </si>
  <si>
    <t>Dứt điểm</t>
  </si>
  <si>
    <t>50 giường + HTKT + TTB</t>
  </si>
  <si>
    <t>Đối ứng ODA</t>
  </si>
  <si>
    <t>Công trình chính
1.109m² + CT phụ+TTB</t>
  </si>
  <si>
    <t>Cai tạo, sửa chữa + TB</t>
  </si>
  <si>
    <t>26 xí công cộng</t>
  </si>
  <si>
    <t>456,6m2</t>
  </si>
  <si>
    <t>Trạm 335,2m2; CT phụ; TB</t>
  </si>
  <si>
    <t>276,53m2</t>
  </si>
  <si>
    <t>568,51m2</t>
  </si>
  <si>
    <t>455,10m3</t>
  </si>
  <si>
    <t>Khối nhà chính+HTKT
+TTB</t>
  </si>
  <si>
    <t>2157/QĐ-UBND 28/10/2016</t>
  </si>
  <si>
    <t>587,10m2</t>
  </si>
  <si>
    <t>250,9 m2</t>
  </si>
  <si>
    <t>405,8 m2</t>
  </si>
  <si>
    <t>Caải tạo +xây mới nhà xe</t>
  </si>
  <si>
    <t>Điểm sinh hoạt văn hóa thể thao xã An Bình</t>
  </si>
  <si>
    <t>Sân khấu 70 m2; kho TB, P.QL, NVS, sân đa năng, TB</t>
  </si>
  <si>
    <t>3986/QĐ-UBND
31/10/2016</t>
  </si>
  <si>
    <t>Điểm sinh hoạt văn hóa thể thao xã Tây Phú</t>
  </si>
  <si>
    <t>Sân khấu 96 m2; kho TB, P.QL, NVS, sân đa năng, TB</t>
  </si>
  <si>
    <t>3993/QĐ-UBND
31/10/2016</t>
  </si>
  <si>
    <t>Điểm sinh hoạt văn hóa thể thao xã Vọng Đông</t>
  </si>
  <si>
    <t>Sân khấu 77,4 m2; kho TB, P.QL, NVS, sân đa năng, TB</t>
  </si>
  <si>
    <t>3992/QĐ-UBND
31/10/2016</t>
  </si>
  <si>
    <t>Điểm sinh hoạt văn hóa thể thao xã  Phú Thuận</t>
  </si>
  <si>
    <t>3991/QĐ-UBND
31/10/2016</t>
  </si>
  <si>
    <t>Điểm sinh hoạt văn hóa thể thao xã Vọng Thê</t>
  </si>
  <si>
    <t>3989/QĐ-UBND
31/10/2016</t>
  </si>
  <si>
    <t>Điểm sinh hoạt văn hóa thể thao xã Vĩnh Chánh</t>
  </si>
  <si>
    <t>3995/QĐ-UBND
31/10/2016</t>
  </si>
  <si>
    <t>Điểm sinh hoạt văn hóa thể thao xã Bình Thành</t>
  </si>
  <si>
    <t>3994/QĐ-UBND
31/10/2016</t>
  </si>
  <si>
    <t>Điểm sinh hoạt văn hóa thể thao xã  Vĩnh Khánh</t>
  </si>
  <si>
    <t>3988/QĐ-UBND
31/10/2016</t>
  </si>
  <si>
    <t>Điểm sinh hoạt văn hóa thể thao xã Mỹ Phú Đông</t>
  </si>
  <si>
    <t>3990/QĐ-UBND
31/10/2016</t>
  </si>
  <si>
    <t>Trung tâm văn hoá thể thao và Học tập công đồng xã Đa Phước</t>
  </si>
  <si>
    <t>HT, + các phòng chức năng</t>
  </si>
  <si>
    <t>1338A/QĐ-UBND
13/5/2016</t>
  </si>
  <si>
    <t>290m</t>
  </si>
  <si>
    <t>Vốn của T tâm: 4.382 trđ</t>
  </si>
  <si>
    <t>Các trung tâm văn hóa xã; Điểm sinh hoạt văn hóa, thể thao</t>
  </si>
  <si>
    <t>Vốn thưởng cho các xã đạt nông thôn mới 2015</t>
  </si>
  <si>
    <t>=&gt;</t>
  </si>
  <si>
    <t>So 50%</t>
  </si>
  <si>
    <t>TL</t>
  </si>
  <si>
    <t>(Kèm theo Tờ trình số            /TTr-UBND ngày    tháng 11 năm 2016 của Ủy ban nhân dân tỉnh)</t>
  </si>
  <si>
    <t>CV 2658/STC-ĐT 26/10/2016</t>
  </si>
  <si>
    <t>I. CHUẨN BỊ ĐẦU TƯ:</t>
  </si>
  <si>
    <t>II. THỰC HIỆN DỰ ÁN:</t>
  </si>
  <si>
    <t>III. TRẢ NỢ VAY KIÊN CỐ HÓA KÊNH MƯƠNG, GTNT LÀNG NGHỀ</t>
  </si>
  <si>
    <t>1. Chuẩn bị đầu tư</t>
  </si>
  <si>
    <t>2. Thực hiện dự án</t>
  </si>
  <si>
    <t>3. Trả nợ vay kiên cố hoá kênh mương, GTNT làng nghề</t>
  </si>
  <si>
    <t>887A/QĐ-UBND 30/3/2016</t>
  </si>
  <si>
    <t>Trả nợ vay kiên cố hoá kênh mương, GTNT làng nghề</t>
  </si>
  <si>
    <t>Chi tiết theo ngành, lĩnh vực</t>
  </si>
  <si>
    <t>Nông, Lâm, Thủy lợi và Thủy sản</t>
  </si>
  <si>
    <t>NTM 2019</t>
  </si>
  <si>
    <t>NTM 2018</t>
  </si>
  <si>
    <t>KH vốn lĩnh vực Giáo dục và Y tế:</t>
  </si>
  <si>
    <t>KH vốn công trình liên quan NTM:</t>
  </si>
  <si>
    <t>Tỉ lệ vốn XSKT (%)</t>
  </si>
  <si>
    <t xml:space="preserve"> + Dự án hoàn thành trước ngày 31/12/2016</t>
  </si>
  <si>
    <t xml:space="preserve"> + Dự án dự kiến hoàn thành năm 2017</t>
  </si>
  <si>
    <t xml:space="preserve"> + Dự án hoàn thành sau năm 2017</t>
  </si>
  <si>
    <t>- Dự án khởi công mới năm 2017</t>
  </si>
  <si>
    <t>- Dự án chuyển tiếp:</t>
  </si>
  <si>
    <t>KẾ HOẠCH VỐN VÀ DANH MỤC DỰ ÁN ĐẦU TƯ XÂY DỰNG NĂM 2017 (LĨNH VỰC GIÁO DỤC + Y TẾ + NÔNG THÔN MỚI)</t>
  </si>
  <si>
    <t>KH 2017 (so sánh)</t>
  </si>
  <si>
    <t>3098/QĐ-UBND 31/10/2016</t>
  </si>
  <si>
    <t>3099/QĐ-UBND 31/10/2016</t>
  </si>
  <si>
    <t>Trụ sở UBND xã Tân An</t>
  </si>
  <si>
    <r>
      <t>813,2 m</t>
    </r>
    <r>
      <rPr>
        <vertAlign val="superscript"/>
        <sz val="11"/>
        <rFont val="Times New Roman"/>
        <family val="1"/>
      </rPr>
      <t>2</t>
    </r>
    <r>
      <rPr>
        <sz val="11"/>
        <rFont val="Times New Roman"/>
        <family val="1"/>
      </rPr>
      <t xml:space="preserve"> </t>
    </r>
  </si>
  <si>
    <t>3093/QĐ-UBND 31/10/2016</t>
  </si>
  <si>
    <t>Trụ sở HĐND và UBND huyện Châu Phú</t>
  </si>
  <si>
    <t>3096/QĐ-UBND 31/10/2016</t>
  </si>
  <si>
    <t>2975/QĐ-UBND 28/10/2016</t>
  </si>
  <si>
    <t>2974/QĐ-UBND 28/10/2016</t>
  </si>
  <si>
    <t>San lấp mặt bằng khu công nghiệp Bình Hoà mở rộng</t>
  </si>
  <si>
    <t>30,38ha</t>
  </si>
  <si>
    <t>TT, TB, CĐ, TC</t>
  </si>
  <si>
    <t>Cty CP Hưng Lâm</t>
  </si>
  <si>
    <t>(Kèm theo Tờ trình số            /TTr-UBND ngày         tháng 11 năm 2016 của Ủy ban nhân dân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</si>
</sst>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18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quot;ñ&quot;* #,##0_-;\-&quot;ñ&quot;* #,##0_-;_-&quot;ñ&quot;* &quot;-&quot;_-;_-@_-"/>
    <numFmt numFmtId="167" formatCode="_(* #,##0_);_(* \(#,##0\);_(* &quot;-&quot;??_);_(@_)"/>
    <numFmt numFmtId="168" formatCode="_-&quot;₫&quot;* #,##0.00_-;\-&quot;₫&quot;* #,##0.00_-;_-&quot;₫&quot;* &quot;-&quot;??_-;_-@_-"/>
    <numFmt numFmtId="169" formatCode="_-* ###&quot;,&quot;0&quot;.&quot;00\ _$_-;\-* ###&quot;,&quot;0&quot;.&quot;00\ _$_-;_-* &quot;-&quot;??\ _$_-;_-@_-"/>
    <numFmt numFmtId="170" formatCode="#,##0\ &quot;DM&quot;;\-#,##0\ &quot;DM&quot;"/>
    <numFmt numFmtId="171" formatCode="0.000%"/>
    <numFmt numFmtId="172" formatCode="#.##00"/>
    <numFmt numFmtId="173" formatCode="_-* #,##0_-;\-* #,##0_-;_-* &quot;-&quot;_-;_-@_-"/>
    <numFmt numFmtId="174" formatCode="_-* #,##0.00_-;\-* #,##0.00_-;_-* &quot;-&quot;??_-;_-@_-"/>
    <numFmt numFmtId="175" formatCode="&quot;Rp&quot;#,##0_);[Red]\(&quot;Rp&quot;#,##0\)"/>
    <numFmt numFmtId="176" formatCode="_ * #,##0_)\ &quot;$&quot;_ ;_ * \(#,##0\)\ &quot;$&quot;_ ;_ * &quot;-&quot;_)\ &quot;$&quot;_ ;_ @_ "/>
    <numFmt numFmtId="177" formatCode="_-&quot;$&quot;* #,##0_-;\-&quot;$&quot;* #,##0_-;_-&quot;$&quot;* &quot;-&quot;_-;_-@_-"/>
    <numFmt numFmtId="178" formatCode="_-* #,##0\ _F_-;\-* #,##0\ _F_-;_-* &quot;-&quot;\ _F_-;_-@_-"/>
    <numFmt numFmtId="179" formatCode="_-* #,##0\ &quot;F&quot;_-;\-* #,##0\ &quot;F&quot;_-;_-* &quot;-&quot;\ &quot;F&quot;_-;_-@_-"/>
    <numFmt numFmtId="180" formatCode="_-* #,##0\ &quot;€&quot;_-;\-* #,##0\ &quot;€&quot;_-;_-* &quot;-&quot;\ &quot;€&quot;_-;_-@_-"/>
    <numFmt numFmtId="181" formatCode="_-* #,##0\ &quot;$&quot;_-;\-* #,##0\ &quot;$&quot;_-;_-* &quot;-&quot;\ &quot;$&quot;_-;_-@_-"/>
    <numFmt numFmtId="182" formatCode="_ * #,##0_)&quot;$&quot;_ ;_ * \(#,##0\)&quot;$&quot;_ ;_ * &quot;-&quot;_)&quot;$&quot;_ ;_ @_ "/>
    <numFmt numFmtId="183" formatCode="_-&quot;€&quot;* #,##0_-;\-&quot;€&quot;* #,##0_-;_-&quot;€&quot;* &quot;-&quot;_-;_-@_-"/>
    <numFmt numFmtId="184" formatCode="_-* #,##0.00\ _F_-;\-* #,##0.00\ _F_-;_-* &quot;-&quot;??\ _F_-;_-@_-"/>
    <numFmt numFmtId="185" formatCode="_-* #,##0.00\ _€_-;\-* #,##0.00\ _€_-;_-* &quot;-&quot;??\ _€_-;_-@_-"/>
    <numFmt numFmtId="186" formatCode="_ * #,##0.00_ ;_ * \-#,##0.00_ ;_ * &quot;-&quot;??_ ;_ @_ "/>
    <numFmt numFmtId="187" formatCode="_-* #,##0.00\ _V_N_D_-;\-* #,##0.00\ _V_N_D_-;_-* &quot;-&quot;??\ _V_N_D_-;_-@_-"/>
    <numFmt numFmtId="188" formatCode="_ * #,##0.00_)\ _$_ ;_ * \(#,##0.00\)\ _$_ ;_ * &quot;-&quot;??_)\ _$_ ;_ @_ "/>
    <numFmt numFmtId="189" formatCode="_ * #,##0.00_)_$_ ;_ * \(#,##0.00\)_$_ ;_ * &quot;-&quot;??_)_$_ ;_ @_ "/>
    <numFmt numFmtId="190" formatCode="_-* #,##0.00\ _ñ_-;\-* #,##0.00\ _ñ_-;_-* &quot;-&quot;??\ _ñ_-;_-@_-"/>
    <numFmt numFmtId="191" formatCode="_-* #,##0.00\ _ñ_-;_-* #,##0.00\ _ñ\-;_-* &quot;-&quot;??\ _ñ_-;_-@_-"/>
    <numFmt numFmtId="192" formatCode="_(&quot;$&quot;\ * #,##0_);_(&quot;$&quot;\ * \(#,##0\);_(&quot;$&quot;\ * &quot;-&quot;_);_(@_)"/>
    <numFmt numFmtId="193" formatCode="_-* #,##0.00000000_-;\-* #,##0.00000000_-;_-* &quot;-&quot;??_-;_-@_-"/>
    <numFmt numFmtId="194" formatCode="_(&quot;€&quot;\ * #,##0_);_(&quot;€&quot;\ * \(#,##0\);_(&quot;€&quot;\ * &quot;-&quot;_);_(@_)"/>
    <numFmt numFmtId="195" formatCode="_-* #,##0\ &quot;ñ&quot;_-;\-* #,##0\ &quot;ñ&quot;_-;_-* &quot;-&quot;\ &quot;ñ&quot;_-;_-@_-"/>
    <numFmt numFmtId="196" formatCode="_-* #,##0\ _€_-;\-* #,##0\ _€_-;_-* &quot;-&quot;\ _€_-;_-@_-"/>
    <numFmt numFmtId="197" formatCode="_ * #,##0_ ;_ * \-#,##0_ ;_ * &quot;-&quot;_ ;_ @_ "/>
    <numFmt numFmtId="198" formatCode="_-* #,##0\ _V_N_D_-;\-* #,##0\ _V_N_D_-;_-* &quot;-&quot;\ _V_N_D_-;_-@_-"/>
    <numFmt numFmtId="199" formatCode="_ * #,##0_)\ _$_ ;_ * \(#,##0\)\ _$_ ;_ * &quot;-&quot;_)\ _$_ ;_ @_ "/>
    <numFmt numFmtId="200" formatCode="_ * #,##0_)_$_ ;_ * \(#,##0\)_$_ ;_ * &quot;-&quot;_)_$_ ;_ @_ "/>
    <numFmt numFmtId="201" formatCode="_-* #,##0\ _$_-;\-* #,##0\ _$_-;_-* &quot;-&quot;\ _$_-;_-@_-"/>
    <numFmt numFmtId="202" formatCode="_-* #,##0\ _ñ_-;\-* #,##0\ _ñ_-;_-* &quot;-&quot;\ _ñ_-;_-@_-"/>
    <numFmt numFmtId="203" formatCode="_-* #,##0\ _ñ_-;_-* #,##0\ _ñ\-;_-* &quot;-&quot;\ _ñ_-;_-@_-"/>
    <numFmt numFmtId="204" formatCode="_ &quot;\&quot;* #,##0_ ;_ &quot;\&quot;* \-#,##0_ ;_ &quot;\&quot;* &quot;-&quot;_ ;_ @_ "/>
    <numFmt numFmtId="205" formatCode="&quot;\&quot;#,##0.00;[Red]&quot;\&quot;\-#,##0.00"/>
    <numFmt numFmtId="206" formatCode="&quot;\&quot;#,##0;[Red]&quot;\&quot;\-#,##0"/>
    <numFmt numFmtId="207" formatCode="_ * #,##0_)\ &quot;F&quot;_ ;_ * \(#,##0\)\ &quot;F&quot;_ ;_ * &quot;-&quot;_)\ &quot;F&quot;_ ;_ @_ "/>
    <numFmt numFmtId="208" formatCode="&quot;£&quot;#,##0.00;\-&quot;£&quot;#,##0.00"/>
    <numFmt numFmtId="209" formatCode="_-&quot;F&quot;* #,##0_-;\-&quot;F&quot;* #,##0_-;_-&quot;F&quot;* &quot;-&quot;_-;_-@_-"/>
    <numFmt numFmtId="210" formatCode="_ * #,##0.00_)&quot;$&quot;_ ;_ * \(#,##0.00\)&quot;$&quot;_ ;_ * &quot;-&quot;??_)&quot;$&quot;_ ;_ @_ "/>
    <numFmt numFmtId="211" formatCode="_ * #,##0.0_)_$_ ;_ * \(#,##0.0\)_$_ ;_ * &quot;-&quot;??_)_$_ ;_ @_ "/>
    <numFmt numFmtId="212" formatCode="_ * #,##0.00_)&quot;€&quot;_ ;_ * \(#,##0.00\)&quot;€&quot;_ ;_ * &quot;-&quot;??_)&quot;€&quot;_ ;_ @_ "/>
    <numFmt numFmtId="213" formatCode="#,##0.0_);\(#,##0.0\)"/>
    <numFmt numFmtId="214" formatCode="_ &quot;\&quot;* #,##0.00_ ;_ &quot;\&quot;* &quot;\&quot;&quot;\&quot;&quot;\&quot;&quot;\&quot;&quot;\&quot;&quot;\&quot;&quot;\&quot;&quot;\&quot;&quot;\&quot;&quot;\&quot;&quot;\&quot;&quot;\&quot;\-#,##0.00_ ;_ &quot;\&quot;* &quot;-&quot;??_ ;_ @_ "/>
    <numFmt numFmtId="215" formatCode="0.0%"/>
    <numFmt numFmtId="216" formatCode="_ * #,##0.00_ ;_ * &quot;\&quot;&quot;\&quot;&quot;\&quot;&quot;\&quot;&quot;\&quot;&quot;\&quot;&quot;\&quot;&quot;\&quot;&quot;\&quot;&quot;\&quot;&quot;\&quot;&quot;\&quot;\-#,##0.00_ ;_ * &quot;-&quot;??_ ;_ @_ "/>
    <numFmt numFmtId="217" formatCode="&quot;$&quot;#,##0.00"/>
    <numFmt numFmtId="218" formatCode="&quot;\&quot;#,##0;&quot;\&quot;&quot;\&quot;&quot;\&quot;&quot;\&quot;&quot;\&quot;&quot;\&quot;&quot;\&quot;&quot;\&quot;&quot;\&quot;&quot;\&quot;&quot;\&quot;&quot;\&quot;&quot;\&quot;&quot;\&quot;\-#,##0"/>
    <numFmt numFmtId="219" formatCode="_ * #,##0.00_)&quot;£&quot;_ ;_ * \(#,##0.00\)&quot;£&quot;_ ;_ * &quot;-&quot;??_)&quot;£&quot;_ ;_ @_ "/>
    <numFmt numFmtId="220" formatCode="&quot;\&quot;#,##0;[Red]&quot;\&quot;&quot;\&quot;&quot;\&quot;&quot;\&quot;&quot;\&quot;&quot;\&quot;&quot;\&quot;&quot;\&quot;&quot;\&quot;&quot;\&quot;&quot;\&quot;&quot;\&quot;&quot;\&quot;&quot;\&quot;\-#,##0"/>
    <numFmt numFmtId="221" formatCode="_-&quot;$&quot;* #,##0.00_-;\-&quot;$&quot;* #,##0.00_-;_-&quot;$&quot;* &quot;-&quot;??_-;_-@_-"/>
    <numFmt numFmtId="222" formatCode="_ * #,##0_ ;_ * &quot;\&quot;&quot;\&quot;&quot;\&quot;&quot;\&quot;&quot;\&quot;&quot;\&quot;&quot;\&quot;&quot;\&quot;&quot;\&quot;&quot;\&quot;&quot;\&quot;&quot;\&quot;\-#,##0_ ;_ * &quot;-&quot;_ ;_ @_ "/>
    <numFmt numFmtId="223" formatCode="0.0%;\(0.0%\)"/>
    <numFmt numFmtId="224" formatCode="&quot;\&quot;#,##0.00;&quot;\&quot;&quot;\&quot;&quot;\&quot;&quot;\&quot;&quot;\&quot;&quot;\&quot;&quot;\&quot;&quot;\&quot;&quot;\&quot;&quot;\&quot;&quot;\&quot;&quot;\&quot;&quot;\&quot;&quot;\&quot;\-#,##0.00"/>
    <numFmt numFmtId="225" formatCode="_-* #,##0.00\ &quot;F&quot;_-;\-* #,##0.00\ &quot;F&quot;_-;_-* &quot;-&quot;??\ &quot;F&quot;_-;_-@_-"/>
    <numFmt numFmtId="226" formatCode="0.000_)"/>
    <numFmt numFmtId="227" formatCode="#,##0_)_%;\(#,##0\)_%;"/>
    <numFmt numFmtId="228" formatCode="_(* #,##0.0_);_(* \(#,##0.0\);_(* &quot;-&quot;??_);_(@_)"/>
    <numFmt numFmtId="229" formatCode="_._.* #,##0.0_)_%;_._.* \(#,##0.0\)_%"/>
    <numFmt numFmtId="230" formatCode="#,##0.0_)_%;\(#,##0.0\)_%;\ \ .0_)_%"/>
    <numFmt numFmtId="231" formatCode="_._.* #,##0.00_)_%;_._.* \(#,##0.00\)_%"/>
    <numFmt numFmtId="232" formatCode="#,##0.00_)_%;\(#,##0.00\)_%;\ \ .00_)_%"/>
    <numFmt numFmtId="233" formatCode="_._.* #,##0.000_)_%;_._.* \(#,##0.000\)_%"/>
    <numFmt numFmtId="234" formatCode="#,##0.000_)_%;\(#,##0.000\)_%;\ \ .000_)_%"/>
    <numFmt numFmtId="235" formatCode="&quot;Yes&quot;;&quot;Yes&quot;;&quot;No&quot;"/>
    <numFmt numFmtId="236" formatCode="_-* #,##0_-;\-* #,##0_-;_-* &quot;-&quot;??_-;_-@_-"/>
    <numFmt numFmtId="237" formatCode="_(* #,##0.00_);_(* \(#,##0.00\);_(* &quot;-&quot;&quot;?&quot;&quot;?&quot;_);_(@_)"/>
    <numFmt numFmtId="238" formatCode="_-* #,##0\ &quot;þ&quot;_-;\-* #,##0\ &quot;þ&quot;_-;_-* &quot;-&quot;\ &quot;þ&quot;_-;_-@_-"/>
    <numFmt numFmtId="239" formatCode="_-&quot;Z$&quot;* #,##0_-;\-&quot;Z$&quot;* #,##0_-;_-&quot;Z$&quot;* &quot;-&quot;_-;_-@_-"/>
    <numFmt numFmtId="240" formatCode="_-* #,##0.00\ _þ_-;\-* #,##0.00\ _þ_-;_-* &quot;-&quot;??\ _þ_-;_-@_-"/>
    <numFmt numFmtId="241" formatCode="_-* #,##0\ _₫_-;\-* #,##0\ _₫_-;_-* &quot;-&quot;??\ _₫_-;_-@_-"/>
    <numFmt numFmtId="242" formatCode="\t#\ ??/??"/>
    <numFmt numFmtId="243" formatCode="0.0000"/>
    <numFmt numFmtId="244" formatCode="_-* #,##0.00\ _$_-;\-* #,##0.00\ _$_-;_-* &quot;-&quot;??\ _$_-;_-@_-"/>
    <numFmt numFmtId="245" formatCode="&quot;$&quot;#,##0;\-&quot;$&quot;#,##0"/>
    <numFmt numFmtId="246" formatCode="&quot;True&quot;;&quot;True&quot;;&quot;False&quot;"/>
    <numFmt numFmtId="247" formatCode="_(* #,##0.0_);_(* \(#,##0.0\);_(* &quot;-&quot;?_);_(@_)"/>
    <numFmt numFmtId="248" formatCode="#,##0;\(#,##0\)"/>
    <numFmt numFmtId="249" formatCode="_._.* \(#,##0\)_%;_._.* #,##0_)_%;_._.* 0_)_%;_._.@_)_%"/>
    <numFmt numFmtId="250" formatCode="_._.&quot;€&quot;* \(#,##0\)_%;_._.&quot;€&quot;* #,##0_)_%;_._.&quot;€&quot;* 0_)_%;_._.@_)_%"/>
    <numFmt numFmtId="251" formatCode="* \(#,##0\);* #,##0_);&quot;-&quot;??_);@"/>
    <numFmt numFmtId="252" formatCode="_ &quot;R&quot;\ * #,##0_ ;_ &quot;R&quot;\ * \-#,##0_ ;_ &quot;R&quot;\ * &quot;-&quot;_ ;_ @_ "/>
    <numFmt numFmtId="253" formatCode="_ * #,##0.00_ ;_ * &quot;\&quot;&quot;\&quot;&quot;\&quot;&quot;\&quot;&quot;\&quot;&quot;\&quot;\-#,##0.00_ ;_ * &quot;-&quot;??_ ;_ @_ "/>
    <numFmt numFmtId="254" formatCode="&quot;€&quot;* #,##0_)_%;&quot;€&quot;* \(#,##0\)_%;&quot;€&quot;* &quot;-&quot;??_)_%;@_)_%"/>
    <numFmt numFmtId="255" formatCode="&quot;$&quot;* #,##0_)_%;&quot;$&quot;* \(#,##0\)_%;&quot;$&quot;* &quot;-&quot;??_)_%;@_)_%"/>
    <numFmt numFmtId="256" formatCode="&quot;\&quot;#,##0.00;&quot;\&quot;&quot;\&quot;&quot;\&quot;&quot;\&quot;&quot;\&quot;&quot;\&quot;&quot;\&quot;&quot;\&quot;\-#,##0.00"/>
    <numFmt numFmtId="257" formatCode="_._.&quot;€&quot;* #,##0.0_)_%;_._.&quot;€&quot;* \(#,##0.0\)_%"/>
    <numFmt numFmtId="258" formatCode="&quot;€&quot;* #,##0.0_)_%;&quot;€&quot;* \(#,##0.0\)_%;&quot;€&quot;* \ .0_)_%"/>
    <numFmt numFmtId="259" formatCode="_._.&quot;$&quot;* #,##0.0_)_%;_._.&quot;$&quot;* \(#,##0.0\)_%"/>
    <numFmt numFmtId="260" formatCode="_._.&quot;€&quot;* #,##0.00_)_%;_._.&quot;€&quot;* \(#,##0.00\)_%"/>
    <numFmt numFmtId="261" formatCode="&quot;€&quot;* #,##0.00_)_%;&quot;€&quot;* \(#,##0.00\)_%;&quot;€&quot;* \ .00_)_%"/>
    <numFmt numFmtId="262" formatCode="_._.&quot;$&quot;* #,##0.00_)_%;_._.&quot;$&quot;* \(#,##0.00\)_%"/>
    <numFmt numFmtId="263" formatCode="_._.&quot;€&quot;* #,##0.000_)_%;_._.&quot;€&quot;* \(#,##0.000\)_%"/>
    <numFmt numFmtId="264" formatCode="&quot;€&quot;* #,##0.000_)_%;&quot;€&quot;* \(#,##0.000\)_%;&quot;€&quot;* \ .000_)_%"/>
    <numFmt numFmtId="265" formatCode="_._.&quot;$&quot;* #,##0.000_)_%;_._.&quot;$&quot;* \(#,##0.000\)_%"/>
    <numFmt numFmtId="266" formatCode="_-* #,##0.00\ &quot;€&quot;_-;\-* #,##0.00\ &quot;€&quot;_-;_-* &quot;-&quot;??\ &quot;€&quot;_-;_-@_-"/>
    <numFmt numFmtId="267" formatCode="_ * #,##0_ ;_ * &quot;\&quot;&quot;\&quot;&quot;\&quot;&quot;\&quot;&quot;\&quot;&quot;\&quot;\-#,##0_ ;_ * &quot;-&quot;_ ;_ @_ "/>
    <numFmt numFmtId="268" formatCode="\$#,##0\ ;\(\$#,##0\)"/>
    <numFmt numFmtId="269" formatCode="&quot;$&quot;#,##0\ ;\(&quot;$&quot;#,##0\)"/>
    <numFmt numFmtId="270" formatCode="\t0.00%"/>
    <numFmt numFmtId="271" formatCode="0.000"/>
    <numFmt numFmtId="272" formatCode="* #,##0_);* \(#,##0\);&quot;-&quot;??_);@"/>
    <numFmt numFmtId="273" formatCode="\U\S\$#,##0.00;\(\U\S\$#,##0.00\)"/>
    <numFmt numFmtId="274" formatCode="_(\§\g\ #,##0_);_(\§\g\ \(#,##0\);_(\§\g\ &quot;-&quot;??_);_(@_)"/>
    <numFmt numFmtId="275" formatCode="_(\§\g\ #,##0_);_(\§\g\ \(#,##0\);_(\§\g\ &quot;-&quot;_);_(@_)"/>
    <numFmt numFmtId="276" formatCode="\§\g#,##0_);\(\§\g#,##0\)"/>
    <numFmt numFmtId="277" formatCode="_-&quot;VND&quot;* #,##0_-;\-&quot;VND&quot;* #,##0_-;_-&quot;VND&quot;* &quot;-&quot;_-;_-@_-"/>
    <numFmt numFmtId="278" formatCode="_(&quot;Rp&quot;* #,##0.00_);_(&quot;Rp&quot;* \(#,##0.00\);_(&quot;Rp&quot;* &quot;-&quot;??_);_(@_)"/>
    <numFmt numFmtId="279" formatCode="#,##0.00\ &quot;FB&quot;;[Red]\-#,##0.00\ &quot;FB&quot;"/>
    <numFmt numFmtId="280" formatCode="#,##0\ &quot;$&quot;;\-#,##0\ &quot;$&quot;"/>
    <numFmt numFmtId="281" formatCode="_-* #,##0\ _F_B_-;\-* #,##0\ _F_B_-;_-* &quot;-&quot;\ _F_B_-;_-@_-"/>
    <numFmt numFmtId="282" formatCode="_-[$€-2]* #,##0.00_-;\-[$€-2]* #,##0.00_-;_-[$€-2]* &quot;-&quot;??_-"/>
    <numFmt numFmtId="283" formatCode="_-[$€]* #,##0.00_-;\-[$€]* #,##0.00_-;_-[$€]* &quot;-&quot;??_-;_-@_-"/>
    <numFmt numFmtId="284" formatCode="_ * #,##0.00_)_d_ ;_ * \(#,##0.00\)_d_ ;_ * &quot;-&quot;??_)_d_ ;_ @_ "/>
    <numFmt numFmtId="285" formatCode="#,##0_);\-#,##0_)"/>
    <numFmt numFmtId="286" formatCode="#,###;\-#,###;&quot;&quot;;_(@_)"/>
    <numFmt numFmtId="287" formatCode="&quot;€&quot;#,##0;\-&quot;€&quot;#,##0"/>
    <numFmt numFmtId="288" formatCode="#,##0\ &quot;$&quot;_);\(#,##0\ &quot;$&quot;\)"/>
    <numFmt numFmtId="289" formatCode="_-&quot;£&quot;* #,##0_-;\-&quot;£&quot;* #,##0_-;_-&quot;£&quot;* &quot;-&quot;_-;_-@_-"/>
    <numFmt numFmtId="290" formatCode="#,###"/>
    <numFmt numFmtId="291" formatCode="#,##0\ &quot;$&quot;_);[Red]\(#,##0\ &quot;$&quot;\)"/>
    <numFmt numFmtId="292" formatCode="_-* #,##0\ &quot;kr&quot;_-;\-* #,##0\ &quot;kr&quot;_-;_-* &quot;-&quot;\ &quot;kr&quot;_-;_-@_-"/>
    <numFmt numFmtId="293" formatCode="&quot;\&quot;#,##0;[Red]\-&quot;\&quot;#,##0"/>
    <numFmt numFmtId="294" formatCode="&quot;\&quot;#,##0.00;\-&quot;\&quot;#,##0.00"/>
    <numFmt numFmtId="295" formatCode="&quot;VND&quot;#,##0_);[Red]\(&quot;VND&quot;#,##0\)"/>
    <numFmt numFmtId="296" formatCode="#,##0.00_);\-#,##0.00_)"/>
    <numFmt numFmtId="297" formatCode="0_)%;\(0\)%"/>
    <numFmt numFmtId="298" formatCode="_._._(* 0_)%;_._.* \(0\)%"/>
    <numFmt numFmtId="299" formatCode="_(0_)%;\(0\)%"/>
    <numFmt numFmtId="300" formatCode="0%_);\(0%\)"/>
    <numFmt numFmtId="301" formatCode="#,##0.000_);\(#,##0.000\)"/>
    <numFmt numFmtId="302" formatCode="_ &quot;\&quot;* #,##0_ ;_ &quot;\&quot;* &quot;\&quot;&quot;\&quot;&quot;\&quot;&quot;\&quot;&quot;\&quot;&quot;\&quot;&quot;\&quot;&quot;\&quot;&quot;\&quot;&quot;\&quot;&quot;\&quot;&quot;\&quot;&quot;\&quot;&quot;\&quot;\-#,##0_ ;_ &quot;\&quot;* &quot;-&quot;_ ;_ @_ "/>
    <numFmt numFmtId="303" formatCode="_(0.0_)%;\(0.0\)%"/>
    <numFmt numFmtId="304" formatCode="_._._(* 0.0_)%;_._.* \(0.0\)%"/>
    <numFmt numFmtId="305" formatCode="_(0.00_)%;\(0.00\)%"/>
    <numFmt numFmtId="306" formatCode="_._._(* 0.00_)%;_._.* \(0.00\)%"/>
    <numFmt numFmtId="307" formatCode="_(0.000_)%;\(0.000\)%"/>
    <numFmt numFmtId="308" formatCode="_._._(* 0.000_)%;_._.* \(0.000\)%"/>
    <numFmt numFmtId="309" formatCode="#"/>
    <numFmt numFmtId="310" formatCode="_-* ###,0&quot;.&quot;00\ _F_B_-;\-* ###,0&quot;.&quot;00\ _F_B_-;_-* &quot;-&quot;??\ _F_B_-;_-@_-"/>
    <numFmt numFmtId="311" formatCode="&quot;¡Ì&quot;#,##0;[Red]\-&quot;¡Ì&quot;#,##0"/>
    <numFmt numFmtId="312" formatCode="#,##0.00\ &quot;F&quot;;[Red]\-#,##0.00\ &quot;F&quot;"/>
    <numFmt numFmtId="313" formatCode="&quot;£&quot;#,##0;[Red]\-&quot;£&quot;#,##0"/>
    <numFmt numFmtId="314" formatCode="#,##0.00\ \ "/>
    <numFmt numFmtId="315" formatCode="0.00000000000E+00;\?"/>
    <numFmt numFmtId="316" formatCode="_ * #,##0_ ;_ * \-#,##0_ ;_ * &quot;-&quot;??_ ;_ @_ "/>
    <numFmt numFmtId="317" formatCode="0.00000"/>
    <numFmt numFmtId="318" formatCode="_(* #.##0.00_);_(* \(#.##0.00\);_(* &quot;-&quot;??_);_(@_)"/>
    <numFmt numFmtId="319" formatCode="#,##0.00\ \ \ \ "/>
    <numFmt numFmtId="320" formatCode="&quot;$&quot;#,##0;[Red]\-&quot;$&quot;#,##0"/>
    <numFmt numFmtId="321" formatCode="#,##0\ &quot;F&quot;;[Red]\-#,##0\ &quot;F&quot;"/>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 _F_-;\-* #,##0\ _F_-;_-* &quot;-&quot;??\ _F_-;_-@_-"/>
    <numFmt numFmtId="326" formatCode="_-* ###,0&quot;.&quot;00_-;\-* ###,0&quot;.&quot;00_-;_-* &quot;-&quot;??_-;_-@_-"/>
    <numFmt numFmtId="327" formatCode="0.000\ "/>
    <numFmt numFmtId="328" formatCode="#,##0\ &quot;Lt&quot;;[Red]\-#,##0\ &quot;Lt&quot;"/>
    <numFmt numFmtId="329" formatCode="#,##0.00\ &quot;F&quot;;\-#,##0.00\ &quot;F&quot;"/>
    <numFmt numFmtId="330" formatCode="&quot;€&quot;#,##0;[Red]\-&quot;€&quot;#,##0"/>
    <numFmt numFmtId="331" formatCode="_-* #,##0\ &quot;DM&quot;_-;\-* #,##0\ &quot;DM&quot;_-;_-* &quot;-&quot;\ &quot;DM&quot;_-;_-@_-"/>
    <numFmt numFmtId="332" formatCode="_-* #,##0.00\ &quot;DM&quot;_-;\-* #,##0.00\ &quot;DM&quot;_-;_-* &quot;-&quot;??\ &quot;DM&quot;_-;_-@_-"/>
    <numFmt numFmtId="333" formatCode="_-&quot;₫&quot;* #,##0_-;\-&quot;₫&quot;* #,##0_-;_-&quot;₫&quot;* &quot;-&quot;_-;_-@_-"/>
    <numFmt numFmtId="334" formatCode="&quot;₫&quot;#,##0;[Red]\-&quot;₫&quot;#,##0"/>
    <numFmt numFmtId="335" formatCode="#,##0;[Red]#,##0"/>
    <numFmt numFmtId="336" formatCode="0;[Red]0"/>
    <numFmt numFmtId="337" formatCode="_-* #,##0\ _D_M_-;\-* #,##0\ _D_M_-;_-* &quot;-&quot;\ _D_M_-;_-@_-"/>
    <numFmt numFmtId="338" formatCode="#,##0.0"/>
  </numFmts>
  <fonts count="318">
    <font>
      <sz val="11"/>
      <color theme="1"/>
      <name val="Calibri"/>
      <family val="2"/>
      <scheme val="minor"/>
    </font>
    <font>
      <sz val="11"/>
      <color theme="1"/>
      <name val="Calibri"/>
      <family val="2"/>
      <scheme val="minor"/>
    </font>
    <font>
      <sz val="10"/>
      <name val="Arial"/>
      <family val="2"/>
    </font>
    <font>
      <b/>
      <i/>
      <sz val="16"/>
      <name val="Times New Roman"/>
      <family val="1"/>
    </font>
    <font>
      <i/>
      <sz val="14"/>
      <name val="Times New Roman"/>
      <family val="1"/>
    </font>
    <font>
      <b/>
      <sz val="16"/>
      <name val="Times New Roman"/>
      <family val="1"/>
    </font>
    <font>
      <b/>
      <vertAlign val="superscript"/>
      <sz val="16"/>
      <name val="Times New Roman"/>
      <family val="1"/>
    </font>
    <font>
      <sz val="14"/>
      <color rgb="FFFF0000"/>
      <name val="Times New Roman"/>
      <family val="1"/>
    </font>
    <font>
      <sz val="14"/>
      <name val="Times New Roman"/>
      <family val="1"/>
    </font>
    <font>
      <i/>
      <sz val="16"/>
      <name val="Times New Roman"/>
      <family val="1"/>
    </font>
    <font>
      <sz val="12"/>
      <name val="Times New Roman"/>
      <family val="1"/>
    </font>
    <font>
      <sz val="12"/>
      <color rgb="FFFF0000"/>
      <name val="Times New Roman"/>
      <family val="1"/>
    </font>
    <font>
      <b/>
      <sz val="10"/>
      <name val="Times New Roman"/>
      <family val="1"/>
    </font>
    <font>
      <vertAlign val="superscript"/>
      <sz val="12"/>
      <name val="Times New Roman"/>
      <family val="1"/>
    </font>
    <font>
      <sz val="12"/>
      <name val="Calibri"/>
      <family val="2"/>
      <scheme val="minor"/>
    </font>
    <font>
      <i/>
      <sz val="12"/>
      <name val="Times New Roman"/>
      <family val="1"/>
    </font>
    <font>
      <sz val="11"/>
      <name val="Times New Roman"/>
      <family val="1"/>
    </font>
    <font>
      <sz val="10"/>
      <name val="Times New Roman"/>
      <family val="1"/>
    </font>
    <font>
      <b/>
      <sz val="12"/>
      <name val="Times New Roman"/>
      <family val="1"/>
    </font>
    <font>
      <b/>
      <sz val="11"/>
      <name val="Times New Roman"/>
      <family val="1"/>
    </font>
    <font>
      <sz val="11"/>
      <color indexed="8"/>
      <name val="Calibri"/>
      <family val="2"/>
    </font>
    <font>
      <b/>
      <i/>
      <sz val="12"/>
      <name val="Times New Roman"/>
      <family val="1"/>
    </font>
    <font>
      <b/>
      <i/>
      <sz val="11"/>
      <name val="Times New Roman"/>
      <family val="1"/>
    </font>
    <font>
      <sz val="14"/>
      <name val="VNI-Times"/>
    </font>
    <font>
      <vertAlign val="superscript"/>
      <sz val="11"/>
      <name val="Times New Roman"/>
      <family val="1"/>
    </font>
    <font>
      <b/>
      <sz val="14"/>
      <name val="Times New Roman"/>
      <family val="1"/>
    </font>
    <font>
      <b/>
      <sz val="14"/>
      <color indexed="81"/>
      <name val="Tahoma"/>
      <family val="2"/>
      <charset val="163"/>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0"/>
      <name val=".VnTime"/>
      <family val="2"/>
    </font>
    <font>
      <sz val="12"/>
      <name val="????"/>
      <charset val="136"/>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VNI-Times"/>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Calibri"/>
      <family val="2"/>
    </font>
    <font>
      <sz val="10"/>
      <name val="Arial"/>
      <family val="2"/>
      <charset val="163"/>
    </font>
    <font>
      <b/>
      <sz val="12"/>
      <color indexed="8"/>
      <name val=".VnBook-Antiqua"/>
      <family val="2"/>
    </font>
    <font>
      <i/>
      <sz val="12"/>
      <color indexed="8"/>
      <name val=".VnBook-Antiqua"/>
      <family val="2"/>
    </font>
    <font>
      <sz val="14"/>
      <name val=".VnTimeH"/>
      <family val="2"/>
    </font>
    <font>
      <sz val="12"/>
      <color indexed="9"/>
      <name val="Calibri"/>
      <family val="2"/>
    </font>
    <font>
      <sz val="11"/>
      <color indexed="9"/>
      <name val="Calibri"/>
      <family val="2"/>
    </font>
    <font>
      <sz val="14"/>
      <name val=".VnTime"/>
      <family val="2"/>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color indexed="20"/>
      <name val="Calibri"/>
      <family val="2"/>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1"/>
      <name val="돋움"/>
      <charset val="129"/>
    </font>
    <font>
      <sz val="10"/>
      <name val="Helv"/>
    </font>
    <font>
      <b/>
      <sz val="12"/>
      <color indexed="52"/>
      <name val="Calibri"/>
      <family val="2"/>
    </font>
    <font>
      <b/>
      <sz val="10"/>
      <name val="Helv"/>
      <family val="2"/>
    </font>
    <font>
      <b/>
      <sz val="11"/>
      <name val="Arial"/>
      <family val="2"/>
    </font>
    <font>
      <b/>
      <sz val="12"/>
      <color indexed="9"/>
      <name val="Calibri"/>
      <family val="2"/>
    </font>
    <font>
      <sz val="10"/>
      <name val="VNI-Aptima"/>
    </font>
    <font>
      <b/>
      <sz val="8"/>
      <name val="Arial"/>
      <family val="2"/>
    </font>
    <font>
      <sz val="11"/>
      <name val="Tms Rmn"/>
    </font>
    <font>
      <sz val="12"/>
      <color theme="1"/>
      <name val="Calibri"/>
      <family val="2"/>
      <scheme val="minor"/>
    </font>
    <font>
      <u val="singleAccounting"/>
      <sz val="11"/>
      <name val="Times New Roman"/>
      <family val="1"/>
    </font>
    <font>
      <sz val="11"/>
      <color indexed="8"/>
      <name val="Times New Roman"/>
      <family val="2"/>
    </font>
    <font>
      <sz val="14"/>
      <color theme="1"/>
      <name val="Times New Roman"/>
      <family val="2"/>
      <charset val="163"/>
    </font>
    <font>
      <sz val="14"/>
      <color indexed="8"/>
      <name val="Times New Roman"/>
      <family val="2"/>
    </font>
    <font>
      <sz val="11"/>
      <name val="UVnTime"/>
    </font>
    <font>
      <sz val="12"/>
      <color indexed="8"/>
      <name val="Times New Roman"/>
      <family val="2"/>
    </font>
    <font>
      <sz val="12"/>
      <color indexed="8"/>
      <name val="Arial"/>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1"/>
      <color indexed="63"/>
      <name val="Calibri"/>
      <family val="2"/>
    </font>
    <font>
      <sz val="11"/>
      <color indexed="62"/>
      <name val="Calibri"/>
      <family val="2"/>
    </font>
    <font>
      <b/>
      <sz val="12"/>
      <name val="VNTimeH"/>
      <family val="2"/>
    </font>
    <font>
      <b/>
      <sz val="15"/>
      <color indexed="56"/>
      <name val="Calibri"/>
      <family val="2"/>
    </font>
    <font>
      <b/>
      <sz val="13"/>
      <color indexed="56"/>
      <name val="Calibri"/>
      <family val="2"/>
    </font>
    <font>
      <b/>
      <sz val="11"/>
      <color indexed="56"/>
      <name val="Calibri"/>
      <family val="2"/>
    </font>
    <font>
      <sz val="10"/>
      <name val="Arial CE"/>
      <charset val="238"/>
    </font>
    <font>
      <sz val="10"/>
      <name val="Arial CE"/>
    </font>
    <font>
      <sz val="10"/>
      <color indexed="16"/>
      <name val="MS Serif"/>
      <family val="1"/>
    </font>
    <font>
      <sz val="11"/>
      <color indexed="8"/>
      <name val="Calibri"/>
      <family val="2"/>
      <charset val="1"/>
    </font>
    <font>
      <i/>
      <sz val="12"/>
      <color indexed="23"/>
      <name val="Calibri"/>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2"/>
      <color indexed="17"/>
      <name val="Calibri"/>
      <family val="2"/>
    </font>
    <font>
      <sz val="8"/>
      <name val="Arial"/>
      <family val="2"/>
    </font>
    <font>
      <sz val="10"/>
      <name val=".VnArialH"/>
      <family val="2"/>
    </font>
    <font>
      <b/>
      <sz val="12"/>
      <name val=".VnBook-AntiquaH"/>
      <family val="2"/>
    </font>
    <font>
      <b/>
      <sz val="12"/>
      <color indexed="9"/>
      <name val="Tms Rmn"/>
    </font>
    <font>
      <b/>
      <sz val="12"/>
      <name val="Helv"/>
      <family val="2"/>
    </font>
    <font>
      <b/>
      <sz val="10"/>
      <name val="Arial"/>
      <family val="2"/>
    </font>
    <font>
      <b/>
      <sz val="18"/>
      <name val="Arial"/>
      <family val="2"/>
    </font>
    <font>
      <b/>
      <sz val="8"/>
      <name val="MS Sans Serif"/>
      <family val="2"/>
    </font>
    <font>
      <b/>
      <sz val="10"/>
      <name val=".VnTime"/>
      <family val="2"/>
    </font>
    <font>
      <b/>
      <sz val="14"/>
      <name val=".VnTimeH"/>
      <family val="2"/>
    </font>
    <font>
      <sz val="12"/>
      <name val="±¼¸²Ã¼"/>
      <family val="3"/>
      <charset val="129"/>
    </font>
    <font>
      <sz val="12"/>
      <color indexed="62"/>
      <name val="Calibri"/>
      <family val="2"/>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b/>
      <sz val="11"/>
      <color indexed="9"/>
      <name val="Calibri"/>
      <family val="2"/>
    </font>
    <font>
      <sz val="12"/>
      <color indexed="52"/>
      <name val="Calibri"/>
      <family val="2"/>
    </font>
    <font>
      <i/>
      <sz val="10"/>
      <name val=".VnTime"/>
      <family val="2"/>
    </font>
    <font>
      <sz val="8"/>
      <name val="VNarial"/>
      <family val="2"/>
    </font>
    <font>
      <b/>
      <sz val="11"/>
      <name val="Helv"/>
      <family val="2"/>
    </font>
    <font>
      <sz val="10"/>
      <name val=".VnAvant"/>
      <family val="2"/>
    </font>
    <font>
      <sz val="12"/>
      <color indexed="60"/>
      <name val="Calibri"/>
      <family val="2"/>
    </font>
    <font>
      <sz val="7"/>
      <name val="Small Fonts"/>
      <family val="3"/>
      <charset val="128"/>
    </font>
    <font>
      <sz val="7"/>
      <name val="Small Fonts"/>
      <family val="2"/>
    </font>
    <font>
      <b/>
      <sz val="12"/>
      <name val="VN-NTime"/>
    </font>
    <font>
      <sz val="10"/>
      <name val="VNtimes new roman"/>
      <family val="2"/>
    </font>
    <font>
      <b/>
      <i/>
      <sz val="16"/>
      <name val="Helv"/>
      <family val="2"/>
    </font>
    <font>
      <b/>
      <i/>
      <sz val="16"/>
      <name val="Helv"/>
    </font>
    <font>
      <sz val="12"/>
      <name val="바탕체"/>
      <family val="1"/>
      <charset val="129"/>
    </font>
    <font>
      <sz val="11"/>
      <color indexed="8"/>
      <name val="Arial"/>
      <family val="2"/>
    </font>
    <font>
      <sz val="11"/>
      <color theme="1"/>
      <name val="Calibri"/>
      <family val="2"/>
    </font>
    <font>
      <sz val="12"/>
      <color theme="1"/>
      <name val="Arial"/>
      <family val="2"/>
    </font>
    <font>
      <sz val="11"/>
      <color theme="1"/>
      <name val="Calibri"/>
      <family val="2"/>
      <charset val="163"/>
      <scheme val="minor"/>
    </font>
    <font>
      <sz val="11"/>
      <color indexed="8"/>
      <name val="Arial"/>
      <family val="2"/>
      <charset val="163"/>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1"/>
      <color indexed="52"/>
      <name val="Calibri"/>
      <family val="2"/>
    </font>
    <font>
      <sz val="14"/>
      <name val="System"/>
      <family val="2"/>
    </font>
    <font>
      <b/>
      <sz val="11"/>
      <name val="Arial"/>
      <family val="2"/>
      <charset val="163"/>
    </font>
    <font>
      <b/>
      <sz val="12"/>
      <color indexed="63"/>
      <name val="Calibri"/>
      <family val="2"/>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sz val="18"/>
      <color indexed="56"/>
      <name val="Cambria"/>
      <family val="2"/>
    </font>
    <font>
      <b/>
      <i/>
      <u/>
      <sz val="12"/>
      <name val=".VnTimeH"/>
      <family val="2"/>
    </font>
    <font>
      <b/>
      <sz val="11"/>
      <color indexed="52"/>
      <name val="Calibri"/>
      <family val="2"/>
    </font>
    <font>
      <sz val="9.5"/>
      <name val=".VnBlackH"/>
      <family val="2"/>
    </font>
    <font>
      <b/>
      <sz val="10"/>
      <name val=".VnBahamasBH"/>
      <family val="2"/>
    </font>
    <font>
      <b/>
      <sz val="11"/>
      <name val=".VnArialH"/>
      <family val="2"/>
    </font>
    <font>
      <b/>
      <sz val="11"/>
      <color indexed="8"/>
      <name val="Calibri"/>
      <family val="2"/>
    </font>
    <font>
      <b/>
      <sz val="10"/>
      <name val=".VnTimeH"/>
      <family val="2"/>
    </font>
    <font>
      <b/>
      <sz val="11"/>
      <name val=".VnTimeH"/>
      <family val="2"/>
    </font>
    <font>
      <b/>
      <sz val="10"/>
      <name val=".VnArialH"/>
      <family val="2"/>
    </font>
    <font>
      <sz val="11"/>
      <color indexed="17"/>
      <name val="Calibri"/>
      <family val="2"/>
    </font>
    <font>
      <b/>
      <sz val="12"/>
      <color indexed="8"/>
      <name val="Calibri"/>
      <family val="2"/>
    </font>
    <font>
      <sz val="11"/>
      <color indexed="60"/>
      <name val="Calibri"/>
      <family val="2"/>
    </font>
    <font>
      <sz val="10"/>
      <name val=".VnArial Narrow"/>
      <family val="2"/>
    </font>
    <font>
      <sz val="11"/>
      <color indexed="10"/>
      <name val="Calibri"/>
      <family val="2"/>
    </font>
    <font>
      <i/>
      <sz val="11"/>
      <color indexed="23"/>
      <name val="Calibri"/>
      <family val="2"/>
    </font>
    <font>
      <sz val="10"/>
      <name val="VNtimes new roman"/>
      <family val="1"/>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2"/>
      <color indexed="10"/>
      <name val="Calibri"/>
      <family val="2"/>
    </font>
    <font>
      <sz val="10"/>
      <name val="Geneva"/>
      <family val="2"/>
    </font>
    <font>
      <b/>
      <i/>
      <sz val="12"/>
      <name val=".VnTime"/>
      <family val="2"/>
    </font>
    <font>
      <sz val="11"/>
      <color indexed="20"/>
      <name val="Calibri"/>
      <family val="2"/>
    </font>
    <font>
      <sz val="14"/>
      <name val=".VnArial"/>
      <family val="2"/>
    </font>
    <font>
      <sz val="16"/>
      <name val="AngsanaUPC"/>
      <family val="3"/>
    </font>
    <font>
      <sz val="10"/>
      <name val=" "/>
      <family val="1"/>
      <charset val="136"/>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i/>
      <sz val="9"/>
      <name val="Times New Roman"/>
      <family val="1"/>
    </font>
    <font>
      <sz val="9"/>
      <name val="Times New Roman"/>
      <family val="1"/>
    </font>
    <font>
      <b/>
      <i/>
      <sz val="10"/>
      <name val="Times New Roman"/>
      <family val="1"/>
    </font>
    <font>
      <strike/>
      <sz val="12"/>
      <name val="Times New Roman"/>
      <family val="1"/>
    </font>
    <font>
      <strike/>
      <sz val="11"/>
      <name val="Times New Roman"/>
      <family val="1"/>
    </font>
    <font>
      <strike/>
      <sz val="14"/>
      <name val="Times New Roman"/>
      <family val="1"/>
    </font>
    <font>
      <sz val="11"/>
      <color rgb="FFFF0000"/>
      <name val="Times New Roman"/>
      <family val="1"/>
    </font>
    <font>
      <i/>
      <sz val="11"/>
      <name val="Times New Roman"/>
      <family val="1"/>
    </font>
    <font>
      <i/>
      <sz val="10"/>
      <name val="Times New Roman"/>
      <family val="1"/>
    </font>
    <font>
      <strike/>
      <sz val="12"/>
      <color rgb="FFFF0000"/>
      <name val="Times New Roman"/>
      <family val="1"/>
    </font>
    <font>
      <sz val="10"/>
      <color indexed="8"/>
      <name val="Times New Roman"/>
      <family val="1"/>
    </font>
    <font>
      <b/>
      <i/>
      <sz val="14"/>
      <name val="Times New Roman"/>
      <family val="1"/>
    </font>
    <font>
      <sz val="12"/>
      <color rgb="FF0070C0"/>
      <name val="Times New Roman"/>
      <family val="1"/>
    </font>
    <font>
      <sz val="14"/>
      <color rgb="FF0070C0"/>
      <name val="Times New Roman"/>
      <family val="1"/>
    </font>
    <font>
      <b/>
      <sz val="8"/>
      <color indexed="81"/>
      <name val="Tahoma"/>
      <family val="2"/>
    </font>
    <font>
      <sz val="9"/>
      <color indexed="81"/>
      <name val="Tahoma"/>
      <family val="2"/>
    </font>
    <font>
      <sz val="8"/>
      <color indexed="81"/>
      <name val="Tahoma"/>
      <family val="2"/>
    </font>
    <font>
      <b/>
      <sz val="9"/>
      <color indexed="81"/>
      <name val="Tahoma"/>
      <family val="2"/>
    </font>
    <font>
      <b/>
      <sz val="12"/>
      <color indexed="81"/>
      <name val="Tahoma"/>
      <family val="2"/>
    </font>
    <font>
      <sz val="11"/>
      <color indexed="8"/>
      <name val="Times New Roman"/>
      <family val="1"/>
    </font>
    <font>
      <b/>
      <sz val="11"/>
      <color indexed="8"/>
      <name val="Times New Roman"/>
      <family val="1"/>
    </font>
    <font>
      <b/>
      <sz val="12"/>
      <color indexed="8"/>
      <name val="Times New Roman"/>
      <family val="1"/>
    </font>
    <font>
      <b/>
      <sz val="10"/>
      <color indexed="8"/>
      <name val="Times New Roman"/>
      <family val="1"/>
    </font>
    <font>
      <strike/>
      <sz val="11"/>
      <color rgb="FFFF0000"/>
      <name val="Times New Roman"/>
      <family val="1"/>
    </font>
    <font>
      <i/>
      <sz val="18"/>
      <name val="Times New Roman"/>
      <family val="1"/>
    </font>
    <font>
      <sz val="11"/>
      <name val="VNI-Helve-Condense"/>
    </font>
    <font>
      <sz val="12"/>
      <name val="Times New Roman"/>
      <family val="1"/>
      <charset val="163"/>
    </font>
    <font>
      <sz val="11"/>
      <name val="Times New Roman"/>
      <family val="1"/>
      <charset val="163"/>
    </font>
    <font>
      <sz val="14"/>
      <name val="Times New Roman"/>
      <family val="1"/>
      <charset val="163"/>
    </font>
    <font>
      <b/>
      <sz val="11"/>
      <name val="Times New Roman"/>
      <family val="1"/>
      <charset val="163"/>
    </font>
    <font>
      <i/>
      <sz val="12"/>
      <name val="Times New Roman"/>
      <family val="1"/>
      <charset val="163"/>
    </font>
    <font>
      <i/>
      <sz val="14"/>
      <name val="Times New Roman"/>
      <family val="1"/>
      <charset val="163"/>
    </font>
    <font>
      <sz val="10"/>
      <color rgb="FFFF0000"/>
      <name val="Times New Roman"/>
      <family val="1"/>
    </font>
    <font>
      <b/>
      <i/>
      <sz val="10"/>
      <name val="Times New Roman"/>
      <family val="1"/>
      <charset val="163"/>
    </font>
    <font>
      <sz val="11"/>
      <color indexed="8"/>
      <name val="Times New Roman"/>
      <family val="1"/>
      <charset val="163"/>
    </font>
    <font>
      <sz val="12"/>
      <color theme="1"/>
      <name val="Times New Roman"/>
      <family val="1"/>
    </font>
    <font>
      <b/>
      <sz val="12"/>
      <color theme="1"/>
      <name val="Times New Roman"/>
      <family val="1"/>
    </font>
    <font>
      <i/>
      <sz val="12"/>
      <color theme="1"/>
      <name val="Times New Roman"/>
      <family val="1"/>
    </font>
    <font>
      <sz val="12"/>
      <color rgb="FFC00000"/>
      <name val="Times New Roman"/>
      <family val="1"/>
    </font>
    <font>
      <sz val="10"/>
      <color rgb="FFC00000"/>
      <name val="Times New Roman"/>
      <family val="1"/>
    </font>
    <font>
      <strike/>
      <sz val="10"/>
      <name val="Times New Roman"/>
      <family val="1"/>
    </font>
    <font>
      <sz val="11"/>
      <color rgb="FFFF0000"/>
      <name val="Times New Roman"/>
      <family val="1"/>
      <charset val="163"/>
    </font>
    <font>
      <b/>
      <i/>
      <strike/>
      <sz val="11"/>
      <name val="Times New Roman"/>
      <family val="1"/>
    </font>
    <font>
      <b/>
      <i/>
      <strike/>
      <sz val="10"/>
      <name val="Times New Roman"/>
      <family val="1"/>
    </font>
    <font>
      <b/>
      <i/>
      <strike/>
      <sz val="12"/>
      <name val="Times New Roman"/>
      <family val="1"/>
    </font>
    <font>
      <b/>
      <strike/>
      <sz val="10"/>
      <name val="Times New Roman"/>
      <family val="1"/>
    </font>
    <font>
      <b/>
      <sz val="12"/>
      <color rgb="FFFF0000"/>
      <name val="Times New Roman"/>
      <family val="1"/>
    </font>
    <font>
      <b/>
      <i/>
      <sz val="12"/>
      <color rgb="FFFF0000"/>
      <name val="Times New Roman"/>
      <family val="1"/>
    </font>
    <font>
      <b/>
      <i/>
      <strike/>
      <sz val="12"/>
      <color rgb="FFFF0000"/>
      <name val="Times New Roman"/>
      <family val="1"/>
    </font>
    <font>
      <i/>
      <strike/>
      <sz val="12"/>
      <name val="Times New Roman"/>
      <family val="1"/>
    </font>
    <font>
      <i/>
      <strike/>
      <sz val="14"/>
      <name val="Times New Roman"/>
      <family val="1"/>
    </font>
    <font>
      <i/>
      <sz val="11"/>
      <name val="Times New Roman"/>
      <family val="1"/>
      <charset val="163"/>
    </font>
    <font>
      <i/>
      <sz val="10"/>
      <name val="Times New Roman"/>
      <family val="1"/>
      <charset val="163"/>
    </font>
    <font>
      <i/>
      <sz val="12"/>
      <color rgb="FFFF0000"/>
      <name val="Times New Roman"/>
      <family val="1"/>
      <charset val="163"/>
    </font>
    <font>
      <i/>
      <sz val="14"/>
      <color rgb="FF0070C0"/>
      <name val="Times New Roman"/>
      <family val="1"/>
      <charset val="163"/>
    </font>
    <font>
      <i/>
      <sz val="14"/>
      <color rgb="FFFF0000"/>
      <name val="Times New Roman"/>
      <family val="1"/>
      <charset val="163"/>
    </font>
    <font>
      <b/>
      <sz val="11"/>
      <color theme="1"/>
      <name val="Calibri"/>
      <family val="2"/>
      <scheme val="minor"/>
    </font>
    <font>
      <sz val="11"/>
      <color theme="0"/>
      <name val="Calibri"/>
      <family val="2"/>
      <scheme val="minor"/>
    </font>
    <font>
      <b/>
      <sz val="11"/>
      <color indexed="8"/>
      <name val="Times New Roman"/>
      <family val="1"/>
      <charset val="163"/>
    </font>
    <font>
      <sz val="12"/>
      <color theme="0"/>
      <name val="Times New Roman"/>
      <family val="1"/>
    </font>
    <font>
      <i/>
      <sz val="12"/>
      <color indexed="8"/>
      <name val="Times New Roman"/>
      <family val="1"/>
    </font>
    <font>
      <i/>
      <sz val="11"/>
      <color indexed="8"/>
      <name val="Times New Roman"/>
      <family val="1"/>
    </font>
    <font>
      <i/>
      <sz val="11"/>
      <color indexed="8"/>
      <name val="Times New Roman"/>
      <family val="1"/>
      <charset val="163"/>
    </font>
    <font>
      <i/>
      <sz val="10"/>
      <color indexed="8"/>
      <name val="Times New Roman"/>
      <family val="1"/>
    </font>
    <font>
      <i/>
      <sz val="11"/>
      <color theme="1"/>
      <name val="Calibri"/>
      <family val="2"/>
      <scheme val="minor"/>
    </font>
    <font>
      <sz val="11"/>
      <color rgb="FFC00000"/>
      <name val="Times New Roman"/>
      <family val="1"/>
    </font>
    <font>
      <b/>
      <sz val="12"/>
      <color rgb="FFC00000"/>
      <name val="Times New Roman"/>
      <family val="1"/>
    </font>
    <font>
      <i/>
      <sz val="12"/>
      <color rgb="FFC00000"/>
      <name val="Times New Roman"/>
      <family val="1"/>
    </font>
    <font>
      <b/>
      <i/>
      <sz val="12"/>
      <color rgb="FFC00000"/>
      <name val="Times New Roman"/>
      <family val="1"/>
    </font>
    <font>
      <b/>
      <i/>
      <sz val="14"/>
      <color rgb="FF0070C0"/>
      <name val="Times New Roman"/>
      <family val="1"/>
    </font>
    <font>
      <i/>
      <sz val="10"/>
      <color rgb="FFC00000"/>
      <name val="Times New Roman"/>
      <family val="1"/>
    </font>
  </fonts>
  <fills count="59">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92D050"/>
        <bgColor indexed="64"/>
      </patternFill>
    </fill>
  </fills>
  <borders count="64">
    <border>
      <left/>
      <right/>
      <top/>
      <bottom/>
      <diagonal/>
    </border>
    <border>
      <left/>
      <right/>
      <top/>
      <bottom style="thin">
        <color indexed="64"/>
      </bottom>
      <diagonal/>
    </border>
    <border>
      <left style="thin">
        <color auto="1"/>
      </left>
      <right style="thin">
        <color indexed="64"/>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728">
    <xf numFmtId="0" fontId="0" fillId="0" borderId="0"/>
    <xf numFmtId="0" fontId="2" fillId="0" borderId="0"/>
    <xf numFmtId="0" fontId="8" fillId="0" borderId="0">
      <alignment vertical="top"/>
    </xf>
    <xf numFmtId="0" fontId="1" fillId="0" borderId="0"/>
    <xf numFmtId="172" fontId="20" fillId="0" borderId="0" applyFont="0" applyFill="0" applyBorder="0" applyAlignment="0" applyProtection="0"/>
    <xf numFmtId="0" fontId="23" fillId="0" borderId="0"/>
    <xf numFmtId="172" fontId="2" fillId="0" borderId="0" applyFont="0" applyFill="0" applyBorder="0" applyAlignment="0" applyProtection="0"/>
    <xf numFmtId="0" fontId="10" fillId="0" borderId="0"/>
    <xf numFmtId="166" fontId="27"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Protection="0"/>
    <xf numFmtId="0" fontId="29" fillId="0" borderId="0"/>
    <xf numFmtId="0" fontId="29" fillId="0" borderId="0"/>
    <xf numFmtId="3" fontId="30" fillId="0" borderId="2"/>
    <xf numFmtId="3" fontId="30" fillId="0" borderId="2"/>
    <xf numFmtId="167" fontId="31" fillId="0" borderId="18" applyFont="0" applyBorder="0"/>
    <xf numFmtId="167" fontId="32" fillId="0" borderId="0" applyProtection="0"/>
    <xf numFmtId="167" fontId="31" fillId="0" borderId="18" applyFont="0" applyBorder="0"/>
    <xf numFmtId="0" fontId="33" fillId="0" borderId="0"/>
    <xf numFmtId="168" fontId="34" fillId="0" borderId="0" applyFont="0" applyFill="0" applyBorder="0" applyAlignment="0" applyProtection="0"/>
    <xf numFmtId="0" fontId="35" fillId="0" borderId="0" applyFont="0" applyFill="0" applyBorder="0" applyAlignment="0" applyProtection="0"/>
    <xf numFmtId="169" fontId="28"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7" fillId="0" borderId="0" applyFont="0" applyFill="0" applyBorder="0" applyAlignment="0" applyProtection="0"/>
    <xf numFmtId="0" fontId="38" fillId="0" borderId="19"/>
    <xf numFmtId="172" fontId="33" fillId="0" borderId="0" applyFont="0" applyFill="0" applyBorder="0" applyAlignment="0" applyProtection="0"/>
    <xf numFmtId="173" fontId="39" fillId="0" borderId="0" applyFont="0" applyFill="0" applyBorder="0" applyAlignment="0" applyProtection="0"/>
    <xf numFmtId="174" fontId="39" fillId="0" borderId="0" applyFont="0" applyFill="0" applyBorder="0" applyAlignment="0" applyProtection="0"/>
    <xf numFmtId="175" fontId="40" fillId="0" borderId="0" applyFont="0" applyFill="0" applyBorder="0" applyAlignment="0" applyProtection="0"/>
    <xf numFmtId="0" fontId="4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Protection="0"/>
    <xf numFmtId="0" fontId="42" fillId="0" borderId="0"/>
    <xf numFmtId="0" fontId="2" fillId="0" borderId="0" applyProtection="0"/>
    <xf numFmtId="0" fontId="4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Protection="0"/>
    <xf numFmtId="0" fontId="44" fillId="0" borderId="0" applyNumberFormat="0" applyFill="0" applyBorder="0" applyProtection="0">
      <alignment vertical="center"/>
    </xf>
    <xf numFmtId="173" fontId="28" fillId="0" borderId="0" applyFont="0" applyFill="0" applyBorder="0" applyAlignment="0" applyProtection="0"/>
    <xf numFmtId="176" fontId="45" fillId="0" borderId="0" applyFont="0" applyFill="0" applyBorder="0" applyAlignment="0" applyProtection="0"/>
    <xf numFmtId="177" fontId="27" fillId="0" borderId="0" applyFont="0" applyFill="0" applyBorder="0" applyAlignment="0" applyProtection="0"/>
    <xf numFmtId="42" fontId="45"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78" fontId="28" fillId="0" borderId="0" applyFont="0" applyFill="0" applyBorder="0" applyAlignment="0" applyProtection="0"/>
    <xf numFmtId="42" fontId="45" fillId="0" borderId="0" applyFont="0" applyFill="0" applyBorder="0" applyAlignment="0" applyProtection="0"/>
    <xf numFmtId="176" fontId="45" fillId="0" borderId="0" applyFont="0" applyFill="0" applyBorder="0" applyAlignment="0" applyProtection="0"/>
    <xf numFmtId="42" fontId="45"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6" fillId="0" borderId="0"/>
    <xf numFmtId="42" fontId="45" fillId="0" borderId="0" applyFont="0" applyFill="0" applyBorder="0" applyAlignment="0" applyProtection="0"/>
    <xf numFmtId="176" fontId="45" fillId="0" borderId="0" applyFont="0" applyFill="0" applyBorder="0" applyAlignment="0" applyProtection="0"/>
    <xf numFmtId="0" fontId="46" fillId="0" borderId="0"/>
    <xf numFmtId="42" fontId="45" fillId="0" borderId="0" applyFont="0" applyFill="0" applyBorder="0" applyAlignment="0" applyProtection="0"/>
    <xf numFmtId="0" fontId="47" fillId="0" borderId="0">
      <alignment vertical="top"/>
    </xf>
    <xf numFmtId="0" fontId="48" fillId="0" borderId="0">
      <alignment vertical="top"/>
    </xf>
    <xf numFmtId="0" fontId="48" fillId="0" borderId="0">
      <alignment vertical="top"/>
    </xf>
    <xf numFmtId="0" fontId="33" fillId="0" borderId="0" applyNumberFormat="0" applyFill="0" applyBorder="0" applyAlignment="0" applyProtection="0"/>
    <xf numFmtId="179" fontId="27" fillId="0" borderId="0" applyFont="0" applyFill="0" applyBorder="0" applyAlignment="0" applyProtection="0"/>
    <xf numFmtId="0" fontId="33" fillId="0" borderId="0" applyNumberFormat="0" applyFill="0" applyBorder="0" applyAlignment="0" applyProtection="0"/>
    <xf numFmtId="42" fontId="45" fillId="0" borderId="0" applyFont="0" applyFill="0" applyBorder="0" applyAlignment="0" applyProtection="0"/>
    <xf numFmtId="180" fontId="45" fillId="0" borderId="0" applyFont="0" applyFill="0" applyBorder="0" applyAlignment="0" applyProtection="0"/>
    <xf numFmtId="181" fontId="45" fillId="0" borderId="0" applyFont="0" applyFill="0" applyBorder="0" applyAlignment="0" applyProtection="0"/>
    <xf numFmtId="181" fontId="45" fillId="0" borderId="0" applyFont="0" applyFill="0" applyBorder="0" applyAlignment="0" applyProtection="0"/>
    <xf numFmtId="181" fontId="45" fillId="0" borderId="0" applyFont="0" applyFill="0" applyBorder="0" applyAlignment="0" applyProtection="0"/>
    <xf numFmtId="182" fontId="45"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45" fillId="0" borderId="0" applyFont="0" applyFill="0" applyBorder="0" applyAlignment="0" applyProtection="0"/>
    <xf numFmtId="0" fontId="46" fillId="0" borderId="0"/>
    <xf numFmtId="176" fontId="45" fillId="0" borderId="0" applyFont="0" applyFill="0" applyBorder="0" applyAlignment="0" applyProtection="0"/>
    <xf numFmtId="0" fontId="46"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6" fillId="0" borderId="0"/>
    <xf numFmtId="42" fontId="45" fillId="0" borderId="0" applyFont="0" applyFill="0" applyBorder="0" applyAlignment="0" applyProtection="0"/>
    <xf numFmtId="42" fontId="45"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6"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6" fillId="0" borderId="0"/>
    <xf numFmtId="42" fontId="45" fillId="0" borderId="0" applyFont="0" applyFill="0" applyBorder="0" applyAlignment="0" applyProtection="0"/>
    <xf numFmtId="0" fontId="46"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6" fillId="0" borderId="0"/>
    <xf numFmtId="0" fontId="46" fillId="0" borderId="0"/>
    <xf numFmtId="0" fontId="46" fillId="0" borderId="0"/>
    <xf numFmtId="182" fontId="45" fillId="0" borderId="0" applyFont="0" applyFill="0" applyBorder="0" applyAlignment="0" applyProtection="0"/>
    <xf numFmtId="180"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46"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45" fillId="0" borderId="0" applyFont="0" applyFill="0" applyBorder="0" applyAlignment="0" applyProtection="0"/>
    <xf numFmtId="182" fontId="45"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45" fillId="0" borderId="0" applyFont="0" applyFill="0" applyBorder="0" applyAlignment="0" applyProtection="0"/>
    <xf numFmtId="0" fontId="46" fillId="0" borderId="0"/>
    <xf numFmtId="0" fontId="46" fillId="0" borderId="0"/>
    <xf numFmtId="176" fontId="45" fillId="0" borderId="0" applyFont="0" applyFill="0" applyBorder="0" applyAlignment="0" applyProtection="0"/>
    <xf numFmtId="0" fontId="46" fillId="0" borderId="0"/>
    <xf numFmtId="0" fontId="49" fillId="0" borderId="0"/>
    <xf numFmtId="0" fontId="46" fillId="0" borderId="0"/>
    <xf numFmtId="0" fontId="46" fillId="0" borderId="0"/>
    <xf numFmtId="177" fontId="27" fillId="0" borderId="0" applyFont="0" applyFill="0" applyBorder="0" applyAlignment="0" applyProtection="0"/>
    <xf numFmtId="42" fontId="45" fillId="0" borderId="0" applyFont="0" applyFill="0" applyBorder="0" applyAlignment="0" applyProtection="0"/>
    <xf numFmtId="180" fontId="45" fillId="0" borderId="0" applyFont="0" applyFill="0" applyBorder="0" applyAlignment="0" applyProtection="0"/>
    <xf numFmtId="42" fontId="45" fillId="0" borderId="0" applyFont="0" applyFill="0" applyBorder="0" applyAlignment="0" applyProtection="0"/>
    <xf numFmtId="177" fontId="27" fillId="0" borderId="0" applyFont="0" applyFill="0" applyBorder="0" applyAlignment="0" applyProtection="0"/>
    <xf numFmtId="183"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83"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66" fontId="27" fillId="0" borderId="0" applyFont="0" applyFill="0" applyBorder="0" applyAlignment="0" applyProtection="0"/>
    <xf numFmtId="174" fontId="27" fillId="0" borderId="0" applyFont="0" applyFill="0" applyBorder="0" applyAlignment="0" applyProtection="0"/>
    <xf numFmtId="184" fontId="45" fillId="0" borderId="0" applyFont="0" applyFill="0" applyBorder="0" applyAlignment="0" applyProtection="0"/>
    <xf numFmtId="185"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165" fontId="45" fillId="0" borderId="0" applyFont="0" applyFill="0" applyBorder="0" applyAlignment="0" applyProtection="0"/>
    <xf numFmtId="186" fontId="45" fillId="0" borderId="0" applyFont="0" applyFill="0" applyBorder="0" applyAlignment="0" applyProtection="0"/>
    <xf numFmtId="187" fontId="45" fillId="0" borderId="0" applyFont="0" applyFill="0" applyBorder="0" applyAlignment="0" applyProtection="0"/>
    <xf numFmtId="184" fontId="45" fillId="0" borderId="0" applyFont="0" applyFill="0" applyBorder="0" applyAlignment="0" applyProtection="0"/>
    <xf numFmtId="187" fontId="45" fillId="0" borderId="0" applyFont="0" applyFill="0" applyBorder="0" applyAlignment="0" applyProtection="0"/>
    <xf numFmtId="165" fontId="45" fillId="0" borderId="0" applyFont="0" applyFill="0" applyBorder="0" applyAlignment="0" applyProtection="0"/>
    <xf numFmtId="188"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43" fontId="45" fillId="0" borderId="0" applyFont="0" applyFill="0" applyBorder="0" applyAlignment="0" applyProtection="0"/>
    <xf numFmtId="184" fontId="45" fillId="0" borderId="0" applyFont="0" applyFill="0" applyBorder="0" applyAlignment="0" applyProtection="0"/>
    <xf numFmtId="189"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187" fontId="45" fillId="0" borderId="0" applyFont="0" applyFill="0" applyBorder="0" applyAlignment="0" applyProtection="0"/>
    <xf numFmtId="43" fontId="45" fillId="0" borderId="0" applyFont="0" applyFill="0" applyBorder="0" applyAlignment="0" applyProtection="0"/>
    <xf numFmtId="186"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74" fontId="45" fillId="0" borderId="0" applyFont="0" applyFill="0" applyBorder="0" applyAlignment="0" applyProtection="0"/>
    <xf numFmtId="165" fontId="45" fillId="0" borderId="0" applyFont="0" applyFill="0" applyBorder="0" applyAlignment="0" applyProtection="0"/>
    <xf numFmtId="184" fontId="45" fillId="0" borderId="0" applyFont="0" applyFill="0" applyBorder="0" applyAlignment="0" applyProtection="0"/>
    <xf numFmtId="0" fontId="45"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188"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9"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65"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43" fontId="45" fillId="0" borderId="0" applyFont="0" applyFill="0" applyBorder="0" applyAlignment="0" applyProtection="0"/>
    <xf numFmtId="184" fontId="45" fillId="0" borderId="0" applyFont="0" applyFill="0" applyBorder="0" applyAlignment="0" applyProtection="0"/>
    <xf numFmtId="174" fontId="45" fillId="0" borderId="0" applyFont="0" applyFill="0" applyBorder="0" applyAlignment="0" applyProtection="0"/>
    <xf numFmtId="43" fontId="45" fillId="0" borderId="0" applyFont="0" applyFill="0" applyBorder="0" applyAlignment="0" applyProtection="0"/>
    <xf numFmtId="184"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189" fontId="45" fillId="0" borderId="0" applyFont="0" applyFill="0" applyBorder="0" applyAlignment="0" applyProtection="0"/>
    <xf numFmtId="165" fontId="45" fillId="0" borderId="0" applyFont="0" applyFill="0" applyBorder="0" applyAlignment="0" applyProtection="0"/>
    <xf numFmtId="189" fontId="45" fillId="0" borderId="0" applyFont="0" applyFill="0" applyBorder="0" applyAlignment="0" applyProtection="0"/>
    <xf numFmtId="43" fontId="45" fillId="0" borderId="0" applyFont="0" applyFill="0" applyBorder="0" applyAlignment="0" applyProtection="0"/>
    <xf numFmtId="184" fontId="45" fillId="0" borderId="0" applyFont="0" applyFill="0" applyBorder="0" applyAlignment="0" applyProtection="0"/>
    <xf numFmtId="188" fontId="45" fillId="0" borderId="0" applyFont="0" applyFill="0" applyBorder="0" applyAlignment="0" applyProtection="0"/>
    <xf numFmtId="184"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189" fontId="45" fillId="0" borderId="0" applyFont="0" applyFill="0" applyBorder="0" applyAlignment="0" applyProtection="0"/>
    <xf numFmtId="187" fontId="45" fillId="0" borderId="0" applyFont="0" applyFill="0" applyBorder="0" applyAlignment="0" applyProtection="0"/>
    <xf numFmtId="43" fontId="45" fillId="0" borderId="0" applyFont="0" applyFill="0" applyBorder="0" applyAlignment="0" applyProtection="0"/>
    <xf numFmtId="187" fontId="45" fillId="0" borderId="0" applyFont="0" applyFill="0" applyBorder="0" applyAlignment="0" applyProtection="0"/>
    <xf numFmtId="184" fontId="45" fillId="0" borderId="0" applyFont="0" applyFill="0" applyBorder="0" applyAlignment="0" applyProtection="0"/>
    <xf numFmtId="187" fontId="45" fillId="0" borderId="0" applyFont="0" applyFill="0" applyBorder="0" applyAlignment="0" applyProtection="0"/>
    <xf numFmtId="184" fontId="45" fillId="0" borderId="0" applyFont="0" applyFill="0" applyBorder="0" applyAlignment="0" applyProtection="0"/>
    <xf numFmtId="190" fontId="45" fillId="0" borderId="0" applyFont="0" applyFill="0" applyBorder="0" applyAlignment="0" applyProtection="0"/>
    <xf numFmtId="191" fontId="45" fillId="0" borderId="0" applyFont="0" applyFill="0" applyBorder="0" applyAlignment="0" applyProtection="0"/>
    <xf numFmtId="189"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88" fontId="45" fillId="0" borderId="0" applyFont="0" applyFill="0" applyBorder="0" applyAlignment="0" applyProtection="0"/>
    <xf numFmtId="184" fontId="45" fillId="0" borderId="0" applyFont="0" applyFill="0" applyBorder="0" applyAlignment="0" applyProtection="0"/>
    <xf numFmtId="173" fontId="27" fillId="0" borderId="0" applyFont="0" applyFill="0" applyBorder="0" applyAlignment="0" applyProtection="0"/>
    <xf numFmtId="42" fontId="45" fillId="0" borderId="0" applyFont="0" applyFill="0" applyBorder="0" applyAlignment="0" applyProtection="0"/>
    <xf numFmtId="180" fontId="45" fillId="0" borderId="0" applyFont="0" applyFill="0" applyBorder="0" applyAlignment="0" applyProtection="0"/>
    <xf numFmtId="42" fontId="45" fillId="0" borderId="0" applyFont="0" applyFill="0" applyBorder="0" applyAlignment="0" applyProtection="0"/>
    <xf numFmtId="176"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182"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182" fontId="45" fillId="0" borderId="0" applyFont="0" applyFill="0" applyBorder="0" applyAlignment="0" applyProtection="0"/>
    <xf numFmtId="179" fontId="27" fillId="0" borderId="0" applyFont="0" applyFill="0" applyBorder="0" applyAlignment="0" applyProtection="0"/>
    <xf numFmtId="180" fontId="45" fillId="0" borderId="0" applyFont="0" applyFill="0" applyBorder="0" applyAlignment="0" applyProtection="0"/>
    <xf numFmtId="181" fontId="45" fillId="0" borderId="0" applyFont="0" applyFill="0" applyBorder="0" applyAlignment="0" applyProtection="0"/>
    <xf numFmtId="181" fontId="45" fillId="0" borderId="0" applyFont="0" applyFill="0" applyBorder="0" applyAlignment="0" applyProtection="0"/>
    <xf numFmtId="181" fontId="45" fillId="0" borderId="0" applyFont="0" applyFill="0" applyBorder="0" applyAlignment="0" applyProtection="0"/>
    <xf numFmtId="176" fontId="45" fillId="0" borderId="0" applyFont="0" applyFill="0" applyBorder="0" applyAlignment="0" applyProtection="0"/>
    <xf numFmtId="182"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182" fontId="45" fillId="0" borderId="0" applyFont="0" applyFill="0" applyBorder="0" applyAlignment="0" applyProtection="0"/>
    <xf numFmtId="42" fontId="45" fillId="0" borderId="0" applyFont="0" applyFill="0" applyBorder="0" applyAlignment="0" applyProtection="0"/>
    <xf numFmtId="182"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176" fontId="45" fillId="0" borderId="0" applyFont="0" applyFill="0" applyBorder="0" applyAlignment="0" applyProtection="0"/>
    <xf numFmtId="42" fontId="45" fillId="0" borderId="0" applyFont="0" applyFill="0" applyBorder="0" applyAlignment="0" applyProtection="0"/>
    <xf numFmtId="180"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182" fontId="45" fillId="0" borderId="0" applyFont="0" applyFill="0" applyBorder="0" applyAlignment="0" applyProtection="0"/>
    <xf numFmtId="179" fontId="45" fillId="0" borderId="0" applyFont="0" applyFill="0" applyBorder="0" applyAlignment="0" applyProtection="0"/>
    <xf numFmtId="192" fontId="45" fillId="0" borderId="0" applyFont="0" applyFill="0" applyBorder="0" applyAlignment="0" applyProtection="0"/>
    <xf numFmtId="192" fontId="45" fillId="0" borderId="0" applyFont="0" applyFill="0" applyBorder="0" applyAlignment="0" applyProtection="0"/>
    <xf numFmtId="192" fontId="45" fillId="0" borderId="0" applyFont="0" applyFill="0" applyBorder="0" applyAlignment="0" applyProtection="0"/>
    <xf numFmtId="192" fontId="45" fillId="0" borderId="0" applyFont="0" applyFill="0" applyBorder="0" applyAlignment="0" applyProtection="0"/>
    <xf numFmtId="179" fontId="27" fillId="0" borderId="0" applyFont="0" applyFill="0" applyBorder="0" applyAlignment="0" applyProtection="0"/>
    <xf numFmtId="193" fontId="50" fillId="0" borderId="0" applyFont="0" applyFill="0" applyBorder="0" applyAlignment="0" applyProtection="0"/>
    <xf numFmtId="194" fontId="45" fillId="0" borderId="0" applyFont="0" applyFill="0" applyBorder="0" applyAlignment="0" applyProtection="0"/>
    <xf numFmtId="192" fontId="45" fillId="0" borderId="0" applyFont="0" applyFill="0" applyBorder="0" applyAlignment="0" applyProtection="0"/>
    <xf numFmtId="192" fontId="45" fillId="0" borderId="0" applyFont="0" applyFill="0" applyBorder="0" applyAlignment="0" applyProtection="0"/>
    <xf numFmtId="192" fontId="45" fillId="0" borderId="0" applyFont="0" applyFill="0" applyBorder="0" applyAlignment="0" applyProtection="0"/>
    <xf numFmtId="192" fontId="45" fillId="0" borderId="0" applyFont="0" applyFill="0" applyBorder="0" applyAlignment="0" applyProtection="0"/>
    <xf numFmtId="179" fontId="45" fillId="0" borderId="0" applyFont="0" applyFill="0" applyBorder="0" applyAlignment="0" applyProtection="0"/>
    <xf numFmtId="195" fontId="45" fillId="0" borderId="0" applyFont="0" applyFill="0" applyBorder="0" applyAlignment="0" applyProtection="0"/>
    <xf numFmtId="182" fontId="45" fillId="0" borderId="0" applyFont="0" applyFill="0" applyBorder="0" applyAlignment="0" applyProtection="0"/>
    <xf numFmtId="42" fontId="45" fillId="0" borderId="0" applyFont="0" applyFill="0" applyBorder="0" applyAlignment="0" applyProtection="0"/>
    <xf numFmtId="176" fontId="45" fillId="0" borderId="0" applyFont="0" applyFill="0" applyBorder="0" applyAlignment="0" applyProtection="0"/>
    <xf numFmtId="42" fontId="45" fillId="0" borderId="0" applyFont="0" applyFill="0" applyBorder="0" applyAlignment="0" applyProtection="0"/>
    <xf numFmtId="184" fontId="45" fillId="0" borderId="0" applyFont="0" applyFill="0" applyBorder="0" applyAlignment="0" applyProtection="0"/>
    <xf numFmtId="185"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165" fontId="45" fillId="0" borderId="0" applyFont="0" applyFill="0" applyBorder="0" applyAlignment="0" applyProtection="0"/>
    <xf numFmtId="186" fontId="45" fillId="0" borderId="0" applyFont="0" applyFill="0" applyBorder="0" applyAlignment="0" applyProtection="0"/>
    <xf numFmtId="187" fontId="45" fillId="0" borderId="0" applyFont="0" applyFill="0" applyBorder="0" applyAlignment="0" applyProtection="0"/>
    <xf numFmtId="184" fontId="45" fillId="0" borderId="0" applyFont="0" applyFill="0" applyBorder="0" applyAlignment="0" applyProtection="0"/>
    <xf numFmtId="187" fontId="45" fillId="0" borderId="0" applyFont="0" applyFill="0" applyBorder="0" applyAlignment="0" applyProtection="0"/>
    <xf numFmtId="165" fontId="45" fillId="0" borderId="0" applyFont="0" applyFill="0" applyBorder="0" applyAlignment="0" applyProtection="0"/>
    <xf numFmtId="188"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43" fontId="45" fillId="0" borderId="0" applyFont="0" applyFill="0" applyBorder="0" applyAlignment="0" applyProtection="0"/>
    <xf numFmtId="184" fontId="45" fillId="0" borderId="0" applyFont="0" applyFill="0" applyBorder="0" applyAlignment="0" applyProtection="0"/>
    <xf numFmtId="189"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187" fontId="45" fillId="0" borderId="0" applyFont="0" applyFill="0" applyBorder="0" applyAlignment="0" applyProtection="0"/>
    <xf numFmtId="43" fontId="45" fillId="0" borderId="0" applyFont="0" applyFill="0" applyBorder="0" applyAlignment="0" applyProtection="0"/>
    <xf numFmtId="186"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74" fontId="45" fillId="0" borderId="0" applyFont="0" applyFill="0" applyBorder="0" applyAlignment="0" applyProtection="0"/>
    <xf numFmtId="165" fontId="45" fillId="0" borderId="0" applyFont="0" applyFill="0" applyBorder="0" applyAlignment="0" applyProtection="0"/>
    <xf numFmtId="184" fontId="45" fillId="0" borderId="0" applyFont="0" applyFill="0" applyBorder="0" applyAlignment="0" applyProtection="0"/>
    <xf numFmtId="0" fontId="45"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188"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9"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65"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43" fontId="45" fillId="0" borderId="0" applyFont="0" applyFill="0" applyBorder="0" applyAlignment="0" applyProtection="0"/>
    <xf numFmtId="184" fontId="45" fillId="0" borderId="0" applyFont="0" applyFill="0" applyBorder="0" applyAlignment="0" applyProtection="0"/>
    <xf numFmtId="174" fontId="45" fillId="0" borderId="0" applyFont="0" applyFill="0" applyBorder="0" applyAlignment="0" applyProtection="0"/>
    <xf numFmtId="43" fontId="45" fillId="0" borderId="0" applyFont="0" applyFill="0" applyBorder="0" applyAlignment="0" applyProtection="0"/>
    <xf numFmtId="184"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189" fontId="45" fillId="0" borderId="0" applyFont="0" applyFill="0" applyBorder="0" applyAlignment="0" applyProtection="0"/>
    <xf numFmtId="165" fontId="45" fillId="0" borderId="0" applyFont="0" applyFill="0" applyBorder="0" applyAlignment="0" applyProtection="0"/>
    <xf numFmtId="189" fontId="45" fillId="0" borderId="0" applyFont="0" applyFill="0" applyBorder="0" applyAlignment="0" applyProtection="0"/>
    <xf numFmtId="43" fontId="45" fillId="0" borderId="0" applyFont="0" applyFill="0" applyBorder="0" applyAlignment="0" applyProtection="0"/>
    <xf numFmtId="184" fontId="45" fillId="0" borderId="0" applyFont="0" applyFill="0" applyBorder="0" applyAlignment="0" applyProtection="0"/>
    <xf numFmtId="188" fontId="45" fillId="0" borderId="0" applyFont="0" applyFill="0" applyBorder="0" applyAlignment="0" applyProtection="0"/>
    <xf numFmtId="184"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189" fontId="45" fillId="0" borderId="0" applyFont="0" applyFill="0" applyBorder="0" applyAlignment="0" applyProtection="0"/>
    <xf numFmtId="187" fontId="45" fillId="0" borderId="0" applyFont="0" applyFill="0" applyBorder="0" applyAlignment="0" applyProtection="0"/>
    <xf numFmtId="43" fontId="45" fillId="0" borderId="0" applyFont="0" applyFill="0" applyBorder="0" applyAlignment="0" applyProtection="0"/>
    <xf numFmtId="187" fontId="45" fillId="0" borderId="0" applyFont="0" applyFill="0" applyBorder="0" applyAlignment="0" applyProtection="0"/>
    <xf numFmtId="184" fontId="45" fillId="0" borderId="0" applyFont="0" applyFill="0" applyBorder="0" applyAlignment="0" applyProtection="0"/>
    <xf numFmtId="187" fontId="45" fillId="0" borderId="0" applyFont="0" applyFill="0" applyBorder="0" applyAlignment="0" applyProtection="0"/>
    <xf numFmtId="184" fontId="45" fillId="0" borderId="0" applyFont="0" applyFill="0" applyBorder="0" applyAlignment="0" applyProtection="0"/>
    <xf numFmtId="190" fontId="45" fillId="0" borderId="0" applyFont="0" applyFill="0" applyBorder="0" applyAlignment="0" applyProtection="0"/>
    <xf numFmtId="191" fontId="45" fillId="0" borderId="0" applyFont="0" applyFill="0" applyBorder="0" applyAlignment="0" applyProtection="0"/>
    <xf numFmtId="174" fontId="27" fillId="0" borderId="0" applyFont="0" applyFill="0" applyBorder="0" applyAlignment="0" applyProtection="0"/>
    <xf numFmtId="189"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88" fontId="45" fillId="0" borderId="0" applyFont="0" applyFill="0" applyBorder="0" applyAlignment="0" applyProtection="0"/>
    <xf numFmtId="184" fontId="45" fillId="0" borderId="0" applyFont="0" applyFill="0" applyBorder="0" applyAlignment="0" applyProtection="0"/>
    <xf numFmtId="178" fontId="45" fillId="0" borderId="0" applyFont="0" applyFill="0" applyBorder="0" applyAlignment="0" applyProtection="0"/>
    <xf numFmtId="196" fontId="45" fillId="0" borderId="0" applyFont="0" applyFill="0" applyBorder="0" applyAlignment="0" applyProtection="0"/>
    <xf numFmtId="41" fontId="45" fillId="0" borderId="0" applyFont="0" applyFill="0" applyBorder="0" applyAlignment="0" applyProtection="0"/>
    <xf numFmtId="173" fontId="45" fillId="0" borderId="0" applyFont="0" applyFill="0" applyBorder="0" applyAlignment="0" applyProtection="0"/>
    <xf numFmtId="164" fontId="45" fillId="0" borderId="0" applyFont="0" applyFill="0" applyBorder="0" applyAlignment="0" applyProtection="0"/>
    <xf numFmtId="197" fontId="45" fillId="0" borderId="0" applyFont="0" applyFill="0" applyBorder="0" applyAlignment="0" applyProtection="0"/>
    <xf numFmtId="198" fontId="45" fillId="0" borderId="0" applyFont="0" applyFill="0" applyBorder="0" applyAlignment="0" applyProtection="0"/>
    <xf numFmtId="178" fontId="45" fillId="0" borderId="0" applyFont="0" applyFill="0" applyBorder="0" applyAlignment="0" applyProtection="0"/>
    <xf numFmtId="198" fontId="45" fillId="0" borderId="0" applyFont="0" applyFill="0" applyBorder="0" applyAlignment="0" applyProtection="0"/>
    <xf numFmtId="164" fontId="45" fillId="0" borderId="0" applyFont="0" applyFill="0" applyBorder="0" applyAlignment="0" applyProtection="0"/>
    <xf numFmtId="199" fontId="45" fillId="0" borderId="0" applyFont="0" applyFill="0" applyBorder="0" applyAlignment="0" applyProtection="0"/>
    <xf numFmtId="41" fontId="45" fillId="0" borderId="0" applyFont="0" applyFill="0" applyBorder="0" applyAlignment="0" applyProtection="0"/>
    <xf numFmtId="173" fontId="45" fillId="0" borderId="0" applyFont="0" applyFill="0" applyBorder="0" applyAlignment="0" applyProtection="0"/>
    <xf numFmtId="173" fontId="45" fillId="0" borderId="0" applyFont="0" applyFill="0" applyBorder="0" applyAlignment="0" applyProtection="0"/>
    <xf numFmtId="173" fontId="45" fillId="0" borderId="0" applyFont="0" applyFill="0" applyBorder="0" applyAlignment="0" applyProtection="0"/>
    <xf numFmtId="41" fontId="45" fillId="0" borderId="0" applyFont="0" applyFill="0" applyBorder="0" applyAlignment="0" applyProtection="0"/>
    <xf numFmtId="178" fontId="45" fillId="0" borderId="0" applyFont="0" applyFill="0" applyBorder="0" applyAlignment="0" applyProtection="0"/>
    <xf numFmtId="200" fontId="45" fillId="0" borderId="0" applyFont="0" applyFill="0" applyBorder="0" applyAlignment="0" applyProtection="0"/>
    <xf numFmtId="41" fontId="45" fillId="0" borderId="0" applyFont="0" applyFill="0" applyBorder="0" applyAlignment="0" applyProtection="0"/>
    <xf numFmtId="41" fontId="45" fillId="0" borderId="0" applyFont="0" applyFill="0" applyBorder="0" applyAlignment="0" applyProtection="0"/>
    <xf numFmtId="173" fontId="45" fillId="0" borderId="0" applyFont="0" applyFill="0" applyBorder="0" applyAlignment="0" applyProtection="0"/>
    <xf numFmtId="198" fontId="45" fillId="0" borderId="0" applyFont="0" applyFill="0" applyBorder="0" applyAlignment="0" applyProtection="0"/>
    <xf numFmtId="41" fontId="45" fillId="0" borderId="0" applyFont="0" applyFill="0" applyBorder="0" applyAlignment="0" applyProtection="0"/>
    <xf numFmtId="197"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73" fontId="45" fillId="0" borderId="0" applyFont="0" applyFill="0" applyBorder="0" applyAlignment="0" applyProtection="0"/>
    <xf numFmtId="164" fontId="45" fillId="0" borderId="0" applyFont="0" applyFill="0" applyBorder="0" applyAlignment="0" applyProtection="0"/>
    <xf numFmtId="178" fontId="45" fillId="0" borderId="0" applyFont="0" applyFill="0" applyBorder="0" applyAlignment="0" applyProtection="0"/>
    <xf numFmtId="178" fontId="27" fillId="0" borderId="0" applyFont="0" applyFill="0" applyBorder="0" applyAlignment="0" applyProtection="0"/>
    <xf numFmtId="173" fontId="45" fillId="0" borderId="0" applyFont="0" applyFill="0" applyBorder="0" applyAlignment="0" applyProtection="0"/>
    <xf numFmtId="173" fontId="45" fillId="0" borderId="0" applyFont="0" applyFill="0" applyBorder="0" applyAlignment="0" applyProtection="0"/>
    <xf numFmtId="173" fontId="45" fillId="0" borderId="0" applyFont="0" applyFill="0" applyBorder="0" applyAlignment="0" applyProtection="0"/>
    <xf numFmtId="199" fontId="45" fillId="0" borderId="0" applyFont="0" applyFill="0" applyBorder="0" applyAlignment="0" applyProtection="0"/>
    <xf numFmtId="178" fontId="45" fillId="0" borderId="0" applyFont="0" applyFill="0" applyBorder="0" applyAlignment="0" applyProtection="0"/>
    <xf numFmtId="201" fontId="45" fillId="0" borderId="0" applyFont="0" applyFill="0" applyBorder="0" applyAlignment="0" applyProtection="0"/>
    <xf numFmtId="178" fontId="45" fillId="0" borderId="0" applyFont="0" applyFill="0" applyBorder="0" applyAlignment="0" applyProtection="0"/>
    <xf numFmtId="200"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64" fontId="45" fillId="0" borderId="0" applyFont="0" applyFill="0" applyBorder="0" applyAlignment="0" applyProtection="0"/>
    <xf numFmtId="41" fontId="45" fillId="0" borderId="0" applyFont="0" applyFill="0" applyBorder="0" applyAlignment="0" applyProtection="0"/>
    <xf numFmtId="173" fontId="45" fillId="0" borderId="0" applyFont="0" applyFill="0" applyBorder="0" applyAlignment="0" applyProtection="0"/>
    <xf numFmtId="41" fontId="45" fillId="0" borderId="0" applyFont="0" applyFill="0" applyBorder="0" applyAlignment="0" applyProtection="0"/>
    <xf numFmtId="173" fontId="45" fillId="0" borderId="0" applyFont="0" applyFill="0" applyBorder="0" applyAlignment="0" applyProtection="0"/>
    <xf numFmtId="41" fontId="45" fillId="0" borderId="0" applyFont="0" applyFill="0" applyBorder="0" applyAlignment="0" applyProtection="0"/>
    <xf numFmtId="178" fontId="45" fillId="0" borderId="0" applyFont="0" applyFill="0" applyBorder="0" applyAlignment="0" applyProtection="0"/>
    <xf numFmtId="173" fontId="45" fillId="0" borderId="0" applyFont="0" applyFill="0" applyBorder="0" applyAlignment="0" applyProtection="0"/>
    <xf numFmtId="41" fontId="45" fillId="0" borderId="0" applyFont="0" applyFill="0" applyBorder="0" applyAlignment="0" applyProtection="0"/>
    <xf numFmtId="178" fontId="45" fillId="0" borderId="0" applyFont="0" applyFill="0" applyBorder="0" applyAlignment="0" applyProtection="0"/>
    <xf numFmtId="41" fontId="45" fillId="0" borderId="0" applyFont="0" applyFill="0" applyBorder="0" applyAlignment="0" applyProtection="0"/>
    <xf numFmtId="173" fontId="45" fillId="0" borderId="0" applyFont="0" applyFill="0" applyBorder="0" applyAlignment="0" applyProtection="0"/>
    <xf numFmtId="200" fontId="45" fillId="0" borderId="0" applyFont="0" applyFill="0" applyBorder="0" applyAlignment="0" applyProtection="0"/>
    <xf numFmtId="164" fontId="45" fillId="0" borderId="0" applyFont="0" applyFill="0" applyBorder="0" applyAlignment="0" applyProtection="0"/>
    <xf numFmtId="200" fontId="45" fillId="0" borderId="0" applyFont="0" applyFill="0" applyBorder="0" applyAlignment="0" applyProtection="0"/>
    <xf numFmtId="41" fontId="45" fillId="0" borderId="0" applyFont="0" applyFill="0" applyBorder="0" applyAlignment="0" applyProtection="0"/>
    <xf numFmtId="178" fontId="45" fillId="0" borderId="0" applyFont="0" applyFill="0" applyBorder="0" applyAlignment="0" applyProtection="0"/>
    <xf numFmtId="199" fontId="45" fillId="0" borderId="0" applyFont="0" applyFill="0" applyBorder="0" applyAlignment="0" applyProtection="0"/>
    <xf numFmtId="178" fontId="45" fillId="0" borderId="0" applyFont="0" applyFill="0" applyBorder="0" applyAlignment="0" applyProtection="0"/>
    <xf numFmtId="41" fontId="45" fillId="0" borderId="0" applyFont="0" applyFill="0" applyBorder="0" applyAlignment="0" applyProtection="0"/>
    <xf numFmtId="173" fontId="45" fillId="0" borderId="0" applyFont="0" applyFill="0" applyBorder="0" applyAlignment="0" applyProtection="0"/>
    <xf numFmtId="200" fontId="45" fillId="0" borderId="0" applyFont="0" applyFill="0" applyBorder="0" applyAlignment="0" applyProtection="0"/>
    <xf numFmtId="198" fontId="45" fillId="0" borderId="0" applyFont="0" applyFill="0" applyBorder="0" applyAlignment="0" applyProtection="0"/>
    <xf numFmtId="41" fontId="45" fillId="0" borderId="0" applyFont="0" applyFill="0" applyBorder="0" applyAlignment="0" applyProtection="0"/>
    <xf numFmtId="198" fontId="45" fillId="0" borderId="0" applyFont="0" applyFill="0" applyBorder="0" applyAlignment="0" applyProtection="0"/>
    <xf numFmtId="178" fontId="45" fillId="0" borderId="0" applyFont="0" applyFill="0" applyBorder="0" applyAlignment="0" applyProtection="0"/>
    <xf numFmtId="198" fontId="45" fillId="0" borderId="0" applyFont="0" applyFill="0" applyBorder="0" applyAlignment="0" applyProtection="0"/>
    <xf numFmtId="178" fontId="45" fillId="0" borderId="0" applyFont="0" applyFill="0" applyBorder="0" applyAlignment="0" applyProtection="0"/>
    <xf numFmtId="202" fontId="45" fillId="0" borderId="0" applyFont="0" applyFill="0" applyBorder="0" applyAlignment="0" applyProtection="0"/>
    <xf numFmtId="203" fontId="45" fillId="0" borderId="0" applyFont="0" applyFill="0" applyBorder="0" applyAlignment="0" applyProtection="0"/>
    <xf numFmtId="200" fontId="45" fillId="0" borderId="0" applyFont="0" applyFill="0" applyBorder="0" applyAlignment="0" applyProtection="0"/>
    <xf numFmtId="41" fontId="45" fillId="0" borderId="0" applyFont="0" applyFill="0" applyBorder="0" applyAlignment="0" applyProtection="0"/>
    <xf numFmtId="41" fontId="45" fillId="0" borderId="0" applyFont="0" applyFill="0" applyBorder="0" applyAlignment="0" applyProtection="0"/>
    <xf numFmtId="41" fontId="45" fillId="0" borderId="0" applyFont="0" applyFill="0" applyBorder="0" applyAlignment="0" applyProtection="0"/>
    <xf numFmtId="41" fontId="45" fillId="0" borderId="0" applyFont="0" applyFill="0" applyBorder="0" applyAlignment="0" applyProtection="0"/>
    <xf numFmtId="199" fontId="45" fillId="0" borderId="0" applyFont="0" applyFill="0" applyBorder="0" applyAlignment="0" applyProtection="0"/>
    <xf numFmtId="178" fontId="45" fillId="0" borderId="0" applyFont="0" applyFill="0" applyBorder="0" applyAlignment="0" applyProtection="0"/>
    <xf numFmtId="176"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182"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182" fontId="45" fillId="0" borderId="0" applyFont="0" applyFill="0" applyBorder="0" applyAlignment="0" applyProtection="0"/>
    <xf numFmtId="179" fontId="27" fillId="0" borderId="0" applyFont="0" applyFill="0" applyBorder="0" applyAlignment="0" applyProtection="0"/>
    <xf numFmtId="180" fontId="45" fillId="0" borderId="0" applyFont="0" applyFill="0" applyBorder="0" applyAlignment="0" applyProtection="0"/>
    <xf numFmtId="181" fontId="45" fillId="0" borderId="0" applyFont="0" applyFill="0" applyBorder="0" applyAlignment="0" applyProtection="0"/>
    <xf numFmtId="181" fontId="45" fillId="0" borderId="0" applyFont="0" applyFill="0" applyBorder="0" applyAlignment="0" applyProtection="0"/>
    <xf numFmtId="181" fontId="45" fillId="0" borderId="0" applyFont="0" applyFill="0" applyBorder="0" applyAlignment="0" applyProtection="0"/>
    <xf numFmtId="176" fontId="45" fillId="0" borderId="0" applyFont="0" applyFill="0" applyBorder="0" applyAlignment="0" applyProtection="0"/>
    <xf numFmtId="182"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182" fontId="45" fillId="0" borderId="0" applyFont="0" applyFill="0" applyBorder="0" applyAlignment="0" applyProtection="0"/>
    <xf numFmtId="42" fontId="45" fillId="0" borderId="0" applyFont="0" applyFill="0" applyBorder="0" applyAlignment="0" applyProtection="0"/>
    <xf numFmtId="182"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176" fontId="45" fillId="0" borderId="0" applyFont="0" applyFill="0" applyBorder="0" applyAlignment="0" applyProtection="0"/>
    <xf numFmtId="42" fontId="45" fillId="0" borderId="0" applyFont="0" applyFill="0" applyBorder="0" applyAlignment="0" applyProtection="0"/>
    <xf numFmtId="180"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182" fontId="45" fillId="0" borderId="0" applyFont="0" applyFill="0" applyBorder="0" applyAlignment="0" applyProtection="0"/>
    <xf numFmtId="179" fontId="45" fillId="0" borderId="0" applyFont="0" applyFill="0" applyBorder="0" applyAlignment="0" applyProtection="0"/>
    <xf numFmtId="192" fontId="45" fillId="0" borderId="0" applyFont="0" applyFill="0" applyBorder="0" applyAlignment="0" applyProtection="0"/>
    <xf numFmtId="192" fontId="45" fillId="0" borderId="0" applyFont="0" applyFill="0" applyBorder="0" applyAlignment="0" applyProtection="0"/>
    <xf numFmtId="192" fontId="45" fillId="0" borderId="0" applyFont="0" applyFill="0" applyBorder="0" applyAlignment="0" applyProtection="0"/>
    <xf numFmtId="192" fontId="45" fillId="0" borderId="0" applyFont="0" applyFill="0" applyBorder="0" applyAlignment="0" applyProtection="0"/>
    <xf numFmtId="179" fontId="27" fillId="0" borderId="0" applyFont="0" applyFill="0" applyBorder="0" applyAlignment="0" applyProtection="0"/>
    <xf numFmtId="193" fontId="50" fillId="0" borderId="0" applyFont="0" applyFill="0" applyBorder="0" applyAlignment="0" applyProtection="0"/>
    <xf numFmtId="194" fontId="45" fillId="0" borderId="0" applyFont="0" applyFill="0" applyBorder="0" applyAlignment="0" applyProtection="0"/>
    <xf numFmtId="192" fontId="45" fillId="0" borderId="0" applyFont="0" applyFill="0" applyBorder="0" applyAlignment="0" applyProtection="0"/>
    <xf numFmtId="192" fontId="45" fillId="0" borderId="0" applyFont="0" applyFill="0" applyBorder="0" applyAlignment="0" applyProtection="0"/>
    <xf numFmtId="192" fontId="45" fillId="0" borderId="0" applyFont="0" applyFill="0" applyBorder="0" applyAlignment="0" applyProtection="0"/>
    <xf numFmtId="192" fontId="45" fillId="0" borderId="0" applyFont="0" applyFill="0" applyBorder="0" applyAlignment="0" applyProtection="0"/>
    <xf numFmtId="179" fontId="45" fillId="0" borderId="0" applyFont="0" applyFill="0" applyBorder="0" applyAlignment="0" applyProtection="0"/>
    <xf numFmtId="195" fontId="45" fillId="0" borderId="0" applyFont="0" applyFill="0" applyBorder="0" applyAlignment="0" applyProtection="0"/>
    <xf numFmtId="173" fontId="27" fillId="0" borderId="0" applyFont="0" applyFill="0" applyBorder="0" applyAlignment="0" applyProtection="0"/>
    <xf numFmtId="182" fontId="45" fillId="0" borderId="0" applyFont="0" applyFill="0" applyBorder="0" applyAlignment="0" applyProtection="0"/>
    <xf numFmtId="42" fontId="45" fillId="0" borderId="0" applyFont="0" applyFill="0" applyBorder="0" applyAlignment="0" applyProtection="0"/>
    <xf numFmtId="176" fontId="45" fillId="0" borderId="0" applyFont="0" applyFill="0" applyBorder="0" applyAlignment="0" applyProtection="0"/>
    <xf numFmtId="42" fontId="45" fillId="0" borderId="0" applyFont="0" applyFill="0" applyBorder="0" applyAlignment="0" applyProtection="0"/>
    <xf numFmtId="174" fontId="27" fillId="0" borderId="0" applyFont="0" applyFill="0" applyBorder="0" applyAlignment="0" applyProtection="0"/>
    <xf numFmtId="178" fontId="45" fillId="0" borderId="0" applyFont="0" applyFill="0" applyBorder="0" applyAlignment="0" applyProtection="0"/>
    <xf numFmtId="196" fontId="45" fillId="0" borderId="0" applyFont="0" applyFill="0" applyBorder="0" applyAlignment="0" applyProtection="0"/>
    <xf numFmtId="41" fontId="45" fillId="0" borderId="0" applyFont="0" applyFill="0" applyBorder="0" applyAlignment="0" applyProtection="0"/>
    <xf numFmtId="173" fontId="45" fillId="0" borderId="0" applyFont="0" applyFill="0" applyBorder="0" applyAlignment="0" applyProtection="0"/>
    <xf numFmtId="164" fontId="45" fillId="0" borderId="0" applyFont="0" applyFill="0" applyBorder="0" applyAlignment="0" applyProtection="0"/>
    <xf numFmtId="197" fontId="45" fillId="0" borderId="0" applyFont="0" applyFill="0" applyBorder="0" applyAlignment="0" applyProtection="0"/>
    <xf numFmtId="198" fontId="45" fillId="0" borderId="0" applyFont="0" applyFill="0" applyBorder="0" applyAlignment="0" applyProtection="0"/>
    <xf numFmtId="178" fontId="45" fillId="0" borderId="0" applyFont="0" applyFill="0" applyBorder="0" applyAlignment="0" applyProtection="0"/>
    <xf numFmtId="198" fontId="45" fillId="0" borderId="0" applyFont="0" applyFill="0" applyBorder="0" applyAlignment="0" applyProtection="0"/>
    <xf numFmtId="164" fontId="45" fillId="0" borderId="0" applyFont="0" applyFill="0" applyBorder="0" applyAlignment="0" applyProtection="0"/>
    <xf numFmtId="199" fontId="45" fillId="0" borderId="0" applyFont="0" applyFill="0" applyBorder="0" applyAlignment="0" applyProtection="0"/>
    <xf numFmtId="41" fontId="45" fillId="0" borderId="0" applyFont="0" applyFill="0" applyBorder="0" applyAlignment="0" applyProtection="0"/>
    <xf numFmtId="173" fontId="45" fillId="0" borderId="0" applyFont="0" applyFill="0" applyBorder="0" applyAlignment="0" applyProtection="0"/>
    <xf numFmtId="173" fontId="45" fillId="0" borderId="0" applyFont="0" applyFill="0" applyBorder="0" applyAlignment="0" applyProtection="0"/>
    <xf numFmtId="173" fontId="45" fillId="0" borderId="0" applyFont="0" applyFill="0" applyBorder="0" applyAlignment="0" applyProtection="0"/>
    <xf numFmtId="41" fontId="45" fillId="0" borderId="0" applyFont="0" applyFill="0" applyBorder="0" applyAlignment="0" applyProtection="0"/>
    <xf numFmtId="178" fontId="45" fillId="0" borderId="0" applyFont="0" applyFill="0" applyBorder="0" applyAlignment="0" applyProtection="0"/>
    <xf numFmtId="200" fontId="45" fillId="0" borderId="0" applyFont="0" applyFill="0" applyBorder="0" applyAlignment="0" applyProtection="0"/>
    <xf numFmtId="41" fontId="45" fillId="0" borderId="0" applyFont="0" applyFill="0" applyBorder="0" applyAlignment="0" applyProtection="0"/>
    <xf numFmtId="41" fontId="45" fillId="0" borderId="0" applyFont="0" applyFill="0" applyBorder="0" applyAlignment="0" applyProtection="0"/>
    <xf numFmtId="173" fontId="45" fillId="0" borderId="0" applyFont="0" applyFill="0" applyBorder="0" applyAlignment="0" applyProtection="0"/>
    <xf numFmtId="198" fontId="45" fillId="0" borderId="0" applyFont="0" applyFill="0" applyBorder="0" applyAlignment="0" applyProtection="0"/>
    <xf numFmtId="41" fontId="45" fillId="0" borderId="0" applyFont="0" applyFill="0" applyBorder="0" applyAlignment="0" applyProtection="0"/>
    <xf numFmtId="197"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73" fontId="45" fillId="0" borderId="0" applyFont="0" applyFill="0" applyBorder="0" applyAlignment="0" applyProtection="0"/>
    <xf numFmtId="164" fontId="45" fillId="0" borderId="0" applyFont="0" applyFill="0" applyBorder="0" applyAlignment="0" applyProtection="0"/>
    <xf numFmtId="178" fontId="45" fillId="0" borderId="0" applyFont="0" applyFill="0" applyBorder="0" applyAlignment="0" applyProtection="0"/>
    <xf numFmtId="178" fontId="27" fillId="0" borderId="0" applyFont="0" applyFill="0" applyBorder="0" applyAlignment="0" applyProtection="0"/>
    <xf numFmtId="173" fontId="45" fillId="0" borderId="0" applyFont="0" applyFill="0" applyBorder="0" applyAlignment="0" applyProtection="0"/>
    <xf numFmtId="173" fontId="45" fillId="0" borderId="0" applyFont="0" applyFill="0" applyBorder="0" applyAlignment="0" applyProtection="0"/>
    <xf numFmtId="173" fontId="45" fillId="0" borderId="0" applyFont="0" applyFill="0" applyBorder="0" applyAlignment="0" applyProtection="0"/>
    <xf numFmtId="199" fontId="45" fillId="0" borderId="0" applyFont="0" applyFill="0" applyBorder="0" applyAlignment="0" applyProtection="0"/>
    <xf numFmtId="178" fontId="45" fillId="0" borderId="0" applyFont="0" applyFill="0" applyBorder="0" applyAlignment="0" applyProtection="0"/>
    <xf numFmtId="201" fontId="45" fillId="0" borderId="0" applyFont="0" applyFill="0" applyBorder="0" applyAlignment="0" applyProtection="0"/>
    <xf numFmtId="178" fontId="45" fillId="0" borderId="0" applyFont="0" applyFill="0" applyBorder="0" applyAlignment="0" applyProtection="0"/>
    <xf numFmtId="200"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64" fontId="45" fillId="0" borderId="0" applyFont="0" applyFill="0" applyBorder="0" applyAlignment="0" applyProtection="0"/>
    <xf numFmtId="41" fontId="45" fillId="0" borderId="0" applyFont="0" applyFill="0" applyBorder="0" applyAlignment="0" applyProtection="0"/>
    <xf numFmtId="173" fontId="45" fillId="0" borderId="0" applyFont="0" applyFill="0" applyBorder="0" applyAlignment="0" applyProtection="0"/>
    <xf numFmtId="41" fontId="45" fillId="0" borderId="0" applyFont="0" applyFill="0" applyBorder="0" applyAlignment="0" applyProtection="0"/>
    <xf numFmtId="173" fontId="45" fillId="0" borderId="0" applyFont="0" applyFill="0" applyBorder="0" applyAlignment="0" applyProtection="0"/>
    <xf numFmtId="41" fontId="45" fillId="0" borderId="0" applyFont="0" applyFill="0" applyBorder="0" applyAlignment="0" applyProtection="0"/>
    <xf numFmtId="178" fontId="45" fillId="0" borderId="0" applyFont="0" applyFill="0" applyBorder="0" applyAlignment="0" applyProtection="0"/>
    <xf numFmtId="173" fontId="45" fillId="0" borderId="0" applyFont="0" applyFill="0" applyBorder="0" applyAlignment="0" applyProtection="0"/>
    <xf numFmtId="41" fontId="45" fillId="0" borderId="0" applyFont="0" applyFill="0" applyBorder="0" applyAlignment="0" applyProtection="0"/>
    <xf numFmtId="178" fontId="45" fillId="0" borderId="0" applyFont="0" applyFill="0" applyBorder="0" applyAlignment="0" applyProtection="0"/>
    <xf numFmtId="41" fontId="45" fillId="0" borderId="0" applyFont="0" applyFill="0" applyBorder="0" applyAlignment="0" applyProtection="0"/>
    <xf numFmtId="173" fontId="45" fillId="0" borderId="0" applyFont="0" applyFill="0" applyBorder="0" applyAlignment="0" applyProtection="0"/>
    <xf numFmtId="200" fontId="45" fillId="0" borderId="0" applyFont="0" applyFill="0" applyBorder="0" applyAlignment="0" applyProtection="0"/>
    <xf numFmtId="164" fontId="45" fillId="0" borderId="0" applyFont="0" applyFill="0" applyBorder="0" applyAlignment="0" applyProtection="0"/>
    <xf numFmtId="200" fontId="45" fillId="0" borderId="0" applyFont="0" applyFill="0" applyBorder="0" applyAlignment="0" applyProtection="0"/>
    <xf numFmtId="41" fontId="45" fillId="0" borderId="0" applyFont="0" applyFill="0" applyBorder="0" applyAlignment="0" applyProtection="0"/>
    <xf numFmtId="178" fontId="45" fillId="0" borderId="0" applyFont="0" applyFill="0" applyBorder="0" applyAlignment="0" applyProtection="0"/>
    <xf numFmtId="199" fontId="45" fillId="0" borderId="0" applyFont="0" applyFill="0" applyBorder="0" applyAlignment="0" applyProtection="0"/>
    <xf numFmtId="178" fontId="45" fillId="0" borderId="0" applyFont="0" applyFill="0" applyBorder="0" applyAlignment="0" applyProtection="0"/>
    <xf numFmtId="41" fontId="45" fillId="0" borderId="0" applyFont="0" applyFill="0" applyBorder="0" applyAlignment="0" applyProtection="0"/>
    <xf numFmtId="173" fontId="45" fillId="0" borderId="0" applyFont="0" applyFill="0" applyBorder="0" applyAlignment="0" applyProtection="0"/>
    <xf numFmtId="200" fontId="45" fillId="0" borderId="0" applyFont="0" applyFill="0" applyBorder="0" applyAlignment="0" applyProtection="0"/>
    <xf numFmtId="198" fontId="45" fillId="0" borderId="0" applyFont="0" applyFill="0" applyBorder="0" applyAlignment="0" applyProtection="0"/>
    <xf numFmtId="41" fontId="45" fillId="0" borderId="0" applyFont="0" applyFill="0" applyBorder="0" applyAlignment="0" applyProtection="0"/>
    <xf numFmtId="198" fontId="45" fillId="0" borderId="0" applyFont="0" applyFill="0" applyBorder="0" applyAlignment="0" applyProtection="0"/>
    <xf numFmtId="178" fontId="45" fillId="0" borderId="0" applyFont="0" applyFill="0" applyBorder="0" applyAlignment="0" applyProtection="0"/>
    <xf numFmtId="198" fontId="45" fillId="0" borderId="0" applyFont="0" applyFill="0" applyBorder="0" applyAlignment="0" applyProtection="0"/>
    <xf numFmtId="178" fontId="45" fillId="0" borderId="0" applyFont="0" applyFill="0" applyBorder="0" applyAlignment="0" applyProtection="0"/>
    <xf numFmtId="202" fontId="45" fillId="0" borderId="0" applyFont="0" applyFill="0" applyBorder="0" applyAlignment="0" applyProtection="0"/>
    <xf numFmtId="203" fontId="45" fillId="0" borderId="0" applyFont="0" applyFill="0" applyBorder="0" applyAlignment="0" applyProtection="0"/>
    <xf numFmtId="200" fontId="45" fillId="0" borderId="0" applyFont="0" applyFill="0" applyBorder="0" applyAlignment="0" applyProtection="0"/>
    <xf numFmtId="41" fontId="45" fillId="0" borderId="0" applyFont="0" applyFill="0" applyBorder="0" applyAlignment="0" applyProtection="0"/>
    <xf numFmtId="41" fontId="45" fillId="0" borderId="0" applyFont="0" applyFill="0" applyBorder="0" applyAlignment="0" applyProtection="0"/>
    <xf numFmtId="41" fontId="45" fillId="0" borderId="0" applyFont="0" applyFill="0" applyBorder="0" applyAlignment="0" applyProtection="0"/>
    <xf numFmtId="41" fontId="45" fillId="0" borderId="0" applyFont="0" applyFill="0" applyBorder="0" applyAlignment="0" applyProtection="0"/>
    <xf numFmtId="199" fontId="45" fillId="0" borderId="0" applyFont="0" applyFill="0" applyBorder="0" applyAlignment="0" applyProtection="0"/>
    <xf numFmtId="178" fontId="45" fillId="0" borderId="0" applyFont="0" applyFill="0" applyBorder="0" applyAlignment="0" applyProtection="0"/>
    <xf numFmtId="184" fontId="45" fillId="0" borderId="0" applyFont="0" applyFill="0" applyBorder="0" applyAlignment="0" applyProtection="0"/>
    <xf numFmtId="185"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165" fontId="45" fillId="0" borderId="0" applyFont="0" applyFill="0" applyBorder="0" applyAlignment="0" applyProtection="0"/>
    <xf numFmtId="186" fontId="45" fillId="0" borderId="0" applyFont="0" applyFill="0" applyBorder="0" applyAlignment="0" applyProtection="0"/>
    <xf numFmtId="187" fontId="45" fillId="0" borderId="0" applyFont="0" applyFill="0" applyBorder="0" applyAlignment="0" applyProtection="0"/>
    <xf numFmtId="184" fontId="45" fillId="0" borderId="0" applyFont="0" applyFill="0" applyBorder="0" applyAlignment="0" applyProtection="0"/>
    <xf numFmtId="187" fontId="45" fillId="0" borderId="0" applyFont="0" applyFill="0" applyBorder="0" applyAlignment="0" applyProtection="0"/>
    <xf numFmtId="165" fontId="45" fillId="0" borderId="0" applyFont="0" applyFill="0" applyBorder="0" applyAlignment="0" applyProtection="0"/>
    <xf numFmtId="188"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43" fontId="45" fillId="0" borderId="0" applyFont="0" applyFill="0" applyBorder="0" applyAlignment="0" applyProtection="0"/>
    <xf numFmtId="184" fontId="45" fillId="0" borderId="0" applyFont="0" applyFill="0" applyBorder="0" applyAlignment="0" applyProtection="0"/>
    <xf numFmtId="189"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187" fontId="45" fillId="0" borderId="0" applyFont="0" applyFill="0" applyBorder="0" applyAlignment="0" applyProtection="0"/>
    <xf numFmtId="43" fontId="45" fillId="0" borderId="0" applyFont="0" applyFill="0" applyBorder="0" applyAlignment="0" applyProtection="0"/>
    <xf numFmtId="186"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74" fontId="45" fillId="0" borderId="0" applyFont="0" applyFill="0" applyBorder="0" applyAlignment="0" applyProtection="0"/>
    <xf numFmtId="165" fontId="45" fillId="0" borderId="0" applyFont="0" applyFill="0" applyBorder="0" applyAlignment="0" applyProtection="0"/>
    <xf numFmtId="184" fontId="45" fillId="0" borderId="0" applyFont="0" applyFill="0" applyBorder="0" applyAlignment="0" applyProtection="0"/>
    <xf numFmtId="0" fontId="45"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188"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9"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65"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43" fontId="45" fillId="0" borderId="0" applyFont="0" applyFill="0" applyBorder="0" applyAlignment="0" applyProtection="0"/>
    <xf numFmtId="184" fontId="45" fillId="0" borderId="0" applyFont="0" applyFill="0" applyBorder="0" applyAlignment="0" applyProtection="0"/>
    <xf numFmtId="174" fontId="45" fillId="0" borderId="0" applyFont="0" applyFill="0" applyBorder="0" applyAlignment="0" applyProtection="0"/>
    <xf numFmtId="43" fontId="45" fillId="0" borderId="0" applyFont="0" applyFill="0" applyBorder="0" applyAlignment="0" applyProtection="0"/>
    <xf numFmtId="184"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189" fontId="45" fillId="0" borderId="0" applyFont="0" applyFill="0" applyBorder="0" applyAlignment="0" applyProtection="0"/>
    <xf numFmtId="165" fontId="45" fillId="0" borderId="0" applyFont="0" applyFill="0" applyBorder="0" applyAlignment="0" applyProtection="0"/>
    <xf numFmtId="189" fontId="45" fillId="0" borderId="0" applyFont="0" applyFill="0" applyBorder="0" applyAlignment="0" applyProtection="0"/>
    <xf numFmtId="43" fontId="45" fillId="0" borderId="0" applyFont="0" applyFill="0" applyBorder="0" applyAlignment="0" applyProtection="0"/>
    <xf numFmtId="184" fontId="45" fillId="0" borderId="0" applyFont="0" applyFill="0" applyBorder="0" applyAlignment="0" applyProtection="0"/>
    <xf numFmtId="188" fontId="45" fillId="0" borderId="0" applyFont="0" applyFill="0" applyBorder="0" applyAlignment="0" applyProtection="0"/>
    <xf numFmtId="184"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189" fontId="45" fillId="0" borderId="0" applyFont="0" applyFill="0" applyBorder="0" applyAlignment="0" applyProtection="0"/>
    <xf numFmtId="187" fontId="45" fillId="0" borderId="0" applyFont="0" applyFill="0" applyBorder="0" applyAlignment="0" applyProtection="0"/>
    <xf numFmtId="43" fontId="45" fillId="0" borderId="0" applyFont="0" applyFill="0" applyBorder="0" applyAlignment="0" applyProtection="0"/>
    <xf numFmtId="187" fontId="45" fillId="0" borderId="0" applyFont="0" applyFill="0" applyBorder="0" applyAlignment="0" applyProtection="0"/>
    <xf numFmtId="184" fontId="45" fillId="0" borderId="0" applyFont="0" applyFill="0" applyBorder="0" applyAlignment="0" applyProtection="0"/>
    <xf numFmtId="187" fontId="45" fillId="0" borderId="0" applyFont="0" applyFill="0" applyBorder="0" applyAlignment="0" applyProtection="0"/>
    <xf numFmtId="184" fontId="45" fillId="0" borderId="0" applyFont="0" applyFill="0" applyBorder="0" applyAlignment="0" applyProtection="0"/>
    <xf numFmtId="190" fontId="45" fillId="0" borderId="0" applyFont="0" applyFill="0" applyBorder="0" applyAlignment="0" applyProtection="0"/>
    <xf numFmtId="191" fontId="45" fillId="0" borderId="0" applyFont="0" applyFill="0" applyBorder="0" applyAlignment="0" applyProtection="0"/>
    <xf numFmtId="189"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88" fontId="45" fillId="0" borderId="0" applyFont="0" applyFill="0" applyBorder="0" applyAlignment="0" applyProtection="0"/>
    <xf numFmtId="184" fontId="45" fillId="0" borderId="0" applyFont="0" applyFill="0" applyBorder="0" applyAlignment="0" applyProtection="0"/>
    <xf numFmtId="173" fontId="27" fillId="0" borderId="0" applyFont="0" applyFill="0" applyBorder="0" applyAlignment="0" applyProtection="0"/>
    <xf numFmtId="177" fontId="27" fillId="0" borderId="0" applyFont="0" applyFill="0" applyBorder="0" applyAlignment="0" applyProtection="0"/>
    <xf numFmtId="183"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83"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66" fontId="27" fillId="0" borderId="0" applyFont="0" applyFill="0" applyBorder="0" applyAlignment="0" applyProtection="0"/>
    <xf numFmtId="42" fontId="45" fillId="0" borderId="0" applyFont="0" applyFill="0" applyBorder="0" applyAlignment="0" applyProtection="0"/>
    <xf numFmtId="180"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2" fontId="45" fillId="0" borderId="0" applyFont="0" applyFill="0" applyBorder="0" applyAlignment="0" applyProtection="0"/>
    <xf numFmtId="179" fontId="45" fillId="0" borderId="0" applyFont="0" applyFill="0" applyBorder="0" applyAlignment="0" applyProtection="0"/>
    <xf numFmtId="192" fontId="45" fillId="0" borderId="0" applyFont="0" applyFill="0" applyBorder="0" applyAlignment="0" applyProtection="0"/>
    <xf numFmtId="192" fontId="45" fillId="0" borderId="0" applyFont="0" applyFill="0" applyBorder="0" applyAlignment="0" applyProtection="0"/>
    <xf numFmtId="192" fontId="45" fillId="0" borderId="0" applyFont="0" applyFill="0" applyBorder="0" applyAlignment="0" applyProtection="0"/>
    <xf numFmtId="192" fontId="45" fillId="0" borderId="0" applyFont="0" applyFill="0" applyBorder="0" applyAlignment="0" applyProtection="0"/>
    <xf numFmtId="179" fontId="27" fillId="0" borderId="0" applyFont="0" applyFill="0" applyBorder="0" applyAlignment="0" applyProtection="0"/>
    <xf numFmtId="193" fontId="50" fillId="0" borderId="0" applyFont="0" applyFill="0" applyBorder="0" applyAlignment="0" applyProtection="0"/>
    <xf numFmtId="194" fontId="45" fillId="0" borderId="0" applyFont="0" applyFill="0" applyBorder="0" applyAlignment="0" applyProtection="0"/>
    <xf numFmtId="192" fontId="45" fillId="0" borderId="0" applyFont="0" applyFill="0" applyBorder="0" applyAlignment="0" applyProtection="0"/>
    <xf numFmtId="192" fontId="45" fillId="0" borderId="0" applyFont="0" applyFill="0" applyBorder="0" applyAlignment="0" applyProtection="0"/>
    <xf numFmtId="192" fontId="45" fillId="0" borderId="0" applyFont="0" applyFill="0" applyBorder="0" applyAlignment="0" applyProtection="0"/>
    <xf numFmtId="192" fontId="45" fillId="0" borderId="0" applyFont="0" applyFill="0" applyBorder="0" applyAlignment="0" applyProtection="0"/>
    <xf numFmtId="179" fontId="45" fillId="0" borderId="0" applyFont="0" applyFill="0" applyBorder="0" applyAlignment="0" applyProtection="0"/>
    <xf numFmtId="0" fontId="46"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6" fillId="0" borderId="0"/>
    <xf numFmtId="0" fontId="46" fillId="0" borderId="0"/>
    <xf numFmtId="180"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0" fontId="46" fillId="0" borderId="0"/>
    <xf numFmtId="195"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173" fontId="27" fillId="0" borderId="0" applyFont="0" applyFill="0" applyBorder="0" applyAlignment="0" applyProtection="0"/>
    <xf numFmtId="178" fontId="45" fillId="0" borderId="0" applyFont="0" applyFill="0" applyBorder="0" applyAlignment="0" applyProtection="0"/>
    <xf numFmtId="196" fontId="45" fillId="0" borderId="0" applyFont="0" applyFill="0" applyBorder="0" applyAlignment="0" applyProtection="0"/>
    <xf numFmtId="41" fontId="45" fillId="0" borderId="0" applyFont="0" applyFill="0" applyBorder="0" applyAlignment="0" applyProtection="0"/>
    <xf numFmtId="173" fontId="45" fillId="0" borderId="0" applyFont="0" applyFill="0" applyBorder="0" applyAlignment="0" applyProtection="0"/>
    <xf numFmtId="164" fontId="45" fillId="0" borderId="0" applyFont="0" applyFill="0" applyBorder="0" applyAlignment="0" applyProtection="0"/>
    <xf numFmtId="197" fontId="45" fillId="0" borderId="0" applyFont="0" applyFill="0" applyBorder="0" applyAlignment="0" applyProtection="0"/>
    <xf numFmtId="198" fontId="45" fillId="0" borderId="0" applyFont="0" applyFill="0" applyBorder="0" applyAlignment="0" applyProtection="0"/>
    <xf numFmtId="178" fontId="45" fillId="0" borderId="0" applyFont="0" applyFill="0" applyBorder="0" applyAlignment="0" applyProtection="0"/>
    <xf numFmtId="198" fontId="45" fillId="0" borderId="0" applyFont="0" applyFill="0" applyBorder="0" applyAlignment="0" applyProtection="0"/>
    <xf numFmtId="164" fontId="45" fillId="0" borderId="0" applyFont="0" applyFill="0" applyBorder="0" applyAlignment="0" applyProtection="0"/>
    <xf numFmtId="199" fontId="45" fillId="0" borderId="0" applyFont="0" applyFill="0" applyBorder="0" applyAlignment="0" applyProtection="0"/>
    <xf numFmtId="41" fontId="45" fillId="0" borderId="0" applyFont="0" applyFill="0" applyBorder="0" applyAlignment="0" applyProtection="0"/>
    <xf numFmtId="173" fontId="45" fillId="0" borderId="0" applyFont="0" applyFill="0" applyBorder="0" applyAlignment="0" applyProtection="0"/>
    <xf numFmtId="173" fontId="45" fillId="0" borderId="0" applyFont="0" applyFill="0" applyBorder="0" applyAlignment="0" applyProtection="0"/>
    <xf numFmtId="173" fontId="45" fillId="0" borderId="0" applyFont="0" applyFill="0" applyBorder="0" applyAlignment="0" applyProtection="0"/>
    <xf numFmtId="41" fontId="45" fillId="0" borderId="0" applyFont="0" applyFill="0" applyBorder="0" applyAlignment="0" applyProtection="0"/>
    <xf numFmtId="178" fontId="45" fillId="0" borderId="0" applyFont="0" applyFill="0" applyBorder="0" applyAlignment="0" applyProtection="0"/>
    <xf numFmtId="200" fontId="45" fillId="0" borderId="0" applyFont="0" applyFill="0" applyBorder="0" applyAlignment="0" applyProtection="0"/>
    <xf numFmtId="41" fontId="45" fillId="0" borderId="0" applyFont="0" applyFill="0" applyBorder="0" applyAlignment="0" applyProtection="0"/>
    <xf numFmtId="41" fontId="45" fillId="0" borderId="0" applyFont="0" applyFill="0" applyBorder="0" applyAlignment="0" applyProtection="0"/>
    <xf numFmtId="173" fontId="45" fillId="0" borderId="0" applyFont="0" applyFill="0" applyBorder="0" applyAlignment="0" applyProtection="0"/>
    <xf numFmtId="198" fontId="45" fillId="0" borderId="0" applyFont="0" applyFill="0" applyBorder="0" applyAlignment="0" applyProtection="0"/>
    <xf numFmtId="41" fontId="45" fillId="0" borderId="0" applyFont="0" applyFill="0" applyBorder="0" applyAlignment="0" applyProtection="0"/>
    <xf numFmtId="197"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73" fontId="45" fillId="0" borderId="0" applyFont="0" applyFill="0" applyBorder="0" applyAlignment="0" applyProtection="0"/>
    <xf numFmtId="164" fontId="45" fillId="0" borderId="0" applyFont="0" applyFill="0" applyBorder="0" applyAlignment="0" applyProtection="0"/>
    <xf numFmtId="178" fontId="45" fillId="0" borderId="0" applyFont="0" applyFill="0" applyBorder="0" applyAlignment="0" applyProtection="0"/>
    <xf numFmtId="178" fontId="27" fillId="0" borderId="0" applyFont="0" applyFill="0" applyBorder="0" applyAlignment="0" applyProtection="0"/>
    <xf numFmtId="173" fontId="45" fillId="0" borderId="0" applyFont="0" applyFill="0" applyBorder="0" applyAlignment="0" applyProtection="0"/>
    <xf numFmtId="173" fontId="45" fillId="0" borderId="0" applyFont="0" applyFill="0" applyBorder="0" applyAlignment="0" applyProtection="0"/>
    <xf numFmtId="173" fontId="45" fillId="0" borderId="0" applyFont="0" applyFill="0" applyBorder="0" applyAlignment="0" applyProtection="0"/>
    <xf numFmtId="199" fontId="45" fillId="0" borderId="0" applyFont="0" applyFill="0" applyBorder="0" applyAlignment="0" applyProtection="0"/>
    <xf numFmtId="178" fontId="45" fillId="0" borderId="0" applyFont="0" applyFill="0" applyBorder="0" applyAlignment="0" applyProtection="0"/>
    <xf numFmtId="201" fontId="45" fillId="0" borderId="0" applyFont="0" applyFill="0" applyBorder="0" applyAlignment="0" applyProtection="0"/>
    <xf numFmtId="178" fontId="45" fillId="0" borderId="0" applyFont="0" applyFill="0" applyBorder="0" applyAlignment="0" applyProtection="0"/>
    <xf numFmtId="200"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64" fontId="45" fillId="0" borderId="0" applyFont="0" applyFill="0" applyBorder="0" applyAlignment="0" applyProtection="0"/>
    <xf numFmtId="41" fontId="45" fillId="0" borderId="0" applyFont="0" applyFill="0" applyBorder="0" applyAlignment="0" applyProtection="0"/>
    <xf numFmtId="173" fontId="45" fillId="0" borderId="0" applyFont="0" applyFill="0" applyBorder="0" applyAlignment="0" applyProtection="0"/>
    <xf numFmtId="41" fontId="45" fillId="0" borderId="0" applyFont="0" applyFill="0" applyBorder="0" applyAlignment="0" applyProtection="0"/>
    <xf numFmtId="173" fontId="45" fillId="0" borderId="0" applyFont="0" applyFill="0" applyBorder="0" applyAlignment="0" applyProtection="0"/>
    <xf numFmtId="41" fontId="45" fillId="0" borderId="0" applyFont="0" applyFill="0" applyBorder="0" applyAlignment="0" applyProtection="0"/>
    <xf numFmtId="178" fontId="45" fillId="0" borderId="0" applyFont="0" applyFill="0" applyBorder="0" applyAlignment="0" applyProtection="0"/>
    <xf numFmtId="173" fontId="45" fillId="0" borderId="0" applyFont="0" applyFill="0" applyBorder="0" applyAlignment="0" applyProtection="0"/>
    <xf numFmtId="41" fontId="45" fillId="0" borderId="0" applyFont="0" applyFill="0" applyBorder="0" applyAlignment="0" applyProtection="0"/>
    <xf numFmtId="178" fontId="45" fillId="0" borderId="0" applyFont="0" applyFill="0" applyBorder="0" applyAlignment="0" applyProtection="0"/>
    <xf numFmtId="41" fontId="45" fillId="0" borderId="0" applyFont="0" applyFill="0" applyBorder="0" applyAlignment="0" applyProtection="0"/>
    <xf numFmtId="173" fontId="45" fillId="0" borderId="0" applyFont="0" applyFill="0" applyBorder="0" applyAlignment="0" applyProtection="0"/>
    <xf numFmtId="200" fontId="45" fillId="0" borderId="0" applyFont="0" applyFill="0" applyBorder="0" applyAlignment="0" applyProtection="0"/>
    <xf numFmtId="164" fontId="45" fillId="0" borderId="0" applyFont="0" applyFill="0" applyBorder="0" applyAlignment="0" applyProtection="0"/>
    <xf numFmtId="200" fontId="45" fillId="0" borderId="0" applyFont="0" applyFill="0" applyBorder="0" applyAlignment="0" applyProtection="0"/>
    <xf numFmtId="41" fontId="45" fillId="0" borderId="0" applyFont="0" applyFill="0" applyBorder="0" applyAlignment="0" applyProtection="0"/>
    <xf numFmtId="178" fontId="45" fillId="0" borderId="0" applyFont="0" applyFill="0" applyBorder="0" applyAlignment="0" applyProtection="0"/>
    <xf numFmtId="199" fontId="45" fillId="0" borderId="0" applyFont="0" applyFill="0" applyBorder="0" applyAlignment="0" applyProtection="0"/>
    <xf numFmtId="178" fontId="45" fillId="0" borderId="0" applyFont="0" applyFill="0" applyBorder="0" applyAlignment="0" applyProtection="0"/>
    <xf numFmtId="41" fontId="45" fillId="0" borderId="0" applyFont="0" applyFill="0" applyBorder="0" applyAlignment="0" applyProtection="0"/>
    <xf numFmtId="173" fontId="45" fillId="0" borderId="0" applyFont="0" applyFill="0" applyBorder="0" applyAlignment="0" applyProtection="0"/>
    <xf numFmtId="200" fontId="45" fillId="0" borderId="0" applyFont="0" applyFill="0" applyBorder="0" applyAlignment="0" applyProtection="0"/>
    <xf numFmtId="198" fontId="45" fillId="0" borderId="0" applyFont="0" applyFill="0" applyBorder="0" applyAlignment="0" applyProtection="0"/>
    <xf numFmtId="41" fontId="45" fillId="0" borderId="0" applyFont="0" applyFill="0" applyBorder="0" applyAlignment="0" applyProtection="0"/>
    <xf numFmtId="198" fontId="45" fillId="0" borderId="0" applyFont="0" applyFill="0" applyBorder="0" applyAlignment="0" applyProtection="0"/>
    <xf numFmtId="178" fontId="45" fillId="0" borderId="0" applyFont="0" applyFill="0" applyBorder="0" applyAlignment="0" applyProtection="0"/>
    <xf numFmtId="198" fontId="45" fillId="0" borderId="0" applyFont="0" applyFill="0" applyBorder="0" applyAlignment="0" applyProtection="0"/>
    <xf numFmtId="178" fontId="45" fillId="0" borderId="0" applyFont="0" applyFill="0" applyBorder="0" applyAlignment="0" applyProtection="0"/>
    <xf numFmtId="202" fontId="45" fillId="0" borderId="0" applyFont="0" applyFill="0" applyBorder="0" applyAlignment="0" applyProtection="0"/>
    <xf numFmtId="203" fontId="45" fillId="0" borderId="0" applyFont="0" applyFill="0" applyBorder="0" applyAlignment="0" applyProtection="0"/>
    <xf numFmtId="200" fontId="45" fillId="0" borderId="0" applyFont="0" applyFill="0" applyBorder="0" applyAlignment="0" applyProtection="0"/>
    <xf numFmtId="41" fontId="45" fillId="0" borderId="0" applyFont="0" applyFill="0" applyBorder="0" applyAlignment="0" applyProtection="0"/>
    <xf numFmtId="41" fontId="45" fillId="0" borderId="0" applyFont="0" applyFill="0" applyBorder="0" applyAlignment="0" applyProtection="0"/>
    <xf numFmtId="41" fontId="45" fillId="0" borderId="0" applyFont="0" applyFill="0" applyBorder="0" applyAlignment="0" applyProtection="0"/>
    <xf numFmtId="41" fontId="45" fillId="0" borderId="0" applyFont="0" applyFill="0" applyBorder="0" applyAlignment="0" applyProtection="0"/>
    <xf numFmtId="199" fontId="45" fillId="0" borderId="0" applyFont="0" applyFill="0" applyBorder="0" applyAlignment="0" applyProtection="0"/>
    <xf numFmtId="178" fontId="45" fillId="0" borderId="0" applyFont="0" applyFill="0" applyBorder="0" applyAlignment="0" applyProtection="0"/>
    <xf numFmtId="184" fontId="45" fillId="0" borderId="0" applyFont="0" applyFill="0" applyBorder="0" applyAlignment="0" applyProtection="0"/>
    <xf numFmtId="185"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165" fontId="45" fillId="0" borderId="0" applyFont="0" applyFill="0" applyBorder="0" applyAlignment="0" applyProtection="0"/>
    <xf numFmtId="186" fontId="45" fillId="0" borderId="0" applyFont="0" applyFill="0" applyBorder="0" applyAlignment="0" applyProtection="0"/>
    <xf numFmtId="187" fontId="45" fillId="0" borderId="0" applyFont="0" applyFill="0" applyBorder="0" applyAlignment="0" applyProtection="0"/>
    <xf numFmtId="184" fontId="45" fillId="0" borderId="0" applyFont="0" applyFill="0" applyBorder="0" applyAlignment="0" applyProtection="0"/>
    <xf numFmtId="187" fontId="45" fillId="0" borderId="0" applyFont="0" applyFill="0" applyBorder="0" applyAlignment="0" applyProtection="0"/>
    <xf numFmtId="165" fontId="45" fillId="0" borderId="0" applyFont="0" applyFill="0" applyBorder="0" applyAlignment="0" applyProtection="0"/>
    <xf numFmtId="188"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43" fontId="45" fillId="0" borderId="0" applyFont="0" applyFill="0" applyBorder="0" applyAlignment="0" applyProtection="0"/>
    <xf numFmtId="184" fontId="45" fillId="0" borderId="0" applyFont="0" applyFill="0" applyBorder="0" applyAlignment="0" applyProtection="0"/>
    <xf numFmtId="189"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187" fontId="45" fillId="0" borderId="0" applyFont="0" applyFill="0" applyBorder="0" applyAlignment="0" applyProtection="0"/>
    <xf numFmtId="43" fontId="45" fillId="0" borderId="0" applyFont="0" applyFill="0" applyBorder="0" applyAlignment="0" applyProtection="0"/>
    <xf numFmtId="186"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74" fontId="45" fillId="0" borderId="0" applyFont="0" applyFill="0" applyBorder="0" applyAlignment="0" applyProtection="0"/>
    <xf numFmtId="165" fontId="45" fillId="0" borderId="0" applyFont="0" applyFill="0" applyBorder="0" applyAlignment="0" applyProtection="0"/>
    <xf numFmtId="184" fontId="45" fillId="0" borderId="0" applyFont="0" applyFill="0" applyBorder="0" applyAlignment="0" applyProtection="0"/>
    <xf numFmtId="0" fontId="45"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188"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9"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65"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43" fontId="45" fillId="0" borderId="0" applyFont="0" applyFill="0" applyBorder="0" applyAlignment="0" applyProtection="0"/>
    <xf numFmtId="184" fontId="45" fillId="0" borderId="0" applyFont="0" applyFill="0" applyBorder="0" applyAlignment="0" applyProtection="0"/>
    <xf numFmtId="174" fontId="45" fillId="0" borderId="0" applyFont="0" applyFill="0" applyBorder="0" applyAlignment="0" applyProtection="0"/>
    <xf numFmtId="43" fontId="45" fillId="0" borderId="0" applyFont="0" applyFill="0" applyBorder="0" applyAlignment="0" applyProtection="0"/>
    <xf numFmtId="184"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189" fontId="45" fillId="0" borderId="0" applyFont="0" applyFill="0" applyBorder="0" applyAlignment="0" applyProtection="0"/>
    <xf numFmtId="165" fontId="45" fillId="0" borderId="0" applyFont="0" applyFill="0" applyBorder="0" applyAlignment="0" applyProtection="0"/>
    <xf numFmtId="189" fontId="45" fillId="0" borderId="0" applyFont="0" applyFill="0" applyBorder="0" applyAlignment="0" applyProtection="0"/>
    <xf numFmtId="43" fontId="45" fillId="0" borderId="0" applyFont="0" applyFill="0" applyBorder="0" applyAlignment="0" applyProtection="0"/>
    <xf numFmtId="184" fontId="45" fillId="0" borderId="0" applyFont="0" applyFill="0" applyBorder="0" applyAlignment="0" applyProtection="0"/>
    <xf numFmtId="188" fontId="45" fillId="0" borderId="0" applyFont="0" applyFill="0" applyBorder="0" applyAlignment="0" applyProtection="0"/>
    <xf numFmtId="184" fontId="45" fillId="0" borderId="0" applyFont="0" applyFill="0" applyBorder="0" applyAlignment="0" applyProtection="0"/>
    <xf numFmtId="43" fontId="45" fillId="0" borderId="0" applyFont="0" applyFill="0" applyBorder="0" applyAlignment="0" applyProtection="0"/>
    <xf numFmtId="174" fontId="45" fillId="0" borderId="0" applyFont="0" applyFill="0" applyBorder="0" applyAlignment="0" applyProtection="0"/>
    <xf numFmtId="189" fontId="45" fillId="0" borderId="0" applyFont="0" applyFill="0" applyBorder="0" applyAlignment="0" applyProtection="0"/>
    <xf numFmtId="187" fontId="45" fillId="0" borderId="0" applyFont="0" applyFill="0" applyBorder="0" applyAlignment="0" applyProtection="0"/>
    <xf numFmtId="43" fontId="45" fillId="0" borderId="0" applyFont="0" applyFill="0" applyBorder="0" applyAlignment="0" applyProtection="0"/>
    <xf numFmtId="187" fontId="45" fillId="0" borderId="0" applyFont="0" applyFill="0" applyBorder="0" applyAlignment="0" applyProtection="0"/>
    <xf numFmtId="184" fontId="45" fillId="0" borderId="0" applyFont="0" applyFill="0" applyBorder="0" applyAlignment="0" applyProtection="0"/>
    <xf numFmtId="187" fontId="45" fillId="0" borderId="0" applyFont="0" applyFill="0" applyBorder="0" applyAlignment="0" applyProtection="0"/>
    <xf numFmtId="184" fontId="45" fillId="0" borderId="0" applyFont="0" applyFill="0" applyBorder="0" applyAlignment="0" applyProtection="0"/>
    <xf numFmtId="190" fontId="45" fillId="0" borderId="0" applyFont="0" applyFill="0" applyBorder="0" applyAlignment="0" applyProtection="0"/>
    <xf numFmtId="191" fontId="45" fillId="0" borderId="0" applyFont="0" applyFill="0" applyBorder="0" applyAlignment="0" applyProtection="0"/>
    <xf numFmtId="189"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88" fontId="45" fillId="0" borderId="0" applyFont="0" applyFill="0" applyBorder="0" applyAlignment="0" applyProtection="0"/>
    <xf numFmtId="184" fontId="45" fillId="0" borderId="0" applyFont="0" applyFill="0" applyBorder="0" applyAlignment="0" applyProtection="0"/>
    <xf numFmtId="177" fontId="27" fillId="0" borderId="0" applyFont="0" applyFill="0" applyBorder="0" applyAlignment="0" applyProtection="0"/>
    <xf numFmtId="183"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83"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66" fontId="27" fillId="0" borderId="0" applyFont="0" applyFill="0" applyBorder="0" applyAlignment="0" applyProtection="0"/>
    <xf numFmtId="174" fontId="27" fillId="0" borderId="0" applyFont="0" applyFill="0" applyBorder="0" applyAlignment="0" applyProtection="0"/>
    <xf numFmtId="0" fontId="46" fillId="0" borderId="0"/>
    <xf numFmtId="182" fontId="45" fillId="0" borderId="0" applyFont="0" applyFill="0" applyBorder="0" applyAlignment="0" applyProtection="0"/>
    <xf numFmtId="42" fontId="45"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45" fillId="0" borderId="0" applyFont="0" applyFill="0" applyBorder="0" applyAlignment="0" applyProtection="0"/>
    <xf numFmtId="0" fontId="48" fillId="0" borderId="0">
      <alignment vertical="top"/>
    </xf>
    <xf numFmtId="0" fontId="48" fillId="0" borderId="0">
      <alignment vertical="top"/>
    </xf>
    <xf numFmtId="0" fontId="47" fillId="0" borderId="0">
      <alignment vertical="top"/>
    </xf>
    <xf numFmtId="0" fontId="47" fillId="0" borderId="0">
      <alignment vertical="top"/>
    </xf>
    <xf numFmtId="0" fontId="47" fillId="0" borderId="0">
      <alignment vertical="top"/>
    </xf>
    <xf numFmtId="0" fontId="2" fillId="0" borderId="0"/>
    <xf numFmtId="0" fontId="48" fillId="0" borderId="0">
      <alignment vertical="top"/>
    </xf>
    <xf numFmtId="0" fontId="48" fillId="0" borderId="0">
      <alignment vertical="top"/>
    </xf>
    <xf numFmtId="0" fontId="47" fillId="0" borderId="0">
      <alignment vertical="top"/>
    </xf>
    <xf numFmtId="0" fontId="47" fillId="0" borderId="0">
      <alignment vertical="top"/>
    </xf>
    <xf numFmtId="0" fontId="47"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7" fillId="0" borderId="0">
      <alignment vertical="top"/>
    </xf>
    <xf numFmtId="0" fontId="47" fillId="0" borderId="0">
      <alignment vertical="top"/>
    </xf>
    <xf numFmtId="0" fontId="47" fillId="0" borderId="0">
      <alignment vertical="top"/>
    </xf>
    <xf numFmtId="0" fontId="48" fillId="0" borderId="0">
      <alignment vertical="top"/>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2" fillId="0" borderId="0" applyProtection="0"/>
    <xf numFmtId="177" fontId="32" fillId="0" borderId="0" applyProtection="0"/>
    <xf numFmtId="177" fontId="32" fillId="0" borderId="0" applyProtection="0"/>
    <xf numFmtId="0" fontId="29" fillId="0" borderId="0" applyProtection="0"/>
    <xf numFmtId="166" fontId="32" fillId="0" borderId="0" applyProtection="0"/>
    <xf numFmtId="177" fontId="32" fillId="0" borderId="0" applyProtection="0"/>
    <xf numFmtId="177" fontId="32" fillId="0" borderId="0" applyProtection="0"/>
    <xf numFmtId="0" fontId="29" fillId="0" borderId="0" applyProtection="0"/>
    <xf numFmtId="182" fontId="45"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6" fillId="0" borderId="0"/>
    <xf numFmtId="176" fontId="45" fillId="0" borderId="0" applyFont="0" applyFill="0" applyBorder="0" applyAlignment="0" applyProtection="0"/>
    <xf numFmtId="0" fontId="46" fillId="0" borderId="0"/>
    <xf numFmtId="42" fontId="45" fillId="0" borderId="0" applyFont="0" applyFill="0" applyBorder="0" applyAlignment="0" applyProtection="0"/>
    <xf numFmtId="204" fontId="51" fillId="0" borderId="0" applyFont="0" applyFill="0" applyBorder="0" applyAlignment="0" applyProtection="0"/>
    <xf numFmtId="205" fontId="52" fillId="0" borderId="0" applyFont="0" applyFill="0" applyBorder="0" applyAlignment="0" applyProtection="0"/>
    <xf numFmtId="206" fontId="52" fillId="0" borderId="0" applyFont="0" applyFill="0" applyBorder="0" applyAlignment="0" applyProtection="0"/>
    <xf numFmtId="0" fontId="53" fillId="0" borderId="0"/>
    <xf numFmtId="0" fontId="54" fillId="0" borderId="0"/>
    <xf numFmtId="0" fontId="54" fillId="0" borderId="0"/>
    <xf numFmtId="0" fontId="54" fillId="0" borderId="0"/>
    <xf numFmtId="0" fontId="17" fillId="0" borderId="0"/>
    <xf numFmtId="1" fontId="55" fillId="0" borderId="2" applyBorder="0" applyAlignment="0">
      <alignment horizontal="center"/>
    </xf>
    <xf numFmtId="1" fontId="55" fillId="0" borderId="2" applyBorder="0" applyAlignment="0">
      <alignment horizontal="center"/>
    </xf>
    <xf numFmtId="0" fontId="56" fillId="0" borderId="0"/>
    <xf numFmtId="0" fontId="56" fillId="0" borderId="0"/>
    <xf numFmtId="0" fontId="2" fillId="0" borderId="0"/>
    <xf numFmtId="0" fontId="57" fillId="0" borderId="0"/>
    <xf numFmtId="0" fontId="56" fillId="0" borderId="0" applyProtection="0"/>
    <xf numFmtId="3" fontId="30" fillId="0" borderId="2"/>
    <xf numFmtId="3" fontId="30" fillId="0" borderId="2"/>
    <xf numFmtId="3" fontId="30" fillId="0" borderId="2"/>
    <xf numFmtId="3" fontId="30" fillId="0" borderId="2"/>
    <xf numFmtId="0" fontId="58" fillId="3" borderId="0"/>
    <xf numFmtId="0" fontId="58" fillId="3" borderId="0"/>
    <xf numFmtId="0" fontId="58" fillId="3" borderId="0"/>
    <xf numFmtId="0" fontId="58" fillId="3" borderId="0"/>
    <xf numFmtId="204" fontId="51" fillId="0" borderId="0" applyFont="0" applyFill="0" applyBorder="0" applyAlignment="0" applyProtection="0"/>
    <xf numFmtId="0" fontId="58"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204" fontId="51" fillId="0" borderId="0" applyFont="0" applyFill="0" applyBorder="0" applyAlignment="0" applyProtection="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60" fillId="0" borderId="0" applyFont="0" applyFill="0" applyBorder="0" applyAlignment="0">
      <alignment horizontal="left"/>
    </xf>
    <xf numFmtId="0" fontId="58" fillId="3" borderId="0"/>
    <xf numFmtId="0" fontId="60" fillId="0" borderId="0" applyFont="0" applyFill="0" applyBorder="0" applyAlignment="0">
      <alignment horizontal="left"/>
    </xf>
    <xf numFmtId="0" fontId="59" fillId="3" borderId="0"/>
    <xf numFmtId="0" fontId="59" fillId="3" borderId="0"/>
    <xf numFmtId="0" fontId="59" fillId="3" borderId="0"/>
    <xf numFmtId="0" fontId="59" fillId="3" borderId="0"/>
    <xf numFmtId="0" fontId="59" fillId="3" borderId="0"/>
    <xf numFmtId="0" fontId="59" fillId="3" borderId="0"/>
    <xf numFmtId="204" fontId="51" fillId="0" borderId="0" applyFont="0" applyFill="0" applyBorder="0" applyAlignment="0" applyProtection="0"/>
    <xf numFmtId="0" fontId="58" fillId="3" borderId="0"/>
    <xf numFmtId="0" fontId="58" fillId="3" borderId="0"/>
    <xf numFmtId="0" fontId="61" fillId="0" borderId="2" applyNumberFormat="0" applyFont="0" applyBorder="0">
      <alignment horizontal="left" indent="2"/>
    </xf>
    <xf numFmtId="0" fontId="61" fillId="0" borderId="2" applyNumberFormat="0" applyFont="0" applyBorder="0">
      <alignment horizontal="left" indent="2"/>
    </xf>
    <xf numFmtId="0" fontId="60" fillId="0" borderId="0" applyFont="0" applyFill="0" applyBorder="0" applyAlignment="0">
      <alignment horizontal="left"/>
    </xf>
    <xf numFmtId="0" fontId="60" fillId="0" borderId="0" applyFont="0" applyFill="0" applyBorder="0" applyAlignment="0">
      <alignment horizontal="left"/>
    </xf>
    <xf numFmtId="0" fontId="62" fillId="0" borderId="0"/>
    <xf numFmtId="0" fontId="63" fillId="4" borderId="20" applyFont="0" applyFill="0" applyAlignment="0">
      <alignment vertical="center" wrapText="1"/>
    </xf>
    <xf numFmtId="9" fontId="64" fillId="0" borderId="0" applyBorder="0" applyAlignment="0" applyProtection="0"/>
    <xf numFmtId="0" fontId="65" fillId="3" borderId="0"/>
    <xf numFmtId="0" fontId="65"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65" fillId="3" borderId="0"/>
    <xf numFmtId="0" fontId="65" fillId="3" borderId="0"/>
    <xf numFmtId="0" fontId="61" fillId="0" borderId="2" applyNumberFormat="0" applyFont="0" applyBorder="0" applyAlignment="0">
      <alignment horizontal="center"/>
    </xf>
    <xf numFmtId="0" fontId="61" fillId="0" borderId="2" applyNumberFormat="0" applyFont="0" applyBorder="0" applyAlignment="0">
      <alignment horizontal="center"/>
    </xf>
    <xf numFmtId="0" fontId="66" fillId="5" borderId="0" applyNumberFormat="0" applyBorder="0" applyAlignment="0" applyProtection="0"/>
    <xf numFmtId="0" fontId="66" fillId="6" borderId="0" applyNumberFormat="0" applyBorder="0" applyAlignment="0" applyProtection="0"/>
    <xf numFmtId="0" fontId="66" fillId="7" borderId="0" applyNumberFormat="0" applyBorder="0" applyAlignment="0" applyProtection="0"/>
    <xf numFmtId="0" fontId="66" fillId="8"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67" fillId="0" borderId="0"/>
    <xf numFmtId="0" fontId="68" fillId="3" borderId="0"/>
    <xf numFmtId="0" fontId="68"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59" fillId="3" borderId="0"/>
    <xf numFmtId="0" fontId="68" fillId="3" borderId="0"/>
    <xf numFmtId="0" fontId="69" fillId="0" borderId="0">
      <alignment wrapText="1"/>
    </xf>
    <xf numFmtId="0" fontId="6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69" fillId="0" borderId="0">
      <alignment wrapText="1"/>
    </xf>
    <xf numFmtId="0" fontId="66" fillId="11"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66" fillId="8" borderId="0" applyNumberFormat="0" applyBorder="0" applyAlignment="0" applyProtection="0"/>
    <xf numFmtId="0" fontId="66" fillId="11" borderId="0" applyNumberFormat="0" applyBorder="0" applyAlignment="0" applyProtection="0"/>
    <xf numFmtId="0" fontId="66"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167" fontId="70" fillId="0" borderId="1" applyNumberFormat="0" applyFont="0" applyBorder="0" applyAlignment="0">
      <alignment horizontal="center"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1" fillId="15" borderId="0" applyNumberFormat="0" applyBorder="0" applyAlignment="0" applyProtection="0"/>
    <xf numFmtId="0" fontId="71" fillId="12" borderId="0" applyNumberFormat="0" applyBorder="0" applyAlignment="0" applyProtection="0"/>
    <xf numFmtId="0" fontId="71" fillId="13"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2" fillId="15" borderId="0" applyNumberFormat="0" applyBorder="0" applyAlignment="0" applyProtection="0"/>
    <xf numFmtId="0" fontId="72" fillId="12" borderId="0" applyNumberFormat="0" applyBorder="0" applyAlignment="0" applyProtection="0"/>
    <xf numFmtId="0" fontId="72" fillId="13" borderId="0" applyNumberFormat="0" applyBorder="0" applyAlignment="0" applyProtection="0"/>
    <xf numFmtId="0" fontId="72" fillId="16" borderId="0" applyNumberFormat="0" applyBorder="0" applyAlignment="0" applyProtection="0"/>
    <xf numFmtId="0" fontId="72" fillId="17" borderId="0" applyNumberFormat="0" applyBorder="0" applyAlignment="0" applyProtection="0"/>
    <xf numFmtId="0" fontId="72" fillId="18" borderId="0" applyNumberFormat="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1" fillId="19" borderId="0" applyNumberFormat="0" applyBorder="0" applyAlignment="0" applyProtection="0"/>
    <xf numFmtId="0" fontId="71" fillId="20" borderId="0" applyNumberFormat="0" applyBorder="0" applyAlignment="0" applyProtection="0"/>
    <xf numFmtId="0" fontId="71" fillId="21"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71" fillId="22" borderId="0" applyNumberFormat="0" applyBorder="0" applyAlignment="0" applyProtection="0"/>
    <xf numFmtId="207" fontId="23" fillId="0" borderId="0" applyFont="0" applyFill="0" applyBorder="0" applyAlignment="0" applyProtection="0"/>
    <xf numFmtId="0" fontId="74" fillId="0" borderId="0" applyFont="0" applyFill="0" applyBorder="0" applyAlignment="0" applyProtection="0"/>
    <xf numFmtId="208" fontId="75" fillId="0" borderId="0" applyFont="0" applyFill="0" applyBorder="0" applyAlignment="0" applyProtection="0"/>
    <xf numFmtId="199" fontId="23" fillId="0" borderId="0" applyFont="0" applyFill="0" applyBorder="0" applyAlignment="0" applyProtection="0"/>
    <xf numFmtId="0" fontId="74" fillId="0" borderId="0" applyFont="0" applyFill="0" applyBorder="0" applyAlignment="0" applyProtection="0"/>
    <xf numFmtId="209" fontId="23" fillId="0" borderId="0" applyFont="0" applyFill="0" applyBorder="0" applyAlignment="0" applyProtection="0"/>
    <xf numFmtId="0" fontId="76" fillId="0" borderId="0">
      <alignment horizontal="center" wrapText="1"/>
      <protection locked="0"/>
    </xf>
    <xf numFmtId="0" fontId="77" fillId="0" borderId="0">
      <alignment horizontal="center" wrapText="1"/>
      <protection locked="0"/>
    </xf>
    <xf numFmtId="0" fontId="78" fillId="0" borderId="0" applyNumberFormat="0" applyBorder="0" applyAlignment="0">
      <alignment horizontal="center"/>
    </xf>
    <xf numFmtId="197" fontId="79" fillId="0" borderId="0" applyFont="0" applyFill="0" applyBorder="0" applyAlignment="0" applyProtection="0"/>
    <xf numFmtId="0" fontId="74" fillId="0" borderId="0" applyFont="0" applyFill="0" applyBorder="0" applyAlignment="0" applyProtection="0"/>
    <xf numFmtId="210" fontId="45" fillId="0" borderId="0" applyFont="0" applyFill="0" applyBorder="0" applyAlignment="0" applyProtection="0"/>
    <xf numFmtId="186" fontId="79" fillId="0" borderId="0" applyFont="0" applyFill="0" applyBorder="0" applyAlignment="0" applyProtection="0"/>
    <xf numFmtId="0" fontId="74" fillId="0" borderId="0" applyFont="0" applyFill="0" applyBorder="0" applyAlignment="0" applyProtection="0"/>
    <xf numFmtId="211" fontId="45" fillId="0" borderId="0" applyFont="0" applyFill="0" applyBorder="0" applyAlignment="0" applyProtection="0"/>
    <xf numFmtId="177" fontId="27" fillId="0" borderId="0" applyFont="0" applyFill="0" applyBorder="0" applyAlignment="0" applyProtection="0"/>
    <xf numFmtId="183" fontId="27" fillId="0" borderId="0" applyFont="0" applyFill="0" applyBorder="0" applyAlignment="0" applyProtection="0"/>
    <xf numFmtId="0" fontId="80" fillId="6" borderId="0" applyNumberFormat="0" applyBorder="0" applyAlignment="0" applyProtection="0"/>
    <xf numFmtId="0" fontId="81" fillId="0" borderId="0" applyNumberFormat="0" applyFill="0" applyBorder="0" applyAlignment="0" applyProtection="0"/>
    <xf numFmtId="0" fontId="74" fillId="0" borderId="0"/>
    <xf numFmtId="0" fontId="82" fillId="0" borderId="0"/>
    <xf numFmtId="0" fontId="83" fillId="0" borderId="0"/>
    <xf numFmtId="0" fontId="74" fillId="0" borderId="0"/>
    <xf numFmtId="0" fontId="84" fillId="0" borderId="0"/>
    <xf numFmtId="0" fontId="85" fillId="0" borderId="0"/>
    <xf numFmtId="0" fontId="86" fillId="0" borderId="0"/>
    <xf numFmtId="0" fontId="87" fillId="0" borderId="0" applyFill="0" applyBorder="0" applyAlignment="0"/>
    <xf numFmtId="212" fontId="28" fillId="0" borderId="0" applyFill="0" applyBorder="0" applyAlignment="0"/>
    <xf numFmtId="213" fontId="88"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5" fontId="2" fillId="0" borderId="0" applyFill="0" applyBorder="0" applyAlignment="0"/>
    <xf numFmtId="216" fontId="2" fillId="0" borderId="0" applyFill="0" applyBorder="0" applyAlignment="0"/>
    <xf numFmtId="216" fontId="2" fillId="0" borderId="0" applyFill="0" applyBorder="0" applyAlignment="0"/>
    <xf numFmtId="216" fontId="2" fillId="0" borderId="0" applyFill="0" applyBorder="0" applyAlignment="0"/>
    <xf numFmtId="216" fontId="2" fillId="0" borderId="0" applyFill="0" applyBorder="0" applyAlignment="0"/>
    <xf numFmtId="216" fontId="2" fillId="0" borderId="0" applyFill="0" applyBorder="0" applyAlignment="0"/>
    <xf numFmtId="216" fontId="2" fillId="0" borderId="0" applyFill="0" applyBorder="0" applyAlignment="0"/>
    <xf numFmtId="216" fontId="2" fillId="0" borderId="0" applyFill="0" applyBorder="0" applyAlignment="0"/>
    <xf numFmtId="216" fontId="2" fillId="0" borderId="0" applyFill="0" applyBorder="0" applyAlignment="0"/>
    <xf numFmtId="216" fontId="2" fillId="0" borderId="0" applyFill="0" applyBorder="0" applyAlignment="0"/>
    <xf numFmtId="216" fontId="2" fillId="0" borderId="0" applyFill="0" applyBorder="0" applyAlignment="0"/>
    <xf numFmtId="216" fontId="2" fillId="0" borderId="0" applyFill="0" applyBorder="0" applyAlignment="0"/>
    <xf numFmtId="216" fontId="2" fillId="0" borderId="0" applyFill="0" applyBorder="0" applyAlignment="0"/>
    <xf numFmtId="216" fontId="2" fillId="0" borderId="0" applyFill="0" applyBorder="0" applyAlignment="0"/>
    <xf numFmtId="216" fontId="2" fillId="0" borderId="0" applyFill="0" applyBorder="0" applyAlignment="0"/>
    <xf numFmtId="216" fontId="2" fillId="0" borderId="0" applyFill="0" applyBorder="0" applyAlignment="0"/>
    <xf numFmtId="217"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9" fontId="67"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1" fontId="88"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3" fontId="88"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13" fontId="88"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0" fontId="89" fillId="23" borderId="21" applyNumberFormat="0" applyAlignment="0" applyProtection="0"/>
    <xf numFmtId="0" fontId="89" fillId="23" borderId="21" applyNumberFormat="0" applyAlignment="0" applyProtection="0"/>
    <xf numFmtId="0" fontId="89" fillId="23" borderId="21" applyNumberFormat="0" applyAlignment="0" applyProtection="0"/>
    <xf numFmtId="0" fontId="89" fillId="23" borderId="21" applyNumberFormat="0" applyAlignment="0" applyProtection="0"/>
    <xf numFmtId="0" fontId="89" fillId="23" borderId="21" applyNumberFormat="0" applyAlignment="0" applyProtection="0"/>
    <xf numFmtId="0" fontId="89" fillId="23" borderId="21" applyNumberFormat="0" applyAlignment="0" applyProtection="0"/>
    <xf numFmtId="0" fontId="89" fillId="23" borderId="21" applyNumberFormat="0" applyAlignment="0" applyProtection="0"/>
    <xf numFmtId="0" fontId="89" fillId="23" borderId="21" applyNumberFormat="0" applyAlignment="0" applyProtection="0"/>
    <xf numFmtId="0" fontId="89" fillId="23" borderId="21" applyNumberFormat="0" applyAlignment="0" applyProtection="0"/>
    <xf numFmtId="0" fontId="89" fillId="23" borderId="21" applyNumberFormat="0" applyAlignment="0" applyProtection="0"/>
    <xf numFmtId="0" fontId="89" fillId="23" borderId="21" applyNumberFormat="0" applyAlignment="0" applyProtection="0"/>
    <xf numFmtId="0" fontId="89" fillId="23" borderId="21" applyNumberFormat="0" applyAlignment="0" applyProtection="0"/>
    <xf numFmtId="0" fontId="89" fillId="23" borderId="21" applyNumberFormat="0" applyAlignment="0" applyProtection="0"/>
    <xf numFmtId="0" fontId="89" fillId="23" borderId="21" applyNumberFormat="0" applyAlignment="0" applyProtection="0"/>
    <xf numFmtId="0" fontId="89" fillId="23" borderId="21" applyNumberFormat="0" applyAlignment="0" applyProtection="0"/>
    <xf numFmtId="0" fontId="89" fillId="23" borderId="21" applyNumberFormat="0" applyAlignment="0" applyProtection="0"/>
    <xf numFmtId="0" fontId="89" fillId="23" borderId="21" applyNumberFormat="0" applyAlignment="0" applyProtection="0"/>
    <xf numFmtId="0" fontId="89" fillId="23" borderId="21" applyNumberFormat="0" applyAlignment="0" applyProtection="0"/>
    <xf numFmtId="0" fontId="89" fillId="23" borderId="21" applyNumberFormat="0" applyAlignment="0" applyProtection="0"/>
    <xf numFmtId="0" fontId="89" fillId="23" borderId="21" applyNumberFormat="0" applyAlignment="0" applyProtection="0"/>
    <xf numFmtId="0" fontId="90" fillId="0" borderId="0"/>
    <xf numFmtId="0" fontId="90" fillId="0" borderId="0"/>
    <xf numFmtId="0" fontId="91" fillId="0" borderId="0" applyFill="0" applyBorder="0" applyProtection="0">
      <alignment horizontal="center"/>
      <protection locked="0"/>
    </xf>
    <xf numFmtId="225" fontId="45" fillId="0" borderId="0" applyFont="0" applyFill="0" applyBorder="0" applyAlignment="0" applyProtection="0"/>
    <xf numFmtId="0" fontId="92" fillId="24" borderId="22" applyNumberFormat="0" applyAlignment="0" applyProtection="0"/>
    <xf numFmtId="167" fontId="56" fillId="0" borderId="0" applyFont="0" applyFill="0" applyBorder="0" applyAlignment="0" applyProtection="0"/>
    <xf numFmtId="1" fontId="93" fillId="0" borderId="13" applyBorder="0"/>
    <xf numFmtId="0" fontId="94" fillId="0" borderId="3">
      <alignment horizontal="center"/>
    </xf>
    <xf numFmtId="226" fontId="95" fillId="0" borderId="0"/>
    <xf numFmtId="226" fontId="95" fillId="0" borderId="0"/>
    <xf numFmtId="226" fontId="95" fillId="0" borderId="0"/>
    <xf numFmtId="226" fontId="95" fillId="0" borderId="0"/>
    <xf numFmtId="226" fontId="95" fillId="0" borderId="0"/>
    <xf numFmtId="226" fontId="95" fillId="0" borderId="0"/>
    <xf numFmtId="226" fontId="95" fillId="0" borderId="0"/>
    <xf numFmtId="226" fontId="95" fillId="0" borderId="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41" fontId="2" fillId="0" borderId="0" applyFont="0" applyFill="0" applyBorder="0" applyAlignment="0" applyProtection="0"/>
    <xf numFmtId="41" fontId="96" fillId="0" borderId="0" applyFont="0" applyFill="0" applyBorder="0" applyAlignment="0" applyProtection="0"/>
    <xf numFmtId="173" fontId="73"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96"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228" fontId="32" fillId="0" borderId="0" applyProtection="0"/>
    <xf numFmtId="228" fontId="32" fillId="0" borderId="0" applyProtection="0"/>
    <xf numFmtId="196"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6" fontId="32" fillId="0" borderId="0" applyFont="0" applyFill="0" applyBorder="0" applyAlignment="0" applyProtection="0"/>
    <xf numFmtId="174" fontId="32" fillId="0" borderId="0" applyFont="0" applyFill="0" applyBorder="0" applyAlignment="0" applyProtection="0"/>
    <xf numFmtId="41" fontId="20" fillId="0" borderId="0" applyFont="0" applyFill="0" applyBorder="0" applyAlignment="0" applyProtection="0"/>
    <xf numFmtId="173" fontId="3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21" fontId="88"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229" fontId="16" fillId="0" borderId="0" applyFont="0" applyFill="0" applyBorder="0" applyAlignment="0" applyProtection="0"/>
    <xf numFmtId="230" fontId="32" fillId="0" borderId="0" applyFont="0" applyFill="0" applyBorder="0" applyAlignment="0" applyProtection="0"/>
    <xf numFmtId="231" fontId="97" fillId="0" borderId="0" applyFont="0" applyFill="0" applyBorder="0" applyAlignment="0" applyProtection="0"/>
    <xf numFmtId="232" fontId="32" fillId="0" borderId="0" applyFont="0" applyFill="0" applyBorder="0" applyAlignment="0" applyProtection="0"/>
    <xf numFmtId="233" fontId="97" fillId="0" borderId="0" applyFont="0" applyFill="0" applyBorder="0" applyAlignment="0" applyProtection="0"/>
    <xf numFmtId="234" fontId="32" fillId="0" borderId="0" applyFont="0" applyFill="0" applyBorder="0" applyAlignment="0" applyProtection="0"/>
    <xf numFmtId="235" fontId="2" fillId="0" borderId="0" applyFont="0" applyFill="0" applyBorder="0" applyAlignment="0" applyProtection="0"/>
    <xf numFmtId="168" fontId="20" fillId="0" borderId="0" applyFont="0" applyFill="0" applyBorder="0" applyAlignment="0" applyProtection="0"/>
    <xf numFmtId="165" fontId="2"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2" fillId="0" borderId="0" applyFont="0" applyFill="0" applyBorder="0" applyAlignment="0" applyProtection="0"/>
    <xf numFmtId="43" fontId="20" fillId="0" borderId="0" applyFont="0" applyFill="0" applyBorder="0" applyAlignment="0" applyProtection="0"/>
    <xf numFmtId="166" fontId="2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235" fontId="2" fillId="0" borderId="0" applyFont="0" applyFill="0" applyBorder="0" applyAlignment="0" applyProtection="0"/>
    <xf numFmtId="165" fontId="2" fillId="0" borderId="0" applyFont="0" applyFill="0" applyBorder="0" applyAlignment="0" applyProtection="0"/>
    <xf numFmtId="43" fontId="10" fillId="0" borderId="0" applyFont="0" applyFill="0" applyBorder="0" applyAlignment="0" applyProtection="0"/>
    <xf numFmtId="173" fontId="20" fillId="0" borderId="0" applyFont="0" applyFill="0" applyBorder="0" applyAlignment="0" applyProtection="0"/>
    <xf numFmtId="43" fontId="20" fillId="0" borderId="0" applyFont="0" applyFill="0" applyBorder="0" applyAlignment="0" applyProtection="0"/>
    <xf numFmtId="235" fontId="2" fillId="0" borderId="0" applyFont="0" applyFill="0" applyBorder="0" applyAlignment="0" applyProtection="0"/>
    <xf numFmtId="168" fontId="2" fillId="0" borderId="0" applyFont="0" applyFill="0" applyBorder="0" applyAlignment="0" applyProtection="0"/>
    <xf numFmtId="165" fontId="67" fillId="0" borderId="0" applyFont="0" applyFill="0" applyBorder="0" applyAlignment="0" applyProtection="0"/>
    <xf numFmtId="43" fontId="2" fillId="0" borderId="0" applyFont="0" applyFill="0" applyBorder="0" applyAlignment="0" applyProtection="0"/>
    <xf numFmtId="43" fontId="98" fillId="0" borderId="0" applyFont="0" applyFill="0" applyBorder="0" applyAlignment="0" applyProtection="0"/>
    <xf numFmtId="165" fontId="6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6" fontId="20" fillId="0" borderId="0" applyFont="0" applyFill="0" applyBorder="0" applyAlignment="0" applyProtection="0"/>
    <xf numFmtId="236" fontId="20" fillId="0" borderId="0" applyFont="0" applyFill="0" applyBorder="0" applyAlignment="0" applyProtection="0"/>
    <xf numFmtId="43" fontId="20" fillId="0" borderId="0" applyFont="0" applyFill="0" applyBorder="0" applyAlignment="0" applyProtection="0"/>
    <xf numFmtId="237" fontId="20" fillId="0" borderId="0" applyFont="0" applyFill="0" applyBorder="0" applyAlignment="0" applyProtection="0"/>
    <xf numFmtId="17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37" fontId="20" fillId="0" borderId="0" applyFont="0" applyFill="0" applyBorder="0" applyAlignment="0" applyProtection="0"/>
    <xf numFmtId="238" fontId="20" fillId="0" borderId="0" applyFont="0" applyFill="0" applyBorder="0" applyAlignment="0" applyProtection="0"/>
    <xf numFmtId="238" fontId="20" fillId="0" borderId="0" applyFont="0" applyFill="0" applyBorder="0" applyAlignment="0" applyProtection="0"/>
    <xf numFmtId="165" fontId="99" fillId="0" borderId="0" applyFont="0" applyFill="0" applyBorder="0" applyAlignment="0" applyProtection="0"/>
    <xf numFmtId="43" fontId="10" fillId="0" borderId="0" applyFont="0" applyFill="0" applyBorder="0" applyAlignment="0" applyProtection="0"/>
    <xf numFmtId="238" fontId="20" fillId="0" borderId="0" applyFont="0" applyFill="0" applyBorder="0" applyAlignment="0" applyProtection="0"/>
    <xf numFmtId="238" fontId="20" fillId="0" borderId="0" applyFont="0" applyFill="0" applyBorder="0" applyAlignment="0" applyProtection="0"/>
    <xf numFmtId="165" fontId="9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6" fillId="0" borderId="0" applyFont="0" applyFill="0" applyBorder="0" applyAlignment="0" applyProtection="0"/>
    <xf numFmtId="43" fontId="100" fillId="0" borderId="0" applyFont="0" applyFill="0" applyBorder="0" applyAlignment="0" applyProtection="0"/>
    <xf numFmtId="187"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0"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1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174" fontId="20" fillId="0" borderId="0" applyFont="0" applyFill="0" applyBorder="0" applyAlignment="0" applyProtection="0"/>
    <xf numFmtId="43" fontId="1" fillId="0" borderId="0" applyFont="0" applyFill="0" applyBorder="0" applyAlignment="0" applyProtection="0"/>
    <xf numFmtId="0" fontId="20" fillId="0" borderId="0" applyFont="0" applyFill="0" applyBorder="0" applyAlignment="0" applyProtection="0"/>
    <xf numFmtId="0" fontId="2" fillId="0" borderId="0" applyFont="0" applyFill="0" applyBorder="0" applyAlignment="0" applyProtection="0"/>
    <xf numFmtId="43" fontId="20" fillId="0" borderId="0" applyFont="0" applyFill="0" applyBorder="0" applyAlignment="0" applyProtection="0"/>
    <xf numFmtId="240" fontId="20" fillId="0" borderId="0" applyFont="0" applyFill="0" applyBorder="0" applyAlignment="0" applyProtection="0"/>
    <xf numFmtId="241" fontId="20" fillId="0" borderId="0" applyFont="0" applyFill="0" applyBorder="0" applyAlignment="0" applyProtection="0"/>
    <xf numFmtId="240" fontId="20" fillId="0" borderId="0" applyFont="0" applyFill="0" applyBorder="0" applyAlignment="0" applyProtection="0"/>
    <xf numFmtId="165" fontId="8" fillId="0" borderId="0" applyFont="0" applyFill="0" applyBorder="0" applyAlignment="0" applyProtection="0"/>
    <xf numFmtId="43" fontId="98" fillId="0" borderId="0" applyFont="0" applyFill="0" applyBorder="0" applyAlignment="0" applyProtection="0"/>
    <xf numFmtId="239" fontId="8" fillId="0" borderId="0" applyFont="0" applyFill="0" applyBorder="0" applyAlignment="0" applyProtection="0"/>
    <xf numFmtId="168" fontId="8" fillId="0" borderId="0" applyFont="0" applyFill="0" applyBorder="0" applyAlignment="0" applyProtection="0"/>
    <xf numFmtId="235" fontId="8" fillId="0" borderId="0" applyFont="0" applyFill="0" applyBorder="0" applyAlignment="0" applyProtection="0"/>
    <xf numFmtId="43" fontId="20" fillId="0" borderId="0" applyFont="0" applyFill="0" applyBorder="0" applyAlignment="0" applyProtection="0"/>
    <xf numFmtId="242" fontId="2"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87" fontId="2" fillId="0" borderId="0" applyFont="0" applyFill="0" applyBorder="0" applyAlignment="0" applyProtection="0"/>
    <xf numFmtId="44" fontId="32" fillId="0" borderId="0" applyFont="0" applyFill="0" applyBorder="0" applyAlignment="0" applyProtection="0"/>
    <xf numFmtId="43" fontId="100" fillId="0" borderId="0" applyFont="0" applyFill="0" applyBorder="0" applyAlignment="0" applyProtection="0"/>
    <xf numFmtId="0" fontId="20" fillId="0" borderId="0" applyFont="0" applyFill="0" applyBorder="0" applyAlignment="0" applyProtection="0"/>
    <xf numFmtId="2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3" fontId="32" fillId="0" borderId="0" applyFont="0" applyFill="0" applyBorder="0" applyAlignment="0" applyProtection="0"/>
    <xf numFmtId="244" fontId="53" fillId="0" borderId="0" applyFont="0" applyFill="0" applyBorder="0" applyAlignment="0" applyProtection="0"/>
    <xf numFmtId="43" fontId="20" fillId="0" borderId="0" applyFont="0" applyFill="0" applyBorder="0" applyAlignment="0" applyProtection="0"/>
    <xf numFmtId="2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102" fillId="0" borderId="0" applyFont="0" applyFill="0" applyBorder="0" applyAlignment="0" applyProtection="0"/>
    <xf numFmtId="43" fontId="20" fillId="0" borderId="0" applyFont="0" applyFill="0" applyBorder="0" applyAlignment="0" applyProtection="0"/>
    <xf numFmtId="244" fontId="53" fillId="0" borderId="0" applyFont="0" applyFill="0" applyBorder="0" applyAlignment="0" applyProtection="0"/>
    <xf numFmtId="245" fontId="32" fillId="0" borderId="0" applyProtection="0"/>
    <xf numFmtId="244" fontId="53" fillId="0" borderId="0" applyFont="0" applyFill="0" applyBorder="0" applyAlignment="0" applyProtection="0"/>
    <xf numFmtId="165" fontId="32" fillId="0" borderId="0" applyFont="0" applyFill="0" applyBorder="0" applyAlignment="0" applyProtection="0"/>
    <xf numFmtId="165" fontId="20" fillId="0" borderId="0" applyFont="0" applyFill="0" applyBorder="0" applyAlignment="0" applyProtection="0"/>
    <xf numFmtId="165" fontId="2" fillId="0" borderId="0" applyFont="0" applyFill="0" applyBorder="0" applyAlignment="0" applyProtection="0"/>
    <xf numFmtId="23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174" fontId="73" fillId="0" borderId="0" applyFont="0" applyFill="0" applyBorder="0" applyAlignment="0" applyProtection="0"/>
    <xf numFmtId="247" fontId="32"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7" fontId="32" fillId="0" borderId="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7" fontId="32" fillId="0" borderId="0" applyProtection="0"/>
    <xf numFmtId="43" fontId="9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32" fillId="0" borderId="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75" fillId="0" borderId="0" applyFont="0" applyFill="0" applyBorder="0" applyAlignment="0" applyProtection="0"/>
    <xf numFmtId="165"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0" fontId="49"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8"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applyFont="0" applyFill="0" applyBorder="0" applyAlignment="0" applyProtection="0"/>
    <xf numFmtId="239" fontId="20" fillId="0" borderId="0" applyFont="0" applyFill="0" applyBorder="0" applyAlignment="0" applyProtection="0"/>
    <xf numFmtId="235" fontId="20" fillId="0" borderId="0" applyFont="0" applyFill="0" applyBorder="0" applyAlignment="0" applyProtection="0"/>
    <xf numFmtId="168" fontId="20" fillId="0" borderId="0" applyFont="0" applyFill="0" applyBorder="0" applyAlignment="0" applyProtection="0"/>
    <xf numFmtId="235" fontId="20" fillId="0" borderId="0" applyFont="0" applyFill="0" applyBorder="0" applyAlignment="0" applyProtection="0"/>
    <xf numFmtId="0" fontId="20" fillId="0" borderId="0" applyFont="0" applyFill="0" applyBorder="0" applyAlignment="0" applyProtection="0"/>
    <xf numFmtId="239" fontId="20" fillId="0" borderId="0" applyFont="0" applyFill="0" applyBorder="0" applyAlignment="0" applyProtection="0"/>
    <xf numFmtId="43" fontId="2"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174" fontId="20" fillId="0" borderId="0" applyFont="0" applyFill="0" applyBorder="0" applyAlignment="0" applyProtection="0"/>
    <xf numFmtId="247" fontId="32" fillId="0" borderId="0" applyProtection="0"/>
    <xf numFmtId="247" fontId="32"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0" fillId="0" borderId="0" applyFont="0" applyFill="0" applyBorder="0" applyAlignment="0" applyProtection="0">
      <alignment vertical="center"/>
    </xf>
    <xf numFmtId="43" fontId="100" fillId="0" borderId="0" applyFont="0" applyFill="0" applyBorder="0" applyAlignment="0" applyProtection="0"/>
    <xf numFmtId="43" fontId="10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0"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0"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98" fillId="0" borderId="0" applyFont="0" applyFill="0" applyBorder="0" applyAlignment="0" applyProtection="0"/>
    <xf numFmtId="43" fontId="2" fillId="0" borderId="0" applyFont="0" applyFill="0" applyBorder="0" applyAlignment="0" applyProtection="0"/>
    <xf numFmtId="165" fontId="8" fillId="0" borderId="0" applyFont="0" applyFill="0" applyBorder="0" applyAlignment="0" applyProtection="0"/>
    <xf numFmtId="176" fontId="8" fillId="0" borderId="0" applyFont="0" applyFill="0" applyBorder="0" applyAlignment="0" applyProtection="0"/>
    <xf numFmtId="164" fontId="8" fillId="0" borderId="0" applyFont="0" applyFill="0" applyBorder="0" applyAlignment="0" applyProtection="0"/>
    <xf numFmtId="184" fontId="8" fillId="0" borderId="0" applyFont="0" applyFill="0" applyBorder="0" applyAlignment="0" applyProtection="0"/>
    <xf numFmtId="185" fontId="20" fillId="0" borderId="0" applyFont="0" applyFill="0" applyBorder="0" applyAlignment="0" applyProtection="0"/>
    <xf numFmtId="239" fontId="20" fillId="0" borderId="0" applyFont="0" applyFill="0" applyBorder="0" applyAlignment="0" applyProtection="0"/>
    <xf numFmtId="185" fontId="2" fillId="0" borderId="0" applyFont="0" applyFill="0" applyBorder="0" applyAlignment="0" applyProtection="0"/>
    <xf numFmtId="43" fontId="20" fillId="0" borderId="0" applyFont="0" applyFill="0" applyBorder="0" applyAlignment="0" applyProtection="0"/>
    <xf numFmtId="185" fontId="2" fillId="0" borderId="0" applyFont="0" applyFill="0" applyBorder="0" applyAlignment="0" applyProtection="0"/>
    <xf numFmtId="174" fontId="2" fillId="0" borderId="0" applyFont="0" applyFill="0" applyBorder="0" applyAlignment="0" applyProtection="0"/>
    <xf numFmtId="174" fontId="32" fillId="0" borderId="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6" fillId="0" borderId="0" applyFont="0" applyFill="0" applyBorder="0" applyAlignment="0" applyProtection="0"/>
    <xf numFmtId="165" fontId="2" fillId="0" borderId="0" applyFont="0" applyFill="0" applyBorder="0" applyAlignment="0" applyProtection="0"/>
    <xf numFmtId="174" fontId="32" fillId="0" borderId="0" applyFont="0" applyFill="0" applyBorder="0" applyAlignment="0" applyProtection="0"/>
    <xf numFmtId="43" fontId="98"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165" fontId="28" fillId="0" borderId="0" applyFont="0" applyFill="0" applyBorder="0" applyAlignment="0" applyProtection="0"/>
    <xf numFmtId="185" fontId="2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165" fontId="20" fillId="0" borderId="0" applyFont="0" applyFill="0" applyBorder="0" applyAlignment="0" applyProtection="0"/>
    <xf numFmtId="43" fontId="28" fillId="0" borderId="0" applyFont="0" applyFill="0" applyBorder="0" applyAlignment="0" applyProtection="0"/>
    <xf numFmtId="43" fontId="9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103"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43" fontId="98"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96" fillId="0" borderId="0" applyFont="0" applyFill="0" applyBorder="0" applyAlignment="0" applyProtection="0"/>
    <xf numFmtId="235" fontId="66" fillId="0" borderId="0" applyFont="0" applyFill="0" applyBorder="0" applyAlignment="0" applyProtection="0"/>
    <xf numFmtId="248" fontId="17" fillId="0" borderId="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32" fillId="0" borderId="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5" fillId="0" borderId="0" applyNumberFormat="0" applyFill="0" applyBorder="0" applyAlignment="0" applyProtection="0"/>
    <xf numFmtId="0" fontId="104" fillId="0" borderId="0">
      <alignment horizontal="center"/>
    </xf>
    <xf numFmtId="0" fontId="105" fillId="0" borderId="0" applyNumberFormat="0" applyAlignment="0">
      <alignment horizontal="left"/>
    </xf>
    <xf numFmtId="184" fontId="106" fillId="0" borderId="0" applyFont="0" applyFill="0" applyBorder="0" applyAlignment="0" applyProtection="0"/>
    <xf numFmtId="249" fontId="107" fillId="0" borderId="0" applyFill="0" applyBorder="0" applyProtection="0"/>
    <xf numFmtId="250" fontId="16" fillId="0" borderId="0" applyFont="0" applyFill="0" applyBorder="0" applyAlignment="0" applyProtection="0"/>
    <xf numFmtId="251" fontId="17" fillId="0" borderId="0" applyFill="0" applyBorder="0" applyProtection="0"/>
    <xf numFmtId="251" fontId="17" fillId="0" borderId="7" applyFill="0" applyProtection="0"/>
    <xf numFmtId="251" fontId="17" fillId="0" borderId="23" applyFill="0" applyProtection="0"/>
    <xf numFmtId="252" fontId="82" fillId="0" borderId="0" applyFont="0" applyFill="0" applyBorder="0" applyAlignment="0" applyProtection="0"/>
    <xf numFmtId="253" fontId="108" fillId="0" borderId="0" applyFont="0" applyFill="0" applyBorder="0" applyAlignment="0" applyProtection="0"/>
    <xf numFmtId="254"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6" fontId="108" fillId="0" borderId="0" applyFont="0" applyFill="0" applyBorder="0" applyAlignment="0" applyProtection="0"/>
    <xf numFmtId="213" fontId="88" fillId="0" borderId="0" applyFont="0" applyFill="0" applyBorder="0" applyAlignment="0" applyProtection="0"/>
    <xf numFmtId="214" fontId="2" fillId="0" borderId="0" applyFont="0" applyFill="0" applyBorder="0" applyAlignment="0" applyProtection="0"/>
    <xf numFmtId="214" fontId="2" fillId="0" borderId="0" applyFont="0" applyFill="0" applyBorder="0" applyAlignment="0" applyProtection="0"/>
    <xf numFmtId="214" fontId="2" fillId="0" borderId="0" applyFont="0" applyFill="0" applyBorder="0" applyAlignment="0" applyProtection="0"/>
    <xf numFmtId="214" fontId="2" fillId="0" borderId="0" applyFont="0" applyFill="0" applyBorder="0" applyAlignment="0" applyProtection="0"/>
    <xf numFmtId="214" fontId="2" fillId="0" borderId="0" applyFont="0" applyFill="0" applyBorder="0" applyAlignment="0" applyProtection="0"/>
    <xf numFmtId="214" fontId="2" fillId="0" borderId="0" applyFont="0" applyFill="0" applyBorder="0" applyAlignment="0" applyProtection="0"/>
    <xf numFmtId="214" fontId="2" fillId="0" borderId="0" applyFont="0" applyFill="0" applyBorder="0" applyAlignment="0" applyProtection="0"/>
    <xf numFmtId="214" fontId="2" fillId="0" borderId="0" applyFont="0" applyFill="0" applyBorder="0" applyAlignment="0" applyProtection="0"/>
    <xf numFmtId="214" fontId="2" fillId="0" borderId="0" applyFont="0" applyFill="0" applyBorder="0" applyAlignment="0" applyProtection="0"/>
    <xf numFmtId="214" fontId="2" fillId="0" borderId="0" applyFont="0" applyFill="0" applyBorder="0" applyAlignment="0" applyProtection="0"/>
    <xf numFmtId="214" fontId="2" fillId="0" borderId="0" applyFont="0" applyFill="0" applyBorder="0" applyAlignment="0" applyProtection="0"/>
    <xf numFmtId="214" fontId="2" fillId="0" borderId="0" applyFont="0" applyFill="0" applyBorder="0" applyAlignment="0" applyProtection="0"/>
    <xf numFmtId="214" fontId="2" fillId="0" borderId="0" applyFont="0" applyFill="0" applyBorder="0" applyAlignment="0" applyProtection="0"/>
    <xf numFmtId="214" fontId="2" fillId="0" borderId="0" applyFont="0" applyFill="0" applyBorder="0" applyAlignment="0" applyProtection="0"/>
    <xf numFmtId="214" fontId="2" fillId="0" borderId="0" applyFont="0" applyFill="0" applyBorder="0" applyAlignment="0" applyProtection="0"/>
    <xf numFmtId="257" fontId="97" fillId="0" borderId="0" applyFont="0" applyFill="0" applyBorder="0" applyAlignment="0" applyProtection="0"/>
    <xf numFmtId="258" fontId="32" fillId="0" borderId="0" applyFont="0" applyFill="0" applyBorder="0" applyAlignment="0" applyProtection="0"/>
    <xf numFmtId="259" fontId="97" fillId="0" borderId="0" applyFont="0" applyFill="0" applyBorder="0" applyAlignment="0" applyProtection="0"/>
    <xf numFmtId="260" fontId="97" fillId="0" borderId="0" applyFont="0" applyFill="0" applyBorder="0" applyAlignment="0" applyProtection="0"/>
    <xf numFmtId="261" fontId="32" fillId="0" borderId="0" applyFont="0" applyFill="0" applyBorder="0" applyAlignment="0" applyProtection="0"/>
    <xf numFmtId="262" fontId="97" fillId="0" borderId="0" applyFont="0" applyFill="0" applyBorder="0" applyAlignment="0" applyProtection="0"/>
    <xf numFmtId="263" fontId="97" fillId="0" borderId="0" applyFont="0" applyFill="0" applyBorder="0" applyAlignment="0" applyProtection="0"/>
    <xf numFmtId="264" fontId="32" fillId="0" borderId="0" applyFont="0" applyFill="0" applyBorder="0" applyAlignment="0" applyProtection="0"/>
    <xf numFmtId="265" fontId="97" fillId="0" borderId="0" applyFont="0" applyFill="0" applyBorder="0" applyAlignment="0" applyProtection="0"/>
    <xf numFmtId="44" fontId="20" fillId="0" borderId="0" applyFont="0" applyFill="0" applyBorder="0" applyAlignment="0" applyProtection="0"/>
    <xf numFmtId="266" fontId="2" fillId="0" borderId="0" applyFont="0" applyFill="0" applyBorder="0" applyAlignment="0" applyProtection="0"/>
    <xf numFmtId="266" fontId="2" fillId="0" borderId="0" applyFont="0" applyFill="0" applyBorder="0" applyAlignment="0" applyProtection="0"/>
    <xf numFmtId="266" fontId="2" fillId="0" borderId="0" applyFont="0" applyFill="0" applyBorder="0" applyAlignment="0" applyProtection="0"/>
    <xf numFmtId="266" fontId="2" fillId="0" borderId="0" applyFont="0" applyFill="0" applyBorder="0" applyAlignment="0" applyProtection="0"/>
    <xf numFmtId="266" fontId="2" fillId="0" borderId="0" applyFont="0" applyFill="0" applyBorder="0" applyAlignment="0" applyProtection="0"/>
    <xf numFmtId="266" fontId="2" fillId="0" borderId="0" applyFont="0" applyFill="0" applyBorder="0" applyAlignment="0" applyProtection="0"/>
    <xf numFmtId="266" fontId="2" fillId="0" borderId="0" applyFont="0" applyFill="0" applyBorder="0" applyAlignment="0" applyProtection="0"/>
    <xf numFmtId="266" fontId="2" fillId="0" borderId="0" applyFont="0" applyFill="0" applyBorder="0" applyAlignment="0" applyProtection="0"/>
    <xf numFmtId="266" fontId="2" fillId="0" borderId="0" applyFont="0" applyFill="0" applyBorder="0" applyAlignment="0" applyProtection="0"/>
    <xf numFmtId="266" fontId="2" fillId="0" borderId="0" applyFont="0" applyFill="0" applyBorder="0" applyAlignment="0" applyProtection="0"/>
    <xf numFmtId="266" fontId="2" fillId="0" borderId="0" applyFont="0" applyFill="0" applyBorder="0" applyAlignment="0" applyProtection="0"/>
    <xf numFmtId="266" fontId="2" fillId="0" borderId="0" applyFont="0" applyFill="0" applyBorder="0" applyAlignment="0" applyProtection="0"/>
    <xf numFmtId="266" fontId="2" fillId="0" borderId="0" applyFont="0" applyFill="0" applyBorder="0" applyAlignment="0" applyProtection="0"/>
    <xf numFmtId="266" fontId="2" fillId="0" borderId="0" applyFont="0" applyFill="0" applyBorder="0" applyAlignment="0" applyProtection="0"/>
    <xf numFmtId="266" fontId="2" fillId="0" borderId="0" applyFont="0" applyFill="0" applyBorder="0" applyAlignment="0" applyProtection="0"/>
    <xf numFmtId="267"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9" fontId="32" fillId="0" borderId="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70" fontId="2" fillId="0" borderId="0"/>
    <xf numFmtId="270" fontId="2" fillId="0" borderId="0"/>
    <xf numFmtId="270" fontId="2" fillId="0" borderId="0"/>
    <xf numFmtId="270" fontId="2" fillId="0" borderId="0"/>
    <xf numFmtId="270" fontId="2" fillId="0" borderId="0"/>
    <xf numFmtId="270" fontId="2" fillId="0" borderId="0"/>
    <xf numFmtId="270" fontId="2" fillId="0" borderId="0"/>
    <xf numFmtId="270" fontId="2" fillId="0" borderId="0"/>
    <xf numFmtId="270" fontId="2" fillId="0" borderId="0"/>
    <xf numFmtId="270" fontId="2" fillId="0" borderId="0" applyProtection="0"/>
    <xf numFmtId="270" fontId="2" fillId="0" borderId="0"/>
    <xf numFmtId="270" fontId="2" fillId="0" borderId="0"/>
    <xf numFmtId="270" fontId="2" fillId="0" borderId="0"/>
    <xf numFmtId="270" fontId="2" fillId="0" borderId="0"/>
    <xf numFmtId="270" fontId="2" fillId="0" borderId="0"/>
    <xf numFmtId="270" fontId="2" fillId="0" borderId="0"/>
    <xf numFmtId="270" fontId="2" fillId="0" borderId="0"/>
    <xf numFmtId="271" fontId="28" fillId="0" borderId="24"/>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32" fillId="0" borderId="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4" fontId="48" fillId="0" borderId="0" applyFill="0" applyBorder="0" applyAlignment="0"/>
    <xf numFmtId="14" fontId="47" fillId="0" borderId="0" applyFill="0" applyBorder="0" applyAlignment="0"/>
    <xf numFmtId="0" fontId="53" fillId="0" borderId="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09" fillId="23" borderId="25" applyNumberFormat="0" applyAlignment="0" applyProtection="0"/>
    <xf numFmtId="0" fontId="110" fillId="10" borderId="21" applyNumberFormat="0" applyAlignment="0" applyProtection="0"/>
    <xf numFmtId="0" fontId="110" fillId="10" borderId="21" applyNumberFormat="0" applyAlignment="0" applyProtection="0"/>
    <xf numFmtId="0" fontId="110" fillId="10" borderId="21" applyNumberFormat="0" applyAlignment="0" applyProtection="0"/>
    <xf numFmtId="0" fontId="110" fillId="10" borderId="21" applyNumberFormat="0" applyAlignment="0" applyProtection="0"/>
    <xf numFmtId="0" fontId="110" fillId="10" borderId="21" applyNumberFormat="0" applyAlignment="0" applyProtection="0"/>
    <xf numFmtId="0" fontId="110" fillId="10" borderId="21" applyNumberFormat="0" applyAlignment="0" applyProtection="0"/>
    <xf numFmtId="0" fontId="110" fillId="10" borderId="21" applyNumberFormat="0" applyAlignment="0" applyProtection="0"/>
    <xf numFmtId="0" fontId="110" fillId="10" borderId="21" applyNumberFormat="0" applyAlignment="0" applyProtection="0"/>
    <xf numFmtId="0" fontId="110" fillId="10" borderId="21" applyNumberFormat="0" applyAlignment="0" applyProtection="0"/>
    <xf numFmtId="0" fontId="110" fillId="10" borderId="21" applyNumberFormat="0" applyAlignment="0" applyProtection="0"/>
    <xf numFmtId="0" fontId="110" fillId="10" borderId="21" applyNumberFormat="0" applyAlignment="0" applyProtection="0"/>
    <xf numFmtId="0" fontId="110" fillId="10" borderId="21" applyNumberFormat="0" applyAlignment="0" applyProtection="0"/>
    <xf numFmtId="0" fontId="110" fillId="10" borderId="21" applyNumberFormat="0" applyAlignment="0" applyProtection="0"/>
    <xf numFmtId="0" fontId="110" fillId="10" borderId="21" applyNumberFormat="0" applyAlignment="0" applyProtection="0"/>
    <xf numFmtId="0" fontId="110" fillId="10" borderId="21" applyNumberFormat="0" applyAlignment="0" applyProtection="0"/>
    <xf numFmtId="0" fontId="110" fillId="10" borderId="21" applyNumberFormat="0" applyAlignment="0" applyProtection="0"/>
    <xf numFmtId="0" fontId="110" fillId="10" borderId="21" applyNumberFormat="0" applyAlignment="0" applyProtection="0"/>
    <xf numFmtId="0" fontId="110" fillId="10" borderId="21" applyNumberFormat="0" applyAlignment="0" applyProtection="0"/>
    <xf numFmtId="0" fontId="110" fillId="10" borderId="21" applyNumberFormat="0" applyAlignment="0" applyProtection="0"/>
    <xf numFmtId="0" fontId="110" fillId="10" borderId="21" applyNumberFormat="0" applyAlignment="0" applyProtection="0"/>
    <xf numFmtId="43" fontId="98" fillId="0" borderId="0" applyFont="0" applyFill="0" applyBorder="0" applyAlignment="0" applyProtection="0"/>
    <xf numFmtId="3" fontId="111" fillId="0" borderId="10">
      <alignment horizontal="left" vertical="top" wrapText="1"/>
    </xf>
    <xf numFmtId="0" fontId="112" fillId="0" borderId="26" applyNumberFormat="0" applyFill="0" applyAlignment="0" applyProtection="0"/>
    <xf numFmtId="0" fontId="113" fillId="0" borderId="27" applyNumberFormat="0" applyFill="0" applyAlignment="0" applyProtection="0"/>
    <xf numFmtId="0" fontId="114" fillId="0" borderId="28" applyNumberFormat="0" applyFill="0" applyAlignment="0" applyProtection="0"/>
    <xf numFmtId="0" fontId="114" fillId="0" borderId="0" applyNumberFormat="0" applyFill="0" applyBorder="0" applyAlignment="0" applyProtection="0"/>
    <xf numFmtId="272" fontId="17" fillId="0" borderId="0" applyFill="0" applyBorder="0" applyProtection="0"/>
    <xf numFmtId="272" fontId="17" fillId="0" borderId="29" applyFill="0" applyProtection="0"/>
    <xf numFmtId="272" fontId="17" fillId="0" borderId="23" applyFill="0" applyProtection="0"/>
    <xf numFmtId="273" fontId="2" fillId="0" borderId="30">
      <alignment vertical="center"/>
    </xf>
    <xf numFmtId="273" fontId="2" fillId="0" borderId="30">
      <alignment vertical="center"/>
    </xf>
    <xf numFmtId="273" fontId="2" fillId="0" borderId="30">
      <alignment vertical="center"/>
    </xf>
    <xf numFmtId="273" fontId="2" fillId="0" borderId="30">
      <alignment vertical="center"/>
    </xf>
    <xf numFmtId="273" fontId="2" fillId="0" borderId="30">
      <alignment vertical="center"/>
    </xf>
    <xf numFmtId="273" fontId="2" fillId="0" borderId="30">
      <alignment vertical="center"/>
    </xf>
    <xf numFmtId="273" fontId="2" fillId="0" borderId="30">
      <alignment vertical="center"/>
    </xf>
    <xf numFmtId="273" fontId="2" fillId="0" borderId="30">
      <alignment vertical="center"/>
    </xf>
    <xf numFmtId="273" fontId="2" fillId="0" borderId="30">
      <alignment vertical="center"/>
    </xf>
    <xf numFmtId="273" fontId="2" fillId="0" borderId="30">
      <alignment vertical="center"/>
    </xf>
    <xf numFmtId="273" fontId="2" fillId="0" borderId="30">
      <alignment vertical="center"/>
    </xf>
    <xf numFmtId="273" fontId="2" fillId="0" borderId="30">
      <alignment vertical="center"/>
    </xf>
    <xf numFmtId="273" fontId="2" fillId="0" borderId="30">
      <alignment vertical="center"/>
    </xf>
    <xf numFmtId="273" fontId="2" fillId="0" borderId="30">
      <alignment vertical="center"/>
    </xf>
    <xf numFmtId="273" fontId="2" fillId="0" borderId="30">
      <alignment vertical="center"/>
    </xf>
    <xf numFmtId="0" fontId="2" fillId="0" borderId="0" applyFont="0" applyFill="0" applyBorder="0" applyAlignment="0" applyProtection="0"/>
    <xf numFmtId="0" fontId="2" fillId="0" borderId="0" applyFont="0" applyFill="0" applyBorder="0" applyAlignment="0" applyProtection="0"/>
    <xf numFmtId="274" fontId="28" fillId="0" borderId="0"/>
    <xf numFmtId="275" fontId="33" fillId="0" borderId="31"/>
    <xf numFmtId="275" fontId="33" fillId="0" borderId="31"/>
    <xf numFmtId="242" fontId="2" fillId="0" borderId="0"/>
    <xf numFmtId="242" fontId="2" fillId="0" borderId="0"/>
    <xf numFmtId="242" fontId="2" fillId="0" borderId="0"/>
    <xf numFmtId="242" fontId="2" fillId="0" borderId="0"/>
    <xf numFmtId="242" fontId="2" fillId="0" borderId="0"/>
    <xf numFmtId="242" fontId="2" fillId="0" borderId="0"/>
    <xf numFmtId="242" fontId="2" fillId="0" borderId="0"/>
    <xf numFmtId="242" fontId="2" fillId="0" borderId="0"/>
    <xf numFmtId="242" fontId="2" fillId="0" borderId="0"/>
    <xf numFmtId="242" fontId="2" fillId="0" borderId="0" applyProtection="0"/>
    <xf numFmtId="242" fontId="2" fillId="0" borderId="0"/>
    <xf numFmtId="242" fontId="2" fillId="0" borderId="0"/>
    <xf numFmtId="242" fontId="2" fillId="0" borderId="0"/>
    <xf numFmtId="242" fontId="2" fillId="0" borderId="0"/>
    <xf numFmtId="242" fontId="2" fillId="0" borderId="0"/>
    <xf numFmtId="242" fontId="2" fillId="0" borderId="0"/>
    <xf numFmtId="242" fontId="2" fillId="0" borderId="0"/>
    <xf numFmtId="276" fontId="33" fillId="0" borderId="0"/>
    <xf numFmtId="173" fontId="115" fillId="0" borderId="0" applyFont="0" applyFill="0" applyBorder="0" applyAlignment="0" applyProtection="0"/>
    <xf numFmtId="174" fontId="115" fillId="0" borderId="0" applyFont="0" applyFill="0" applyBorder="0" applyAlignment="0" applyProtection="0"/>
    <xf numFmtId="173" fontId="115" fillId="0" borderId="0" applyFont="0" applyFill="0" applyBorder="0" applyAlignment="0" applyProtection="0"/>
    <xf numFmtId="41"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277" fontId="67" fillId="0" borderId="0" applyFont="0" applyFill="0" applyBorder="0" applyAlignment="0" applyProtection="0"/>
    <xf numFmtId="277" fontId="67"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277" fontId="67" fillId="0" borderId="0" applyFont="0" applyFill="0" applyBorder="0" applyAlignment="0" applyProtection="0"/>
    <xf numFmtId="277" fontId="67" fillId="0" borderId="0" applyFont="0" applyFill="0" applyBorder="0" applyAlignment="0" applyProtection="0"/>
    <xf numFmtId="173" fontId="115" fillId="0" borderId="0" applyFont="0" applyFill="0" applyBorder="0" applyAlignment="0" applyProtection="0"/>
    <xf numFmtId="173" fontId="115" fillId="0" borderId="0" applyFont="0" applyFill="0" applyBorder="0" applyAlignment="0" applyProtection="0"/>
    <xf numFmtId="277" fontId="67" fillId="0" borderId="0" applyFont="0" applyFill="0" applyBorder="0" applyAlignment="0" applyProtection="0"/>
    <xf numFmtId="277" fontId="67" fillId="0" borderId="0" applyFont="0" applyFill="0" applyBorder="0" applyAlignment="0" applyProtection="0"/>
    <xf numFmtId="278" fontId="28" fillId="0" borderId="0" applyFont="0" applyFill="0" applyBorder="0" applyAlignment="0" applyProtection="0"/>
    <xf numFmtId="278" fontId="28" fillId="0" borderId="0" applyFont="0" applyFill="0" applyBorder="0" applyAlignment="0" applyProtection="0"/>
    <xf numFmtId="279" fontId="28" fillId="0" borderId="0" applyFont="0" applyFill="0" applyBorder="0" applyAlignment="0" applyProtection="0"/>
    <xf numFmtId="279" fontId="28"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164" fontId="115" fillId="0" borderId="0" applyFont="0" applyFill="0" applyBorder="0" applyAlignment="0" applyProtection="0"/>
    <xf numFmtId="41" fontId="115" fillId="0" borderId="0" applyFont="0" applyFill="0" applyBorder="0" applyAlignment="0" applyProtection="0"/>
    <xf numFmtId="164" fontId="115" fillId="0" borderId="0" applyFont="0" applyFill="0" applyBorder="0" applyAlignment="0" applyProtection="0"/>
    <xf numFmtId="164" fontId="115" fillId="0" borderId="0" applyFont="0" applyFill="0" applyBorder="0" applyAlignment="0" applyProtection="0"/>
    <xf numFmtId="164" fontId="115" fillId="0" borderId="0" applyFont="0" applyFill="0" applyBorder="0" applyAlignment="0" applyProtection="0"/>
    <xf numFmtId="164" fontId="115" fillId="0" borderId="0" applyFont="0" applyFill="0" applyBorder="0" applyAlignment="0" applyProtection="0"/>
    <xf numFmtId="41" fontId="115" fillId="0" borderId="0" applyFont="0" applyFill="0" applyBorder="0" applyAlignment="0" applyProtection="0"/>
    <xf numFmtId="173" fontId="115" fillId="0" borderId="0" applyFont="0" applyFill="0" applyBorder="0" applyAlignment="0" applyProtection="0"/>
    <xf numFmtId="41" fontId="115" fillId="0" borderId="0" applyFont="0" applyFill="0" applyBorder="0" applyAlignment="0" applyProtection="0"/>
    <xf numFmtId="173"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164" fontId="115" fillId="0" borderId="0" applyFont="0" applyFill="0" applyBorder="0" applyAlignment="0" applyProtection="0"/>
    <xf numFmtId="164" fontId="115" fillId="0" borderId="0" applyFont="0" applyFill="0" applyBorder="0" applyAlignment="0" applyProtection="0"/>
    <xf numFmtId="41" fontId="115" fillId="0" borderId="0" applyFont="0" applyFill="0" applyBorder="0" applyAlignment="0" applyProtection="0"/>
    <xf numFmtId="174" fontId="115" fillId="0" borderId="0" applyFont="0" applyFill="0" applyBorder="0" applyAlignment="0" applyProtection="0"/>
    <xf numFmtId="43"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280" fontId="67" fillId="0" borderId="0" applyFont="0" applyFill="0" applyBorder="0" applyAlignment="0" applyProtection="0"/>
    <xf numFmtId="280" fontId="67"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280" fontId="67" fillId="0" borderId="0" applyFont="0" applyFill="0" applyBorder="0" applyAlignment="0" applyProtection="0"/>
    <xf numFmtId="280" fontId="67" fillId="0" borderId="0" applyFont="0" applyFill="0" applyBorder="0" applyAlignment="0" applyProtection="0"/>
    <xf numFmtId="174" fontId="115" fillId="0" borderId="0" applyFont="0" applyFill="0" applyBorder="0" applyAlignment="0" applyProtection="0"/>
    <xf numFmtId="174" fontId="115" fillId="0" borderId="0" applyFont="0" applyFill="0" applyBorder="0" applyAlignment="0" applyProtection="0"/>
    <xf numFmtId="280" fontId="67" fillId="0" borderId="0" applyFont="0" applyFill="0" applyBorder="0" applyAlignment="0" applyProtection="0"/>
    <xf numFmtId="280" fontId="67" fillId="0" borderId="0" applyFont="0" applyFill="0" applyBorder="0" applyAlignment="0" applyProtection="0"/>
    <xf numFmtId="245" fontId="28" fillId="0" borderId="0" applyFont="0" applyFill="0" applyBorder="0" applyAlignment="0" applyProtection="0"/>
    <xf numFmtId="245" fontId="28" fillId="0" borderId="0" applyFont="0" applyFill="0" applyBorder="0" applyAlignment="0" applyProtection="0"/>
    <xf numFmtId="281" fontId="28" fillId="0" borderId="0" applyFont="0" applyFill="0" applyBorder="0" applyAlignment="0" applyProtection="0"/>
    <xf numFmtId="281" fontId="28"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65" fontId="115" fillId="0" borderId="0" applyFont="0" applyFill="0" applyBorder="0" applyAlignment="0" applyProtection="0"/>
    <xf numFmtId="43" fontId="115" fillId="0" borderId="0" applyFont="0" applyFill="0" applyBorder="0" applyAlignment="0" applyProtection="0"/>
    <xf numFmtId="165" fontId="115" fillId="0" borderId="0" applyFont="0" applyFill="0" applyBorder="0" applyAlignment="0" applyProtection="0"/>
    <xf numFmtId="165" fontId="115" fillId="0" borderId="0" applyFont="0" applyFill="0" applyBorder="0" applyAlignment="0" applyProtection="0"/>
    <xf numFmtId="165" fontId="115" fillId="0" borderId="0" applyFont="0" applyFill="0" applyBorder="0" applyAlignment="0" applyProtection="0"/>
    <xf numFmtId="165" fontId="115" fillId="0" borderId="0" applyFont="0" applyFill="0" applyBorder="0" applyAlignment="0" applyProtection="0"/>
    <xf numFmtId="43" fontId="115" fillId="0" borderId="0" applyFont="0" applyFill="0" applyBorder="0" applyAlignment="0" applyProtection="0"/>
    <xf numFmtId="174" fontId="115" fillId="0" borderId="0" applyFont="0" applyFill="0" applyBorder="0" applyAlignment="0" applyProtection="0"/>
    <xf numFmtId="43" fontId="115" fillId="0" borderId="0" applyFont="0" applyFill="0" applyBorder="0" applyAlignment="0" applyProtection="0"/>
    <xf numFmtId="174"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65" fontId="115" fillId="0" borderId="0" applyFont="0" applyFill="0" applyBorder="0" applyAlignment="0" applyProtection="0"/>
    <xf numFmtId="165" fontId="115" fillId="0" borderId="0" applyFont="0" applyFill="0" applyBorder="0" applyAlignment="0" applyProtection="0"/>
    <xf numFmtId="43" fontId="115" fillId="0" borderId="0" applyFont="0" applyFill="0" applyBorder="0" applyAlignment="0" applyProtection="0"/>
    <xf numFmtId="3" fontId="28" fillId="0" borderId="0" applyFont="0" applyBorder="0" applyAlignment="0"/>
    <xf numFmtId="0" fontId="67"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13" fontId="88"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21" fontId="88"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3" fontId="88"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13" fontId="88"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0" fontId="117" fillId="0" borderId="0" applyNumberFormat="0" applyAlignment="0">
      <alignment horizontal="left"/>
    </xf>
    <xf numFmtId="282" fontId="28"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0" fontId="118" fillId="0" borderId="0"/>
    <xf numFmtId="0" fontId="119" fillId="0" borderId="0" applyNumberFormat="0" applyFill="0" applyBorder="0" applyAlignment="0" applyProtection="0"/>
    <xf numFmtId="3" fontId="28" fillId="0" borderId="0" applyFont="0" applyBorder="0" applyAlignment="0"/>
    <xf numFmtId="0" fontId="2" fillId="0" borderId="0"/>
    <xf numFmtId="0" fontId="2" fillId="0" borderId="0"/>
    <xf numFmtId="0" fontId="2" fillId="0" borderId="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32" fillId="0" borderId="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20" fillId="0" borderId="0" applyNumberFormat="0" applyFill="0" applyBorder="0" applyAlignment="0" applyProtection="0"/>
    <xf numFmtId="0" fontId="121" fillId="0" borderId="0" applyNumberFormat="0" applyFill="0" applyBorder="0" applyProtection="0">
      <alignment vertical="center"/>
    </xf>
    <xf numFmtId="0" fontId="122" fillId="0" borderId="0" applyNumberFormat="0" applyFill="0" applyBorder="0" applyAlignment="0" applyProtection="0"/>
    <xf numFmtId="0" fontId="123" fillId="0" borderId="0" applyNumberFormat="0" applyFill="0" applyBorder="0" applyProtection="0">
      <alignment vertical="center"/>
    </xf>
    <xf numFmtId="0" fontId="124" fillId="0" borderId="0" applyNumberFormat="0" applyFill="0" applyBorder="0" applyAlignment="0" applyProtection="0"/>
    <xf numFmtId="0" fontId="125" fillId="0" borderId="0" applyNumberFormat="0" applyFill="0" applyBorder="0" applyAlignment="0" applyProtection="0"/>
    <xf numFmtId="284" fontId="126" fillId="0" borderId="32" applyNumberFormat="0" applyFill="0" applyBorder="0" applyAlignment="0" applyProtection="0"/>
    <xf numFmtId="0" fontId="127" fillId="0" borderId="0" applyNumberFormat="0" applyFill="0" applyBorder="0" applyAlignment="0" applyProtection="0"/>
    <xf numFmtId="0" fontId="67" fillId="25" borderId="33" applyNumberFormat="0" applyFont="0" applyAlignment="0" applyProtection="0"/>
    <xf numFmtId="0" fontId="67" fillId="25" borderId="33" applyNumberFormat="0" applyFont="0" applyAlignment="0" applyProtection="0"/>
    <xf numFmtId="0" fontId="67" fillId="25" borderId="33" applyNumberFormat="0" applyFont="0" applyAlignment="0" applyProtection="0"/>
    <xf numFmtId="0" fontId="67" fillId="25" borderId="33" applyNumberFormat="0" applyFont="0" applyAlignment="0" applyProtection="0"/>
    <xf numFmtId="0" fontId="67" fillId="25" borderId="33" applyNumberFormat="0" applyFont="0" applyAlignment="0" applyProtection="0"/>
    <xf numFmtId="0" fontId="67" fillId="25" borderId="33" applyNumberFormat="0" applyFont="0" applyAlignment="0" applyProtection="0"/>
    <xf numFmtId="0" fontId="67" fillId="25" borderId="33" applyNumberFormat="0" applyFont="0" applyAlignment="0" applyProtection="0"/>
    <xf numFmtId="0" fontId="67" fillId="25" borderId="33" applyNumberFormat="0" applyFont="0" applyAlignment="0" applyProtection="0"/>
    <xf numFmtId="0" fontId="67" fillId="25" borderId="33" applyNumberFormat="0" applyFont="0" applyAlignment="0" applyProtection="0"/>
    <xf numFmtId="0" fontId="67" fillId="25" borderId="33" applyNumberFormat="0" applyFont="0" applyAlignment="0" applyProtection="0"/>
    <xf numFmtId="0" fontId="67" fillId="25" borderId="33" applyNumberFormat="0" applyFont="0" applyAlignment="0" applyProtection="0"/>
    <xf numFmtId="0" fontId="67" fillId="25" borderId="33" applyNumberFormat="0" applyFont="0" applyAlignment="0" applyProtection="0"/>
    <xf numFmtId="0" fontId="67" fillId="25" borderId="33" applyNumberFormat="0" applyFont="0" applyAlignment="0" applyProtection="0"/>
    <xf numFmtId="0" fontId="67" fillId="25" borderId="33" applyNumberFormat="0" applyFont="0" applyAlignment="0" applyProtection="0"/>
    <xf numFmtId="0" fontId="67" fillId="25" borderId="33" applyNumberFormat="0" applyFont="0" applyAlignment="0" applyProtection="0"/>
    <xf numFmtId="0" fontId="67" fillId="25" borderId="33" applyNumberFormat="0" applyFont="0" applyAlignment="0" applyProtection="0"/>
    <xf numFmtId="0" fontId="67" fillId="25" borderId="33" applyNumberFormat="0" applyFont="0" applyAlignment="0" applyProtection="0"/>
    <xf numFmtId="0" fontId="67" fillId="25" borderId="33" applyNumberFormat="0" applyFont="0" applyAlignment="0" applyProtection="0"/>
    <xf numFmtId="0" fontId="67" fillId="25" borderId="33" applyNumberFormat="0" applyFont="0" applyAlignment="0" applyProtection="0"/>
    <xf numFmtId="0" fontId="67" fillId="25" borderId="33" applyNumberFormat="0" applyFont="0" applyAlignment="0" applyProtection="0"/>
    <xf numFmtId="0" fontId="128" fillId="0" borderId="0">
      <alignment vertical="top" wrapText="1"/>
    </xf>
    <xf numFmtId="0" fontId="129" fillId="7" borderId="0" applyNumberFormat="0" applyBorder="0" applyAlignment="0" applyProtection="0"/>
    <xf numFmtId="38" fontId="130" fillId="3" borderId="0" applyNumberFormat="0" applyBorder="0" applyAlignment="0" applyProtection="0"/>
    <xf numFmtId="38" fontId="130" fillId="26" borderId="0" applyNumberFormat="0" applyBorder="0" applyAlignment="0" applyProtection="0"/>
    <xf numFmtId="38" fontId="130" fillId="26" borderId="0" applyNumberFormat="0" applyBorder="0" applyAlignment="0" applyProtection="0"/>
    <xf numFmtId="38" fontId="130" fillId="26" borderId="0" applyNumberFormat="0" applyBorder="0" applyAlignment="0" applyProtection="0"/>
    <xf numFmtId="38" fontId="130" fillId="26" borderId="0" applyNumberFormat="0" applyBorder="0" applyAlignment="0" applyProtection="0"/>
    <xf numFmtId="38" fontId="130" fillId="26" borderId="0" applyNumberFormat="0" applyBorder="0" applyAlignment="0" applyProtection="0"/>
    <xf numFmtId="38" fontId="130" fillId="26" borderId="0" applyNumberFormat="0" applyBorder="0" applyAlignment="0" applyProtection="0"/>
    <xf numFmtId="38" fontId="130" fillId="3" borderId="0" applyNumberFormat="0" applyBorder="0" applyAlignment="0" applyProtection="0"/>
    <xf numFmtId="38" fontId="130" fillId="26" borderId="0" applyNumberFormat="0" applyBorder="0" applyAlignment="0" applyProtection="0"/>
    <xf numFmtId="38" fontId="130" fillId="26" borderId="0" applyNumberFormat="0" applyBorder="0" applyAlignment="0" applyProtection="0"/>
    <xf numFmtId="38" fontId="130" fillId="26" borderId="0" applyNumberFormat="0" applyBorder="0" applyAlignment="0" applyProtection="0"/>
    <xf numFmtId="38" fontId="130" fillId="26" borderId="0" applyNumberFormat="0" applyBorder="0" applyAlignment="0" applyProtection="0"/>
    <xf numFmtId="38" fontId="130" fillId="26" borderId="0" applyNumberFormat="0" applyBorder="0" applyAlignment="0" applyProtection="0"/>
    <xf numFmtId="38" fontId="130" fillId="26" borderId="0" applyNumberFormat="0" applyBorder="0" applyAlignment="0" applyProtection="0"/>
    <xf numFmtId="38" fontId="130" fillId="26" borderId="0" applyNumberFormat="0" applyBorder="0" applyAlignment="0" applyProtection="0"/>
    <xf numFmtId="38" fontId="130" fillId="26" borderId="0" applyNumberFormat="0" applyBorder="0" applyAlignment="0" applyProtection="0"/>
    <xf numFmtId="38" fontId="130" fillId="26" borderId="0" applyNumberFormat="0" applyBorder="0" applyAlignment="0" applyProtection="0"/>
    <xf numFmtId="285" fontId="19" fillId="3" borderId="0" applyBorder="0" applyProtection="0"/>
    <xf numFmtId="0" fontId="131" fillId="0" borderId="15" applyNumberFormat="0" applyFill="0" applyBorder="0" applyAlignment="0" applyProtection="0">
      <alignment horizontal="center" vertical="center"/>
    </xf>
    <xf numFmtId="0" fontId="132" fillId="0" borderId="0" applyNumberFormat="0" applyFont="0" applyBorder="0" applyAlignment="0">
      <alignment horizontal="left" vertical="center"/>
    </xf>
    <xf numFmtId="286" fontId="82" fillId="0" borderId="0" applyFont="0" applyFill="0" applyBorder="0" applyAlignment="0" applyProtection="0"/>
    <xf numFmtId="0" fontId="133" fillId="27" borderId="0"/>
    <xf numFmtId="0" fontId="134" fillId="0" borderId="0">
      <alignment horizontal="left"/>
    </xf>
    <xf numFmtId="0" fontId="134" fillId="0" borderId="0">
      <alignment horizontal="left"/>
    </xf>
    <xf numFmtId="0" fontId="44" fillId="0" borderId="34" applyNumberFormat="0" applyAlignment="0" applyProtection="0">
      <alignment horizontal="left" vertical="center"/>
    </xf>
    <xf numFmtId="0" fontId="44" fillId="0" borderId="34" applyNumberFormat="0" applyAlignment="0" applyProtection="0">
      <alignment horizontal="left" vertical="center"/>
    </xf>
    <xf numFmtId="0" fontId="44" fillId="0" borderId="35">
      <alignment horizontal="left" vertical="center"/>
    </xf>
    <xf numFmtId="0" fontId="44" fillId="0" borderId="35">
      <alignment horizontal="left" vertical="center"/>
    </xf>
    <xf numFmtId="0" fontId="44" fillId="0" borderId="35">
      <alignment horizontal="left" vertical="center"/>
    </xf>
    <xf numFmtId="0" fontId="44" fillId="0" borderId="35">
      <alignment horizontal="left" vertical="center"/>
    </xf>
    <xf numFmtId="0" fontId="44" fillId="0" borderId="35">
      <alignment horizontal="left" vertical="center"/>
    </xf>
    <xf numFmtId="0" fontId="44" fillId="0" borderId="35">
      <alignment horizontal="left" vertical="center"/>
    </xf>
    <xf numFmtId="0" fontId="44" fillId="0" borderId="35">
      <alignment horizontal="left" vertical="center"/>
    </xf>
    <xf numFmtId="0" fontId="44" fillId="0" borderId="35">
      <alignment horizontal="left" vertical="center"/>
    </xf>
    <xf numFmtId="0" fontId="44" fillId="0" borderId="35">
      <alignment horizontal="left" vertical="center"/>
    </xf>
    <xf numFmtId="0" fontId="44" fillId="0" borderId="35">
      <alignment horizontal="left" vertical="center"/>
    </xf>
    <xf numFmtId="0" fontId="44" fillId="0" borderId="35">
      <alignment horizontal="left" vertical="center"/>
    </xf>
    <xf numFmtId="0" fontId="44" fillId="0" borderId="35">
      <alignment horizontal="left" vertical="center"/>
    </xf>
    <xf numFmtId="0" fontId="44" fillId="0" borderId="35">
      <alignment horizontal="left" vertical="center"/>
    </xf>
    <xf numFmtId="0" fontId="44" fillId="0" borderId="35">
      <alignment horizontal="left" vertical="center"/>
    </xf>
    <xf numFmtId="0" fontId="44" fillId="0" borderId="35">
      <alignment horizontal="left" vertical="center"/>
    </xf>
    <xf numFmtId="14" fontId="135" fillId="28" borderId="36">
      <alignment horizontal="center" vertical="center" wrapText="1"/>
    </xf>
    <xf numFmtId="0" fontId="112" fillId="0" borderId="26" applyNumberFormat="0" applyFill="0" applyAlignment="0" applyProtection="0"/>
    <xf numFmtId="0" fontId="113" fillId="0" borderId="27" applyNumberFormat="0" applyFill="0" applyAlignment="0" applyProtection="0"/>
    <xf numFmtId="0" fontId="114" fillId="0" borderId="28" applyNumberFormat="0" applyFill="0" applyAlignment="0" applyProtection="0"/>
    <xf numFmtId="0" fontId="114" fillId="0" borderId="0" applyNumberFormat="0" applyFill="0" applyBorder="0" applyAlignment="0" applyProtection="0"/>
    <xf numFmtId="0" fontId="91" fillId="0" borderId="0" applyFill="0" applyAlignment="0" applyProtection="0">
      <protection locked="0"/>
    </xf>
    <xf numFmtId="0" fontId="91" fillId="0" borderId="1" applyFill="0" applyAlignment="0" applyProtection="0">
      <protection locked="0"/>
    </xf>
    <xf numFmtId="0" fontId="136" fillId="0" borderId="0" applyProtection="0"/>
    <xf numFmtId="0" fontId="44" fillId="0" borderId="0" applyProtection="0"/>
    <xf numFmtId="0" fontId="137" fillId="0" borderId="36">
      <alignment horizontal="center"/>
    </xf>
    <xf numFmtId="0" fontId="137" fillId="0" borderId="0">
      <alignment horizontal="center"/>
    </xf>
    <xf numFmtId="5" fontId="138" fillId="29" borderId="31" applyNumberFormat="0" applyAlignment="0">
      <alignment horizontal="left" vertical="top"/>
    </xf>
    <xf numFmtId="5" fontId="138" fillId="29" borderId="31" applyNumberFormat="0" applyAlignment="0">
      <alignment horizontal="left" vertical="top"/>
    </xf>
    <xf numFmtId="287" fontId="138" fillId="29" borderId="31" applyNumberFormat="0" applyAlignment="0">
      <alignment horizontal="left" vertical="top"/>
    </xf>
    <xf numFmtId="49" fontId="139" fillId="0" borderId="31">
      <alignment vertical="center"/>
    </xf>
    <xf numFmtId="49" fontId="139" fillId="0" borderId="31">
      <alignment vertical="center"/>
    </xf>
    <xf numFmtId="0" fontId="17" fillId="0" borderId="0"/>
    <xf numFmtId="173" fontId="28" fillId="0" borderId="0" applyFont="0" applyFill="0" applyBorder="0" applyAlignment="0" applyProtection="0"/>
    <xf numFmtId="38" fontId="49" fillId="0" borderId="0" applyFont="0" applyFill="0" applyBorder="0" applyAlignment="0" applyProtection="0"/>
    <xf numFmtId="41" fontId="45" fillId="0" borderId="0" applyFont="0" applyFill="0" applyBorder="0" applyAlignment="0" applyProtection="0"/>
    <xf numFmtId="202" fontId="45" fillId="0" borderId="0" applyFont="0" applyFill="0" applyBorder="0" applyAlignment="0" applyProtection="0"/>
    <xf numFmtId="288" fontId="140" fillId="0" borderId="0" applyFont="0" applyFill="0" applyBorder="0" applyAlignment="0" applyProtection="0"/>
    <xf numFmtId="10" fontId="130" fillId="30" borderId="31" applyNumberFormat="0" applyBorder="0" applyAlignment="0" applyProtection="0"/>
    <xf numFmtId="10" fontId="130" fillId="30" borderId="31" applyNumberFormat="0" applyBorder="0" applyAlignment="0" applyProtection="0"/>
    <xf numFmtId="10" fontId="130" fillId="30" borderId="31" applyNumberFormat="0" applyBorder="0" applyAlignment="0" applyProtection="0"/>
    <xf numFmtId="10" fontId="130" fillId="30" borderId="31" applyNumberFormat="0" applyBorder="0" applyAlignment="0" applyProtection="0"/>
    <xf numFmtId="10" fontId="130" fillId="30" borderId="31" applyNumberFormat="0" applyBorder="0" applyAlignment="0" applyProtection="0"/>
    <xf numFmtId="10" fontId="130" fillId="30" borderId="31" applyNumberFormat="0" applyBorder="0" applyAlignment="0" applyProtection="0"/>
    <xf numFmtId="10" fontId="130" fillId="30" borderId="31" applyNumberFormat="0" applyBorder="0" applyAlignment="0" applyProtection="0"/>
    <xf numFmtId="10" fontId="130" fillId="30" borderId="31" applyNumberFormat="0" applyBorder="0" applyAlignment="0" applyProtection="0"/>
    <xf numFmtId="10" fontId="130" fillId="30" borderId="31" applyNumberFormat="0" applyBorder="0" applyAlignment="0" applyProtection="0"/>
    <xf numFmtId="10" fontId="130" fillId="26" borderId="31" applyNumberFormat="0" applyBorder="0" applyAlignment="0" applyProtection="0"/>
    <xf numFmtId="10" fontId="130" fillId="30" borderId="31" applyNumberFormat="0" applyBorder="0" applyAlignment="0" applyProtection="0"/>
    <xf numFmtId="10" fontId="130" fillId="30" borderId="31" applyNumberFormat="0" applyBorder="0" applyAlignment="0" applyProtection="0"/>
    <xf numFmtId="10" fontId="130" fillId="30" borderId="31" applyNumberFormat="0" applyBorder="0" applyAlignment="0" applyProtection="0"/>
    <xf numFmtId="10" fontId="130" fillId="30" borderId="31" applyNumberFormat="0" applyBorder="0" applyAlignment="0" applyProtection="0"/>
    <xf numFmtId="10" fontId="130" fillId="30" borderId="31" applyNumberFormat="0" applyBorder="0" applyAlignment="0" applyProtection="0"/>
    <xf numFmtId="10" fontId="130" fillId="30" borderId="31" applyNumberFormat="0" applyBorder="0" applyAlignment="0" applyProtection="0"/>
    <xf numFmtId="10" fontId="130" fillId="30" borderId="31" applyNumberFormat="0" applyBorder="0" applyAlignment="0" applyProtection="0"/>
    <xf numFmtId="10" fontId="130" fillId="26" borderId="31" applyNumberFormat="0" applyBorder="0" applyAlignment="0" applyProtection="0"/>
    <xf numFmtId="0" fontId="141" fillId="10" borderId="37" applyNumberFormat="0" applyAlignment="0" applyProtection="0"/>
    <xf numFmtId="0" fontId="141" fillId="10" borderId="37" applyNumberFormat="0" applyAlignment="0" applyProtection="0"/>
    <xf numFmtId="0" fontId="141" fillId="10" borderId="37" applyNumberFormat="0" applyAlignment="0" applyProtection="0"/>
    <xf numFmtId="0" fontId="141" fillId="10" borderId="37" applyNumberFormat="0" applyAlignment="0" applyProtection="0"/>
    <xf numFmtId="0" fontId="141" fillId="10" borderId="37" applyNumberFormat="0" applyAlignment="0" applyProtection="0"/>
    <xf numFmtId="0" fontId="141" fillId="10" borderId="37" applyNumberFormat="0" applyAlignment="0" applyProtection="0"/>
    <xf numFmtId="0" fontId="141" fillId="10" borderId="37" applyNumberFormat="0" applyAlignment="0" applyProtection="0"/>
    <xf numFmtId="0" fontId="141" fillId="10" borderId="37" applyNumberFormat="0" applyAlignment="0" applyProtection="0"/>
    <xf numFmtId="0" fontId="141" fillId="10" borderId="37" applyNumberFormat="0" applyAlignment="0" applyProtection="0"/>
    <xf numFmtId="0" fontId="141" fillId="10" borderId="37" applyNumberFormat="0" applyAlignment="0" applyProtection="0"/>
    <xf numFmtId="0" fontId="141" fillId="10" borderId="37" applyNumberFormat="0" applyAlignment="0" applyProtection="0"/>
    <xf numFmtId="0" fontId="141" fillId="10" borderId="37" applyNumberFormat="0" applyAlignment="0" applyProtection="0"/>
    <xf numFmtId="0" fontId="141" fillId="10" borderId="37" applyNumberFormat="0" applyAlignment="0" applyProtection="0"/>
    <xf numFmtId="0" fontId="141" fillId="10" borderId="37" applyNumberFormat="0" applyAlignment="0" applyProtection="0"/>
    <xf numFmtId="0" fontId="141" fillId="10" borderId="37" applyNumberFormat="0" applyAlignment="0" applyProtection="0"/>
    <xf numFmtId="0" fontId="141" fillId="10" borderId="37" applyNumberFormat="0" applyAlignment="0" applyProtection="0"/>
    <xf numFmtId="0" fontId="141" fillId="10" borderId="37" applyNumberFormat="0" applyAlignment="0" applyProtection="0"/>
    <xf numFmtId="0" fontId="141" fillId="10" borderId="37" applyNumberFormat="0" applyAlignment="0" applyProtection="0"/>
    <xf numFmtId="0" fontId="141" fillId="10" borderId="37" applyNumberFormat="0" applyAlignment="0" applyProtection="0"/>
    <xf numFmtId="0" fontId="141" fillId="10" borderId="37" applyNumberFormat="0" applyAlignment="0" applyProtection="0"/>
    <xf numFmtId="0" fontId="142" fillId="10" borderId="37" applyNumberFormat="0" applyAlignment="0" applyProtection="0"/>
    <xf numFmtId="0" fontId="142" fillId="10" borderId="37" applyNumberFormat="0" applyAlignment="0" applyProtection="0"/>
    <xf numFmtId="0" fontId="142" fillId="10" borderId="37" applyNumberFormat="0" applyAlignment="0" applyProtection="0"/>
    <xf numFmtId="0" fontId="142" fillId="10" borderId="37" applyNumberFormat="0" applyAlignment="0" applyProtection="0"/>
    <xf numFmtId="0" fontId="142" fillId="10" borderId="37" applyNumberFormat="0" applyAlignment="0" applyProtection="0"/>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173" fontId="28" fillId="0" borderId="0" applyFont="0" applyFill="0" applyBorder="0" applyAlignment="0" applyProtection="0"/>
    <xf numFmtId="0" fontId="28" fillId="0" borderId="0"/>
    <xf numFmtId="0" fontId="76" fillId="0" borderId="38">
      <alignment horizontal="centerContinuous"/>
    </xf>
    <xf numFmtId="0" fontId="146" fillId="24" borderId="22" applyNumberFormat="0" applyAlignment="0" applyProtection="0"/>
    <xf numFmtId="0" fontId="20" fillId="0" borderId="0"/>
    <xf numFmtId="0" fontId="20" fillId="0" borderId="0"/>
    <xf numFmtId="0" fontId="53" fillId="0" borderId="0"/>
    <xf numFmtId="0" fontId="17" fillId="0" borderId="0" applyNumberFormat="0" applyFont="0" applyFill="0" applyBorder="0" applyProtection="0">
      <alignment horizontal="left" vertical="center"/>
    </xf>
    <xf numFmtId="0" fontId="49" fillId="0" borderId="0"/>
    <xf numFmtId="0" fontId="67"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13" fontId="88"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21" fontId="88"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3" fontId="88"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13" fontId="88"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0" fontId="147" fillId="0" borderId="39" applyNumberFormat="0" applyFill="0" applyAlignment="0" applyProtection="0"/>
    <xf numFmtId="3" fontId="148" fillId="0" borderId="10" applyNumberFormat="0" applyAlignment="0">
      <alignment horizontal="center" vertical="center"/>
    </xf>
    <xf numFmtId="3" fontId="61" fillId="0" borderId="10" applyNumberFormat="0" applyAlignment="0">
      <alignment horizontal="center" vertical="center"/>
    </xf>
    <xf numFmtId="3" fontId="138" fillId="0" borderId="10" applyNumberFormat="0" applyAlignment="0">
      <alignment horizontal="center" vertical="center"/>
    </xf>
    <xf numFmtId="271" fontId="149" fillId="0" borderId="14" applyNumberFormat="0" applyFont="0" applyFill="0" applyBorder="0">
      <alignment horizontal="center"/>
    </xf>
    <xf numFmtId="271" fontId="149" fillId="0" borderId="14" applyNumberFormat="0" applyFont="0" applyFill="0" applyBorder="0">
      <alignment horizontal="center"/>
    </xf>
    <xf numFmtId="38" fontId="49" fillId="0" borderId="0" applyFont="0" applyFill="0" applyBorder="0" applyAlignment="0" applyProtection="0"/>
    <xf numFmtId="4" fontId="88" fillId="0" borderId="0" applyFont="0" applyFill="0" applyBorder="0" applyAlignment="0" applyProtection="0"/>
    <xf numFmtId="38" fontId="49" fillId="0" borderId="0" applyFont="0" applyFill="0" applyBorder="0" applyAlignment="0" applyProtection="0"/>
    <xf numFmtId="40" fontId="49" fillId="0" borderId="0" applyFont="0" applyFill="0" applyBorder="0" applyAlignment="0" applyProtection="0"/>
    <xf numFmtId="173" fontId="67" fillId="0" borderId="0" applyFont="0" applyFill="0" applyBorder="0" applyAlignment="0" applyProtection="0"/>
    <xf numFmtId="174" fontId="67" fillId="0" borderId="0" applyFont="0" applyFill="0" applyBorder="0" applyAlignment="0" applyProtection="0"/>
    <xf numFmtId="0" fontId="150" fillId="0" borderId="36"/>
    <xf numFmtId="0" fontId="150" fillId="0" borderId="36"/>
    <xf numFmtId="243" fontId="28" fillId="0" borderId="14"/>
    <xf numFmtId="289" fontId="67" fillId="0" borderId="14"/>
    <xf numFmtId="290" fontId="151" fillId="0" borderId="14"/>
    <xf numFmtId="291" fontId="49" fillId="0" borderId="0" applyFont="0" applyFill="0" applyBorder="0" applyAlignment="0" applyProtection="0"/>
    <xf numFmtId="292" fontId="56" fillId="0" borderId="0" applyFont="0" applyFill="0" applyBorder="0" applyAlignment="0" applyProtection="0"/>
    <xf numFmtId="293" fontId="67" fillId="0" borderId="0" applyFont="0" applyFill="0" applyBorder="0" applyAlignment="0" applyProtection="0"/>
    <xf numFmtId="294" fontId="67" fillId="0" borderId="0" applyFont="0" applyFill="0" applyBorder="0" applyAlignment="0" applyProtection="0"/>
    <xf numFmtId="0" fontId="53" fillId="0" borderId="0" applyNumberFormat="0" applyFont="0" applyFill="0" applyAlignment="0"/>
    <xf numFmtId="0" fontId="152" fillId="31" borderId="0" applyNumberFormat="0" applyBorder="0" applyAlignment="0" applyProtection="0"/>
    <xf numFmtId="0" fontId="82" fillId="0" borderId="31"/>
    <xf numFmtId="0" fontId="17" fillId="0" borderId="0"/>
    <xf numFmtId="0" fontId="33" fillId="0" borderId="16" applyNumberFormat="0" applyAlignment="0">
      <alignment horizontal="center"/>
    </xf>
    <xf numFmtId="0" fontId="72" fillId="19"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16" borderId="0" applyNumberFormat="0" applyBorder="0" applyAlignment="0" applyProtection="0"/>
    <xf numFmtId="0" fontId="72" fillId="17" borderId="0" applyNumberFormat="0" applyBorder="0" applyAlignment="0" applyProtection="0"/>
    <xf numFmtId="0" fontId="72" fillId="22" borderId="0" applyNumberFormat="0" applyBorder="0" applyAlignment="0" applyProtection="0"/>
    <xf numFmtId="37" fontId="153" fillId="0" borderId="0"/>
    <xf numFmtId="37" fontId="154" fillId="0" borderId="0"/>
    <xf numFmtId="37" fontId="154" fillId="0" borderId="0"/>
    <xf numFmtId="0" fontId="155" fillId="0" borderId="31" applyNumberFormat="0" applyFont="0" applyFill="0" applyBorder="0" applyAlignment="0">
      <alignment horizontal="center"/>
    </xf>
    <xf numFmtId="0" fontId="155" fillId="0" borderId="31" applyNumberFormat="0" applyFont="0" applyFill="0" applyBorder="0" applyAlignment="0">
      <alignment horizontal="center"/>
    </xf>
    <xf numFmtId="295" fontId="156" fillId="0" borderId="0"/>
    <xf numFmtId="0" fontId="157" fillId="0" borderId="0"/>
    <xf numFmtId="0" fontId="2" fillId="0" borderId="0"/>
    <xf numFmtId="0" fontId="158" fillId="0" borderId="0"/>
    <xf numFmtId="0" fontId="159" fillId="0" borderId="0"/>
    <xf numFmtId="0" fontId="160" fillId="0" borderId="0"/>
    <xf numFmtId="0" fontId="160" fillId="0" borderId="0"/>
    <xf numFmtId="0" fontId="20" fillId="0" borderId="0"/>
    <xf numFmtId="0" fontId="20" fillId="0" borderId="0"/>
    <xf numFmtId="0" fontId="160" fillId="0" borderId="0"/>
    <xf numFmtId="0" fontId="2" fillId="0" borderId="0"/>
    <xf numFmtId="0" fontId="161" fillId="0" borderId="0"/>
    <xf numFmtId="0" fontId="2" fillId="0" borderId="0"/>
    <xf numFmtId="0" fontId="67" fillId="0" borderId="0"/>
    <xf numFmtId="0" fontId="20" fillId="0" borderId="0"/>
    <xf numFmtId="0" fontId="67" fillId="0" borderId="0"/>
    <xf numFmtId="0" fontId="10" fillId="0" borderId="0"/>
    <xf numFmtId="0" fontId="8" fillId="0" borderId="0">
      <alignment vertical="top"/>
    </xf>
    <xf numFmtId="0" fontId="1" fillId="0" borderId="0"/>
    <xf numFmtId="0" fontId="1" fillId="0" borderId="0"/>
    <xf numFmtId="0" fontId="1" fillId="0" borderId="0"/>
    <xf numFmtId="0" fontId="20" fillId="0" borderId="0"/>
    <xf numFmtId="0" fontId="161" fillId="0" borderId="0"/>
    <xf numFmtId="0" fontId="161" fillId="0" borderId="0"/>
    <xf numFmtId="0" fontId="20" fillId="0" borderId="0"/>
    <xf numFmtId="0" fontId="20" fillId="0" borderId="0">
      <alignment vertical="top"/>
    </xf>
    <xf numFmtId="0" fontId="20" fillId="0" borderId="0">
      <alignment vertical="top"/>
    </xf>
    <xf numFmtId="0" fontId="160" fillId="0" borderId="0">
      <alignment vertical="top"/>
    </xf>
    <xf numFmtId="0" fontId="160" fillId="0" borderId="0">
      <alignment vertical="top"/>
    </xf>
    <xf numFmtId="0" fontId="160" fillId="0" borderId="0"/>
    <xf numFmtId="0" fontId="2" fillId="0" borderId="0">
      <alignment vertical="top"/>
    </xf>
    <xf numFmtId="0" fontId="103" fillId="0" borderId="0"/>
    <xf numFmtId="0" fontId="66" fillId="0" borderId="0"/>
    <xf numFmtId="0" fontId="160" fillId="0" borderId="0"/>
    <xf numFmtId="0" fontId="96" fillId="0" borderId="0"/>
    <xf numFmtId="0" fontId="96" fillId="0" borderId="0"/>
    <xf numFmtId="0" fontId="162" fillId="0" borderId="0"/>
    <xf numFmtId="0" fontId="103" fillId="0" borderId="0"/>
    <xf numFmtId="0" fontId="103" fillId="0" borderId="0"/>
    <xf numFmtId="0" fontId="8" fillId="0" borderId="0"/>
    <xf numFmtId="0" fontId="103" fillId="0" borderId="0"/>
    <xf numFmtId="0" fontId="103" fillId="0" borderId="0"/>
    <xf numFmtId="0" fontId="20" fillId="0" borderId="0"/>
    <xf numFmtId="0" fontId="8" fillId="0" borderId="0"/>
    <xf numFmtId="0" fontId="10" fillId="0" borderId="0"/>
    <xf numFmtId="0" fontId="53" fillId="0" borderId="0"/>
    <xf numFmtId="0" fontId="163" fillId="0" borderId="0"/>
    <xf numFmtId="0" fontId="8" fillId="0" borderId="0"/>
    <xf numFmtId="0" fontId="2" fillId="0" borderId="0"/>
    <xf numFmtId="0" fontId="1" fillId="0" borderId="0"/>
    <xf numFmtId="0" fontId="1" fillId="0" borderId="0"/>
    <xf numFmtId="0" fontId="1" fillId="0" borderId="0"/>
    <xf numFmtId="0" fontId="1" fillId="0" borderId="0"/>
    <xf numFmtId="0" fontId="32" fillId="0" borderId="0" applyProtection="0"/>
    <xf numFmtId="0" fontId="2" fillId="0" borderId="0"/>
    <xf numFmtId="0" fontId="1" fillId="0" borderId="0"/>
    <xf numFmtId="0" fontId="1" fillId="0" borderId="0"/>
    <xf numFmtId="0" fontId="1" fillId="0" borderId="0"/>
    <xf numFmtId="0" fontId="1" fillId="0" borderId="0"/>
    <xf numFmtId="0" fontId="1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66" fillId="0" borderId="0"/>
    <xf numFmtId="0" fontId="32" fillId="0" borderId="0"/>
    <xf numFmtId="0" fontId="2" fillId="0" borderId="0"/>
    <xf numFmtId="0" fontId="2" fillId="0" borderId="0"/>
    <xf numFmtId="0" fontId="20" fillId="0" borderId="0"/>
    <xf numFmtId="0" fontId="2" fillId="0" borderId="0"/>
    <xf numFmtId="0" fontId="2" fillId="0" borderId="0"/>
    <xf numFmtId="0" fontId="8" fillId="0" borderId="0"/>
    <xf numFmtId="0" fontId="28" fillId="0" borderId="0"/>
    <xf numFmtId="0" fontId="28" fillId="0" borderId="0"/>
    <xf numFmtId="0" fontId="28" fillId="0" borderId="0"/>
    <xf numFmtId="0" fontId="28" fillId="0" borderId="0"/>
    <xf numFmtId="0" fontId="28" fillId="0" borderId="0"/>
    <xf numFmtId="0" fontId="20" fillId="0" borderId="0"/>
    <xf numFmtId="0" fontId="10" fillId="0" borderId="0"/>
    <xf numFmtId="0" fontId="20" fillId="0" borderId="0"/>
    <xf numFmtId="0" fontId="10" fillId="0" borderId="0"/>
    <xf numFmtId="0" fontId="20" fillId="0" borderId="0"/>
    <xf numFmtId="0" fontId="10" fillId="0" borderId="0"/>
    <xf numFmtId="0" fontId="33"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10" fillId="0" borderId="0"/>
    <xf numFmtId="0" fontId="10" fillId="0" borderId="0"/>
    <xf numFmtId="0" fontId="20" fillId="0" borderId="0"/>
    <xf numFmtId="0" fontId="165" fillId="0" borderId="0"/>
    <xf numFmtId="0" fontId="165" fillId="0" borderId="0"/>
    <xf numFmtId="0" fontId="165" fillId="0" borderId="0"/>
    <xf numFmtId="0" fontId="161" fillId="0" borderId="0"/>
    <xf numFmtId="0" fontId="32" fillId="0" borderId="0" applyProtection="0"/>
    <xf numFmtId="0" fontId="1" fillId="0" borderId="0"/>
    <xf numFmtId="0" fontId="20" fillId="0" borderId="0"/>
    <xf numFmtId="0" fontId="20" fillId="0" borderId="0"/>
    <xf numFmtId="0" fontId="20" fillId="0" borderId="0"/>
    <xf numFmtId="0" fontId="20" fillId="0" borderId="0"/>
    <xf numFmtId="0" fontId="20" fillId="0" borderId="0"/>
    <xf numFmtId="0" fontId="166" fillId="0" borderId="0"/>
    <xf numFmtId="0" fontId="20" fillId="0" borderId="0">
      <alignment vertical="top"/>
    </xf>
    <xf numFmtId="0" fontId="20" fillId="0" borderId="0">
      <alignment vertical="top"/>
    </xf>
    <xf numFmtId="0" fontId="28" fillId="0" borderId="0"/>
    <xf numFmtId="0" fontId="10" fillId="0" borderId="0"/>
    <xf numFmtId="0" fontId="20" fillId="0" borderId="0"/>
    <xf numFmtId="0" fontId="20" fillId="0" borderId="0"/>
    <xf numFmtId="0" fontId="160" fillId="0" borderId="0"/>
    <xf numFmtId="0" fontId="102" fillId="0" borderId="0"/>
    <xf numFmtId="0" fontId="160" fillId="0" borderId="0"/>
    <xf numFmtId="0" fontId="102" fillId="0" borderId="0"/>
    <xf numFmtId="0" fontId="20" fillId="0" borderId="0"/>
    <xf numFmtId="0" fontId="102" fillId="0" borderId="0"/>
    <xf numFmtId="0" fontId="1" fillId="0" borderId="0"/>
    <xf numFmtId="0" fontId="102" fillId="0" borderId="0"/>
    <xf numFmtId="0" fontId="10" fillId="0" borderId="0"/>
    <xf numFmtId="0" fontId="33" fillId="0" borderId="0"/>
    <xf numFmtId="0" fontId="20"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applyProtection="0"/>
    <xf numFmtId="0" fontId="2" fillId="0" borderId="0"/>
    <xf numFmtId="0" fontId="2" fillId="0" borderId="0"/>
    <xf numFmtId="0" fontId="2" fillId="0" borderId="0"/>
    <xf numFmtId="0" fontId="32" fillId="0" borderId="0"/>
    <xf numFmtId="0" fontId="32" fillId="0" borderId="0" applyProtection="0"/>
    <xf numFmtId="0" fontId="2" fillId="0" borderId="0"/>
    <xf numFmtId="0" fontId="2" fillId="0" borderId="0"/>
    <xf numFmtId="0" fontId="2" fillId="0" borderId="0"/>
    <xf numFmtId="0" fontId="99" fillId="0" borderId="0"/>
    <xf numFmtId="0" fontId="53" fillId="0" borderId="0"/>
    <xf numFmtId="0" fontId="2" fillId="0" borderId="0"/>
    <xf numFmtId="0" fontId="32" fillId="0" borderId="0" applyProtection="0"/>
    <xf numFmtId="0" fontId="32" fillId="0" borderId="0"/>
    <xf numFmtId="0" fontId="53" fillId="0" borderId="0"/>
    <xf numFmtId="0" fontId="32" fillId="0" borderId="0" applyProtection="0"/>
    <xf numFmtId="0" fontId="53" fillId="0" borderId="0"/>
    <xf numFmtId="0" fontId="32" fillId="0" borderId="0" applyProtection="0"/>
    <xf numFmtId="0" fontId="20" fillId="0" borderId="0"/>
    <xf numFmtId="0" fontId="32" fillId="0" borderId="0" applyProtection="0"/>
    <xf numFmtId="0" fontId="2" fillId="0" borderId="0"/>
    <xf numFmtId="0" fontId="167" fillId="0" borderId="0"/>
    <xf numFmtId="0" fontId="20" fillId="0" borderId="0"/>
    <xf numFmtId="0" fontId="2" fillId="0" borderId="0"/>
    <xf numFmtId="0" fontId="2" fillId="0" borderId="0"/>
    <xf numFmtId="0" fontId="160"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165" fillId="0" borderId="0"/>
    <xf numFmtId="0" fontId="2" fillId="0" borderId="0"/>
    <xf numFmtId="0" fontId="73" fillId="0" borderId="0"/>
    <xf numFmtId="0" fontId="73" fillId="0" borderId="0" applyProtection="0"/>
    <xf numFmtId="0" fontId="20" fillId="0" borderId="0" applyProtection="0"/>
    <xf numFmtId="0" fontId="1" fillId="0" borderId="0"/>
    <xf numFmtId="0" fontId="1" fillId="0" borderId="0"/>
    <xf numFmtId="0" fontId="1" fillId="0" borderId="0"/>
    <xf numFmtId="0" fontId="1" fillId="0" borderId="0"/>
    <xf numFmtId="0" fontId="1" fillId="0" borderId="0"/>
    <xf numFmtId="0" fontId="67" fillId="0" borderId="0"/>
    <xf numFmtId="0" fontId="2" fillId="0" borderId="0"/>
    <xf numFmtId="0" fontId="73"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1" fillId="0" borderId="0"/>
    <xf numFmtId="0" fontId="165" fillId="0" borderId="0"/>
    <xf numFmtId="0" fontId="1" fillId="0" borderId="0"/>
    <xf numFmtId="0" fontId="1" fillId="0" borderId="0"/>
    <xf numFmtId="0" fontId="1" fillId="0" borderId="0"/>
    <xf numFmtId="0" fontId="1" fillId="0" borderId="0"/>
    <xf numFmtId="0" fontId="1" fillId="0" borderId="0"/>
    <xf numFmtId="0" fontId="165"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68" fillId="0" borderId="0"/>
    <xf numFmtId="0" fontId="32" fillId="0" borderId="0"/>
    <xf numFmtId="0" fontId="32" fillId="0" borderId="0"/>
    <xf numFmtId="0" fontId="32" fillId="0" borderId="0"/>
    <xf numFmtId="0" fontId="163" fillId="0" borderId="0"/>
    <xf numFmtId="0" fontId="163" fillId="0" borderId="0"/>
    <xf numFmtId="0" fontId="20" fillId="0" borderId="0" applyProtection="0"/>
    <xf numFmtId="0" fontId="163" fillId="0" borderId="0"/>
    <xf numFmtId="0" fontId="163" fillId="0" borderId="0"/>
    <xf numFmtId="0" fontId="163" fillId="0" borderId="0"/>
    <xf numFmtId="0" fontId="163" fillId="0" borderId="0"/>
    <xf numFmtId="0" fontId="32" fillId="0" borderId="0"/>
    <xf numFmtId="0" fontId="163" fillId="0" borderId="0"/>
    <xf numFmtId="0" fontId="163" fillId="0" borderId="0"/>
    <xf numFmtId="0" fontId="32" fillId="0" borderId="0"/>
    <xf numFmtId="0" fontId="1" fillId="0" borderId="0"/>
    <xf numFmtId="0" fontId="1" fillId="0" borderId="0"/>
    <xf numFmtId="0" fontId="1" fillId="0" borderId="0"/>
    <xf numFmtId="0" fontId="1" fillId="0" borderId="0"/>
    <xf numFmtId="0" fontId="2" fillId="0" borderId="0"/>
    <xf numFmtId="0" fontId="10" fillId="0" borderId="0"/>
    <xf numFmtId="0" fontId="37" fillId="0" borderId="0"/>
    <xf numFmtId="0" fontId="10" fillId="0" borderId="0"/>
    <xf numFmtId="0" fontId="10" fillId="0" borderId="0"/>
    <xf numFmtId="0" fontId="10" fillId="0" borderId="0"/>
    <xf numFmtId="0" fontId="10" fillId="0" borderId="0"/>
    <xf numFmtId="0" fontId="10" fillId="0" borderId="0"/>
    <xf numFmtId="0" fontId="2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96" fillId="0" borderId="0"/>
    <xf numFmtId="0" fontId="2" fillId="0" borderId="0"/>
    <xf numFmtId="0" fontId="32" fillId="0" borderId="0"/>
    <xf numFmtId="0" fontId="2" fillId="0" borderId="0"/>
    <xf numFmtId="0" fontId="2" fillId="0" borderId="0"/>
    <xf numFmtId="0" fontId="2" fillId="0" borderId="0" applyProtection="0"/>
    <xf numFmtId="0" fontId="32" fillId="0" borderId="0"/>
    <xf numFmtId="0" fontId="32" fillId="0" borderId="0"/>
    <xf numFmtId="0" fontId="1" fillId="0" borderId="0"/>
    <xf numFmtId="0" fontId="1" fillId="0" borderId="0"/>
    <xf numFmtId="0" fontId="32" fillId="0" borderId="0"/>
    <xf numFmtId="0" fontId="1" fillId="0" borderId="0"/>
    <xf numFmtId="0" fontId="169"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6" fillId="0" borderId="0"/>
    <xf numFmtId="0" fontId="28" fillId="0" borderId="0"/>
    <xf numFmtId="0" fontId="2" fillId="0" borderId="0"/>
    <xf numFmtId="0" fontId="20" fillId="0" borderId="0"/>
    <xf numFmtId="0" fontId="17" fillId="0" borderId="0"/>
    <xf numFmtId="0" fontId="17"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55" fillId="0" borderId="0" applyFont="0"/>
    <xf numFmtId="0" fontId="88" fillId="26" borderId="0"/>
    <xf numFmtId="0" fontId="115" fillId="0" borderId="0"/>
    <xf numFmtId="0" fontId="66" fillId="25" borderId="33" applyNumberFormat="0" applyFont="0" applyAlignment="0" applyProtection="0"/>
    <xf numFmtId="0" fontId="66" fillId="25" borderId="33" applyNumberFormat="0" applyFont="0" applyAlignment="0" applyProtection="0"/>
    <xf numFmtId="0" fontId="66" fillId="25" borderId="33" applyNumberFormat="0" applyFont="0" applyAlignment="0" applyProtection="0"/>
    <xf numFmtId="0" fontId="66" fillId="25" borderId="33" applyNumberFormat="0" applyFont="0" applyAlignment="0" applyProtection="0"/>
    <xf numFmtId="0" fontId="66" fillId="25" borderId="33" applyNumberFormat="0" applyFont="0" applyAlignment="0" applyProtection="0"/>
    <xf numFmtId="0" fontId="66" fillId="25" borderId="33" applyNumberFormat="0" applyFont="0" applyAlignment="0" applyProtection="0"/>
    <xf numFmtId="0" fontId="66" fillId="25" borderId="33" applyNumberFormat="0" applyFont="0" applyAlignment="0" applyProtection="0"/>
    <xf numFmtId="0" fontId="66" fillId="25" borderId="33" applyNumberFormat="0" applyFont="0" applyAlignment="0" applyProtection="0"/>
    <xf numFmtId="0" fontId="66" fillId="25" borderId="33" applyNumberFormat="0" applyFont="0" applyAlignment="0" applyProtection="0"/>
    <xf numFmtId="0" fontId="66" fillId="25" borderId="33" applyNumberFormat="0" applyFont="0" applyAlignment="0" applyProtection="0"/>
    <xf numFmtId="0" fontId="66" fillId="25" borderId="33" applyNumberFormat="0" applyFont="0" applyAlignment="0" applyProtection="0"/>
    <xf numFmtId="0" fontId="66" fillId="25" borderId="33" applyNumberFormat="0" applyFont="0" applyAlignment="0" applyProtection="0"/>
    <xf numFmtId="0" fontId="66" fillId="25" borderId="33" applyNumberFormat="0" applyFont="0" applyAlignment="0" applyProtection="0"/>
    <xf numFmtId="0" fontId="66" fillId="25" borderId="33" applyNumberFormat="0" applyFont="0" applyAlignment="0" applyProtection="0"/>
    <xf numFmtId="0" fontId="66" fillId="25" borderId="33" applyNumberFormat="0" applyFont="0" applyAlignment="0" applyProtection="0"/>
    <xf numFmtId="0" fontId="66" fillId="25" borderId="33" applyNumberFormat="0" applyFont="0" applyAlignment="0" applyProtection="0"/>
    <xf numFmtId="0" fontId="66" fillId="25" borderId="33" applyNumberFormat="0" applyFont="0" applyAlignment="0" applyProtection="0"/>
    <xf numFmtId="0" fontId="66" fillId="25" borderId="33" applyNumberFormat="0" applyFont="0" applyAlignment="0" applyProtection="0"/>
    <xf numFmtId="0" fontId="66" fillId="25" borderId="33" applyNumberFormat="0" applyFont="0" applyAlignment="0" applyProtection="0"/>
    <xf numFmtId="0" fontId="66" fillId="25" borderId="33" applyNumberFormat="0" applyFont="0" applyAlignment="0" applyProtection="0"/>
    <xf numFmtId="0" fontId="20" fillId="31" borderId="33" applyNumberFormat="0" applyFont="0" applyAlignment="0" applyProtection="0"/>
    <xf numFmtId="0" fontId="20" fillId="31" borderId="33" applyNumberFormat="0" applyFont="0" applyAlignment="0" applyProtection="0"/>
    <xf numFmtId="0" fontId="20" fillId="31" borderId="33" applyNumberFormat="0" applyFont="0" applyAlignment="0" applyProtection="0"/>
    <xf numFmtId="0" fontId="20" fillId="31" borderId="33" applyNumberFormat="0" applyFont="0" applyAlignment="0" applyProtection="0"/>
    <xf numFmtId="0" fontId="67" fillId="25" borderId="33" applyNumberFormat="0" applyFont="0" applyAlignment="0" applyProtection="0"/>
    <xf numFmtId="296" fontId="170" fillId="0" borderId="0" applyFont="0" applyFill="0" applyBorder="0" applyProtection="0">
      <alignment vertical="top" wrapText="1"/>
    </xf>
    <xf numFmtId="0" fontId="171" fillId="0" borderId="39" applyNumberFormat="0" applyFill="0" applyAlignment="0" applyProtection="0"/>
    <xf numFmtId="0" fontId="33" fillId="0" borderId="0"/>
    <xf numFmtId="0" fontId="33" fillId="0" borderId="0"/>
    <xf numFmtId="0" fontId="33" fillId="0" borderId="0" applyProtection="0"/>
    <xf numFmtId="0" fontId="33" fillId="0" borderId="0" applyProtection="0"/>
    <xf numFmtId="3" fontId="172" fillId="0" borderId="0" applyFont="0" applyFill="0" applyBorder="0" applyAlignment="0" applyProtection="0"/>
    <xf numFmtId="173" fontId="54"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82" fillId="0" borderId="0" applyNumberFormat="0" applyFill="0" applyBorder="0" applyAlignment="0" applyProtection="0"/>
    <xf numFmtId="0" fontId="28" fillId="0" borderId="0" applyNumberFormat="0" applyFill="0" applyBorder="0" applyAlignment="0" applyProtection="0"/>
    <xf numFmtId="0" fontId="91" fillId="0" borderId="0" applyNumberFormat="0" applyFill="0" applyBorder="0" applyAlignment="0" applyProtection="0"/>
    <xf numFmtId="0" fontId="173" fillId="0" borderId="0" applyNumberFormat="0" applyFill="0" applyBorder="0" applyAlignment="0" applyProtection="0"/>
    <xf numFmtId="0" fontId="82" fillId="0" borderId="0" applyNumberFormat="0" applyFill="0" applyBorder="0" applyAlignment="0" applyProtection="0"/>
    <xf numFmtId="0" fontId="28" fillId="0" borderId="0" applyNumberFormat="0" applyFill="0" applyBorder="0" applyAlignment="0" applyProtection="0"/>
    <xf numFmtId="0" fontId="91" fillId="0" borderId="0" applyProtection="0"/>
    <xf numFmtId="0" fontId="2" fillId="0" borderId="0" applyFont="0" applyFill="0" applyBorder="0" applyAlignment="0" applyProtection="0"/>
    <xf numFmtId="0" fontId="17" fillId="0" borderId="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0" fontId="174" fillId="23" borderId="40" applyNumberFormat="0" applyAlignment="0" applyProtection="0"/>
    <xf numFmtId="167" fontId="175" fillId="0" borderId="16" applyFont="0" applyBorder="0" applyAlignment="0"/>
    <xf numFmtId="0" fontId="176" fillId="26" borderId="0"/>
    <xf numFmtId="0" fontId="102" fillId="26" borderId="0"/>
    <xf numFmtId="0" fontId="102" fillId="26" borderId="0"/>
    <xf numFmtId="41" fontId="67"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14" fontId="76" fillId="0" borderId="0">
      <alignment horizontal="center" wrapText="1"/>
      <protection locked="0"/>
    </xf>
    <xf numFmtId="14" fontId="77" fillId="0" borderId="0">
      <alignment horizontal="center" wrapText="1"/>
      <protection locked="0"/>
    </xf>
    <xf numFmtId="297" fontId="91" fillId="0" borderId="0" applyFont="0" applyFill="0" applyBorder="0" applyAlignment="0" applyProtection="0"/>
    <xf numFmtId="298" fontId="16" fillId="0" borderId="0" applyFont="0" applyFill="0" applyBorder="0" applyAlignment="0" applyProtection="0"/>
    <xf numFmtId="299" fontId="97"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219" fontId="67"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301" fontId="67"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32" fillId="0" borderId="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03" fontId="97" fillId="0" borderId="0" applyFont="0" applyFill="0" applyBorder="0" applyAlignment="0" applyProtection="0"/>
    <xf numFmtId="304" fontId="16" fillId="0" borderId="0" applyFont="0" applyFill="0" applyBorder="0" applyAlignment="0" applyProtection="0"/>
    <xf numFmtId="305" fontId="97" fillId="0" borderId="0" applyFont="0" applyFill="0" applyBorder="0" applyAlignment="0" applyProtection="0"/>
    <xf numFmtId="306" fontId="16" fillId="0" borderId="0" applyFont="0" applyFill="0" applyBorder="0" applyAlignment="0" applyProtection="0"/>
    <xf numFmtId="307" fontId="97" fillId="0" borderId="0" applyFont="0" applyFill="0" applyBorder="0" applyAlignment="0" applyProtection="0"/>
    <xf numFmtId="308" fontId="1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3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9" fillId="0" borderId="41" applyNumberFormat="0" applyBorder="0"/>
    <xf numFmtId="9" fontId="49" fillId="0" borderId="41" applyNumberFormat="0" applyBorder="0"/>
    <xf numFmtId="0" fontId="67"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13" fontId="88"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21" fontId="88"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3" fontId="88"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13" fontId="88"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214" fontId="2" fillId="0" borderId="0" applyFill="0" applyBorder="0" applyAlignment="0"/>
    <xf numFmtId="0" fontId="177" fillId="0" borderId="0"/>
    <xf numFmtId="0" fontId="178" fillId="0" borderId="0"/>
    <xf numFmtId="0" fontId="49" fillId="0" borderId="0" applyNumberFormat="0" applyFont="0" applyFill="0" applyBorder="0" applyAlignment="0" applyProtection="0">
      <alignment horizontal="left"/>
    </xf>
    <xf numFmtId="0" fontId="179" fillId="0" borderId="36">
      <alignment horizontal="center"/>
    </xf>
    <xf numFmtId="1" fontId="67" fillId="0" borderId="10" applyNumberFormat="0" applyFill="0" applyAlignment="0" applyProtection="0">
      <alignment horizontal="center" vertical="center"/>
    </xf>
    <xf numFmtId="0" fontId="180" fillId="32" borderId="0" applyNumberFormat="0" applyFont="0" applyBorder="0" applyAlignment="0">
      <alignment horizontal="center"/>
    </xf>
    <xf numFmtId="0" fontId="180" fillId="32" borderId="0" applyNumberFormat="0" applyFont="0" applyBorder="0" applyAlignment="0">
      <alignment horizontal="center"/>
    </xf>
    <xf numFmtId="14" fontId="181" fillId="0" borderId="0" applyNumberFormat="0" applyFill="0" applyBorder="0" applyAlignment="0" applyProtection="0">
      <alignment horizontal="left"/>
    </xf>
    <xf numFmtId="0" fontId="144" fillId="0" borderId="0"/>
    <xf numFmtId="0" fontId="33" fillId="0" borderId="0"/>
    <xf numFmtId="41" fontId="45" fillId="0" borderId="0" applyFont="0" applyFill="0" applyBorder="0" applyAlignment="0" applyProtection="0"/>
    <xf numFmtId="202" fontId="45"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Protection="0"/>
    <xf numFmtId="199" fontId="45" fillId="0" borderId="0" applyFont="0" applyFill="0" applyBorder="0" applyAlignment="0" applyProtection="0"/>
    <xf numFmtId="41" fontId="32" fillId="0" borderId="0" applyProtection="0"/>
    <xf numFmtId="4" fontId="182" fillId="33" borderId="42" applyNumberFormat="0" applyProtection="0">
      <alignment vertical="center"/>
    </xf>
    <xf numFmtId="4" fontId="183" fillId="33" borderId="42" applyNumberFormat="0" applyProtection="0">
      <alignment vertical="center"/>
    </xf>
    <xf numFmtId="4" fontId="184" fillId="33" borderId="42" applyNumberFormat="0" applyProtection="0">
      <alignment vertical="center"/>
    </xf>
    <xf numFmtId="4" fontId="185" fillId="33" borderId="42" applyNumberFormat="0" applyProtection="0">
      <alignment vertical="center"/>
    </xf>
    <xf numFmtId="4" fontId="186" fillId="33" borderId="42" applyNumberFormat="0" applyProtection="0">
      <alignment horizontal="left" vertical="center" indent="1"/>
    </xf>
    <xf numFmtId="4" fontId="103" fillId="33" borderId="42" applyNumberFormat="0" applyProtection="0">
      <alignment horizontal="left" vertical="center" indent="1"/>
    </xf>
    <xf numFmtId="4" fontId="186" fillId="34" borderId="0" applyNumberFormat="0" applyProtection="0">
      <alignment horizontal="left" vertical="center" indent="1"/>
    </xf>
    <xf numFmtId="4" fontId="103" fillId="34" borderId="0" applyNumberFormat="0" applyProtection="0">
      <alignment horizontal="left" vertical="center" indent="1"/>
    </xf>
    <xf numFmtId="4" fontId="186" fillId="35" borderId="42" applyNumberFormat="0" applyProtection="0">
      <alignment horizontal="right" vertical="center"/>
    </xf>
    <xf numFmtId="4" fontId="103" fillId="35" borderId="42" applyNumberFormat="0" applyProtection="0">
      <alignment horizontal="right" vertical="center"/>
    </xf>
    <xf numFmtId="4" fontId="186" fillId="36" borderId="42" applyNumberFormat="0" applyProtection="0">
      <alignment horizontal="right" vertical="center"/>
    </xf>
    <xf numFmtId="4" fontId="103" fillId="36" borderId="42" applyNumberFormat="0" applyProtection="0">
      <alignment horizontal="right" vertical="center"/>
    </xf>
    <xf numFmtId="4" fontId="186" fillId="37" borderId="42" applyNumberFormat="0" applyProtection="0">
      <alignment horizontal="right" vertical="center"/>
    </xf>
    <xf numFmtId="4" fontId="103" fillId="37" borderId="42" applyNumberFormat="0" applyProtection="0">
      <alignment horizontal="right" vertical="center"/>
    </xf>
    <xf numFmtId="4" fontId="186" fillId="38" borderId="42" applyNumberFormat="0" applyProtection="0">
      <alignment horizontal="right" vertical="center"/>
    </xf>
    <xf numFmtId="4" fontId="103" fillId="38" borderId="42" applyNumberFormat="0" applyProtection="0">
      <alignment horizontal="right" vertical="center"/>
    </xf>
    <xf numFmtId="4" fontId="186" fillId="39" borderId="42" applyNumberFormat="0" applyProtection="0">
      <alignment horizontal="right" vertical="center"/>
    </xf>
    <xf numFmtId="4" fontId="103" fillId="39" borderId="42" applyNumberFormat="0" applyProtection="0">
      <alignment horizontal="right" vertical="center"/>
    </xf>
    <xf numFmtId="4" fontId="186" fillId="40" borderId="42" applyNumberFormat="0" applyProtection="0">
      <alignment horizontal="right" vertical="center"/>
    </xf>
    <xf numFmtId="4" fontId="103" fillId="40" borderId="42" applyNumberFormat="0" applyProtection="0">
      <alignment horizontal="right" vertical="center"/>
    </xf>
    <xf numFmtId="4" fontId="186" fillId="41" borderId="42" applyNumberFormat="0" applyProtection="0">
      <alignment horizontal="right" vertical="center"/>
    </xf>
    <xf numFmtId="4" fontId="103" fillId="41" borderId="42" applyNumberFormat="0" applyProtection="0">
      <alignment horizontal="right" vertical="center"/>
    </xf>
    <xf numFmtId="4" fontId="186" fillId="42" borderId="42" applyNumberFormat="0" applyProtection="0">
      <alignment horizontal="right" vertical="center"/>
    </xf>
    <xf numFmtId="4" fontId="103" fillId="42" borderId="42" applyNumberFormat="0" applyProtection="0">
      <alignment horizontal="right" vertical="center"/>
    </xf>
    <xf numFmtId="4" fontId="186" fillId="43" borderId="42" applyNumberFormat="0" applyProtection="0">
      <alignment horizontal="right" vertical="center"/>
    </xf>
    <xf numFmtId="4" fontId="103" fillId="43" borderId="42" applyNumberFormat="0" applyProtection="0">
      <alignment horizontal="right" vertical="center"/>
    </xf>
    <xf numFmtId="4" fontId="182" fillId="44" borderId="43" applyNumberFormat="0" applyProtection="0">
      <alignment horizontal="left" vertical="center" indent="1"/>
    </xf>
    <xf numFmtId="4" fontId="183" fillId="44" borderId="43" applyNumberFormat="0" applyProtection="0">
      <alignment horizontal="left" vertical="center" indent="1"/>
    </xf>
    <xf numFmtId="4" fontId="182" fillId="45" borderId="0" applyNumberFormat="0" applyProtection="0">
      <alignment horizontal="left" vertical="center" indent="1"/>
    </xf>
    <xf numFmtId="4" fontId="183" fillId="45" borderId="0" applyNumberFormat="0" applyProtection="0">
      <alignment horizontal="left" vertical="center" indent="1"/>
    </xf>
    <xf numFmtId="4" fontId="182" fillId="34" borderId="0" applyNumberFormat="0" applyProtection="0">
      <alignment horizontal="left" vertical="center" indent="1"/>
    </xf>
    <xf numFmtId="4" fontId="183" fillId="34" borderId="0" applyNumberFormat="0" applyProtection="0">
      <alignment horizontal="left" vertical="center" indent="1"/>
    </xf>
    <xf numFmtId="4" fontId="186" fillId="45" borderId="42" applyNumberFormat="0" applyProtection="0">
      <alignment horizontal="right" vertical="center"/>
    </xf>
    <xf numFmtId="4" fontId="103" fillId="45" borderId="42" applyNumberFormat="0" applyProtection="0">
      <alignment horizontal="right" vertical="center"/>
    </xf>
    <xf numFmtId="4" fontId="48" fillId="45" borderId="0" applyNumberFormat="0" applyProtection="0">
      <alignment horizontal="left" vertical="center" indent="1"/>
    </xf>
    <xf numFmtId="4" fontId="47" fillId="45" borderId="0" applyNumberFormat="0" applyProtection="0">
      <alignment horizontal="left" vertical="center" indent="1"/>
    </xf>
    <xf numFmtId="4" fontId="48" fillId="34" borderId="0" applyNumberFormat="0" applyProtection="0">
      <alignment horizontal="left" vertical="center" indent="1"/>
    </xf>
    <xf numFmtId="4" fontId="47" fillId="34" borderId="0" applyNumberFormat="0" applyProtection="0">
      <alignment horizontal="left" vertical="center" indent="1"/>
    </xf>
    <xf numFmtId="4" fontId="186" fillId="46" borderId="42" applyNumberFormat="0" applyProtection="0">
      <alignment vertical="center"/>
    </xf>
    <xf numFmtId="4" fontId="103" fillId="46" borderId="42" applyNumberFormat="0" applyProtection="0">
      <alignment vertical="center"/>
    </xf>
    <xf numFmtId="4" fontId="187" fillId="46" borderId="42" applyNumberFormat="0" applyProtection="0">
      <alignment vertical="center"/>
    </xf>
    <xf numFmtId="4" fontId="188" fillId="46" borderId="42" applyNumberFormat="0" applyProtection="0">
      <alignment vertical="center"/>
    </xf>
    <xf numFmtId="4" fontId="182" fillId="45" borderId="44" applyNumberFormat="0" applyProtection="0">
      <alignment horizontal="left" vertical="center" indent="1"/>
    </xf>
    <xf numFmtId="4" fontId="183" fillId="45" borderId="44" applyNumberFormat="0" applyProtection="0">
      <alignment horizontal="left" vertical="center" indent="1"/>
    </xf>
    <xf numFmtId="4" fontId="186" fillId="46" borderId="42" applyNumberFormat="0" applyProtection="0">
      <alignment horizontal="right" vertical="center"/>
    </xf>
    <xf numFmtId="4" fontId="103" fillId="46" borderId="42" applyNumberFormat="0" applyProtection="0">
      <alignment horizontal="right" vertical="center"/>
    </xf>
    <xf numFmtId="4" fontId="187" fillId="46" borderId="42" applyNumberFormat="0" applyProtection="0">
      <alignment horizontal="right" vertical="center"/>
    </xf>
    <xf numFmtId="4" fontId="188" fillId="46" borderId="42" applyNumberFormat="0" applyProtection="0">
      <alignment horizontal="right" vertical="center"/>
    </xf>
    <xf numFmtId="4" fontId="182" fillId="45" borderId="42" applyNumberFormat="0" applyProtection="0">
      <alignment horizontal="left" vertical="center" indent="1"/>
    </xf>
    <xf numFmtId="4" fontId="183" fillId="45" borderId="42" applyNumberFormat="0" applyProtection="0">
      <alignment horizontal="left" vertical="center" indent="1"/>
    </xf>
    <xf numFmtId="4" fontId="189" fillId="29" borderId="44" applyNumberFormat="0" applyProtection="0">
      <alignment horizontal="left" vertical="center" indent="1"/>
    </xf>
    <xf numFmtId="4" fontId="190" fillId="29" borderId="44" applyNumberFormat="0" applyProtection="0">
      <alignment horizontal="left" vertical="center" indent="1"/>
    </xf>
    <xf numFmtId="4" fontId="191" fillId="46" borderId="42" applyNumberFormat="0" applyProtection="0">
      <alignment horizontal="right" vertical="center"/>
    </xf>
    <xf numFmtId="4" fontId="192" fillId="46" borderId="42" applyNumberFormat="0" applyProtection="0">
      <alignment horizontal="right" vertical="center"/>
    </xf>
    <xf numFmtId="309" fontId="193" fillId="0" borderId="0" applyFont="0" applyFill="0" applyBorder="0" applyAlignment="0" applyProtection="0"/>
    <xf numFmtId="0" fontId="180" fillId="1" borderId="35" applyNumberFormat="0" applyFont="0" applyAlignment="0">
      <alignment horizontal="center"/>
    </xf>
    <xf numFmtId="0" fontId="180" fillId="1" borderId="35" applyNumberFormat="0" applyFont="0" applyAlignment="0">
      <alignment horizontal="center"/>
    </xf>
    <xf numFmtId="3" fontId="27" fillId="0" borderId="0"/>
    <xf numFmtId="0" fontId="194" fillId="0" borderId="0" applyNumberFormat="0" applyFill="0" applyBorder="0" applyAlignment="0">
      <alignment horizontal="center"/>
    </xf>
    <xf numFmtId="0" fontId="67" fillId="0" borderId="0"/>
    <xf numFmtId="167" fontId="195" fillId="0" borderId="0" applyNumberFormat="0" applyBorder="0" applyAlignment="0">
      <alignment horizontal="centerContinuous"/>
    </xf>
    <xf numFmtId="0" fontId="28" fillId="0" borderId="10">
      <alignment horizontal="center"/>
    </xf>
    <xf numFmtId="239" fontId="45" fillId="0" borderId="0" applyFont="0" applyFill="0" applyBorder="0" applyAlignment="0" applyProtection="0"/>
    <xf numFmtId="239" fontId="45" fillId="0" borderId="0" applyFont="0" applyFill="0" applyBorder="0" applyAlignment="0" applyProtection="0"/>
    <xf numFmtId="0" fontId="45" fillId="0" borderId="0" applyFont="0" applyFill="0" applyBorder="0" applyAlignment="0" applyProtection="0"/>
    <xf numFmtId="306" fontId="45" fillId="0" borderId="0" applyFont="0" applyFill="0" applyBorder="0" applyAlignment="0" applyProtection="0"/>
    <xf numFmtId="310" fontId="45" fillId="0" borderId="0" applyFont="0" applyFill="0" applyBorder="0" applyAlignment="0" applyProtection="0"/>
    <xf numFmtId="0" fontId="33" fillId="0" borderId="0" applyNumberFormat="0" applyFill="0" applyBorder="0" applyAlignment="0" applyProtection="0"/>
    <xf numFmtId="0" fontId="45" fillId="0" borderId="0" applyFont="0" applyFill="0" applyBorder="0" applyAlignment="0" applyProtection="0"/>
    <xf numFmtId="167" fontId="56" fillId="0" borderId="0" applyFont="0" applyFill="0" applyBorder="0" applyAlignment="0" applyProtection="0"/>
    <xf numFmtId="201" fontId="45" fillId="0" borderId="0" applyFont="0" applyFill="0" applyBorder="0" applyAlignment="0" applyProtection="0"/>
    <xf numFmtId="173" fontId="45" fillId="0" borderId="0" applyFont="0" applyFill="0" applyBorder="0" applyAlignment="0" applyProtection="0"/>
    <xf numFmtId="200" fontId="45" fillId="0" borderId="0" applyFont="0" applyFill="0" applyBorder="0" applyAlignment="0" applyProtection="0"/>
    <xf numFmtId="41" fontId="45" fillId="0" borderId="0" applyFont="0" applyFill="0" applyBorder="0" applyAlignment="0" applyProtection="0"/>
    <xf numFmtId="202" fontId="45" fillId="0" borderId="0" applyFont="0" applyFill="0" applyBorder="0" applyAlignment="0" applyProtection="0"/>
    <xf numFmtId="203" fontId="45" fillId="0" borderId="0" applyFont="0" applyFill="0" applyBorder="0" applyAlignment="0" applyProtection="0"/>
    <xf numFmtId="200" fontId="45" fillId="0" borderId="0" applyFont="0" applyFill="0" applyBorder="0" applyAlignment="0" applyProtection="0"/>
    <xf numFmtId="200" fontId="45" fillId="0" borderId="0" applyFont="0" applyFill="0" applyBorder="0" applyAlignment="0" applyProtection="0"/>
    <xf numFmtId="178" fontId="45" fillId="0" borderId="0" applyFont="0" applyFill="0" applyBorder="0" applyAlignment="0" applyProtection="0"/>
    <xf numFmtId="41" fontId="45" fillId="0" borderId="0" applyFont="0" applyFill="0" applyBorder="0" applyAlignment="0" applyProtection="0"/>
    <xf numFmtId="41" fontId="45" fillId="0" borderId="0" applyFont="0" applyFill="0" applyBorder="0" applyAlignment="0" applyProtection="0"/>
    <xf numFmtId="173" fontId="28" fillId="0" borderId="0" applyFont="0" applyFill="0" applyBorder="0" applyAlignment="0" applyProtection="0"/>
    <xf numFmtId="178"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182" fontId="45" fillId="0" borderId="0" applyFont="0" applyFill="0" applyBorder="0" applyAlignment="0" applyProtection="0"/>
    <xf numFmtId="182" fontId="45" fillId="0" borderId="0" applyFont="0" applyFill="0" applyBorder="0" applyAlignment="0" applyProtection="0"/>
    <xf numFmtId="42" fontId="45" fillId="0" borderId="0" applyFont="0" applyFill="0" applyBorder="0" applyAlignment="0" applyProtection="0"/>
    <xf numFmtId="182" fontId="45" fillId="0" borderId="0" applyFont="0" applyFill="0" applyBorder="0" applyAlignment="0" applyProtection="0"/>
    <xf numFmtId="42" fontId="45" fillId="0" borderId="0" applyFont="0" applyFill="0" applyBorder="0" applyAlignment="0" applyProtection="0"/>
    <xf numFmtId="182" fontId="45" fillId="0" borderId="0" applyFont="0" applyFill="0" applyBorder="0" applyAlignment="0" applyProtection="0"/>
    <xf numFmtId="173" fontId="28" fillId="0" borderId="0" applyFont="0" applyFill="0" applyBorder="0" applyAlignment="0" applyProtection="0"/>
    <xf numFmtId="178" fontId="45" fillId="0" borderId="0" applyFont="0" applyFill="0" applyBorder="0" applyAlignment="0" applyProtection="0"/>
    <xf numFmtId="179" fontId="45" fillId="0" borderId="0" applyFont="0" applyFill="0" applyBorder="0" applyAlignment="0" applyProtection="0"/>
    <xf numFmtId="192" fontId="45" fillId="0" borderId="0" applyFont="0" applyFill="0" applyBorder="0" applyAlignment="0" applyProtection="0"/>
    <xf numFmtId="192" fontId="45" fillId="0" borderId="0" applyFont="0" applyFill="0" applyBorder="0" applyAlignment="0" applyProtection="0"/>
    <xf numFmtId="192" fontId="45" fillId="0" borderId="0" applyFont="0" applyFill="0" applyBorder="0" applyAlignment="0" applyProtection="0"/>
    <xf numFmtId="179" fontId="27" fillId="0" borderId="0" applyFont="0" applyFill="0" applyBorder="0" applyAlignment="0" applyProtection="0"/>
    <xf numFmtId="192" fontId="45" fillId="0" borderId="0" applyFont="0" applyFill="0" applyBorder="0" applyAlignment="0" applyProtection="0"/>
    <xf numFmtId="179" fontId="45" fillId="0" borderId="0" applyFont="0" applyFill="0" applyBorder="0" applyAlignment="0" applyProtection="0"/>
    <xf numFmtId="195" fontId="45" fillId="0" borderId="0" applyFont="0" applyFill="0" applyBorder="0" applyAlignment="0" applyProtection="0"/>
    <xf numFmtId="182" fontId="45" fillId="0" borderId="0" applyFont="0" applyFill="0" applyBorder="0" applyAlignment="0" applyProtection="0"/>
    <xf numFmtId="182" fontId="45" fillId="0" borderId="0" applyFont="0" applyFill="0" applyBorder="0" applyAlignment="0" applyProtection="0"/>
    <xf numFmtId="173" fontId="28" fillId="0" borderId="0" applyFont="0" applyFill="0" applyBorder="0" applyAlignment="0" applyProtection="0"/>
    <xf numFmtId="178" fontId="45" fillId="0" borderId="0" applyFont="0" applyFill="0" applyBorder="0" applyAlignment="0" applyProtection="0"/>
    <xf numFmtId="42" fontId="45" fillId="0" borderId="0" applyFont="0" applyFill="0" applyBorder="0" applyAlignment="0" applyProtection="0"/>
    <xf numFmtId="0" fontId="33" fillId="0" borderId="0"/>
    <xf numFmtId="311" fontId="82"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182" fontId="45" fillId="0" borderId="0" applyFont="0" applyFill="0" applyBorder="0" applyAlignment="0" applyProtection="0"/>
    <xf numFmtId="182" fontId="45" fillId="0" borderId="0" applyFont="0" applyFill="0" applyBorder="0" applyAlignment="0" applyProtection="0"/>
    <xf numFmtId="42" fontId="45" fillId="0" borderId="0" applyFont="0" applyFill="0" applyBorder="0" applyAlignment="0" applyProtection="0"/>
    <xf numFmtId="167" fontId="56" fillId="0" borderId="0" applyFont="0" applyFill="0" applyBorder="0" applyAlignment="0" applyProtection="0"/>
    <xf numFmtId="198" fontId="45" fillId="0" borderId="0" applyFont="0" applyFill="0" applyBorder="0" applyAlignment="0" applyProtection="0"/>
    <xf numFmtId="182" fontId="45" fillId="0" borderId="0" applyFont="0" applyFill="0" applyBorder="0" applyAlignment="0" applyProtection="0"/>
    <xf numFmtId="42" fontId="45" fillId="0" borderId="0" applyFont="0" applyFill="0" applyBorder="0" applyAlignment="0" applyProtection="0"/>
    <xf numFmtId="182" fontId="45" fillId="0" borderId="0" applyFont="0" applyFill="0" applyBorder="0" applyAlignment="0" applyProtection="0"/>
    <xf numFmtId="179" fontId="45" fillId="0" borderId="0" applyFont="0" applyFill="0" applyBorder="0" applyAlignment="0" applyProtection="0"/>
    <xf numFmtId="192" fontId="45" fillId="0" borderId="0" applyFont="0" applyFill="0" applyBorder="0" applyAlignment="0" applyProtection="0"/>
    <xf numFmtId="192" fontId="45" fillId="0" borderId="0" applyFont="0" applyFill="0" applyBorder="0" applyAlignment="0" applyProtection="0"/>
    <xf numFmtId="192" fontId="45" fillId="0" borderId="0" applyFont="0" applyFill="0" applyBorder="0" applyAlignment="0" applyProtection="0"/>
    <xf numFmtId="179" fontId="27" fillId="0" borderId="0" applyFont="0" applyFill="0" applyBorder="0" applyAlignment="0" applyProtection="0"/>
    <xf numFmtId="192" fontId="45" fillId="0" borderId="0" applyFont="0" applyFill="0" applyBorder="0" applyAlignment="0" applyProtection="0"/>
    <xf numFmtId="179" fontId="45" fillId="0" borderId="0" applyFont="0" applyFill="0" applyBorder="0" applyAlignment="0" applyProtection="0"/>
    <xf numFmtId="167" fontId="56" fillId="0" borderId="0" applyFont="0" applyFill="0" applyBorder="0" applyAlignment="0" applyProtection="0"/>
    <xf numFmtId="198" fontId="45" fillId="0" borderId="0" applyFont="0" applyFill="0" applyBorder="0" applyAlignment="0" applyProtection="0"/>
    <xf numFmtId="195" fontId="45" fillId="0" borderId="0" applyFont="0" applyFill="0" applyBorder="0" applyAlignment="0" applyProtection="0"/>
    <xf numFmtId="182" fontId="45" fillId="0" borderId="0" applyFont="0" applyFill="0" applyBorder="0" applyAlignment="0" applyProtection="0"/>
    <xf numFmtId="182" fontId="45" fillId="0" borderId="0" applyFont="0" applyFill="0" applyBorder="0" applyAlignment="0" applyProtection="0"/>
    <xf numFmtId="42" fontId="45" fillId="0" borderId="0" applyFont="0" applyFill="0" applyBorder="0" applyAlignment="0" applyProtection="0"/>
    <xf numFmtId="0" fontId="33" fillId="0" borderId="0"/>
    <xf numFmtId="311" fontId="82" fillId="0" borderId="0" applyFont="0" applyFill="0" applyBorder="0" applyAlignment="0" applyProtection="0"/>
    <xf numFmtId="41" fontId="45" fillId="0" borderId="0" applyFont="0" applyFill="0" applyBorder="0" applyAlignment="0" applyProtection="0"/>
    <xf numFmtId="178" fontId="45" fillId="0" borderId="0" applyFont="0" applyFill="0" applyBorder="0" applyAlignment="0" applyProtection="0"/>
    <xf numFmtId="164" fontId="45" fillId="0" borderId="0" applyFont="0" applyFill="0" applyBorder="0" applyAlignment="0" applyProtection="0"/>
    <xf numFmtId="198" fontId="45" fillId="0" borderId="0" applyFont="0" applyFill="0" applyBorder="0" applyAlignment="0" applyProtection="0"/>
    <xf numFmtId="164"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202" fontId="45" fillId="0" borderId="0" applyFont="0" applyFill="0" applyBorder="0" applyAlignment="0" applyProtection="0"/>
    <xf numFmtId="41" fontId="45" fillId="0" borderId="0" applyFont="0" applyFill="0" applyBorder="0" applyAlignment="0" applyProtection="0"/>
    <xf numFmtId="196" fontId="45" fillId="0" borderId="0" applyFont="0" applyFill="0" applyBorder="0" applyAlignment="0" applyProtection="0"/>
    <xf numFmtId="164" fontId="45" fillId="0" borderId="0" applyFont="0" applyFill="0" applyBorder="0" applyAlignment="0" applyProtection="0"/>
    <xf numFmtId="196" fontId="45" fillId="0" borderId="0" applyFont="0" applyFill="0" applyBorder="0" applyAlignment="0" applyProtection="0"/>
    <xf numFmtId="164" fontId="45" fillId="0" borderId="0" applyFont="0" applyFill="0" applyBorder="0" applyAlignment="0" applyProtection="0"/>
    <xf numFmtId="197" fontId="45" fillId="0" borderId="0" applyFont="0" applyFill="0" applyBorder="0" applyAlignment="0" applyProtection="0"/>
    <xf numFmtId="41" fontId="45" fillId="0" borderId="0" applyFont="0" applyFill="0" applyBorder="0" applyAlignment="0" applyProtection="0"/>
    <xf numFmtId="198" fontId="45" fillId="0" borderId="0" applyFont="0" applyFill="0" applyBorder="0" applyAlignment="0" applyProtection="0"/>
    <xf numFmtId="41" fontId="45" fillId="0" borderId="0" applyFont="0" applyFill="0" applyBorder="0" applyAlignment="0" applyProtection="0"/>
    <xf numFmtId="178" fontId="45" fillId="0" borderId="0" applyFont="0" applyFill="0" applyBorder="0" applyAlignment="0" applyProtection="0"/>
    <xf numFmtId="42" fontId="45" fillId="0" borderId="0" applyFont="0" applyFill="0" applyBorder="0" applyAlignment="0" applyProtection="0"/>
    <xf numFmtId="198" fontId="45" fillId="0" borderId="0" applyFont="0" applyFill="0" applyBorder="0" applyAlignment="0" applyProtection="0"/>
    <xf numFmtId="192" fontId="45" fillId="0" borderId="0" applyFont="0" applyFill="0" applyBorder="0" applyAlignment="0" applyProtection="0"/>
    <xf numFmtId="198" fontId="45" fillId="0" borderId="0" applyFont="0" applyFill="0" applyBorder="0" applyAlignment="0" applyProtection="0"/>
    <xf numFmtId="179" fontId="27" fillId="0" borderId="0" applyFont="0" applyFill="0" applyBorder="0" applyAlignment="0" applyProtection="0"/>
    <xf numFmtId="197" fontId="45" fillId="0" borderId="0" applyFont="0" applyFill="0" applyBorder="0" applyAlignment="0" applyProtection="0"/>
    <xf numFmtId="179" fontId="45" fillId="0" borderId="0" applyFont="0" applyFill="0" applyBorder="0" applyAlignment="0" applyProtection="0"/>
    <xf numFmtId="178" fontId="27" fillId="0" borderId="0" applyFont="0" applyFill="0" applyBorder="0" applyAlignment="0" applyProtection="0"/>
    <xf numFmtId="0" fontId="33" fillId="0" borderId="0"/>
    <xf numFmtId="201" fontId="45" fillId="0" borderId="0" applyFont="0" applyFill="0" applyBorder="0" applyAlignment="0" applyProtection="0"/>
    <xf numFmtId="311" fontId="82" fillId="0" borderId="0" applyFont="0" applyFill="0" applyBorder="0" applyAlignment="0" applyProtection="0"/>
    <xf numFmtId="178" fontId="45" fillId="0" borderId="0" applyFont="0" applyFill="0" applyBorder="0" applyAlignment="0" applyProtection="0"/>
    <xf numFmtId="164" fontId="45" fillId="0" borderId="0" applyFont="0" applyFill="0" applyBorder="0" applyAlignment="0" applyProtection="0"/>
    <xf numFmtId="197" fontId="45" fillId="0" borderId="0" applyFont="0" applyFill="0" applyBorder="0" applyAlignment="0" applyProtection="0"/>
    <xf numFmtId="167" fontId="56" fillId="0" borderId="0" applyFont="0" applyFill="0" applyBorder="0" applyAlignment="0" applyProtection="0"/>
    <xf numFmtId="178" fontId="45" fillId="0" borderId="0" applyFont="0" applyFill="0" applyBorder="0" applyAlignment="0" applyProtection="0"/>
    <xf numFmtId="173" fontId="28" fillId="0" borderId="0" applyFont="0" applyFill="0" applyBorder="0" applyAlignment="0" applyProtection="0"/>
    <xf numFmtId="178" fontId="45" fillId="0" borderId="0" applyFont="0" applyFill="0" applyBorder="0" applyAlignment="0" applyProtection="0"/>
    <xf numFmtId="173" fontId="28" fillId="0" borderId="0" applyFont="0" applyFill="0" applyBorder="0" applyAlignment="0" applyProtection="0"/>
    <xf numFmtId="198" fontId="45" fillId="0" borderId="0" applyFont="0" applyFill="0" applyBorder="0" applyAlignment="0" applyProtection="0"/>
    <xf numFmtId="173" fontId="28" fillId="0" borderId="0" applyFont="0" applyFill="0" applyBorder="0" applyAlignment="0" applyProtection="0"/>
    <xf numFmtId="198" fontId="45" fillId="0" borderId="0" applyFont="0" applyFill="0" applyBorder="0" applyAlignment="0" applyProtection="0"/>
    <xf numFmtId="167" fontId="56" fillId="0" borderId="0" applyFont="0" applyFill="0" applyBorder="0" applyAlignment="0" applyProtection="0"/>
    <xf numFmtId="178" fontId="45" fillId="0" borderId="0" applyFont="0" applyFill="0" applyBorder="0" applyAlignment="0" applyProtection="0"/>
    <xf numFmtId="167" fontId="56" fillId="0" borderId="0" applyFont="0" applyFill="0" applyBorder="0" applyAlignment="0" applyProtection="0"/>
    <xf numFmtId="198" fontId="45" fillId="0" borderId="0" applyFont="0" applyFill="0" applyBorder="0" applyAlignment="0" applyProtection="0"/>
    <xf numFmtId="178" fontId="45" fillId="0" borderId="0" applyFont="0" applyFill="0" applyBorder="0" applyAlignment="0" applyProtection="0"/>
    <xf numFmtId="173" fontId="45" fillId="0" borderId="0" applyFont="0" applyFill="0" applyBorder="0" applyAlignment="0" applyProtection="0"/>
    <xf numFmtId="202" fontId="45" fillId="0" borderId="0" applyFont="0" applyFill="0" applyBorder="0" applyAlignment="0" applyProtection="0"/>
    <xf numFmtId="164" fontId="45" fillId="0" borderId="0" applyFont="0" applyFill="0" applyBorder="0" applyAlignment="0" applyProtection="0"/>
    <xf numFmtId="180" fontId="45" fillId="0" borderId="0" applyFont="0" applyFill="0" applyBorder="0" applyAlignment="0" applyProtection="0"/>
    <xf numFmtId="164" fontId="45" fillId="0" borderId="0" applyFont="0" applyFill="0" applyBorder="0" applyAlignment="0" applyProtection="0"/>
    <xf numFmtId="179" fontId="27" fillId="0" borderId="0" applyFont="0" applyFill="0" applyBorder="0" applyAlignment="0" applyProtection="0"/>
    <xf numFmtId="164" fontId="45" fillId="0" borderId="0" applyFont="0" applyFill="0" applyBorder="0" applyAlignment="0" applyProtection="0"/>
    <xf numFmtId="198" fontId="45" fillId="0" borderId="0" applyFont="0" applyFill="0" applyBorder="0" applyAlignment="0" applyProtection="0"/>
    <xf numFmtId="41" fontId="45" fillId="0" borderId="0" applyFont="0" applyFill="0" applyBorder="0" applyAlignment="0" applyProtection="0"/>
    <xf numFmtId="180" fontId="45" fillId="0" borderId="0" applyFont="0" applyFill="0" applyBorder="0" applyAlignment="0" applyProtection="0"/>
    <xf numFmtId="173" fontId="45" fillId="0" borderId="0" applyFont="0" applyFill="0" applyBorder="0" applyAlignment="0" applyProtection="0"/>
    <xf numFmtId="180" fontId="45" fillId="0" borderId="0" applyFont="0" applyFill="0" applyBorder="0" applyAlignment="0" applyProtection="0"/>
    <xf numFmtId="173" fontId="45" fillId="0" borderId="0" applyFont="0" applyFill="0" applyBorder="0" applyAlignment="0" applyProtection="0"/>
    <xf numFmtId="179" fontId="45" fillId="0" borderId="0" applyFont="0" applyFill="0" applyBorder="0" applyAlignment="0" applyProtection="0"/>
    <xf numFmtId="173" fontId="45" fillId="0" borderId="0" applyFont="0" applyFill="0" applyBorder="0" applyAlignment="0" applyProtection="0"/>
    <xf numFmtId="193" fontId="50" fillId="0" borderId="0" applyFont="0" applyFill="0" applyBorder="0" applyAlignment="0" applyProtection="0"/>
    <xf numFmtId="173" fontId="45" fillId="0" borderId="0" applyFont="0" applyFill="0" applyBorder="0" applyAlignment="0" applyProtection="0"/>
    <xf numFmtId="194" fontId="45" fillId="0" borderId="0" applyFont="0" applyFill="0" applyBorder="0" applyAlignment="0" applyProtection="0"/>
    <xf numFmtId="41" fontId="45" fillId="0" borderId="0" applyFont="0" applyFill="0" applyBorder="0" applyAlignment="0" applyProtection="0"/>
    <xf numFmtId="179" fontId="45" fillId="0" borderId="0" applyFont="0" applyFill="0" applyBorder="0" applyAlignment="0" applyProtection="0"/>
    <xf numFmtId="164" fontId="45" fillId="0" borderId="0" applyFont="0" applyFill="0" applyBorder="0" applyAlignment="0" applyProtection="0"/>
    <xf numFmtId="195" fontId="45" fillId="0" borderId="0" applyFont="0" applyFill="0" applyBorder="0" applyAlignment="0" applyProtection="0"/>
    <xf numFmtId="164" fontId="45" fillId="0" borderId="0" applyFont="0" applyFill="0" applyBorder="0" applyAlignment="0" applyProtection="0"/>
    <xf numFmtId="180" fontId="45" fillId="0" borderId="0" applyFont="0" applyFill="0" applyBorder="0" applyAlignment="0" applyProtection="0"/>
    <xf numFmtId="178" fontId="45" fillId="0" borderId="0" applyFont="0" applyFill="0" applyBorder="0" applyAlignment="0" applyProtection="0"/>
    <xf numFmtId="179" fontId="27" fillId="0" borderId="0" applyFont="0" applyFill="0" applyBorder="0" applyAlignment="0" applyProtection="0"/>
    <xf numFmtId="173" fontId="45" fillId="0" borderId="0" applyFont="0" applyFill="0" applyBorder="0" applyAlignment="0" applyProtection="0"/>
    <xf numFmtId="180" fontId="45" fillId="0" borderId="0" applyFont="0" applyFill="0" applyBorder="0" applyAlignment="0" applyProtection="0"/>
    <xf numFmtId="178" fontId="45" fillId="0" borderId="0" applyFont="0" applyFill="0" applyBorder="0" applyAlignment="0" applyProtection="0"/>
    <xf numFmtId="173" fontId="45" fillId="0" borderId="0" applyFont="0" applyFill="0" applyBorder="0" applyAlignment="0" applyProtection="0"/>
    <xf numFmtId="180" fontId="45" fillId="0" borderId="0" applyFont="0" applyFill="0" applyBorder="0" applyAlignment="0" applyProtection="0"/>
    <xf numFmtId="178" fontId="45" fillId="0" borderId="0" applyFont="0" applyFill="0" applyBorder="0" applyAlignment="0" applyProtection="0"/>
    <xf numFmtId="179" fontId="45" fillId="0" borderId="0" applyFont="0" applyFill="0" applyBorder="0" applyAlignment="0" applyProtection="0"/>
    <xf numFmtId="178" fontId="45" fillId="0" borderId="0" applyFont="0" applyFill="0" applyBorder="0" applyAlignment="0" applyProtection="0"/>
    <xf numFmtId="193" fontId="50" fillId="0" borderId="0" applyFont="0" applyFill="0" applyBorder="0" applyAlignment="0" applyProtection="0"/>
    <xf numFmtId="164" fontId="45" fillId="0" borderId="0" applyFont="0" applyFill="0" applyBorder="0" applyAlignment="0" applyProtection="0"/>
    <xf numFmtId="194" fontId="45" fillId="0" borderId="0" applyFont="0" applyFill="0" applyBorder="0" applyAlignment="0" applyProtection="0"/>
    <xf numFmtId="41" fontId="45" fillId="0" borderId="0" applyFont="0" applyFill="0" applyBorder="0" applyAlignment="0" applyProtection="0"/>
    <xf numFmtId="179" fontId="45" fillId="0" borderId="0" applyFont="0" applyFill="0" applyBorder="0" applyAlignment="0" applyProtection="0"/>
    <xf numFmtId="173" fontId="45" fillId="0" borderId="0" applyFont="0" applyFill="0" applyBorder="0" applyAlignment="0" applyProtection="0"/>
    <xf numFmtId="195" fontId="45" fillId="0" borderId="0" applyFont="0" applyFill="0" applyBorder="0" applyAlignment="0" applyProtection="0"/>
    <xf numFmtId="178" fontId="45" fillId="0" borderId="0" applyFont="0" applyFill="0" applyBorder="0" applyAlignment="0" applyProtection="0"/>
    <xf numFmtId="41" fontId="45" fillId="0" borderId="0" applyFont="0" applyFill="0" applyBorder="0" applyAlignment="0" applyProtection="0"/>
    <xf numFmtId="178" fontId="45" fillId="0" borderId="0" applyFont="0" applyFill="0" applyBorder="0" applyAlignment="0" applyProtection="0"/>
    <xf numFmtId="41" fontId="45" fillId="0" borderId="0" applyFont="0" applyFill="0" applyBorder="0" applyAlignment="0" applyProtection="0"/>
    <xf numFmtId="164" fontId="45" fillId="0" borderId="0" applyFont="0" applyFill="0" applyBorder="0" applyAlignment="0" applyProtection="0"/>
    <xf numFmtId="198" fontId="45" fillId="0" borderId="0" applyFont="0" applyFill="0" applyBorder="0" applyAlignment="0" applyProtection="0"/>
    <xf numFmtId="173" fontId="45" fillId="0" borderId="0" applyFont="0" applyFill="0" applyBorder="0" applyAlignment="0" applyProtection="0"/>
    <xf numFmtId="41" fontId="45" fillId="0" borderId="0" applyFont="0" applyFill="0" applyBorder="0" applyAlignment="0" applyProtection="0"/>
    <xf numFmtId="202" fontId="45" fillId="0" borderId="0" applyFont="0" applyFill="0" applyBorder="0" applyAlignment="0" applyProtection="0"/>
    <xf numFmtId="203" fontId="45" fillId="0" borderId="0" applyFont="0" applyFill="0" applyBorder="0" applyAlignment="0" applyProtection="0"/>
    <xf numFmtId="41"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179" fontId="45" fillId="0" borderId="0" applyFont="0" applyFill="0" applyBorder="0" applyAlignment="0" applyProtection="0"/>
    <xf numFmtId="192" fontId="45" fillId="0" borderId="0" applyFont="0" applyFill="0" applyBorder="0" applyAlignment="0" applyProtection="0"/>
    <xf numFmtId="179" fontId="27" fillId="0" borderId="0" applyFont="0" applyFill="0" applyBorder="0" applyAlignment="0" applyProtection="0"/>
    <xf numFmtId="164" fontId="45" fillId="0" borderId="0" applyFont="0" applyFill="0" applyBorder="0" applyAlignment="0" applyProtection="0"/>
    <xf numFmtId="198" fontId="45" fillId="0" borderId="0" applyFont="0" applyFill="0" applyBorder="0" applyAlignment="0" applyProtection="0"/>
    <xf numFmtId="192" fontId="45" fillId="0" borderId="0" applyFont="0" applyFill="0" applyBorder="0" applyAlignment="0" applyProtection="0"/>
    <xf numFmtId="179" fontId="45" fillId="0" borderId="0" applyFont="0" applyFill="0" applyBorder="0" applyAlignment="0" applyProtection="0"/>
    <xf numFmtId="195" fontId="45" fillId="0" borderId="0" applyFont="0" applyFill="0" applyBorder="0" applyAlignment="0" applyProtection="0"/>
    <xf numFmtId="0" fontId="33" fillId="0" borderId="0"/>
    <xf numFmtId="311" fontId="82" fillId="0" borderId="0" applyFont="0" applyFill="0" applyBorder="0" applyAlignment="0" applyProtection="0"/>
    <xf numFmtId="164" fontId="45" fillId="0" borderId="0" applyFont="0" applyFill="0" applyBorder="0" applyAlignment="0" applyProtection="0"/>
    <xf numFmtId="173" fontId="45" fillId="0" borderId="0" applyFont="0" applyFill="0" applyBorder="0" applyAlignment="0" applyProtection="0"/>
    <xf numFmtId="164" fontId="45" fillId="0" borderId="0" applyFont="0" applyFill="0" applyBorder="0" applyAlignment="0" applyProtection="0"/>
    <xf numFmtId="178" fontId="45" fillId="0" borderId="0" applyFont="0" applyFill="0" applyBorder="0" applyAlignment="0" applyProtection="0"/>
    <xf numFmtId="173" fontId="45" fillId="0" borderId="0" applyFont="0" applyFill="0" applyBorder="0" applyAlignment="0" applyProtection="0"/>
    <xf numFmtId="41" fontId="45" fillId="0" borderId="0" applyFont="0" applyFill="0" applyBorder="0" applyAlignment="0" applyProtection="0"/>
    <xf numFmtId="197" fontId="45" fillId="0" borderId="0" applyFont="0" applyFill="0" applyBorder="0" applyAlignment="0" applyProtection="0"/>
    <xf numFmtId="173" fontId="45" fillId="0" borderId="0" applyFont="0" applyFill="0" applyBorder="0" applyAlignment="0" applyProtection="0"/>
    <xf numFmtId="173"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200" fontId="45" fillId="0" borderId="0" applyFont="0" applyFill="0" applyBorder="0" applyAlignment="0" applyProtection="0"/>
    <xf numFmtId="164" fontId="45" fillId="0" borderId="0" applyFont="0" applyFill="0" applyBorder="0" applyAlignment="0" applyProtection="0"/>
    <xf numFmtId="41" fontId="45" fillId="0" borderId="0" applyFont="0" applyFill="0" applyBorder="0" applyAlignment="0" applyProtection="0"/>
    <xf numFmtId="173" fontId="45" fillId="0" borderId="0" applyFont="0" applyFill="0" applyBorder="0" applyAlignment="0" applyProtection="0"/>
    <xf numFmtId="41" fontId="45" fillId="0" borderId="0" applyFont="0" applyFill="0" applyBorder="0" applyAlignment="0" applyProtection="0"/>
    <xf numFmtId="178" fontId="27" fillId="0" borderId="0" applyFont="0" applyFill="0" applyBorder="0" applyAlignment="0" applyProtection="0"/>
    <xf numFmtId="173" fontId="45" fillId="0" borderId="0" applyFont="0" applyFill="0" applyBorder="0" applyAlignment="0" applyProtection="0"/>
    <xf numFmtId="178" fontId="45" fillId="0" borderId="0" applyFont="0" applyFill="0" applyBorder="0" applyAlignment="0" applyProtection="0"/>
    <xf numFmtId="173" fontId="45" fillId="0" borderId="0" applyFont="0" applyFill="0" applyBorder="0" applyAlignment="0" applyProtection="0"/>
    <xf numFmtId="41" fontId="45" fillId="0" borderId="0" applyFont="0" applyFill="0" applyBorder="0" applyAlignment="0" applyProtection="0"/>
    <xf numFmtId="173" fontId="45" fillId="0" borderId="0" applyFont="0" applyFill="0" applyBorder="0" applyAlignment="0" applyProtection="0"/>
    <xf numFmtId="200" fontId="45" fillId="0" borderId="0" applyFont="0" applyFill="0" applyBorder="0" applyAlignment="0" applyProtection="0"/>
    <xf numFmtId="164" fontId="45" fillId="0" borderId="0" applyFont="0" applyFill="0" applyBorder="0" applyAlignment="0" applyProtection="0"/>
    <xf numFmtId="200" fontId="45" fillId="0" borderId="0" applyFont="0" applyFill="0" applyBorder="0" applyAlignment="0" applyProtection="0"/>
    <xf numFmtId="178" fontId="45" fillId="0" borderId="0" applyFont="0" applyFill="0" applyBorder="0" applyAlignment="0" applyProtection="0"/>
    <xf numFmtId="41" fontId="45" fillId="0" borderId="0" applyFont="0" applyFill="0" applyBorder="0" applyAlignment="0" applyProtection="0"/>
    <xf numFmtId="14" fontId="196" fillId="0" borderId="0"/>
    <xf numFmtId="0" fontId="197" fillId="0" borderId="0"/>
    <xf numFmtId="0" fontId="150" fillId="0" borderId="0"/>
    <xf numFmtId="0" fontId="150" fillId="0" borderId="0"/>
    <xf numFmtId="40" fontId="198" fillId="0" borderId="0" applyBorder="0">
      <alignment horizontal="right"/>
    </xf>
    <xf numFmtId="0" fontId="199" fillId="0" borderId="0"/>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289" fontId="200" fillId="0" borderId="45">
      <alignment horizontal="right" vertical="center"/>
    </xf>
    <xf numFmtId="289" fontId="200" fillId="0" borderId="45">
      <alignment horizontal="right" vertical="center"/>
    </xf>
    <xf numFmtId="312" fontId="82"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289" fontId="200" fillId="0" borderId="45">
      <alignment horizontal="right" vertical="center"/>
    </xf>
    <xf numFmtId="289" fontId="200" fillId="0" borderId="45">
      <alignment horizontal="right" vertical="center"/>
    </xf>
    <xf numFmtId="289" fontId="200" fillId="0" borderId="45">
      <alignment horizontal="right" vertical="center"/>
    </xf>
    <xf numFmtId="289" fontId="200" fillId="0" borderId="45">
      <alignment horizontal="right" vertical="center"/>
    </xf>
    <xf numFmtId="289" fontId="200" fillId="0" borderId="45">
      <alignment horizontal="right" vertical="center"/>
    </xf>
    <xf numFmtId="289" fontId="200" fillId="0" borderId="45">
      <alignment horizontal="right" vertical="center"/>
    </xf>
    <xf numFmtId="289" fontId="200" fillId="0" borderId="45">
      <alignment horizontal="right" vertical="center"/>
    </xf>
    <xf numFmtId="289" fontId="200" fillId="0" borderId="45">
      <alignment horizontal="right" vertical="center"/>
    </xf>
    <xf numFmtId="289" fontId="200" fillId="0" borderId="45">
      <alignment horizontal="right" vertical="center"/>
    </xf>
    <xf numFmtId="289" fontId="200"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4" fontId="45" fillId="0" borderId="45">
      <alignment horizontal="right" vertical="center"/>
    </xf>
    <xf numFmtId="314" fontId="45"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5" fontId="56" fillId="0" borderId="45">
      <alignment horizontal="right" vertical="center"/>
    </xf>
    <xf numFmtId="315" fontId="56" fillId="0" borderId="45">
      <alignment horizontal="right" vertical="center"/>
    </xf>
    <xf numFmtId="310" fontId="73" fillId="0" borderId="45">
      <alignment horizontal="right" vertical="center"/>
    </xf>
    <xf numFmtId="316" fontId="67" fillId="0" borderId="45">
      <alignment horizontal="right" vertical="center"/>
    </xf>
    <xf numFmtId="316" fontId="67" fillId="0" borderId="45">
      <alignment horizontal="right" vertical="center"/>
    </xf>
    <xf numFmtId="314" fontId="45" fillId="0" borderId="45">
      <alignment horizontal="right" vertical="center"/>
    </xf>
    <xf numFmtId="314" fontId="45"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6" fontId="2" fillId="0" borderId="45">
      <alignment horizontal="right" vertical="center"/>
    </xf>
    <xf numFmtId="316" fontId="2" fillId="0" borderId="45">
      <alignment horizontal="right" vertical="center"/>
    </xf>
    <xf numFmtId="316" fontId="67" fillId="0" borderId="45">
      <alignment horizontal="right" vertical="center"/>
    </xf>
    <xf numFmtId="316" fontId="67" fillId="0" borderId="45">
      <alignment horizontal="right" vertical="center"/>
    </xf>
    <xf numFmtId="316" fontId="67" fillId="0" borderId="45">
      <alignment horizontal="right" vertical="center"/>
    </xf>
    <xf numFmtId="316" fontId="67"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6" fontId="2" fillId="0" borderId="45">
      <alignment horizontal="right" vertical="center"/>
    </xf>
    <xf numFmtId="316" fontId="2" fillId="0" borderId="45">
      <alignment horizontal="right" vertical="center"/>
    </xf>
    <xf numFmtId="314" fontId="45" fillId="0" borderId="45">
      <alignment horizontal="right" vertical="center"/>
    </xf>
    <xf numFmtId="314" fontId="45" fillId="0" borderId="45">
      <alignment horizontal="right" vertical="center"/>
    </xf>
    <xf numFmtId="316" fontId="67" fillId="0" borderId="45">
      <alignment horizontal="right" vertical="center"/>
    </xf>
    <xf numFmtId="316" fontId="67" fillId="0" borderId="45">
      <alignment horizontal="right" vertical="center"/>
    </xf>
    <xf numFmtId="316" fontId="67" fillId="0" borderId="45">
      <alignment horizontal="right" vertical="center"/>
    </xf>
    <xf numFmtId="316" fontId="67" fillId="0" borderId="45">
      <alignment horizontal="right" vertical="center"/>
    </xf>
    <xf numFmtId="316" fontId="67" fillId="0" borderId="45">
      <alignment horizontal="right" vertical="center"/>
    </xf>
    <xf numFmtId="316" fontId="67"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4" fontId="45" fillId="0" borderId="45">
      <alignment horizontal="right" vertical="center"/>
    </xf>
    <xf numFmtId="314" fontId="45" fillId="0" borderId="45">
      <alignment horizontal="right" vertical="center"/>
    </xf>
    <xf numFmtId="314" fontId="45" fillId="0" borderId="45">
      <alignment horizontal="right" vertical="center"/>
    </xf>
    <xf numFmtId="314" fontId="45"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4" fontId="45" fillId="0" borderId="45">
      <alignment horizontal="right" vertical="center"/>
    </xf>
    <xf numFmtId="314" fontId="45" fillId="0" borderId="45">
      <alignment horizontal="right" vertical="center"/>
    </xf>
    <xf numFmtId="318" fontId="2" fillId="0" borderId="45">
      <alignment horizontal="right" vertical="center"/>
    </xf>
    <xf numFmtId="318" fontId="2" fillId="0" borderId="45">
      <alignment horizontal="right" vertical="center"/>
    </xf>
    <xf numFmtId="318" fontId="67" fillId="0" borderId="45">
      <alignment horizontal="right" vertical="center"/>
    </xf>
    <xf numFmtId="318" fontId="67" fillId="0" borderId="45">
      <alignment horizontal="right" vertical="center"/>
    </xf>
    <xf numFmtId="318" fontId="67" fillId="0" borderId="45">
      <alignment horizontal="right" vertical="center"/>
    </xf>
    <xf numFmtId="318" fontId="67"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5" fontId="56" fillId="0" borderId="45">
      <alignment horizontal="right" vertical="center"/>
    </xf>
    <xf numFmtId="315" fontId="56" fillId="0" borderId="45">
      <alignment horizontal="right" vertical="center"/>
    </xf>
    <xf numFmtId="315" fontId="56" fillId="0" borderId="45">
      <alignment horizontal="right" vertical="center"/>
    </xf>
    <xf numFmtId="315" fontId="56" fillId="0" borderId="45">
      <alignment horizontal="right" vertical="center"/>
    </xf>
    <xf numFmtId="318" fontId="2" fillId="0" borderId="45">
      <alignment horizontal="right" vertical="center"/>
    </xf>
    <xf numFmtId="318" fontId="2" fillId="0" borderId="45">
      <alignment horizontal="right" vertical="center"/>
    </xf>
    <xf numFmtId="318" fontId="67" fillId="0" borderId="45">
      <alignment horizontal="right" vertical="center"/>
    </xf>
    <xf numFmtId="318" fontId="67" fillId="0" borderId="45">
      <alignment horizontal="right" vertical="center"/>
    </xf>
    <xf numFmtId="318" fontId="67" fillId="0" borderId="45">
      <alignment horizontal="right" vertical="center"/>
    </xf>
    <xf numFmtId="318" fontId="67" fillId="0" borderId="45">
      <alignment horizontal="right" vertical="center"/>
    </xf>
    <xf numFmtId="315" fontId="56" fillId="0" borderId="45">
      <alignment horizontal="right" vertical="center"/>
    </xf>
    <xf numFmtId="315" fontId="56" fillId="0" borderId="45">
      <alignment horizontal="right" vertical="center"/>
    </xf>
    <xf numFmtId="315" fontId="56" fillId="0" borderId="45">
      <alignment horizontal="right" vertical="center"/>
    </xf>
    <xf numFmtId="315" fontId="56" fillId="0" borderId="45">
      <alignment horizontal="right" vertical="center"/>
    </xf>
    <xf numFmtId="315" fontId="56" fillId="0" borderId="45">
      <alignment horizontal="right" vertical="center"/>
    </xf>
    <xf numFmtId="315" fontId="56" fillId="0" borderId="45">
      <alignment horizontal="right" vertical="center"/>
    </xf>
    <xf numFmtId="315" fontId="56" fillId="0" borderId="45">
      <alignment horizontal="right" vertical="center"/>
    </xf>
    <xf numFmtId="315" fontId="56" fillId="0" borderId="45">
      <alignment horizontal="right" vertical="center"/>
    </xf>
    <xf numFmtId="314" fontId="45" fillId="0" borderId="45">
      <alignment horizontal="right" vertical="center"/>
    </xf>
    <xf numFmtId="314" fontId="45" fillId="0" borderId="45">
      <alignment horizontal="right" vertical="center"/>
    </xf>
    <xf numFmtId="318" fontId="67" fillId="0" borderId="45">
      <alignment horizontal="right" vertical="center"/>
    </xf>
    <xf numFmtId="318" fontId="67" fillId="0" borderId="45">
      <alignment horizontal="right" vertical="center"/>
    </xf>
    <xf numFmtId="318" fontId="67" fillId="0" borderId="45">
      <alignment horizontal="right" vertical="center"/>
    </xf>
    <xf numFmtId="318" fontId="67" fillId="0" borderId="45">
      <alignment horizontal="right" vertical="center"/>
    </xf>
    <xf numFmtId="318" fontId="2" fillId="0" borderId="45">
      <alignment horizontal="right" vertical="center"/>
    </xf>
    <xf numFmtId="318" fontId="2" fillId="0" borderId="45">
      <alignment horizontal="right" vertical="center"/>
    </xf>
    <xf numFmtId="318" fontId="67" fillId="0" borderId="45">
      <alignment horizontal="right" vertical="center"/>
    </xf>
    <xf numFmtId="318" fontId="67" fillId="0" borderId="45">
      <alignment horizontal="right" vertical="center"/>
    </xf>
    <xf numFmtId="314" fontId="45" fillId="0" borderId="45">
      <alignment horizontal="right" vertical="center"/>
    </xf>
    <xf numFmtId="314" fontId="45" fillId="0" borderId="45">
      <alignment horizontal="right" vertical="center"/>
    </xf>
    <xf numFmtId="314" fontId="45" fillId="0" borderId="45">
      <alignment horizontal="right" vertical="center"/>
    </xf>
    <xf numFmtId="314" fontId="45" fillId="0" borderId="45">
      <alignment horizontal="right" vertical="center"/>
    </xf>
    <xf numFmtId="314" fontId="45" fillId="0" borderId="45">
      <alignment horizontal="right" vertical="center"/>
    </xf>
    <xf numFmtId="314" fontId="45"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4" fontId="45" fillId="0" borderId="45">
      <alignment horizontal="right" vertical="center"/>
    </xf>
    <xf numFmtId="314" fontId="45" fillId="0" borderId="45">
      <alignment horizontal="right" vertical="center"/>
    </xf>
    <xf numFmtId="319" fontId="201" fillId="3" borderId="46" applyFont="0" applyFill="0" applyBorder="0"/>
    <xf numFmtId="319" fontId="201" fillId="3" borderId="46" applyFont="0" applyFill="0" applyBorder="0"/>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4" fontId="45" fillId="0" borderId="45">
      <alignment horizontal="right" vertical="center"/>
    </xf>
    <xf numFmtId="314" fontId="45"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9" fontId="201" fillId="3" borderId="46" applyFont="0" applyFill="0" applyBorder="0"/>
    <xf numFmtId="319" fontId="201" fillId="3" borderId="46" applyFont="0" applyFill="0" applyBorder="0"/>
    <xf numFmtId="316" fontId="67" fillId="0" borderId="45">
      <alignment horizontal="right" vertical="center"/>
    </xf>
    <xf numFmtId="316" fontId="67" fillId="0" borderId="45">
      <alignment horizontal="right" vertical="center"/>
    </xf>
    <xf numFmtId="318" fontId="67" fillId="0" borderId="45">
      <alignment horizontal="right" vertical="center"/>
    </xf>
    <xf numFmtId="318" fontId="67" fillId="0" borderId="45">
      <alignment horizontal="right" vertical="center"/>
    </xf>
    <xf numFmtId="318" fontId="67" fillId="0" borderId="45">
      <alignment horizontal="right" vertical="center"/>
    </xf>
    <xf numFmtId="318" fontId="67" fillId="0" borderId="45">
      <alignment horizontal="right" vertical="center"/>
    </xf>
    <xf numFmtId="318" fontId="67" fillId="0" borderId="45">
      <alignment horizontal="right" vertical="center"/>
    </xf>
    <xf numFmtId="318" fontId="67"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8" fontId="67" fillId="0" borderId="45">
      <alignment horizontal="right" vertical="center"/>
    </xf>
    <xf numFmtId="318" fontId="67" fillId="0" borderId="45">
      <alignment horizontal="right" vertical="center"/>
    </xf>
    <xf numFmtId="318" fontId="67" fillId="0" borderId="45">
      <alignment horizontal="right" vertical="center"/>
    </xf>
    <xf numFmtId="318" fontId="67" fillId="0" borderId="45">
      <alignment horizontal="right" vertical="center"/>
    </xf>
    <xf numFmtId="318" fontId="67" fillId="0" borderId="45">
      <alignment horizontal="right" vertical="center"/>
    </xf>
    <xf numFmtId="318" fontId="67" fillId="0" borderId="45">
      <alignment horizontal="right" vertical="center"/>
    </xf>
    <xf numFmtId="318" fontId="67" fillId="0" borderId="45">
      <alignment horizontal="right" vertical="center"/>
    </xf>
    <xf numFmtId="318" fontId="67" fillId="0" borderId="45">
      <alignment horizontal="right" vertical="center"/>
    </xf>
    <xf numFmtId="318" fontId="67" fillId="0" borderId="45">
      <alignment horizontal="right" vertical="center"/>
    </xf>
    <xf numFmtId="318" fontId="67" fillId="0" borderId="45">
      <alignment horizontal="right" vertical="center"/>
    </xf>
    <xf numFmtId="318" fontId="2" fillId="0" borderId="45">
      <alignment horizontal="right" vertical="center"/>
    </xf>
    <xf numFmtId="318" fontId="2" fillId="0" borderId="45">
      <alignment horizontal="right" vertical="center"/>
    </xf>
    <xf numFmtId="318" fontId="67" fillId="0" borderId="45">
      <alignment horizontal="right" vertical="center"/>
    </xf>
    <xf numFmtId="318" fontId="67" fillId="0" borderId="45">
      <alignment horizontal="right" vertical="center"/>
    </xf>
    <xf numFmtId="318" fontId="67" fillId="0" borderId="45">
      <alignment horizontal="right" vertical="center"/>
    </xf>
    <xf numFmtId="318" fontId="67" fillId="0" borderId="45">
      <alignment horizontal="right" vertical="center"/>
    </xf>
    <xf numFmtId="318" fontId="67" fillId="0" borderId="45">
      <alignment horizontal="right" vertical="center"/>
    </xf>
    <xf numFmtId="318" fontId="67" fillId="0" borderId="45">
      <alignment horizontal="right" vertical="center"/>
    </xf>
    <xf numFmtId="318" fontId="2" fillId="0" borderId="45">
      <alignment horizontal="right" vertical="center"/>
    </xf>
    <xf numFmtId="318" fontId="2" fillId="0" borderId="45">
      <alignment horizontal="right" vertical="center"/>
    </xf>
    <xf numFmtId="318" fontId="67" fillId="0" borderId="45">
      <alignment horizontal="right" vertical="center"/>
    </xf>
    <xf numFmtId="318" fontId="67" fillId="0" borderId="45">
      <alignment horizontal="right" vertical="center"/>
    </xf>
    <xf numFmtId="314" fontId="45" fillId="0" borderId="45">
      <alignment horizontal="right" vertical="center"/>
    </xf>
    <xf numFmtId="314" fontId="45" fillId="0" borderId="45">
      <alignment horizontal="right" vertical="center"/>
    </xf>
    <xf numFmtId="318" fontId="67" fillId="0" borderId="45">
      <alignment horizontal="right" vertical="center"/>
    </xf>
    <xf numFmtId="318" fontId="67" fillId="0" borderId="45">
      <alignment horizontal="right" vertical="center"/>
    </xf>
    <xf numFmtId="318" fontId="67" fillId="0" borderId="45">
      <alignment horizontal="right" vertical="center"/>
    </xf>
    <xf numFmtId="318" fontId="67" fillId="0" borderId="45">
      <alignment horizontal="right" vertical="center"/>
    </xf>
    <xf numFmtId="318" fontId="2" fillId="0" borderId="45">
      <alignment horizontal="right" vertical="center"/>
    </xf>
    <xf numFmtId="318" fontId="2" fillId="0" borderId="45">
      <alignment horizontal="right" vertical="center"/>
    </xf>
    <xf numFmtId="318" fontId="67" fillId="0" borderId="45">
      <alignment horizontal="right" vertical="center"/>
    </xf>
    <xf numFmtId="318" fontId="67"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7" fontId="28" fillId="0" borderId="45">
      <alignment horizontal="right" vertical="center"/>
    </xf>
    <xf numFmtId="316" fontId="2" fillId="0" borderId="45">
      <alignment horizontal="right" vertical="center"/>
    </xf>
    <xf numFmtId="316" fontId="2"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20" fontId="28" fillId="0" borderId="45">
      <alignment horizontal="right" vertical="center"/>
    </xf>
    <xf numFmtId="320" fontId="28" fillId="0" borderId="45">
      <alignment horizontal="right" vertical="center"/>
    </xf>
    <xf numFmtId="320" fontId="28" fillId="0" borderId="45">
      <alignment horizontal="right" vertical="center"/>
    </xf>
    <xf numFmtId="320" fontId="28" fillId="0" borderId="45">
      <alignment horizontal="right" vertical="center"/>
    </xf>
    <xf numFmtId="320" fontId="28" fillId="0" borderId="45">
      <alignment horizontal="right" vertical="center"/>
    </xf>
    <xf numFmtId="320" fontId="28" fillId="0" borderId="45">
      <alignment horizontal="right" vertical="center"/>
    </xf>
    <xf numFmtId="320" fontId="28" fillId="0" borderId="45">
      <alignment horizontal="right" vertical="center"/>
    </xf>
    <xf numFmtId="320" fontId="28" fillId="0" borderId="45">
      <alignment horizontal="right" vertical="center"/>
    </xf>
    <xf numFmtId="320" fontId="28" fillId="0" borderId="45">
      <alignment horizontal="right" vertical="center"/>
    </xf>
    <xf numFmtId="320" fontId="28" fillId="0" borderId="45">
      <alignment horizontal="right" vertical="center"/>
    </xf>
    <xf numFmtId="320" fontId="28" fillId="0" borderId="45">
      <alignment horizontal="right" vertical="center"/>
    </xf>
    <xf numFmtId="320" fontId="28"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21" fontId="28" fillId="0" borderId="45">
      <alignment horizontal="right" vertical="center"/>
    </xf>
    <xf numFmtId="321" fontId="28" fillId="0" borderId="45">
      <alignment horizontal="right" vertical="center"/>
    </xf>
    <xf numFmtId="321" fontId="28" fillId="0" borderId="45">
      <alignment horizontal="right" vertical="center"/>
    </xf>
    <xf numFmtId="321" fontId="28" fillId="0" borderId="45">
      <alignment horizontal="right" vertical="center"/>
    </xf>
    <xf numFmtId="321" fontId="28" fillId="0" borderId="45">
      <alignment horizontal="right" vertical="center"/>
    </xf>
    <xf numFmtId="321" fontId="28"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4" fontId="45" fillId="0" borderId="45">
      <alignment horizontal="right" vertical="center"/>
    </xf>
    <xf numFmtId="314" fontId="45"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3" fontId="73" fillId="0" borderId="45">
      <alignment horizontal="right" vertical="center"/>
    </xf>
    <xf numFmtId="319" fontId="201" fillId="3" borderId="46" applyFont="0" applyFill="0" applyBorder="0"/>
    <xf numFmtId="319" fontId="201" fillId="3" borderId="46" applyFont="0" applyFill="0" applyBorder="0"/>
    <xf numFmtId="293" fontId="28" fillId="0" borderId="45">
      <alignment horizontal="right" vertical="center"/>
    </xf>
    <xf numFmtId="293" fontId="28" fillId="0" borderId="45">
      <alignment horizontal="right" vertical="center"/>
    </xf>
    <xf numFmtId="293" fontId="28" fillId="0" borderId="45">
      <alignment horizontal="right" vertical="center"/>
    </xf>
    <xf numFmtId="293" fontId="28" fillId="0" borderId="45">
      <alignment horizontal="right" vertical="center"/>
    </xf>
    <xf numFmtId="293" fontId="28" fillId="0" borderId="45">
      <alignment horizontal="right" vertical="center"/>
    </xf>
    <xf numFmtId="293" fontId="28" fillId="0" borderId="45">
      <alignment horizontal="right" vertical="center"/>
    </xf>
    <xf numFmtId="312" fontId="82" fillId="0" borderId="45">
      <alignment horizontal="right" vertical="center"/>
    </xf>
    <xf numFmtId="289" fontId="200" fillId="0" borderId="45">
      <alignment horizontal="right" vertical="center"/>
    </xf>
    <xf numFmtId="289" fontId="200" fillId="0" borderId="45">
      <alignment horizontal="right" vertical="center"/>
    </xf>
    <xf numFmtId="289" fontId="200" fillId="0" borderId="45">
      <alignment horizontal="right" vertical="center"/>
    </xf>
    <xf numFmtId="289" fontId="200" fillId="0" borderId="45">
      <alignment horizontal="right" vertical="center"/>
    </xf>
    <xf numFmtId="289" fontId="200" fillId="0" borderId="45">
      <alignment horizontal="right" vertical="center"/>
    </xf>
    <xf numFmtId="289" fontId="200" fillId="0" borderId="45">
      <alignment horizontal="right" vertical="center"/>
    </xf>
    <xf numFmtId="289" fontId="200" fillId="0" borderId="45">
      <alignment horizontal="right" vertical="center"/>
    </xf>
    <xf numFmtId="289" fontId="200" fillId="0" borderId="45">
      <alignment horizontal="right" vertical="center"/>
    </xf>
    <xf numFmtId="289" fontId="200" fillId="0" borderId="45">
      <alignment horizontal="right" vertical="center"/>
    </xf>
    <xf numFmtId="289" fontId="200" fillId="0" borderId="45">
      <alignment horizontal="right" vertical="center"/>
    </xf>
    <xf numFmtId="289" fontId="200" fillId="0" borderId="45">
      <alignment horizontal="right" vertical="center"/>
    </xf>
    <xf numFmtId="289" fontId="200"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20" fontId="28" fillId="0" borderId="45">
      <alignment horizontal="right" vertical="center"/>
    </xf>
    <xf numFmtId="320" fontId="28" fillId="0" borderId="45">
      <alignment horizontal="right" vertical="center"/>
    </xf>
    <xf numFmtId="320" fontId="28" fillId="0" borderId="45">
      <alignment horizontal="right" vertical="center"/>
    </xf>
    <xf numFmtId="320" fontId="28" fillId="0" borderId="45">
      <alignment horizontal="right" vertical="center"/>
    </xf>
    <xf numFmtId="320" fontId="28" fillId="0" borderId="45">
      <alignment horizontal="right" vertical="center"/>
    </xf>
    <xf numFmtId="320" fontId="28" fillId="0" borderId="45">
      <alignment horizontal="right" vertical="center"/>
    </xf>
    <xf numFmtId="320" fontId="28" fillId="0" borderId="45">
      <alignment horizontal="right" vertical="center"/>
    </xf>
    <xf numFmtId="320" fontId="28" fillId="0" borderId="45">
      <alignment horizontal="right" vertical="center"/>
    </xf>
    <xf numFmtId="320" fontId="28" fillId="0" borderId="45">
      <alignment horizontal="right" vertical="center"/>
    </xf>
    <xf numFmtId="320" fontId="28" fillId="0" borderId="45">
      <alignment horizontal="right" vertical="center"/>
    </xf>
    <xf numFmtId="320" fontId="28" fillId="0" borderId="45">
      <alignment horizontal="right" vertical="center"/>
    </xf>
    <xf numFmtId="320" fontId="28" fillId="0" borderId="45">
      <alignment horizontal="right" vertical="center"/>
    </xf>
    <xf numFmtId="319" fontId="201" fillId="3" borderId="46" applyFont="0" applyFill="0" applyBorder="0"/>
    <xf numFmtId="319" fontId="201" fillId="3" borderId="46" applyFont="0" applyFill="0" applyBorder="0"/>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0" fontId="73"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12" fontId="82" fillId="0" borderId="45">
      <alignment horizontal="right" vertical="center"/>
    </xf>
    <xf numFmtId="322" fontId="202" fillId="0" borderId="45">
      <alignment horizontal="right" vertical="center"/>
    </xf>
    <xf numFmtId="322" fontId="202" fillId="0" borderId="45">
      <alignment horizontal="right" vertical="center"/>
    </xf>
    <xf numFmtId="312" fontId="82" fillId="0" borderId="45">
      <alignment horizontal="right" vertical="center"/>
    </xf>
    <xf numFmtId="312" fontId="82" fillId="0" borderId="45">
      <alignment horizontal="right" vertical="center"/>
    </xf>
    <xf numFmtId="322" fontId="202" fillId="0" borderId="45">
      <alignment horizontal="right" vertical="center"/>
    </xf>
    <xf numFmtId="322" fontId="202" fillId="0" borderId="45">
      <alignment horizontal="right" vertical="center"/>
    </xf>
    <xf numFmtId="322" fontId="202" fillId="0" borderId="45">
      <alignment horizontal="right" vertical="center"/>
    </xf>
    <xf numFmtId="322" fontId="202" fillId="0" borderId="45">
      <alignment horizontal="right" vertical="center"/>
    </xf>
    <xf numFmtId="322" fontId="202" fillId="0" borderId="45">
      <alignment horizontal="right" vertical="center"/>
    </xf>
    <xf numFmtId="322" fontId="202" fillId="0" borderId="45">
      <alignment horizontal="right" vertical="center"/>
    </xf>
    <xf numFmtId="322" fontId="202" fillId="0" borderId="45">
      <alignment horizontal="right" vertical="center"/>
    </xf>
    <xf numFmtId="322" fontId="202" fillId="0" borderId="45">
      <alignment horizontal="right" vertical="center"/>
    </xf>
    <xf numFmtId="322" fontId="202" fillId="0" borderId="45">
      <alignment horizontal="right" vertical="center"/>
    </xf>
    <xf numFmtId="322" fontId="202" fillId="0" borderId="45">
      <alignment horizontal="right" vertical="center"/>
    </xf>
    <xf numFmtId="322" fontId="202" fillId="0" borderId="45">
      <alignment horizontal="right" vertical="center"/>
    </xf>
    <xf numFmtId="322" fontId="202" fillId="0" borderId="45">
      <alignment horizontal="right" vertical="center"/>
    </xf>
    <xf numFmtId="322" fontId="202" fillId="0" borderId="45">
      <alignment horizontal="right" vertical="center"/>
    </xf>
    <xf numFmtId="322" fontId="202" fillId="0" borderId="45">
      <alignment horizontal="right" vertical="center"/>
    </xf>
    <xf numFmtId="322" fontId="202" fillId="0" borderId="45">
      <alignment horizontal="right" vertical="center"/>
    </xf>
    <xf numFmtId="322" fontId="202" fillId="0" borderId="45">
      <alignment horizontal="right" vertical="center"/>
    </xf>
    <xf numFmtId="322" fontId="202" fillId="0" borderId="45">
      <alignment horizontal="right" vertical="center"/>
    </xf>
    <xf numFmtId="322" fontId="202" fillId="0" borderId="45">
      <alignment horizontal="right" vertical="center"/>
    </xf>
    <xf numFmtId="314" fontId="45" fillId="0" borderId="45">
      <alignment horizontal="right" vertical="center"/>
    </xf>
    <xf numFmtId="314" fontId="45" fillId="0" borderId="45">
      <alignment horizontal="right" vertical="center"/>
    </xf>
    <xf numFmtId="312" fontId="82" fillId="0" borderId="45">
      <alignment horizontal="right" vertical="center"/>
    </xf>
    <xf numFmtId="312" fontId="82" fillId="0" borderId="45">
      <alignment horizontal="right" vertical="center"/>
    </xf>
    <xf numFmtId="49" fontId="47" fillId="0" borderId="0" applyFill="0" applyBorder="0" applyAlignment="0"/>
    <xf numFmtId="0" fontId="67"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1" fontId="67"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179" fontId="82" fillId="0" borderId="45">
      <alignment horizontal="center"/>
    </xf>
    <xf numFmtId="179" fontId="82" fillId="0" borderId="45">
      <alignment horizontal="center"/>
    </xf>
    <xf numFmtId="179" fontId="82" fillId="0" borderId="45">
      <alignment horizontal="center"/>
    </xf>
    <xf numFmtId="179" fontId="82" fillId="0" borderId="45">
      <alignment horizontal="center"/>
    </xf>
    <xf numFmtId="179" fontId="82" fillId="0" borderId="45">
      <alignment horizontal="center"/>
    </xf>
    <xf numFmtId="179" fontId="82" fillId="0" borderId="45">
      <alignment horizontal="center"/>
    </xf>
    <xf numFmtId="179" fontId="82" fillId="0" borderId="45">
      <alignment horizontal="center"/>
    </xf>
    <xf numFmtId="179" fontId="82" fillId="0" borderId="45">
      <alignment horizontal="center"/>
    </xf>
    <xf numFmtId="179" fontId="82" fillId="0" borderId="45">
      <alignment horizontal="center"/>
    </xf>
    <xf numFmtId="179" fontId="82" fillId="0" borderId="45">
      <alignment horizontal="center"/>
    </xf>
    <xf numFmtId="179" fontId="82" fillId="0" borderId="45">
      <alignment horizontal="center"/>
    </xf>
    <xf numFmtId="179" fontId="82" fillId="0" borderId="45">
      <alignment horizontal="center"/>
    </xf>
    <xf numFmtId="179" fontId="82" fillId="0" borderId="45">
      <alignment horizontal="center"/>
    </xf>
    <xf numFmtId="179" fontId="82" fillId="0" borderId="45">
      <alignment horizontal="center"/>
    </xf>
    <xf numFmtId="179" fontId="82" fillId="0" borderId="45">
      <alignment horizontal="center"/>
    </xf>
    <xf numFmtId="0" fontId="203" fillId="0" borderId="47" applyProtection="0"/>
    <xf numFmtId="0" fontId="82" fillId="0" borderId="0" applyProtection="0"/>
    <xf numFmtId="0" fontId="2" fillId="0" borderId="0" applyProtection="0"/>
    <xf numFmtId="0" fontId="91" fillId="0" borderId="0" applyProtection="0"/>
    <xf numFmtId="0" fontId="203" fillId="0" borderId="47" applyProtection="0"/>
    <xf numFmtId="0" fontId="82" fillId="0" borderId="0" applyProtection="0"/>
    <xf numFmtId="0" fontId="2" fillId="0" borderId="0" applyProtection="0"/>
    <xf numFmtId="0" fontId="91" fillId="0" borderId="0" applyProtection="0"/>
    <xf numFmtId="325" fontId="204" fillId="0" borderId="0" applyNumberFormat="0" applyFont="0" applyFill="0" applyBorder="0" applyAlignment="0">
      <alignment horizontal="centerContinuous"/>
    </xf>
    <xf numFmtId="0" fontId="37" fillId="0" borderId="0">
      <alignment vertical="center" wrapText="1"/>
      <protection locked="0"/>
    </xf>
    <xf numFmtId="0" fontId="203" fillId="0" borderId="48"/>
    <xf numFmtId="0" fontId="203" fillId="0" borderId="48"/>
    <xf numFmtId="0" fontId="82" fillId="0" borderId="0" applyNumberFormat="0" applyFill="0" applyBorder="0" applyAlignment="0" applyProtection="0"/>
    <xf numFmtId="0" fontId="82" fillId="0" borderId="0" applyNumberFormat="0" applyFill="0" applyBorder="0" applyAlignment="0" applyProtection="0"/>
    <xf numFmtId="0" fontId="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56" fillId="0" borderId="16" applyNumberFormat="0" applyBorder="0" applyAlignment="0"/>
    <xf numFmtId="0" fontId="205" fillId="0" borderId="14" applyNumberFormat="0" applyBorder="0" applyAlignment="0">
      <alignment horizontal="center"/>
    </xf>
    <xf numFmtId="0" fontId="205" fillId="0" borderId="14" applyNumberFormat="0" applyBorder="0" applyAlignment="0">
      <alignment horizontal="center"/>
    </xf>
    <xf numFmtId="3" fontId="206" fillId="0" borderId="15" applyNumberFormat="0" applyBorder="0" applyAlignment="0"/>
    <xf numFmtId="0" fontId="207" fillId="0" borderId="0" applyFill="0" applyBorder="0" applyProtection="0">
      <alignment horizontal="left" vertical="top"/>
    </xf>
    <xf numFmtId="0" fontId="208" fillId="0" borderId="16">
      <alignment horizontal="center" vertical="center" wrapText="1"/>
    </xf>
    <xf numFmtId="0" fontId="209" fillId="0" borderId="0" applyNumberFormat="0" applyFill="0" applyBorder="0" applyAlignment="0" applyProtection="0"/>
    <xf numFmtId="0" fontId="210" fillId="0" borderId="0">
      <alignment horizontal="center"/>
    </xf>
    <xf numFmtId="40" fontId="19" fillId="0" borderId="0"/>
    <xf numFmtId="0" fontId="211" fillId="23" borderId="37" applyNumberFormat="0" applyAlignment="0" applyProtection="0"/>
    <xf numFmtId="0" fontId="211" fillId="23" borderId="37" applyNumberFormat="0" applyAlignment="0" applyProtection="0"/>
    <xf numFmtId="0" fontId="211" fillId="23" borderId="37" applyNumberFormat="0" applyAlignment="0" applyProtection="0"/>
    <xf numFmtId="0" fontId="211" fillId="23" borderId="37" applyNumberFormat="0" applyAlignment="0" applyProtection="0"/>
    <xf numFmtId="0" fontId="211" fillId="23" borderId="37" applyNumberFormat="0" applyAlignment="0" applyProtection="0"/>
    <xf numFmtId="0" fontId="211" fillId="23" borderId="37" applyNumberFormat="0" applyAlignment="0" applyProtection="0"/>
    <xf numFmtId="0" fontId="211" fillId="23" borderId="37" applyNumberFormat="0" applyAlignment="0" applyProtection="0"/>
    <xf numFmtId="0" fontId="211" fillId="23" borderId="37" applyNumberFormat="0" applyAlignment="0" applyProtection="0"/>
    <xf numFmtId="0" fontId="211" fillId="23" borderId="37" applyNumberFormat="0" applyAlignment="0" applyProtection="0"/>
    <xf numFmtId="0" fontId="211" fillId="23" borderId="37" applyNumberFormat="0" applyAlignment="0" applyProtection="0"/>
    <xf numFmtId="0" fontId="211" fillId="23" borderId="37" applyNumberFormat="0" applyAlignment="0" applyProtection="0"/>
    <xf numFmtId="0" fontId="211" fillId="23" borderId="37" applyNumberFormat="0" applyAlignment="0" applyProtection="0"/>
    <xf numFmtId="0" fontId="211" fillId="23" borderId="37" applyNumberFormat="0" applyAlignment="0" applyProtection="0"/>
    <xf numFmtId="0" fontId="211" fillId="23" borderId="37" applyNumberFormat="0" applyAlignment="0" applyProtection="0"/>
    <xf numFmtId="0" fontId="211" fillId="23" borderId="37" applyNumberFormat="0" applyAlignment="0" applyProtection="0"/>
    <xf numFmtId="0" fontId="211" fillId="23" borderId="37" applyNumberFormat="0" applyAlignment="0" applyProtection="0"/>
    <xf numFmtId="0" fontId="211" fillId="23" borderId="37" applyNumberFormat="0" applyAlignment="0" applyProtection="0"/>
    <xf numFmtId="0" fontId="211" fillId="23" borderId="37" applyNumberFormat="0" applyAlignment="0" applyProtection="0"/>
    <xf numFmtId="0" fontId="211" fillId="23" borderId="37" applyNumberFormat="0" applyAlignment="0" applyProtection="0"/>
    <xf numFmtId="0" fontId="211" fillId="23" borderId="37" applyNumberFormat="0" applyAlignment="0" applyProtection="0"/>
    <xf numFmtId="3" fontId="212" fillId="0" borderId="0" applyNumberFormat="0" applyFill="0" applyBorder="0" applyAlignment="0" applyProtection="0">
      <alignment horizontal="center" wrapText="1"/>
    </xf>
    <xf numFmtId="0" fontId="213" fillId="0" borderId="49" applyBorder="0" applyAlignment="0">
      <alignment horizontal="center" vertical="center"/>
    </xf>
    <xf numFmtId="0" fontId="213" fillId="0" borderId="49" applyBorder="0" applyAlignment="0">
      <alignment horizontal="center" vertical="center"/>
    </xf>
    <xf numFmtId="0" fontId="214" fillId="0" borderId="0" applyNumberFormat="0" applyFill="0" applyBorder="0" applyAlignment="0" applyProtection="0">
      <alignment horizontal="centerContinuous"/>
    </xf>
    <xf numFmtId="0" fontId="131" fillId="0" borderId="50" applyNumberFormat="0" applyFill="0" applyBorder="0" applyAlignment="0" applyProtection="0">
      <alignment horizontal="center" vertical="center" wrapText="1"/>
    </xf>
    <xf numFmtId="0" fontId="209" fillId="0" borderId="0" applyNumberFormat="0" applyFill="0" applyBorder="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0" fontId="215" fillId="0" borderId="51" applyNumberFormat="0" applyFill="0" applyAlignment="0" applyProtection="0"/>
    <xf numFmtId="3" fontId="216" fillId="0" borderId="10" applyNumberFormat="0" applyAlignment="0">
      <alignment horizontal="center" vertical="center"/>
    </xf>
    <xf numFmtId="3" fontId="217" fillId="0" borderId="16" applyNumberFormat="0" applyAlignment="0">
      <alignment horizontal="left" wrapText="1"/>
    </xf>
    <xf numFmtId="3" fontId="216" fillId="0" borderId="10" applyNumberFormat="0" applyAlignment="0">
      <alignment horizontal="center" vertical="center"/>
    </xf>
    <xf numFmtId="0" fontId="218" fillId="0" borderId="52" applyNumberFormat="0" applyBorder="0" applyAlignment="0">
      <alignment vertical="center"/>
    </xf>
    <xf numFmtId="0" fontId="219" fillId="7" borderId="0" applyNumberFormat="0" applyBorder="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220" fillId="0" borderId="51" applyNumberFormat="0" applyFill="0" applyAlignment="0" applyProtection="0"/>
    <xf numFmtId="0" fontId="151" fillId="0" borderId="53" applyNumberFormat="0" applyAlignment="0">
      <alignment horizontal="center"/>
    </xf>
    <xf numFmtId="0" fontId="221" fillId="31" borderId="0" applyNumberFormat="0" applyBorder="0" applyAlignment="0" applyProtection="0"/>
    <xf numFmtId="0" fontId="222" fillId="0" borderId="54">
      <alignment horizontal="center"/>
    </xf>
    <xf numFmtId="173" fontId="67" fillId="0" borderId="0" applyFont="0" applyFill="0" applyBorder="0" applyAlignment="0" applyProtection="0"/>
    <xf numFmtId="326" fontId="67" fillId="0" borderId="0" applyFont="0" applyFill="0" applyBorder="0" applyAlignment="0" applyProtection="0"/>
    <xf numFmtId="245" fontId="140" fillId="0" borderId="0" applyFont="0" applyFill="0" applyBorder="0" applyAlignment="0" applyProtection="0"/>
    <xf numFmtId="327" fontId="151" fillId="0" borderId="0" applyFont="0" applyFill="0" applyBorder="0" applyAlignment="0" applyProtection="0"/>
    <xf numFmtId="328" fontId="56" fillId="0" borderId="0" applyFon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44" fillId="0" borderId="55">
      <alignment horizontal="center"/>
    </xf>
    <xf numFmtId="0" fontId="44" fillId="0" borderId="55">
      <alignment horizontal="center"/>
    </xf>
    <xf numFmtId="321" fontId="82" fillId="0" borderId="0"/>
    <xf numFmtId="329" fontId="82" fillId="0" borderId="31"/>
    <xf numFmtId="329" fontId="82" fillId="0" borderId="31"/>
    <xf numFmtId="329" fontId="82" fillId="0" borderId="31"/>
    <xf numFmtId="329" fontId="82" fillId="0" borderId="31"/>
    <xf numFmtId="329" fontId="82" fillId="0" borderId="31"/>
    <xf numFmtId="329" fontId="82" fillId="0" borderId="31"/>
    <xf numFmtId="329" fontId="82" fillId="0" borderId="31"/>
    <xf numFmtId="329" fontId="82" fillId="0" borderId="31"/>
    <xf numFmtId="329" fontId="82" fillId="0" borderId="31"/>
    <xf numFmtId="329" fontId="82" fillId="0" borderId="31"/>
    <xf numFmtId="329" fontId="82" fillId="0" borderId="31"/>
    <xf numFmtId="329" fontId="82" fillId="0" borderId="31"/>
    <xf numFmtId="329" fontId="82" fillId="0" borderId="31"/>
    <xf numFmtId="329" fontId="82" fillId="0" borderId="31"/>
    <xf numFmtId="329" fontId="82" fillId="0" borderId="31"/>
    <xf numFmtId="0" fontId="156" fillId="0" borderId="0"/>
    <xf numFmtId="0" fontId="156" fillId="0" borderId="0" applyProtection="0"/>
    <xf numFmtId="0" fontId="225" fillId="0" borderId="0"/>
    <xf numFmtId="0" fontId="156" fillId="0" borderId="0"/>
    <xf numFmtId="0" fontId="225" fillId="0" borderId="0"/>
    <xf numFmtId="3" fontId="82" fillId="0" borderId="0" applyNumberFormat="0" applyBorder="0" applyAlignment="0" applyProtection="0">
      <alignment horizontal="centerContinuous"/>
      <protection locked="0"/>
    </xf>
    <xf numFmtId="3" fontId="226" fillId="0" borderId="0">
      <protection locked="0"/>
    </xf>
    <xf numFmtId="3" fontId="55" fillId="0" borderId="0">
      <protection locked="0"/>
    </xf>
    <xf numFmtId="3" fontId="55" fillId="0" borderId="0">
      <protection locked="0"/>
    </xf>
    <xf numFmtId="0" fontId="156" fillId="0" borderId="0"/>
    <xf numFmtId="0" fontId="156" fillId="0" borderId="0" applyProtection="0"/>
    <xf numFmtId="0" fontId="225" fillId="0" borderId="0"/>
    <xf numFmtId="0" fontId="156" fillId="0" borderId="0"/>
    <xf numFmtId="0" fontId="225" fillId="0" borderId="0"/>
    <xf numFmtId="0" fontId="227" fillId="0" borderId="56" applyFill="0" applyBorder="0" applyAlignment="0">
      <alignment horizontal="center"/>
    </xf>
    <xf numFmtId="5" fontId="228" fillId="47" borderId="49">
      <alignment vertical="top"/>
    </xf>
    <xf numFmtId="5" fontId="228" fillId="47" borderId="49">
      <alignment vertical="top"/>
    </xf>
    <xf numFmtId="287" fontId="228" fillId="47" borderId="49">
      <alignment vertical="top"/>
    </xf>
    <xf numFmtId="0" fontId="229" fillId="48" borderId="31">
      <alignment horizontal="left" vertical="center"/>
    </xf>
    <xf numFmtId="0" fontId="229" fillId="48" borderId="31">
      <alignment horizontal="left" vertical="center"/>
    </xf>
    <xf numFmtId="6" fontId="230" fillId="49" borderId="49"/>
    <xf numFmtId="6" fontId="230" fillId="49" borderId="49"/>
    <xf numFmtId="330" fontId="230" fillId="49" borderId="49"/>
    <xf numFmtId="5" fontId="138" fillId="0" borderId="49">
      <alignment horizontal="left" vertical="top"/>
    </xf>
    <xf numFmtId="5" fontId="138" fillId="0" borderId="49">
      <alignment horizontal="left" vertical="top"/>
    </xf>
    <xf numFmtId="287" fontId="231" fillId="0" borderId="49">
      <alignment horizontal="left" vertical="top"/>
    </xf>
    <xf numFmtId="0" fontId="232" fillId="50" borderId="0">
      <alignment horizontal="left" vertical="center"/>
    </xf>
    <xf numFmtId="5" fontId="33" fillId="0" borderId="10">
      <alignment horizontal="left" vertical="top"/>
    </xf>
    <xf numFmtId="245" fontId="33" fillId="0" borderId="10">
      <alignment horizontal="left" vertical="top"/>
    </xf>
    <xf numFmtId="245" fontId="33" fillId="0" borderId="10">
      <alignment horizontal="left" vertical="top"/>
    </xf>
    <xf numFmtId="245" fontId="33" fillId="0" borderId="10">
      <alignment horizontal="left" vertical="top"/>
    </xf>
    <xf numFmtId="245" fontId="33" fillId="0" borderId="10">
      <alignment horizontal="left" vertical="top"/>
    </xf>
    <xf numFmtId="245" fontId="33" fillId="0" borderId="10">
      <alignment horizontal="left" vertical="top"/>
    </xf>
    <xf numFmtId="245" fontId="33" fillId="0" borderId="10">
      <alignment horizontal="left" vertical="top"/>
    </xf>
    <xf numFmtId="287" fontId="233" fillId="0" borderId="10">
      <alignment horizontal="left" vertical="top"/>
    </xf>
    <xf numFmtId="245" fontId="33" fillId="0" borderId="10">
      <alignment horizontal="left" vertical="top"/>
    </xf>
    <xf numFmtId="245" fontId="33" fillId="0" borderId="10">
      <alignment horizontal="left" vertical="top"/>
    </xf>
    <xf numFmtId="245" fontId="33" fillId="0" borderId="10">
      <alignment horizontal="left" vertical="top"/>
    </xf>
    <xf numFmtId="245" fontId="33" fillId="0" borderId="10">
      <alignment horizontal="left" vertical="top"/>
    </xf>
    <xf numFmtId="245" fontId="33" fillId="0" borderId="10">
      <alignment horizontal="left" vertical="top"/>
    </xf>
    <xf numFmtId="245" fontId="33" fillId="0" borderId="10">
      <alignment horizontal="left" vertical="top"/>
    </xf>
    <xf numFmtId="245" fontId="33" fillId="0" borderId="10">
      <alignment horizontal="left" vertical="top"/>
    </xf>
    <xf numFmtId="245" fontId="33" fillId="0" borderId="10">
      <alignment horizontal="left" vertical="top"/>
    </xf>
    <xf numFmtId="245" fontId="33" fillId="0" borderId="10">
      <alignment horizontal="left" vertical="top"/>
    </xf>
    <xf numFmtId="0" fontId="234" fillId="0" borderId="10">
      <alignment horizontal="left" vertical="center"/>
    </xf>
    <xf numFmtId="0" fontId="2" fillId="0" borderId="0" applyFont="0" applyFill="0" applyBorder="0" applyAlignment="0" applyProtection="0"/>
    <xf numFmtId="0" fontId="2" fillId="0" borderId="0" applyFont="0" applyFill="0" applyBorder="0" applyAlignment="0" applyProtection="0"/>
    <xf numFmtId="331" fontId="2" fillId="0" borderId="0" applyFont="0" applyFill="0" applyBorder="0" applyAlignment="0" applyProtection="0"/>
    <xf numFmtId="332" fontId="2" fillId="0" borderId="0" applyFont="0" applyFill="0" applyBorder="0" applyAlignment="0" applyProtection="0"/>
    <xf numFmtId="42" fontId="115" fillId="0" borderId="0" applyFont="0" applyFill="0" applyBorder="0" applyAlignment="0" applyProtection="0"/>
    <xf numFmtId="44" fontId="115" fillId="0" borderId="0" applyFont="0" applyFill="0" applyBorder="0" applyAlignment="0" applyProtection="0"/>
    <xf numFmtId="0" fontId="235" fillId="0" borderId="0" applyNumberFormat="0" applyFill="0" applyBorder="0" applyAlignment="0" applyProtection="0"/>
    <xf numFmtId="0" fontId="236" fillId="0" borderId="0" applyNumberFormat="0" applyFont="0" applyFill="0" applyBorder="0" applyProtection="0">
      <alignment horizontal="center" vertical="center" wrapText="1"/>
    </xf>
    <xf numFmtId="0" fontId="2" fillId="0" borderId="0" applyFont="0" applyFill="0" applyBorder="0" applyAlignment="0" applyProtection="0"/>
    <xf numFmtId="0" fontId="2" fillId="0" borderId="0" applyFont="0" applyFill="0" applyBorder="0" applyAlignment="0" applyProtection="0"/>
    <xf numFmtId="0" fontId="237" fillId="0" borderId="57" applyNumberFormat="0" applyFont="0" applyAlignment="0">
      <alignment horizontal="center"/>
    </xf>
    <xf numFmtId="0" fontId="238" fillId="6" borderId="0" applyNumberFormat="0" applyBorder="0" applyAlignment="0" applyProtection="0"/>
    <xf numFmtId="0" fontId="239" fillId="0" borderId="0" applyNumberFormat="0" applyFill="0" applyBorder="0" applyAlignment="0" applyProtection="0"/>
    <xf numFmtId="0" fontId="73" fillId="0" borderId="58" applyFont="0" applyBorder="0" applyAlignment="0">
      <alignment horizontal="center"/>
    </xf>
    <xf numFmtId="0" fontId="73" fillId="0" borderId="58" applyFont="0" applyBorder="0" applyAlignment="0">
      <alignment horizontal="center"/>
    </xf>
    <xf numFmtId="173" fontId="28" fillId="0" borderId="0" applyFont="0" applyFill="0" applyBorder="0" applyAlignment="0" applyProtection="0"/>
    <xf numFmtId="42" fontId="240" fillId="0" borderId="0" applyFont="0" applyFill="0" applyBorder="0" applyAlignment="0" applyProtection="0"/>
    <xf numFmtId="44" fontId="240" fillId="0" borderId="0" applyFont="0" applyFill="0" applyBorder="0" applyAlignment="0" applyProtection="0"/>
    <xf numFmtId="0" fontId="240" fillId="0" borderId="0"/>
    <xf numFmtId="0" fontId="241" fillId="0" borderId="0" applyFont="0" applyFill="0" applyBorder="0" applyAlignment="0" applyProtection="0"/>
    <xf numFmtId="0" fontId="241" fillId="0" borderId="0" applyFont="0" applyFill="0" applyBorder="0" applyAlignment="0" applyProtection="0"/>
    <xf numFmtId="0" fontId="10" fillId="0" borderId="0">
      <alignment vertical="center"/>
    </xf>
    <xf numFmtId="40" fontId="242" fillId="0" borderId="0" applyFont="0" applyFill="0" applyBorder="0" applyAlignment="0" applyProtection="0"/>
    <xf numFmtId="38" fontId="242" fillId="0" borderId="0" applyFont="0" applyFill="0" applyBorder="0" applyAlignment="0" applyProtection="0"/>
    <xf numFmtId="0" fontId="242" fillId="0" borderId="0" applyFont="0" applyFill="0" applyBorder="0" applyAlignment="0" applyProtection="0"/>
    <xf numFmtId="0" fontId="242" fillId="0" borderId="0" applyFont="0" applyFill="0" applyBorder="0" applyAlignment="0" applyProtection="0"/>
    <xf numFmtId="9" fontId="243" fillId="0" borderId="0" applyBorder="0" applyAlignment="0" applyProtection="0"/>
    <xf numFmtId="0" fontId="244" fillId="0" borderId="0"/>
    <xf numFmtId="0" fontId="245" fillId="0" borderId="19"/>
    <xf numFmtId="186" fontId="30"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59" fillId="0" borderId="0" applyFont="0" applyFill="0" applyBorder="0" applyAlignment="0" applyProtection="0"/>
    <xf numFmtId="0" fontId="159" fillId="0" borderId="0" applyFont="0" applyFill="0" applyBorder="0" applyAlignment="0" applyProtection="0"/>
    <xf numFmtId="177" fontId="2" fillId="0" borderId="0" applyFont="0" applyFill="0" applyBorder="0" applyAlignment="0" applyProtection="0"/>
    <xf numFmtId="221" fontId="2" fillId="0" borderId="0" applyFont="0" applyFill="0" applyBorder="0" applyAlignment="0" applyProtection="0"/>
    <xf numFmtId="0" fontId="159" fillId="0" borderId="0"/>
    <xf numFmtId="0" fontId="159" fillId="0" borderId="0"/>
    <xf numFmtId="0" fontId="246" fillId="0" borderId="0"/>
    <xf numFmtId="0" fontId="53" fillId="0" borderId="0"/>
    <xf numFmtId="173" fontId="32" fillId="0" borderId="0" applyFont="0" applyFill="0" applyBorder="0" applyAlignment="0" applyProtection="0"/>
    <xf numFmtId="174" fontId="3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333" fontId="32" fillId="0" borderId="0" applyFont="0" applyFill="0" applyBorder="0" applyAlignment="0" applyProtection="0"/>
    <xf numFmtId="334" fontId="40" fillId="0" borderId="0" applyFont="0" applyFill="0" applyBorder="0" applyAlignment="0" applyProtection="0"/>
    <xf numFmtId="168" fontId="3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alignment vertical="center"/>
    </xf>
    <xf numFmtId="0" fontId="28" fillId="0" borderId="0"/>
    <xf numFmtId="0" fontId="160" fillId="0" borderId="0"/>
    <xf numFmtId="201" fontId="20" fillId="0" borderId="0" applyFont="0" applyFill="0" applyBorder="0" applyAlignment="0" applyProtection="0"/>
    <xf numFmtId="0" fontId="2" fillId="0" borderId="0">
      <alignment vertical="top"/>
    </xf>
    <xf numFmtId="337"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0" fontId="2" fillId="0" borderId="0"/>
    <xf numFmtId="43" fontId="20" fillId="0" borderId="0" applyFont="0" applyFill="0" applyBorder="0" applyAlignment="0" applyProtection="0"/>
    <xf numFmtId="43" fontId="8" fillId="0" borderId="0" applyFont="0" applyFill="0" applyBorder="0" applyAlignment="0" applyProtection="0"/>
    <xf numFmtId="239" fontId="45" fillId="0" borderId="0" applyFont="0" applyFill="0" applyBorder="0" applyAlignment="0" applyProtection="0"/>
    <xf numFmtId="335" fontId="8" fillId="0" borderId="0" applyFont="0" applyFill="0" applyBorder="0" applyAlignment="0" applyProtection="0"/>
    <xf numFmtId="0" fontId="8" fillId="0" borderId="0"/>
    <xf numFmtId="0" fontId="2" fillId="0" borderId="0">
      <alignment vertical="top"/>
    </xf>
  </cellStyleXfs>
  <cellXfs count="1273">
    <xf numFmtId="0" fontId="0" fillId="0" borderId="0" xfId="0"/>
    <xf numFmtId="1" fontId="4" fillId="0" borderId="0" xfId="1" applyNumberFormat="1" applyFont="1" applyFill="1" applyAlignment="1">
      <alignment vertical="center"/>
    </xf>
    <xf numFmtId="1" fontId="8" fillId="0" borderId="0" xfId="1" applyNumberFormat="1" applyFont="1" applyFill="1" applyAlignment="1">
      <alignment vertical="center"/>
    </xf>
    <xf numFmtId="3" fontId="10" fillId="0" borderId="0" xfId="1" applyNumberFormat="1" applyFont="1" applyBorder="1" applyAlignment="1">
      <alignment horizontal="center" vertical="center" wrapText="1"/>
    </xf>
    <xf numFmtId="3" fontId="16" fillId="0" borderId="2" xfId="1" quotePrefix="1" applyNumberFormat="1" applyFont="1" applyFill="1" applyBorder="1" applyAlignment="1">
      <alignment horizontal="center" vertical="center" wrapText="1"/>
    </xf>
    <xf numFmtId="3" fontId="10" fillId="0" borderId="0" xfId="1" applyNumberFormat="1" applyFont="1" applyFill="1" applyBorder="1" applyAlignment="1">
      <alignment vertical="center" wrapText="1"/>
    </xf>
    <xf numFmtId="3" fontId="18" fillId="2" borderId="14" xfId="1" quotePrefix="1" applyNumberFormat="1" applyFont="1" applyFill="1" applyBorder="1" applyAlignment="1">
      <alignment horizontal="center" vertical="center" wrapText="1"/>
    </xf>
    <xf numFmtId="3" fontId="19" fillId="2" borderId="14" xfId="1" quotePrefix="1" applyNumberFormat="1" applyFont="1" applyFill="1" applyBorder="1" applyAlignment="1">
      <alignment horizontal="center" vertical="center" wrapText="1"/>
    </xf>
    <xf numFmtId="1" fontId="19" fillId="2" borderId="14" xfId="1" quotePrefix="1" applyNumberFormat="1" applyFont="1" applyFill="1" applyBorder="1" applyAlignment="1">
      <alignment horizontal="center" vertical="center" wrapText="1"/>
    </xf>
    <xf numFmtId="3" fontId="18" fillId="2" borderId="14" xfId="1" quotePrefix="1" applyNumberFormat="1" applyFont="1" applyFill="1" applyBorder="1" applyAlignment="1">
      <alignment horizontal="right" vertical="center" wrapText="1"/>
    </xf>
    <xf numFmtId="3" fontId="18" fillId="2" borderId="0" xfId="1" applyNumberFormat="1" applyFont="1" applyFill="1" applyBorder="1" applyAlignment="1">
      <alignment vertical="center" wrapText="1"/>
    </xf>
    <xf numFmtId="49" fontId="18" fillId="0" borderId="16" xfId="1" applyNumberFormat="1" applyFont="1" applyFill="1" applyBorder="1" applyAlignment="1">
      <alignment horizontal="center" vertical="center"/>
    </xf>
    <xf numFmtId="3" fontId="18" fillId="0" borderId="16" xfId="1" applyNumberFormat="1" applyFont="1" applyFill="1" applyBorder="1" applyAlignment="1">
      <alignment horizontal="left" vertical="center" wrapText="1"/>
    </xf>
    <xf numFmtId="3" fontId="19" fillId="0" borderId="16" xfId="1" applyNumberFormat="1" applyFont="1" applyFill="1" applyBorder="1" applyAlignment="1">
      <alignment horizontal="center" vertical="center" wrapText="1"/>
    </xf>
    <xf numFmtId="1" fontId="19" fillId="0" borderId="16" xfId="1" applyNumberFormat="1" applyFont="1" applyFill="1" applyBorder="1" applyAlignment="1">
      <alignment horizontal="center" vertical="center" wrapText="1"/>
    </xf>
    <xf numFmtId="3" fontId="18" fillId="0" borderId="16" xfId="1" applyNumberFormat="1" applyFont="1" applyFill="1" applyBorder="1" applyAlignment="1">
      <alignment horizontal="right" vertical="center"/>
    </xf>
    <xf numFmtId="1" fontId="18" fillId="0" borderId="0" xfId="1" applyNumberFormat="1" applyFont="1" applyFill="1" applyAlignment="1">
      <alignment vertical="center"/>
    </xf>
    <xf numFmtId="49" fontId="10" fillId="0" borderId="16" xfId="3" applyNumberFormat="1" applyFont="1" applyFill="1" applyBorder="1" applyAlignment="1">
      <alignment horizontal="center" vertical="center" wrapText="1"/>
    </xf>
    <xf numFmtId="3" fontId="16" fillId="0" borderId="16" xfId="3" applyNumberFormat="1" applyFont="1" applyFill="1" applyBorder="1" applyAlignment="1">
      <alignment horizontal="center" vertical="center" wrapText="1"/>
    </xf>
    <xf numFmtId="3" fontId="16" fillId="0" borderId="16" xfId="1" applyNumberFormat="1" applyFont="1" applyFill="1" applyBorder="1" applyAlignment="1">
      <alignment horizontal="center" vertical="center" wrapText="1"/>
    </xf>
    <xf numFmtId="1" fontId="16" fillId="0" borderId="16" xfId="3" quotePrefix="1" applyNumberFormat="1" applyFont="1" applyFill="1" applyBorder="1" applyAlignment="1">
      <alignment horizontal="center" vertical="center" wrapText="1"/>
    </xf>
    <xf numFmtId="3" fontId="10" fillId="0" borderId="16" xfId="4" applyNumberFormat="1" applyFont="1" applyFill="1" applyBorder="1" applyAlignment="1">
      <alignment horizontal="right" vertical="center" wrapText="1"/>
    </xf>
    <xf numFmtId="3" fontId="10" fillId="0" borderId="16" xfId="4" applyNumberFormat="1" applyFont="1" applyFill="1" applyBorder="1" applyAlignment="1">
      <alignment horizontal="right" vertical="center"/>
    </xf>
    <xf numFmtId="3" fontId="10" fillId="0" borderId="16" xfId="1" applyNumberFormat="1" applyFont="1" applyFill="1" applyBorder="1" applyAlignment="1">
      <alignment horizontal="right" vertical="center"/>
    </xf>
    <xf numFmtId="1" fontId="17" fillId="0" borderId="16" xfId="1" applyNumberFormat="1" applyFont="1" applyFill="1" applyBorder="1" applyAlignment="1">
      <alignment horizontal="center" vertical="center" wrapText="1"/>
    </xf>
    <xf numFmtId="1" fontId="10" fillId="0" borderId="0" xfId="1" applyNumberFormat="1" applyFont="1" applyFill="1" applyAlignment="1">
      <alignment vertical="center"/>
    </xf>
    <xf numFmtId="49" fontId="21" fillId="0" borderId="16" xfId="1" applyNumberFormat="1" applyFont="1" applyFill="1" applyBorder="1" applyAlignment="1">
      <alignment horizontal="center" vertical="center"/>
    </xf>
    <xf numFmtId="3" fontId="21" fillId="0" borderId="16" xfId="1" applyNumberFormat="1" applyFont="1" applyFill="1" applyBorder="1" applyAlignment="1">
      <alignment horizontal="left" vertical="center" wrapText="1"/>
    </xf>
    <xf numFmtId="3" fontId="22" fillId="0" borderId="16" xfId="1" applyNumberFormat="1" applyFont="1" applyFill="1" applyBorder="1" applyAlignment="1">
      <alignment horizontal="center" vertical="center" wrapText="1"/>
    </xf>
    <xf numFmtId="1" fontId="22" fillId="0" borderId="16" xfId="1" applyNumberFormat="1" applyFont="1" applyFill="1" applyBorder="1" applyAlignment="1">
      <alignment horizontal="center" vertical="center" wrapText="1"/>
    </xf>
    <xf numFmtId="3" fontId="21" fillId="0" borderId="16" xfId="1" applyNumberFormat="1" applyFont="1" applyFill="1" applyBorder="1" applyAlignment="1">
      <alignment horizontal="right" vertical="center"/>
    </xf>
    <xf numFmtId="1" fontId="21" fillId="0" borderId="0" xfId="1" applyNumberFormat="1" applyFont="1" applyFill="1" applyAlignment="1">
      <alignment vertical="center"/>
    </xf>
    <xf numFmtId="3" fontId="16" fillId="0" borderId="16" xfId="4" applyNumberFormat="1" applyFont="1" applyFill="1" applyBorder="1" applyAlignment="1">
      <alignment horizontal="center" vertical="center" wrapText="1"/>
    </xf>
    <xf numFmtId="3" fontId="18" fillId="0" borderId="16" xfId="4" applyNumberFormat="1" applyFont="1" applyFill="1" applyBorder="1" applyAlignment="1">
      <alignment horizontal="right" vertical="center" wrapText="1"/>
    </xf>
    <xf numFmtId="0" fontId="10" fillId="0" borderId="16" xfId="3" applyFont="1" applyFill="1" applyBorder="1" applyAlignment="1">
      <alignment horizontal="center" vertical="center" wrapText="1"/>
    </xf>
    <xf numFmtId="3" fontId="10" fillId="0" borderId="16" xfId="5" applyNumberFormat="1" applyFont="1" applyFill="1" applyBorder="1" applyAlignment="1">
      <alignment horizontal="left" vertical="center" wrapText="1"/>
    </xf>
    <xf numFmtId="3" fontId="16" fillId="0" borderId="16" xfId="5" applyNumberFormat="1" applyFont="1" applyFill="1" applyBorder="1" applyAlignment="1">
      <alignment horizontal="center" vertical="center" wrapText="1"/>
    </xf>
    <xf numFmtId="1" fontId="16" fillId="0" borderId="16" xfId="5" applyNumberFormat="1" applyFont="1" applyFill="1" applyBorder="1" applyAlignment="1">
      <alignment horizontal="center" vertical="center" wrapText="1"/>
    </xf>
    <xf numFmtId="3" fontId="10" fillId="0" borderId="16" xfId="6" applyNumberFormat="1" applyFont="1" applyFill="1" applyBorder="1" applyAlignment="1">
      <alignment horizontal="right" vertical="center" wrapText="1"/>
    </xf>
    <xf numFmtId="1" fontId="16" fillId="0" borderId="16" xfId="4" quotePrefix="1" applyNumberFormat="1" applyFont="1" applyFill="1" applyBorder="1" applyAlignment="1">
      <alignment horizontal="center" vertical="center" wrapText="1"/>
    </xf>
    <xf numFmtId="1" fontId="16" fillId="0" borderId="16" xfId="3" applyNumberFormat="1" applyFont="1" applyFill="1" applyBorder="1" applyAlignment="1">
      <alignment horizontal="center" vertical="center" wrapText="1"/>
    </xf>
    <xf numFmtId="3" fontId="16" fillId="0" borderId="16" xfId="7" applyNumberFormat="1" applyFont="1" applyFill="1" applyBorder="1" applyAlignment="1">
      <alignment horizontal="center" vertical="center" wrapText="1"/>
    </xf>
    <xf numFmtId="3" fontId="10" fillId="0" borderId="16" xfId="3" applyNumberFormat="1" applyFont="1" applyFill="1" applyBorder="1" applyAlignment="1">
      <alignment horizontal="right" vertical="center" wrapText="1"/>
    </xf>
    <xf numFmtId="3" fontId="16" fillId="0" borderId="16" xfId="1" quotePrefix="1" applyNumberFormat="1" applyFont="1" applyFill="1" applyBorder="1" applyAlignment="1">
      <alignment horizontal="center" vertical="center" wrapText="1"/>
    </xf>
    <xf numFmtId="1" fontId="16" fillId="0" borderId="16" xfId="1" quotePrefix="1" applyNumberFormat="1" applyFont="1" applyFill="1" applyBorder="1" applyAlignment="1">
      <alignment horizontal="center" vertical="center" wrapText="1"/>
    </xf>
    <xf numFmtId="3" fontId="18" fillId="0" borderId="16" xfId="1" quotePrefix="1" applyNumberFormat="1" applyFont="1" applyFill="1" applyBorder="1" applyAlignment="1">
      <alignment horizontal="right" vertical="center" wrapText="1"/>
    </xf>
    <xf numFmtId="49" fontId="18" fillId="0" borderId="17" xfId="1" applyNumberFormat="1" applyFont="1" applyFill="1" applyBorder="1" applyAlignment="1">
      <alignment horizontal="center" vertical="center"/>
    </xf>
    <xf numFmtId="1" fontId="10" fillId="0" borderId="17" xfId="1" applyNumberFormat="1" applyFont="1" applyFill="1" applyBorder="1" applyAlignment="1">
      <alignment horizontal="left" vertical="center" wrapText="1"/>
    </xf>
    <xf numFmtId="1" fontId="19" fillId="0" borderId="17" xfId="1" applyNumberFormat="1" applyFont="1" applyFill="1" applyBorder="1" applyAlignment="1">
      <alignment horizontal="center" vertical="center" wrapText="1"/>
    </xf>
    <xf numFmtId="1" fontId="18" fillId="0" borderId="17" xfId="1" applyNumberFormat="1" applyFont="1" applyFill="1" applyBorder="1" applyAlignment="1">
      <alignment horizontal="right" vertical="center"/>
    </xf>
    <xf numFmtId="1" fontId="12" fillId="0" borderId="17" xfId="1" applyNumberFormat="1" applyFont="1" applyFill="1" applyBorder="1" applyAlignment="1">
      <alignment horizontal="center" vertical="center" wrapText="1"/>
    </xf>
    <xf numFmtId="1" fontId="25" fillId="0" borderId="0" xfId="1" applyNumberFormat="1" applyFont="1" applyFill="1" applyAlignment="1">
      <alignment vertical="center"/>
    </xf>
    <xf numFmtId="1" fontId="8" fillId="0" borderId="0" xfId="1" applyNumberFormat="1" applyFont="1" applyFill="1" applyAlignment="1">
      <alignment horizontal="center" vertical="center"/>
    </xf>
    <xf numFmtId="1" fontId="8" fillId="0" borderId="0" xfId="1" applyNumberFormat="1" applyFont="1" applyFill="1" applyAlignment="1">
      <alignment horizontal="left" vertical="center" wrapText="1"/>
    </xf>
    <xf numFmtId="1" fontId="17" fillId="0" borderId="0" xfId="1" applyNumberFormat="1" applyFont="1" applyFill="1" applyAlignment="1">
      <alignment horizontal="center" vertical="center" wrapText="1"/>
    </xf>
    <xf numFmtId="1" fontId="16" fillId="0" borderId="0" xfId="1" applyNumberFormat="1" applyFont="1" applyFill="1" applyAlignment="1">
      <alignment horizontal="center" vertical="center" wrapText="1"/>
    </xf>
    <xf numFmtId="1" fontId="8" fillId="0" borderId="0" xfId="1" applyNumberFormat="1" applyFont="1" applyFill="1" applyAlignment="1">
      <alignment horizontal="right" vertical="center"/>
    </xf>
    <xf numFmtId="1" fontId="8" fillId="51" borderId="0" xfId="1" applyNumberFormat="1" applyFont="1" applyFill="1" applyAlignment="1">
      <alignment vertical="center"/>
    </xf>
    <xf numFmtId="1" fontId="8" fillId="51" borderId="0" xfId="1" applyNumberFormat="1" applyFont="1" applyFill="1" applyAlignment="1">
      <alignment horizontal="right" vertical="center"/>
    </xf>
    <xf numFmtId="1" fontId="18" fillId="52" borderId="16" xfId="1" quotePrefix="1" applyNumberFormat="1" applyFont="1" applyFill="1" applyBorder="1" applyAlignment="1">
      <alignment horizontal="center" vertical="center"/>
    </xf>
    <xf numFmtId="3" fontId="19" fillId="52" borderId="16" xfId="1" quotePrefix="1" applyNumberFormat="1" applyFont="1" applyFill="1" applyBorder="1" applyAlignment="1">
      <alignment horizontal="center" vertical="center" wrapText="1"/>
    </xf>
    <xf numFmtId="1" fontId="19" fillId="52" borderId="16" xfId="1" quotePrefix="1" applyNumberFormat="1" applyFont="1" applyFill="1" applyBorder="1" applyAlignment="1">
      <alignment horizontal="center" vertical="center" wrapText="1"/>
    </xf>
    <xf numFmtId="3" fontId="12" fillId="52" borderId="16" xfId="1" quotePrefix="1" applyNumberFormat="1" applyFont="1" applyFill="1" applyBorder="1" applyAlignment="1">
      <alignment horizontal="center" vertical="center" wrapText="1"/>
    </xf>
    <xf numFmtId="3" fontId="18" fillId="52" borderId="16" xfId="1" quotePrefix="1" applyNumberFormat="1" applyFont="1" applyFill="1" applyBorder="1" applyAlignment="1">
      <alignment horizontal="right" vertical="center" wrapText="1"/>
    </xf>
    <xf numFmtId="1" fontId="18" fillId="0" borderId="16" xfId="1" quotePrefix="1" applyNumberFormat="1" applyFont="1" applyFill="1" applyBorder="1" applyAlignment="1">
      <alignment horizontal="center" vertical="center"/>
    </xf>
    <xf numFmtId="3" fontId="19" fillId="0" borderId="16" xfId="1" applyNumberFormat="1" applyFont="1" applyFill="1" applyBorder="1" applyAlignment="1">
      <alignment horizontal="left" vertical="center" wrapText="1"/>
    </xf>
    <xf numFmtId="3" fontId="8" fillId="0" borderId="0" xfId="1" applyNumberFormat="1" applyFont="1" applyFill="1" applyBorder="1" applyAlignment="1">
      <alignment vertical="center" wrapText="1"/>
    </xf>
    <xf numFmtId="0" fontId="10" fillId="0" borderId="16" xfId="0" applyFont="1" applyFill="1" applyBorder="1" applyAlignment="1">
      <alignment horizontal="center" vertical="center"/>
    </xf>
    <xf numFmtId="3" fontId="16" fillId="0" borderId="16" xfId="1" applyNumberFormat="1" applyFont="1" applyFill="1" applyBorder="1" applyAlignment="1">
      <alignment horizontal="left" vertical="center" wrapText="1"/>
    </xf>
    <xf numFmtId="3" fontId="16" fillId="0" borderId="16" xfId="0" applyNumberFormat="1" applyFont="1" applyFill="1" applyBorder="1" applyAlignment="1">
      <alignment horizontal="center" wrapText="1"/>
    </xf>
    <xf numFmtId="1" fontId="16" fillId="0" borderId="16" xfId="1" applyNumberFormat="1" applyFont="1" applyFill="1" applyBorder="1" applyAlignment="1">
      <alignment horizontal="center" vertical="center" wrapText="1"/>
    </xf>
    <xf numFmtId="3" fontId="10" fillId="0" borderId="16" xfId="1893" applyNumberFormat="1" applyFont="1" applyFill="1" applyBorder="1" applyAlignment="1">
      <alignment horizontal="right" vertical="center" wrapText="1"/>
    </xf>
    <xf numFmtId="3" fontId="10" fillId="0" borderId="16" xfId="1" quotePrefix="1" applyNumberFormat="1" applyFont="1" applyFill="1" applyBorder="1" applyAlignment="1">
      <alignment horizontal="right" vertical="center" wrapText="1"/>
    </xf>
    <xf numFmtId="335" fontId="10" fillId="0" borderId="16" xfId="1" quotePrefix="1" applyNumberFormat="1" applyFont="1" applyFill="1" applyBorder="1" applyAlignment="1">
      <alignment horizontal="right" vertical="center" wrapText="1"/>
    </xf>
    <xf numFmtId="3" fontId="16" fillId="0" borderId="16" xfId="4713" applyNumberFormat="1" applyFont="1" applyFill="1" applyBorder="1" applyAlignment="1">
      <alignment horizontal="left" vertical="center" wrapText="1"/>
    </xf>
    <xf numFmtId="3" fontId="16" fillId="0" borderId="16" xfId="4713" applyNumberFormat="1" applyFont="1" applyFill="1" applyBorder="1" applyAlignment="1">
      <alignment horizontal="center" vertical="center" wrapText="1"/>
    </xf>
    <xf numFmtId="3" fontId="10" fillId="0" borderId="16" xfId="4713" applyNumberFormat="1" applyFont="1" applyFill="1" applyBorder="1" applyAlignment="1">
      <alignment horizontal="right" vertical="center" wrapText="1"/>
    </xf>
    <xf numFmtId="3" fontId="10" fillId="0" borderId="16" xfId="1" applyNumberFormat="1" applyFont="1" applyFill="1" applyBorder="1" applyAlignment="1">
      <alignment horizontal="right" vertical="center" wrapText="1"/>
    </xf>
    <xf numFmtId="1" fontId="10" fillId="0" borderId="16" xfId="1" applyNumberFormat="1" applyFont="1" applyFill="1" applyBorder="1" applyAlignment="1">
      <alignment horizontal="center" vertical="center"/>
    </xf>
    <xf numFmtId="3" fontId="16" fillId="0" borderId="16" xfId="1" quotePrefix="1" applyNumberFormat="1" applyFont="1" applyFill="1" applyBorder="1" applyAlignment="1">
      <alignment horizontal="left" vertical="center" wrapText="1"/>
    </xf>
    <xf numFmtId="3" fontId="17" fillId="0" borderId="16" xfId="1" applyNumberFormat="1" applyFont="1" applyFill="1" applyBorder="1" applyAlignment="1">
      <alignment horizontal="center" vertical="center" wrapText="1"/>
    </xf>
    <xf numFmtId="335" fontId="10" fillId="0" borderId="16" xfId="4" applyNumberFormat="1" applyFont="1" applyFill="1" applyBorder="1" applyAlignment="1">
      <alignment horizontal="right" vertical="center" wrapText="1"/>
    </xf>
    <xf numFmtId="1" fontId="18" fillId="0" borderId="16" xfId="1" applyNumberFormat="1" applyFont="1" applyFill="1" applyBorder="1" applyAlignment="1">
      <alignment horizontal="center" vertical="center"/>
    </xf>
    <xf numFmtId="167" fontId="18" fillId="0" borderId="16" xfId="1691" quotePrefix="1" applyNumberFormat="1" applyFont="1" applyFill="1" applyBorder="1" applyAlignment="1">
      <alignment horizontal="center" vertical="center"/>
    </xf>
    <xf numFmtId="3" fontId="19" fillId="0" borderId="16" xfId="1691" applyNumberFormat="1" applyFont="1" applyFill="1" applyBorder="1" applyAlignment="1">
      <alignment horizontal="left" vertical="center" wrapText="1"/>
    </xf>
    <xf numFmtId="3" fontId="19" fillId="0" borderId="16" xfId="1691" applyNumberFormat="1" applyFont="1" applyFill="1" applyBorder="1" applyAlignment="1">
      <alignment horizontal="center" vertical="center" wrapText="1"/>
    </xf>
    <xf numFmtId="1" fontId="19" fillId="0" borderId="16" xfId="1691" applyNumberFormat="1" applyFont="1" applyFill="1" applyBorder="1" applyAlignment="1">
      <alignment horizontal="center" vertical="center" wrapText="1"/>
    </xf>
    <xf numFmtId="3" fontId="18" fillId="0" borderId="16" xfId="1691" applyNumberFormat="1" applyFont="1" applyFill="1" applyBorder="1" applyAlignment="1">
      <alignment horizontal="right" vertical="center"/>
    </xf>
    <xf numFmtId="3" fontId="22" fillId="0" borderId="16" xfId="1" applyNumberFormat="1" applyFont="1" applyFill="1" applyBorder="1" applyAlignment="1">
      <alignment horizontal="left" vertical="center" wrapText="1"/>
    </xf>
    <xf numFmtId="3" fontId="12" fillId="0" borderId="16" xfId="1" applyNumberFormat="1" applyFont="1" applyFill="1" applyBorder="1" applyAlignment="1">
      <alignment horizontal="center" vertical="center" wrapText="1"/>
    </xf>
    <xf numFmtId="3" fontId="18" fillId="0" borderId="16" xfId="4" applyNumberFormat="1" applyFont="1" applyFill="1" applyBorder="1" applyAlignment="1">
      <alignment horizontal="right" vertical="center"/>
    </xf>
    <xf numFmtId="335" fontId="18" fillId="0" borderId="16" xfId="4" applyNumberFormat="1" applyFont="1" applyFill="1" applyBorder="1" applyAlignment="1">
      <alignment horizontal="right" vertical="center"/>
    </xf>
    <xf numFmtId="49" fontId="10" fillId="0" borderId="16" xfId="1" quotePrefix="1" applyNumberFormat="1" applyFont="1" applyFill="1" applyBorder="1" applyAlignment="1">
      <alignment horizontal="center" vertical="center"/>
    </xf>
    <xf numFmtId="3" fontId="16" fillId="0" borderId="16" xfId="0" applyNumberFormat="1" applyFont="1" applyFill="1" applyBorder="1" applyAlignment="1">
      <alignment horizontal="left" vertical="center" wrapText="1"/>
    </xf>
    <xf numFmtId="3" fontId="16" fillId="0" borderId="16" xfId="0" applyNumberFormat="1" applyFont="1" applyFill="1" applyBorder="1" applyAlignment="1">
      <alignment horizontal="center" vertical="center"/>
    </xf>
    <xf numFmtId="1" fontId="16" fillId="0" borderId="16" xfId="0" applyNumberFormat="1" applyFont="1" applyFill="1" applyBorder="1" applyAlignment="1">
      <alignment horizontal="center" vertical="center" wrapText="1"/>
    </xf>
    <xf numFmtId="3" fontId="10" fillId="0" borderId="16" xfId="1657" applyNumberFormat="1" applyFont="1" applyFill="1" applyBorder="1" applyAlignment="1">
      <alignment horizontal="right" vertical="center" wrapText="1"/>
    </xf>
    <xf numFmtId="49" fontId="10" fillId="0" borderId="16" xfId="1" applyNumberFormat="1" applyFont="1" applyFill="1" applyBorder="1" applyAlignment="1">
      <alignment horizontal="center" vertical="center"/>
    </xf>
    <xf numFmtId="0" fontId="17" fillId="0" borderId="16" xfId="0" applyFont="1" applyFill="1" applyBorder="1" applyAlignment="1">
      <alignment horizontal="center" vertical="center" wrapText="1"/>
    </xf>
    <xf numFmtId="1" fontId="17" fillId="0" borderId="16" xfId="0" applyNumberFormat="1" applyFont="1" applyFill="1" applyBorder="1" applyAlignment="1">
      <alignment horizontal="center" vertical="center" wrapText="1"/>
    </xf>
    <xf numFmtId="3" fontId="17" fillId="0" borderId="16" xfId="0" applyNumberFormat="1" applyFont="1" applyFill="1" applyBorder="1" applyAlignment="1">
      <alignment horizontal="center" vertical="center" wrapText="1"/>
    </xf>
    <xf numFmtId="3" fontId="16" fillId="0" borderId="16" xfId="0" applyNumberFormat="1" applyFont="1" applyFill="1" applyBorder="1" applyAlignment="1">
      <alignment horizontal="center" vertical="center" wrapText="1"/>
    </xf>
    <xf numFmtId="3" fontId="16" fillId="0" borderId="16" xfId="2755" applyNumberFormat="1" applyFont="1" applyFill="1" applyBorder="1" applyAlignment="1">
      <alignment horizontal="center" vertical="center" wrapText="1"/>
    </xf>
    <xf numFmtId="335" fontId="10" fillId="0" borderId="16" xfId="1657"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35" fontId="10" fillId="0" borderId="16" xfId="1" applyNumberFormat="1" applyFont="1" applyFill="1" applyBorder="1" applyAlignment="1">
      <alignment horizontal="right" vertical="center"/>
    </xf>
    <xf numFmtId="335" fontId="11" fillId="0" borderId="16" xfId="4" applyNumberFormat="1" applyFont="1" applyFill="1" applyBorder="1" applyAlignment="1">
      <alignment horizontal="right" vertical="center" wrapText="1"/>
    </xf>
    <xf numFmtId="167" fontId="18" fillId="0" borderId="16" xfId="1691" applyNumberFormat="1" applyFont="1" applyFill="1" applyBorder="1" applyAlignment="1">
      <alignment horizontal="center" vertical="center"/>
    </xf>
    <xf numFmtId="3" fontId="21" fillId="0" borderId="16" xfId="4" applyNumberFormat="1" applyFont="1" applyFill="1" applyBorder="1" applyAlignment="1">
      <alignment horizontal="right" vertical="center"/>
    </xf>
    <xf numFmtId="0" fontId="250" fillId="0" borderId="16" xfId="0" applyFont="1" applyFill="1" applyBorder="1" applyAlignment="1">
      <alignment horizontal="center" vertical="center"/>
    </xf>
    <xf numFmtId="3" fontId="251" fillId="0" borderId="16" xfId="2762" applyNumberFormat="1" applyFont="1" applyFill="1" applyBorder="1" applyAlignment="1">
      <alignment horizontal="left" vertical="center" wrapText="1"/>
    </xf>
    <xf numFmtId="3" fontId="251" fillId="0" borderId="16" xfId="1" quotePrefix="1" applyNumberFormat="1" applyFont="1" applyFill="1" applyBorder="1" applyAlignment="1">
      <alignment horizontal="center" vertical="center" wrapText="1"/>
    </xf>
    <xf numFmtId="3" fontId="251" fillId="0" borderId="16" xfId="0" applyNumberFormat="1" applyFont="1" applyFill="1" applyBorder="1" applyAlignment="1">
      <alignment horizontal="center" vertical="center" wrapText="1"/>
    </xf>
    <xf numFmtId="1" fontId="251" fillId="0" borderId="16" xfId="4714" applyNumberFormat="1" applyFont="1" applyFill="1" applyBorder="1" applyAlignment="1">
      <alignment horizontal="center" vertical="center" wrapText="1"/>
    </xf>
    <xf numFmtId="3" fontId="250" fillId="0" borderId="16" xfId="1" quotePrefix="1" applyNumberFormat="1" applyFont="1" applyFill="1" applyBorder="1" applyAlignment="1">
      <alignment horizontal="right" vertical="center" wrapText="1"/>
    </xf>
    <xf numFmtId="3" fontId="250" fillId="0" borderId="16" xfId="4" applyNumberFormat="1" applyFont="1" applyFill="1" applyBorder="1" applyAlignment="1">
      <alignment horizontal="right" vertical="center" wrapText="1"/>
    </xf>
    <xf numFmtId="335" fontId="250" fillId="0" borderId="16" xfId="4" applyNumberFormat="1" applyFont="1" applyFill="1" applyBorder="1" applyAlignment="1">
      <alignment horizontal="right" vertical="center" wrapText="1"/>
    </xf>
    <xf numFmtId="1" fontId="252" fillId="0" borderId="0" xfId="1" applyNumberFormat="1" applyFont="1" applyFill="1" applyAlignment="1">
      <alignment vertical="center"/>
    </xf>
    <xf numFmtId="3" fontId="16" fillId="0" borderId="16" xfId="2745" applyNumberFormat="1" applyFont="1" applyFill="1" applyBorder="1" applyAlignment="1">
      <alignment horizontal="left" vertical="center" wrapText="1"/>
    </xf>
    <xf numFmtId="3" fontId="16" fillId="0" borderId="16" xfId="2745" applyNumberFormat="1" applyFont="1" applyFill="1" applyBorder="1" applyAlignment="1">
      <alignment horizontal="center" vertical="center" wrapText="1"/>
    </xf>
    <xf numFmtId="1" fontId="16" fillId="0" borderId="16" xfId="4714" applyNumberFormat="1" applyFont="1" applyFill="1" applyBorder="1" applyAlignment="1">
      <alignment horizontal="center" vertical="center" wrapText="1"/>
    </xf>
    <xf numFmtId="3" fontId="17" fillId="0" borderId="16" xfId="2745" applyNumberFormat="1" applyFont="1" applyFill="1" applyBorder="1" applyAlignment="1">
      <alignment horizontal="center" vertical="center" wrapText="1"/>
    </xf>
    <xf numFmtId="1" fontId="253" fillId="0" borderId="16" xfId="1" applyNumberFormat="1" applyFont="1" applyFill="1" applyBorder="1" applyAlignment="1">
      <alignment horizontal="center" vertical="center" wrapText="1"/>
    </xf>
    <xf numFmtId="3" fontId="11" fillId="0" borderId="16" xfId="1" quotePrefix="1" applyNumberFormat="1" applyFont="1" applyFill="1" applyBorder="1" applyAlignment="1">
      <alignment horizontal="right" vertical="center" wrapText="1"/>
    </xf>
    <xf numFmtId="1" fontId="7" fillId="0" borderId="0" xfId="1" applyNumberFormat="1" applyFont="1" applyFill="1" applyAlignment="1">
      <alignment vertical="center"/>
    </xf>
    <xf numFmtId="3" fontId="18" fillId="52" borderId="16" xfId="1" applyNumberFormat="1" applyFont="1" applyFill="1" applyBorder="1" applyAlignment="1">
      <alignment horizontal="center" vertical="center" wrapText="1"/>
    </xf>
    <xf numFmtId="3" fontId="19" fillId="52" borderId="16" xfId="1" applyNumberFormat="1" applyFont="1" applyFill="1" applyBorder="1" applyAlignment="1">
      <alignment horizontal="center" vertical="center" wrapText="1"/>
    </xf>
    <xf numFmtId="1" fontId="19" fillId="52" borderId="16" xfId="1" applyNumberFormat="1" applyFont="1" applyFill="1" applyBorder="1" applyAlignment="1">
      <alignment horizontal="center" vertical="center" wrapText="1"/>
    </xf>
    <xf numFmtId="3" fontId="16" fillId="0" borderId="16" xfId="1" applyNumberFormat="1" applyFont="1" applyFill="1" applyBorder="1" applyAlignment="1">
      <alignment horizontal="center" vertical="center"/>
    </xf>
    <xf numFmtId="1" fontId="16" fillId="0" borderId="16" xfId="1" applyNumberFormat="1" applyFont="1" applyFill="1" applyBorder="1" applyAlignment="1">
      <alignment horizontal="center" vertical="center"/>
    </xf>
    <xf numFmtId="49" fontId="15" fillId="0" borderId="16" xfId="1" applyNumberFormat="1" applyFont="1" applyFill="1" applyBorder="1" applyAlignment="1">
      <alignment horizontal="center" vertical="center"/>
    </xf>
    <xf numFmtId="3" fontId="254" fillId="0" borderId="16" xfId="1" applyNumberFormat="1" applyFont="1" applyFill="1" applyBorder="1" applyAlignment="1">
      <alignment horizontal="left" vertical="center" wrapText="1"/>
    </xf>
    <xf numFmtId="3" fontId="15" fillId="0" borderId="16" xfId="4" applyNumberFormat="1" applyFont="1" applyFill="1" applyBorder="1" applyAlignment="1">
      <alignment horizontal="right" vertical="center"/>
    </xf>
    <xf numFmtId="335" fontId="10" fillId="0" borderId="16" xfId="4" applyNumberFormat="1" applyFont="1" applyFill="1" applyBorder="1" applyAlignment="1">
      <alignment horizontal="right" vertical="center"/>
    </xf>
    <xf numFmtId="335" fontId="15" fillId="0" borderId="16" xfId="4" applyNumberFormat="1" applyFont="1" applyFill="1" applyBorder="1" applyAlignment="1">
      <alignment horizontal="right" vertical="center"/>
    </xf>
    <xf numFmtId="3" fontId="254" fillId="0" borderId="16" xfId="1" applyNumberFormat="1" applyFont="1" applyFill="1" applyBorder="1" applyAlignment="1">
      <alignment horizontal="center" vertical="center" wrapText="1"/>
    </xf>
    <xf numFmtId="1" fontId="254" fillId="0" borderId="16" xfId="1" applyNumberFormat="1" applyFont="1" applyFill="1" applyBorder="1" applyAlignment="1">
      <alignment horizontal="center" vertical="center" wrapText="1"/>
    </xf>
    <xf numFmtId="1" fontId="16" fillId="0" borderId="16" xfId="0" applyNumberFormat="1" applyFont="1" applyFill="1" applyBorder="1" applyAlignment="1">
      <alignment horizontal="center" vertical="center"/>
    </xf>
    <xf numFmtId="1" fontId="10" fillId="0" borderId="16" xfId="1" quotePrefix="1" applyNumberFormat="1" applyFont="1" applyFill="1" applyBorder="1" applyAlignment="1">
      <alignment horizontal="center" vertical="center"/>
    </xf>
    <xf numFmtId="3" fontId="10" fillId="0" borderId="16" xfId="4" quotePrefix="1" applyNumberFormat="1" applyFont="1" applyFill="1" applyBorder="1" applyAlignment="1">
      <alignment horizontal="right" vertical="center" wrapText="1"/>
    </xf>
    <xf numFmtId="3" fontId="10" fillId="0" borderId="16" xfId="7" applyNumberFormat="1" applyFont="1" applyFill="1" applyBorder="1" applyAlignment="1">
      <alignment horizontal="center" vertical="center" wrapText="1"/>
    </xf>
    <xf numFmtId="3" fontId="10" fillId="0" borderId="16" xfId="2745" applyNumberFormat="1" applyFont="1" applyFill="1" applyBorder="1" applyAlignment="1">
      <alignment horizontal="center" vertical="center" wrapText="1"/>
    </xf>
    <xf numFmtId="1" fontId="10" fillId="0" borderId="16" xfId="4714" applyNumberFormat="1" applyFont="1" applyFill="1" applyBorder="1" applyAlignment="1">
      <alignment horizontal="center" vertical="center" wrapText="1"/>
    </xf>
    <xf numFmtId="3" fontId="10" fillId="0" borderId="16" xfId="1" applyNumberFormat="1" applyFont="1" applyFill="1" applyBorder="1" applyAlignment="1">
      <alignment horizontal="center" vertical="center" wrapText="1"/>
    </xf>
    <xf numFmtId="1" fontId="10" fillId="0" borderId="16" xfId="1" applyNumberFormat="1" applyFont="1" applyFill="1" applyBorder="1" applyAlignment="1">
      <alignment horizontal="center" vertical="center" wrapText="1"/>
    </xf>
    <xf numFmtId="0" fontId="77" fillId="0" borderId="16" xfId="4714" quotePrefix="1" applyFont="1" applyFill="1" applyBorder="1" applyAlignment="1">
      <alignment horizontal="center" vertical="center"/>
    </xf>
    <xf numFmtId="1" fontId="77" fillId="0" borderId="16" xfId="4714" applyNumberFormat="1" applyFont="1" applyFill="1" applyBorder="1" applyAlignment="1">
      <alignment horizontal="center" vertical="center"/>
    </xf>
    <xf numFmtId="49" fontId="18" fillId="52" borderId="16" xfId="1" applyNumberFormat="1" applyFont="1" applyFill="1" applyBorder="1" applyAlignment="1">
      <alignment horizontal="center" vertical="center"/>
    </xf>
    <xf numFmtId="3" fontId="16" fillId="52" borderId="16" xfId="1" applyNumberFormat="1" applyFont="1" applyFill="1" applyBorder="1" applyAlignment="1">
      <alignment horizontal="center" vertical="center" wrapText="1"/>
    </xf>
    <xf numFmtId="1" fontId="16" fillId="52" borderId="16" xfId="1" applyNumberFormat="1" applyFont="1" applyFill="1" applyBorder="1" applyAlignment="1">
      <alignment horizontal="center" vertical="center" wrapText="1"/>
    </xf>
    <xf numFmtId="1" fontId="10" fillId="0" borderId="16" xfId="2745" applyNumberFormat="1" applyFont="1" applyFill="1" applyBorder="1" applyAlignment="1">
      <alignment horizontal="center" vertical="center"/>
    </xf>
    <xf numFmtId="3" fontId="16" fillId="0" borderId="16" xfId="2730" applyNumberFormat="1" applyFont="1" applyFill="1" applyBorder="1" applyAlignment="1">
      <alignment horizontal="left" vertical="center" wrapText="1"/>
    </xf>
    <xf numFmtId="3" fontId="16" fillId="0" borderId="16" xfId="4714" applyNumberFormat="1" applyFont="1" applyFill="1" applyBorder="1" applyAlignment="1">
      <alignment horizontal="center" vertical="center" wrapText="1"/>
    </xf>
    <xf numFmtId="3" fontId="10" fillId="0" borderId="16" xfId="4714" applyNumberFormat="1" applyFont="1" applyFill="1" applyBorder="1" applyAlignment="1">
      <alignment horizontal="right" vertical="center" wrapText="1"/>
    </xf>
    <xf numFmtId="1" fontId="17" fillId="53" borderId="16" xfId="1" applyNumberFormat="1" applyFont="1" applyFill="1" applyBorder="1" applyAlignment="1">
      <alignment horizontal="center" vertical="center" wrapText="1"/>
    </xf>
    <xf numFmtId="1" fontId="256" fillId="0" borderId="16" xfId="2745" applyNumberFormat="1" applyFont="1" applyFill="1" applyBorder="1" applyAlignment="1">
      <alignment horizontal="center" vertical="center"/>
    </xf>
    <xf numFmtId="3" fontId="256" fillId="0" borderId="16" xfId="1" quotePrefix="1" applyNumberFormat="1" applyFont="1" applyFill="1" applyBorder="1" applyAlignment="1">
      <alignment horizontal="right" vertical="center" wrapText="1"/>
    </xf>
    <xf numFmtId="335" fontId="256" fillId="0" borderId="16" xfId="1" quotePrefix="1" applyNumberFormat="1" applyFont="1" applyFill="1" applyBorder="1" applyAlignment="1">
      <alignment horizontal="right" vertical="center" wrapText="1"/>
    </xf>
    <xf numFmtId="167" fontId="18" fillId="0" borderId="16" xfId="4" quotePrefix="1" applyNumberFormat="1" applyFont="1" applyFill="1" applyBorder="1" applyAlignment="1">
      <alignment horizontal="center" vertical="center"/>
    </xf>
    <xf numFmtId="3" fontId="19" fillId="0" borderId="16" xfId="4" applyNumberFormat="1" applyFont="1" applyFill="1" applyBorder="1" applyAlignment="1">
      <alignment horizontal="left" vertical="center" wrapText="1"/>
    </xf>
    <xf numFmtId="3" fontId="19" fillId="0" borderId="16" xfId="4" applyNumberFormat="1" applyFont="1" applyFill="1" applyBorder="1" applyAlignment="1">
      <alignment horizontal="center" vertical="center" wrapText="1"/>
    </xf>
    <xf numFmtId="1" fontId="19" fillId="0" borderId="16" xfId="4" applyNumberFormat="1" applyFont="1" applyFill="1" applyBorder="1" applyAlignment="1">
      <alignment horizontal="center" vertical="center" wrapText="1"/>
    </xf>
    <xf numFmtId="3" fontId="16" fillId="0" borderId="16" xfId="1785" applyNumberFormat="1" applyFont="1" applyFill="1" applyBorder="1" applyAlignment="1">
      <alignment horizontal="center" vertical="center" wrapText="1"/>
    </xf>
    <xf numFmtId="1" fontId="16" fillId="0" borderId="16" xfId="2758" applyNumberFormat="1" applyFont="1" applyFill="1" applyBorder="1" applyAlignment="1">
      <alignment horizontal="center" vertical="center" wrapText="1"/>
    </xf>
    <xf numFmtId="3" fontId="10" fillId="0" borderId="16" xfId="1785" applyNumberFormat="1" applyFont="1" applyFill="1" applyBorder="1" applyAlignment="1">
      <alignment horizontal="right" vertical="center"/>
    </xf>
    <xf numFmtId="335" fontId="10" fillId="0" borderId="16" xfId="1785" applyNumberFormat="1" applyFont="1" applyFill="1" applyBorder="1" applyAlignment="1">
      <alignment horizontal="right" vertical="center"/>
    </xf>
    <xf numFmtId="3" fontId="16" fillId="0" borderId="16" xfId="5" applyNumberFormat="1" applyFont="1" applyFill="1" applyBorder="1" applyAlignment="1">
      <alignment horizontal="left" vertical="center" wrapText="1"/>
    </xf>
    <xf numFmtId="3" fontId="16" fillId="0" borderId="16" xfId="3451" applyNumberFormat="1" applyFont="1" applyFill="1" applyBorder="1" applyAlignment="1">
      <alignment horizontal="center" vertical="center" wrapText="1"/>
    </xf>
    <xf numFmtId="1" fontId="16" fillId="0" borderId="16" xfId="2755" applyNumberFormat="1" applyFont="1" applyFill="1" applyBorder="1" applyAlignment="1">
      <alignment horizontal="center" vertical="center" wrapText="1"/>
    </xf>
    <xf numFmtId="3" fontId="10" fillId="0" borderId="16" xfId="2755" applyNumberFormat="1" applyFont="1" applyFill="1" applyBorder="1" applyAlignment="1">
      <alignment horizontal="right" vertical="center" wrapText="1"/>
    </xf>
    <xf numFmtId="3" fontId="10" fillId="0" borderId="16" xfId="1822" applyNumberFormat="1" applyFont="1" applyFill="1" applyBorder="1" applyAlignment="1">
      <alignment horizontal="right" vertical="center" wrapText="1"/>
    </xf>
    <xf numFmtId="3" fontId="16" fillId="0" borderId="16" xfId="2758" applyNumberFormat="1" applyFont="1" applyFill="1" applyBorder="1" applyAlignment="1">
      <alignment horizontal="left" vertical="center" wrapText="1"/>
    </xf>
    <xf numFmtId="3" fontId="16" fillId="0" borderId="16" xfId="2758" applyNumberFormat="1" applyFont="1" applyFill="1" applyBorder="1" applyAlignment="1">
      <alignment horizontal="center" vertical="center" wrapText="1"/>
    </xf>
    <xf numFmtId="3" fontId="10" fillId="0" borderId="16" xfId="2758" applyNumberFormat="1" applyFont="1" applyFill="1" applyBorder="1" applyAlignment="1">
      <alignment horizontal="right" vertical="center" wrapText="1"/>
    </xf>
    <xf numFmtId="3" fontId="16" fillId="0" borderId="16" xfId="3451" quotePrefix="1" applyNumberFormat="1" applyFont="1" applyFill="1" applyBorder="1" applyAlignment="1">
      <alignment horizontal="left" vertical="center" wrapText="1"/>
    </xf>
    <xf numFmtId="3" fontId="10" fillId="0" borderId="16" xfId="0" applyNumberFormat="1" applyFont="1" applyFill="1" applyBorder="1" applyAlignment="1">
      <alignment horizontal="right" vertical="center"/>
    </xf>
    <xf numFmtId="335" fontId="10" fillId="0" borderId="16" xfId="0" applyNumberFormat="1" applyFont="1" applyFill="1" applyBorder="1" applyAlignment="1">
      <alignment horizontal="right" vertical="center"/>
    </xf>
    <xf numFmtId="335" fontId="10" fillId="0" borderId="16" xfId="0" quotePrefix="1" applyNumberFormat="1" applyFont="1" applyFill="1" applyBorder="1" applyAlignment="1">
      <alignment horizontal="right" vertical="center"/>
    </xf>
    <xf numFmtId="335" fontId="12" fillId="0" borderId="16" xfId="0" applyNumberFormat="1" applyFont="1" applyFill="1" applyBorder="1" applyAlignment="1">
      <alignment horizontal="center" vertical="center" wrapText="1"/>
    </xf>
    <xf numFmtId="3" fontId="16" fillId="0" borderId="16" xfId="4714" applyNumberFormat="1" applyFont="1" applyFill="1" applyBorder="1" applyAlignment="1">
      <alignment horizontal="left" vertical="center" wrapText="1"/>
    </xf>
    <xf numFmtId="3" fontId="16" fillId="0" borderId="16" xfId="1657" applyNumberFormat="1" applyFont="1" applyFill="1" applyBorder="1" applyAlignment="1">
      <alignment horizontal="center" vertical="center" wrapText="1"/>
    </xf>
    <xf numFmtId="1" fontId="16" fillId="0" borderId="16" xfId="1657" applyNumberFormat="1" applyFont="1" applyFill="1" applyBorder="1" applyAlignment="1">
      <alignment horizontal="center" vertical="center" wrapText="1"/>
    </xf>
    <xf numFmtId="3" fontId="10" fillId="0" borderId="16" xfId="1932" applyNumberFormat="1" applyFont="1" applyFill="1" applyBorder="1" applyAlignment="1">
      <alignment horizontal="right" vertical="center"/>
    </xf>
    <xf numFmtId="3" fontId="16" fillId="0" borderId="16" xfId="4717" applyNumberFormat="1" applyFont="1" applyFill="1" applyBorder="1" applyAlignment="1">
      <alignment horizontal="left" vertical="center" wrapText="1"/>
    </xf>
    <xf numFmtId="1" fontId="16" fillId="0" borderId="16" xfId="1" applyNumberFormat="1" applyFont="1" applyFill="1" applyBorder="1" applyAlignment="1">
      <alignment vertical="center" wrapText="1"/>
    </xf>
    <xf numFmtId="0" fontId="16" fillId="0" borderId="16" xfId="2759" applyFont="1" applyFill="1" applyBorder="1" applyAlignment="1">
      <alignment horizontal="center" vertical="center" wrapText="1"/>
    </xf>
    <xf numFmtId="1" fontId="16" fillId="0" borderId="16" xfId="2759" applyNumberFormat="1" applyFont="1" applyFill="1" applyBorder="1" applyAlignment="1">
      <alignment horizontal="center" vertical="center" wrapText="1"/>
    </xf>
    <xf numFmtId="3" fontId="10" fillId="0" borderId="16" xfId="7" applyNumberFormat="1" applyFont="1" applyFill="1" applyBorder="1" applyAlignment="1">
      <alignment horizontal="right" vertical="center" wrapText="1"/>
    </xf>
    <xf numFmtId="335" fontId="10" fillId="0" borderId="16" xfId="1889" applyNumberFormat="1" applyFont="1" applyFill="1" applyBorder="1" applyAlignment="1">
      <alignment horizontal="right" vertical="center" wrapText="1"/>
    </xf>
    <xf numFmtId="3" fontId="21" fillId="0" borderId="16" xfId="0" applyNumberFormat="1" applyFont="1" applyFill="1" applyBorder="1" applyAlignment="1">
      <alignment horizontal="right" vertical="center"/>
    </xf>
    <xf numFmtId="49" fontId="10" fillId="0" borderId="16" xfId="0" applyNumberFormat="1" applyFont="1" applyFill="1" applyBorder="1" applyAlignment="1">
      <alignment horizontal="center" vertical="center" wrapText="1"/>
    </xf>
    <xf numFmtId="3" fontId="16" fillId="0" borderId="16" xfId="4717" applyNumberFormat="1" applyFont="1" applyFill="1" applyBorder="1" applyAlignment="1">
      <alignment horizontal="center" vertical="center" wrapText="1"/>
    </xf>
    <xf numFmtId="167" fontId="18" fillId="0" borderId="16" xfId="4" applyNumberFormat="1" applyFont="1" applyFill="1" applyBorder="1" applyAlignment="1">
      <alignment horizontal="center" vertical="center"/>
    </xf>
    <xf numFmtId="3" fontId="17" fillId="0" borderId="16" xfId="4714" applyNumberFormat="1" applyFont="1" applyFill="1" applyBorder="1" applyAlignment="1">
      <alignment horizontal="right" vertical="center" wrapText="1"/>
    </xf>
    <xf numFmtId="1" fontId="8" fillId="53" borderId="0" xfId="1" applyNumberFormat="1" applyFont="1" applyFill="1" applyAlignment="1">
      <alignment vertical="center"/>
    </xf>
    <xf numFmtId="1" fontId="10" fillId="53" borderId="0" xfId="1" applyNumberFormat="1" applyFont="1" applyFill="1" applyAlignment="1">
      <alignment vertical="center"/>
    </xf>
    <xf numFmtId="3" fontId="10" fillId="0" borderId="16" xfId="0" applyNumberFormat="1" applyFont="1" applyFill="1" applyBorder="1" applyAlignment="1">
      <alignment horizontal="center" vertical="center" wrapText="1"/>
    </xf>
    <xf numFmtId="3" fontId="19" fillId="0" borderId="16" xfId="0" applyNumberFormat="1" applyFont="1" applyFill="1" applyBorder="1" applyAlignment="1">
      <alignment horizontal="left" vertical="center" wrapText="1"/>
    </xf>
    <xf numFmtId="3" fontId="19" fillId="0" borderId="16" xfId="0" applyNumberFormat="1" applyFont="1" applyFill="1" applyBorder="1" applyAlignment="1">
      <alignment horizontal="center" vertical="center"/>
    </xf>
    <xf numFmtId="3" fontId="18" fillId="0" borderId="16" xfId="1893" applyNumberFormat="1" applyFont="1" applyFill="1" applyBorder="1" applyAlignment="1">
      <alignment horizontal="right" vertical="center" wrapText="1"/>
    </xf>
    <xf numFmtId="49" fontId="21" fillId="53" borderId="16" xfId="1" applyNumberFormat="1" applyFont="1" applyFill="1" applyBorder="1" applyAlignment="1">
      <alignment horizontal="center" vertical="center"/>
    </xf>
    <xf numFmtId="3" fontId="254" fillId="53" borderId="16" xfId="1" applyNumberFormat="1" applyFont="1" applyFill="1" applyBorder="1" applyAlignment="1">
      <alignment horizontal="center" vertical="center" wrapText="1"/>
    </xf>
    <xf numFmtId="1" fontId="254" fillId="53" borderId="16" xfId="1" applyNumberFormat="1" applyFont="1" applyFill="1" applyBorder="1" applyAlignment="1">
      <alignment horizontal="center" vertical="center" wrapText="1"/>
    </xf>
    <xf numFmtId="1" fontId="258" fillId="0" borderId="0" xfId="1" applyNumberFormat="1" applyFont="1" applyFill="1" applyAlignment="1">
      <alignment vertical="center"/>
    </xf>
    <xf numFmtId="1" fontId="10" fillId="0" borderId="16" xfId="0" quotePrefix="1" applyNumberFormat="1" applyFont="1" applyFill="1" applyBorder="1" applyAlignment="1">
      <alignment horizontal="center" vertical="center" wrapText="1"/>
    </xf>
    <xf numFmtId="3" fontId="10" fillId="0" borderId="16" xfId="4715" applyNumberFormat="1" applyFont="1" applyFill="1" applyBorder="1" applyAlignment="1">
      <alignment horizontal="right" vertical="center" wrapText="1"/>
    </xf>
    <xf numFmtId="3" fontId="17" fillId="0" borderId="16" xfId="4715" applyNumberFormat="1" applyFont="1" applyFill="1" applyBorder="1" applyAlignment="1">
      <alignment horizontal="right" vertical="center" wrapText="1"/>
    </xf>
    <xf numFmtId="1" fontId="10" fillId="0" borderId="16" xfId="1" applyNumberFormat="1" applyFont="1" applyFill="1" applyBorder="1" applyAlignment="1">
      <alignment vertical="center"/>
    </xf>
    <xf numFmtId="1" fontId="18" fillId="52" borderId="0" xfId="1" applyNumberFormat="1" applyFont="1" applyFill="1" applyAlignment="1">
      <alignment vertical="center"/>
    </xf>
    <xf numFmtId="3" fontId="18" fillId="52" borderId="16" xfId="1" applyNumberFormat="1" applyFont="1" applyFill="1" applyBorder="1" applyAlignment="1">
      <alignment horizontal="left" vertical="center" wrapText="1"/>
    </xf>
    <xf numFmtId="3" fontId="18" fillId="52" borderId="16" xfId="1" applyNumberFormat="1" applyFont="1" applyFill="1" applyBorder="1" applyAlignment="1">
      <alignment horizontal="right" vertical="center"/>
    </xf>
    <xf numFmtId="1" fontId="260" fillId="0" borderId="0" xfId="1" applyNumberFormat="1" applyFont="1" applyFill="1" applyAlignment="1">
      <alignment vertical="center"/>
    </xf>
    <xf numFmtId="3" fontId="10" fillId="0" borderId="16" xfId="1" applyNumberFormat="1" applyFont="1" applyFill="1" applyBorder="1" applyAlignment="1">
      <alignment horizontal="left" vertical="center" wrapText="1"/>
    </xf>
    <xf numFmtId="3" fontId="18"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167" fontId="10" fillId="0" borderId="16" xfId="4" quotePrefix="1" applyNumberFormat="1" applyFont="1" applyFill="1" applyBorder="1" applyAlignment="1">
      <alignment horizontal="center" vertical="center"/>
    </xf>
    <xf numFmtId="167" fontId="16" fillId="0" borderId="16" xfId="4" applyNumberFormat="1" applyFont="1" applyFill="1" applyBorder="1" applyAlignment="1">
      <alignment horizontal="center" vertical="center" wrapText="1"/>
    </xf>
    <xf numFmtId="167" fontId="10" fillId="0" borderId="16" xfId="4" applyNumberFormat="1" applyFont="1" applyFill="1" applyBorder="1" applyAlignment="1">
      <alignment horizontal="right" vertical="center"/>
    </xf>
    <xf numFmtId="167" fontId="19" fillId="0" borderId="16" xfId="4" applyNumberFormat="1" applyFont="1" applyFill="1" applyBorder="1" applyAlignment="1">
      <alignment horizontal="center" vertical="center" wrapText="1"/>
    </xf>
    <xf numFmtId="167" fontId="18" fillId="0" borderId="16" xfId="4" applyNumberFormat="1" applyFont="1" applyFill="1" applyBorder="1" applyAlignment="1">
      <alignment horizontal="right" vertical="center"/>
    </xf>
    <xf numFmtId="167" fontId="22" fillId="0" borderId="16" xfId="4" applyNumberFormat="1" applyFont="1" applyFill="1" applyBorder="1" applyAlignment="1">
      <alignment horizontal="center" vertical="center" wrapText="1"/>
    </xf>
    <xf numFmtId="167" fontId="21" fillId="0" borderId="16" xfId="4" applyNumberFormat="1" applyFont="1" applyFill="1" applyBorder="1" applyAlignment="1">
      <alignment horizontal="right" vertical="center"/>
    </xf>
    <xf numFmtId="3" fontId="10" fillId="0" borderId="16" xfId="1" applyNumberFormat="1" applyFont="1" applyFill="1" applyBorder="1" applyAlignment="1">
      <alignment horizontal="center" vertical="center"/>
    </xf>
    <xf numFmtId="167" fontId="10" fillId="0" borderId="16" xfId="1893" applyNumberFormat="1" applyFont="1" applyFill="1" applyBorder="1" applyAlignment="1">
      <alignment horizontal="right" vertical="center" wrapText="1"/>
    </xf>
    <xf numFmtId="3" fontId="18" fillId="0" borderId="16" xfId="1" applyNumberFormat="1" applyFont="1" applyFill="1" applyBorder="1" applyAlignment="1">
      <alignment horizontal="center" vertical="center" wrapText="1"/>
    </xf>
    <xf numFmtId="3" fontId="10" fillId="0" borderId="16" xfId="4714" applyNumberFormat="1" applyFont="1" applyFill="1" applyBorder="1" applyAlignment="1">
      <alignment horizontal="left" vertical="center" wrapText="1"/>
    </xf>
    <xf numFmtId="3" fontId="10" fillId="0" borderId="16" xfId="0" quotePrefix="1" applyNumberFormat="1" applyFont="1" applyFill="1" applyBorder="1" applyAlignment="1">
      <alignment horizontal="right" vertical="center" wrapText="1"/>
    </xf>
    <xf numFmtId="3" fontId="10" fillId="0" borderId="16" xfId="2762" applyNumberFormat="1" applyFont="1" applyFill="1" applyBorder="1" applyAlignment="1">
      <alignment horizontal="left" vertical="center" wrapText="1"/>
    </xf>
    <xf numFmtId="3" fontId="10" fillId="0" borderId="16" xfId="2762" quotePrefix="1" applyNumberFormat="1" applyFont="1" applyFill="1" applyBorder="1" applyAlignment="1">
      <alignment horizontal="right" vertical="center" wrapText="1"/>
    </xf>
    <xf numFmtId="3" fontId="10" fillId="0" borderId="16" xfId="7" applyNumberFormat="1" applyFont="1" applyFill="1" applyBorder="1" applyAlignment="1">
      <alignment horizontal="left" vertical="center" wrapText="1"/>
    </xf>
    <xf numFmtId="3" fontId="10" fillId="0" borderId="16" xfId="0" applyNumberFormat="1" applyFont="1" applyFill="1" applyBorder="1" applyAlignment="1">
      <alignment horizontal="center" vertical="center" wrapText="1" shrinkToFit="1"/>
    </xf>
    <xf numFmtId="3" fontId="10" fillId="0" borderId="16" xfId="1" quotePrefix="1" applyNumberFormat="1" applyFont="1" applyFill="1" applyBorder="1" applyAlignment="1">
      <alignment horizontal="left" vertical="center" wrapText="1"/>
    </xf>
    <xf numFmtId="165" fontId="10" fillId="0" borderId="16" xfId="4712" applyNumberFormat="1" applyFont="1" applyFill="1" applyBorder="1" applyAlignment="1">
      <alignment horizontal="right" vertical="center"/>
    </xf>
    <xf numFmtId="0" fontId="16" fillId="0" borderId="16" xfId="0" applyFont="1" applyFill="1" applyBorder="1" applyAlignment="1">
      <alignment horizontal="center" vertical="center" wrapText="1"/>
    </xf>
    <xf numFmtId="3" fontId="10" fillId="52" borderId="16" xfId="1" applyNumberFormat="1" applyFont="1" applyFill="1" applyBorder="1" applyAlignment="1">
      <alignment horizontal="center" vertical="center" wrapText="1"/>
    </xf>
    <xf numFmtId="1" fontId="260" fillId="53" borderId="0" xfId="1" applyNumberFormat="1" applyFont="1" applyFill="1" applyAlignment="1">
      <alignment vertical="center"/>
    </xf>
    <xf numFmtId="0" fontId="0" fillId="0" borderId="0" xfId="0" applyAlignment="1">
      <alignment horizontal="center" vertical="center"/>
    </xf>
    <xf numFmtId="0" fontId="266" fillId="0" borderId="1" xfId="0" applyFont="1" applyBorder="1" applyAlignment="1"/>
    <xf numFmtId="0" fontId="266" fillId="0" borderId="0" xfId="0" applyFont="1" applyBorder="1" applyAlignment="1">
      <alignment horizontal="center"/>
    </xf>
    <xf numFmtId="0" fontId="176" fillId="0" borderId="0" xfId="0" applyFont="1" applyAlignment="1">
      <alignment horizontal="center"/>
    </xf>
    <xf numFmtId="0" fontId="0" fillId="0" borderId="0" xfId="0" applyAlignment="1">
      <alignment horizontal="center"/>
    </xf>
    <xf numFmtId="0" fontId="176" fillId="0" borderId="1" xfId="0" applyFont="1" applyBorder="1" applyAlignment="1">
      <alignment horizontal="right"/>
    </xf>
    <xf numFmtId="3" fontId="17" fillId="0" borderId="31" xfId="1" quotePrefix="1" applyNumberFormat="1" applyFont="1" applyFill="1" applyBorder="1" applyAlignment="1">
      <alignment horizontal="center" vertical="center" wrapText="1"/>
    </xf>
    <xf numFmtId="0" fontId="257" fillId="0" borderId="14" xfId="0" applyFont="1" applyBorder="1" applyAlignment="1">
      <alignment horizontal="center" vertical="center"/>
    </xf>
    <xf numFmtId="0" fontId="257" fillId="0" borderId="14" xfId="0" applyFont="1" applyBorder="1" applyAlignment="1">
      <alignment vertical="center"/>
    </xf>
    <xf numFmtId="3" fontId="257" fillId="0" borderId="14" xfId="0" applyNumberFormat="1" applyFont="1" applyBorder="1" applyAlignment="1">
      <alignment vertical="center"/>
    </xf>
    <xf numFmtId="3" fontId="257" fillId="0" borderId="14" xfId="0" applyNumberFormat="1" applyFont="1" applyBorder="1" applyAlignment="1">
      <alignment horizontal="center" vertical="center"/>
    </xf>
    <xf numFmtId="0" fontId="268" fillId="0" borderId="16" xfId="0" applyFont="1" applyBorder="1" applyAlignment="1">
      <alignment horizontal="center" vertical="center"/>
    </xf>
    <xf numFmtId="3" fontId="267" fillId="0" borderId="16" xfId="0" applyNumberFormat="1" applyFont="1" applyBorder="1" applyAlignment="1">
      <alignment vertical="center"/>
    </xf>
    <xf numFmtId="4" fontId="267" fillId="0" borderId="16" xfId="0" applyNumberFormat="1" applyFont="1" applyBorder="1" applyAlignment="1">
      <alignment horizontal="center" vertical="center"/>
    </xf>
    <xf numFmtId="3" fontId="267" fillId="0" borderId="16" xfId="0" applyNumberFormat="1" applyFont="1" applyBorder="1" applyAlignment="1">
      <alignment horizontal="center" vertical="center"/>
    </xf>
    <xf numFmtId="0" fontId="269" fillId="0" borderId="16" xfId="0" applyFont="1" applyBorder="1" applyAlignment="1">
      <alignment vertical="center"/>
    </xf>
    <xf numFmtId="0" fontId="268" fillId="0" borderId="16" xfId="0" applyFont="1" applyBorder="1" applyAlignment="1">
      <alignment vertical="center"/>
    </xf>
    <xf numFmtId="0" fontId="176" fillId="0" borderId="16" xfId="0" applyFont="1" applyBorder="1" applyAlignment="1">
      <alignment horizontal="center" vertical="center"/>
    </xf>
    <xf numFmtId="3" fontId="266" fillId="0" borderId="16" xfId="0" applyNumberFormat="1" applyFont="1" applyBorder="1" applyAlignment="1">
      <alignment vertical="center"/>
    </xf>
    <xf numFmtId="3" fontId="266" fillId="0" borderId="16" xfId="0" applyNumberFormat="1" applyFont="1" applyBorder="1" applyAlignment="1">
      <alignment horizontal="center" vertical="center"/>
    </xf>
    <xf numFmtId="0" fontId="257" fillId="0" borderId="16" xfId="0" applyFont="1" applyBorder="1" applyAlignment="1">
      <alignment vertical="center"/>
    </xf>
    <xf numFmtId="0" fontId="176" fillId="0" borderId="16" xfId="0" applyFont="1" applyBorder="1" applyAlignment="1">
      <alignment vertical="center" wrapText="1"/>
    </xf>
    <xf numFmtId="3" fontId="266" fillId="0" borderId="16" xfId="0" applyNumberFormat="1" applyFont="1" applyFill="1" applyBorder="1" applyAlignment="1">
      <alignment vertical="center"/>
    </xf>
    <xf numFmtId="3" fontId="257" fillId="0" borderId="16" xfId="0" applyNumberFormat="1" applyFont="1" applyBorder="1" applyAlignment="1">
      <alignment vertical="center"/>
    </xf>
    <xf numFmtId="3" fontId="266" fillId="0" borderId="16" xfId="0" applyNumberFormat="1" applyFont="1" applyBorder="1" applyAlignment="1">
      <alignment vertical="center" wrapText="1"/>
    </xf>
    <xf numFmtId="0" fontId="257" fillId="0" borderId="17" xfId="0" applyFont="1" applyBorder="1" applyAlignment="1">
      <alignment horizontal="center" vertical="center"/>
    </xf>
    <xf numFmtId="0" fontId="257" fillId="0" borderId="17" xfId="0" applyFont="1" applyBorder="1"/>
    <xf numFmtId="3" fontId="257" fillId="0" borderId="17" xfId="0" applyNumberFormat="1" applyFont="1" applyBorder="1"/>
    <xf numFmtId="3" fontId="257" fillId="0" borderId="17" xfId="0" applyNumberFormat="1" applyFont="1" applyBorder="1" applyAlignment="1">
      <alignment horizontal="center"/>
    </xf>
    <xf numFmtId="1" fontId="8" fillId="54" borderId="0" xfId="1" applyNumberFormat="1" applyFont="1" applyFill="1" applyAlignment="1">
      <alignment vertical="center"/>
    </xf>
    <xf numFmtId="1" fontId="17" fillId="54" borderId="0" xfId="1" applyNumberFormat="1" applyFont="1" applyFill="1" applyAlignment="1">
      <alignment horizontal="center" vertical="center" wrapText="1"/>
    </xf>
    <xf numFmtId="1" fontId="18" fillId="54" borderId="0" xfId="1" applyNumberFormat="1" applyFont="1" applyFill="1" applyAlignment="1">
      <alignment vertical="center"/>
    </xf>
    <xf numFmtId="3" fontId="8" fillId="54" borderId="0" xfId="1" applyNumberFormat="1" applyFont="1" applyFill="1" applyBorder="1" applyAlignment="1">
      <alignment vertical="center" wrapText="1"/>
    </xf>
    <xf numFmtId="3" fontId="17" fillId="0" borderId="16" xfId="1" quotePrefix="1" applyNumberFormat="1" applyFont="1" applyFill="1" applyBorder="1" applyAlignment="1">
      <alignment horizontal="center" vertical="center" wrapText="1"/>
    </xf>
    <xf numFmtId="1" fontId="4" fillId="53" borderId="0" xfId="1" applyNumberFormat="1" applyFont="1" applyFill="1" applyAlignment="1">
      <alignment vertical="center"/>
    </xf>
    <xf numFmtId="1" fontId="4" fillId="51" borderId="0" xfId="1" applyNumberFormat="1" applyFont="1" applyFill="1" applyAlignment="1">
      <alignment vertical="center"/>
    </xf>
    <xf numFmtId="167" fontId="21" fillId="0" borderId="16" xfId="4" applyNumberFormat="1" applyFont="1" applyFill="1" applyBorder="1" applyAlignment="1">
      <alignment horizontal="center" vertical="center"/>
    </xf>
    <xf numFmtId="3" fontId="0" fillId="0" borderId="0" xfId="0" applyNumberFormat="1"/>
    <xf numFmtId="3" fontId="16" fillId="53" borderId="16" xfId="0" applyNumberFormat="1" applyFont="1" applyFill="1" applyBorder="1" applyAlignment="1">
      <alignment horizontal="center" vertical="center" wrapText="1"/>
    </xf>
    <xf numFmtId="3" fontId="21" fillId="53" borderId="16" xfId="1" applyNumberFormat="1" applyFont="1" applyFill="1" applyBorder="1" applyAlignment="1">
      <alignment horizontal="left" vertical="center" wrapText="1"/>
    </xf>
    <xf numFmtId="1" fontId="10" fillId="0" borderId="16" xfId="1" applyNumberFormat="1" applyFont="1" applyFill="1" applyBorder="1" applyAlignment="1">
      <alignment vertical="center" wrapText="1"/>
    </xf>
    <xf numFmtId="3" fontId="10" fillId="0" borderId="16" xfId="1889" applyNumberFormat="1" applyFont="1" applyFill="1" applyBorder="1" applyAlignment="1">
      <alignment horizontal="right" vertical="center" wrapText="1"/>
    </xf>
    <xf numFmtId="0" fontId="10" fillId="0" borderId="0" xfId="0" applyFont="1"/>
    <xf numFmtId="1" fontId="10" fillId="0" borderId="0" xfId="1" applyNumberFormat="1" applyFont="1" applyFill="1" applyAlignment="1">
      <alignment horizontal="center" vertical="center"/>
    </xf>
    <xf numFmtId="1" fontId="16" fillId="0" borderId="16" xfId="1" applyNumberFormat="1" applyFont="1" applyFill="1" applyBorder="1" applyAlignment="1">
      <alignment horizontal="left" vertical="center" wrapText="1"/>
    </xf>
    <xf numFmtId="3" fontId="270" fillId="0" borderId="16" xfId="4713" applyNumberFormat="1" applyFont="1" applyFill="1" applyBorder="1" applyAlignment="1">
      <alignment horizontal="left" vertical="center" wrapText="1"/>
    </xf>
    <xf numFmtId="3" fontId="16" fillId="0" borderId="16" xfId="4" applyNumberFormat="1" applyFont="1" applyFill="1" applyBorder="1" applyAlignment="1">
      <alignment horizontal="left" vertical="center" wrapText="1"/>
    </xf>
    <xf numFmtId="167" fontId="19" fillId="0" borderId="16" xfId="4" applyNumberFormat="1" applyFont="1" applyFill="1" applyBorder="1" applyAlignment="1">
      <alignment vertical="center" wrapText="1"/>
    </xf>
    <xf numFmtId="167" fontId="16" fillId="0" borderId="16" xfId="4" applyNumberFormat="1" applyFont="1" applyFill="1" applyBorder="1" applyAlignment="1">
      <alignment vertical="center" wrapText="1"/>
    </xf>
    <xf numFmtId="167" fontId="22" fillId="0" borderId="16" xfId="4" applyNumberFormat="1" applyFont="1" applyFill="1" applyBorder="1" applyAlignment="1">
      <alignment vertical="center" wrapText="1"/>
    </xf>
    <xf numFmtId="3" fontId="16" fillId="0" borderId="16" xfId="2762" applyNumberFormat="1" applyFont="1" applyFill="1" applyBorder="1" applyAlignment="1">
      <alignment horizontal="left" vertical="center" wrapText="1"/>
    </xf>
    <xf numFmtId="3" fontId="16" fillId="0" borderId="16" xfId="7" applyNumberFormat="1" applyFont="1" applyFill="1" applyBorder="1" applyAlignment="1">
      <alignment horizontal="left" vertical="center" wrapText="1"/>
    </xf>
    <xf numFmtId="3" fontId="16" fillId="0" borderId="16" xfId="1" applyNumberFormat="1" applyFont="1" applyFill="1" applyBorder="1" applyAlignment="1">
      <alignment vertical="center" wrapText="1"/>
    </xf>
    <xf numFmtId="3" fontId="16" fillId="0" borderId="16" xfId="2804" applyNumberFormat="1" applyFont="1" applyFill="1" applyBorder="1" applyAlignment="1">
      <alignment horizontal="left" vertical="center" wrapText="1"/>
    </xf>
    <xf numFmtId="1" fontId="16" fillId="0" borderId="16" xfId="1" applyNumberFormat="1" applyFont="1" applyFill="1" applyBorder="1" applyAlignment="1">
      <alignment horizontal="justify" vertical="center"/>
    </xf>
    <xf numFmtId="3" fontId="16" fillId="0" borderId="16" xfId="3" applyNumberFormat="1" applyFont="1" applyFill="1" applyBorder="1" applyAlignment="1">
      <alignment horizontal="left" vertical="center" wrapText="1" shrinkToFit="1"/>
    </xf>
    <xf numFmtId="3" fontId="16" fillId="0" borderId="16" xfId="3" applyNumberFormat="1" applyFont="1" applyFill="1" applyBorder="1" applyAlignment="1">
      <alignment horizontal="left" vertical="center" wrapText="1"/>
    </xf>
    <xf numFmtId="1" fontId="16" fillId="0" borderId="17" xfId="1" applyNumberFormat="1" applyFont="1" applyFill="1" applyBorder="1" applyAlignment="1">
      <alignment horizontal="left" vertical="center" wrapText="1"/>
    </xf>
    <xf numFmtId="1" fontId="16" fillId="0" borderId="0" xfId="1" applyNumberFormat="1" applyFont="1" applyFill="1" applyAlignment="1">
      <alignment horizontal="left" vertical="center" wrapText="1"/>
    </xf>
    <xf numFmtId="3" fontId="270" fillId="0" borderId="16" xfId="4713" applyNumberFormat="1" applyFont="1" applyFill="1" applyBorder="1" applyAlignment="1">
      <alignment horizontal="center" vertical="center" wrapText="1"/>
    </xf>
    <xf numFmtId="3" fontId="16" fillId="0" borderId="16" xfId="2762" applyNumberFormat="1" applyFont="1" applyFill="1" applyBorder="1" applyAlignment="1">
      <alignment horizontal="center" vertical="center" wrapText="1" shrinkToFit="1"/>
    </xf>
    <xf numFmtId="3" fontId="16" fillId="0" borderId="16" xfId="0" applyNumberFormat="1" applyFont="1" applyFill="1" applyBorder="1" applyAlignment="1">
      <alignment horizontal="center" vertical="center" wrapText="1" shrinkToFit="1"/>
    </xf>
    <xf numFmtId="0" fontId="22" fillId="0" borderId="16" xfId="4714" applyFont="1" applyFill="1" applyBorder="1" applyAlignment="1">
      <alignment horizontal="center" vertical="center" wrapText="1"/>
    </xf>
    <xf numFmtId="0" fontId="16" fillId="0" borderId="16" xfId="4714" applyFont="1" applyFill="1" applyBorder="1" applyAlignment="1">
      <alignment horizontal="center" vertical="center" wrapText="1"/>
    </xf>
    <xf numFmtId="0" fontId="16" fillId="0" borderId="16" xfId="4714" quotePrefix="1" applyFont="1" applyFill="1" applyBorder="1" applyAlignment="1">
      <alignment horizontal="center" vertical="center"/>
    </xf>
    <xf numFmtId="3" fontId="19" fillId="0" borderId="16" xfId="0" applyNumberFormat="1" applyFont="1" applyFill="1" applyBorder="1" applyAlignment="1">
      <alignment horizontal="center" vertical="center" wrapText="1"/>
    </xf>
    <xf numFmtId="3" fontId="22" fillId="0" borderId="16" xfId="0" applyNumberFormat="1" applyFont="1" applyFill="1" applyBorder="1" applyAlignment="1">
      <alignment horizontal="center" vertical="center" wrapText="1"/>
    </xf>
    <xf numFmtId="0" fontId="19" fillId="0" borderId="16" xfId="0" applyFont="1" applyFill="1" applyBorder="1" applyAlignment="1">
      <alignment horizontal="center" vertical="center" wrapText="1"/>
    </xf>
    <xf numFmtId="0" fontId="22" fillId="0" borderId="16" xfId="0" applyFont="1" applyFill="1" applyBorder="1" applyAlignment="1">
      <alignment horizontal="center" vertical="center" wrapText="1"/>
    </xf>
    <xf numFmtId="3" fontId="16" fillId="0" borderId="16" xfId="2762" applyNumberFormat="1" applyFont="1" applyFill="1" applyBorder="1" applyAlignment="1">
      <alignment horizontal="center" vertical="center" wrapText="1"/>
    </xf>
    <xf numFmtId="1" fontId="16" fillId="0" borderId="2" xfId="1" quotePrefix="1" applyNumberFormat="1" applyFont="1" applyFill="1" applyBorder="1" applyAlignment="1">
      <alignment horizontal="center" vertical="center" wrapText="1"/>
    </xf>
    <xf numFmtId="1" fontId="16" fillId="0" borderId="16" xfId="4714" applyNumberFormat="1" applyFont="1" applyFill="1" applyBorder="1" applyAlignment="1">
      <alignment horizontal="center" vertical="center"/>
    </xf>
    <xf numFmtId="167" fontId="16" fillId="0" borderId="16" xfId="4" quotePrefix="1" applyNumberFormat="1" applyFont="1" applyFill="1" applyBorder="1" applyAlignment="1">
      <alignment horizontal="center" vertical="center" wrapText="1"/>
    </xf>
    <xf numFmtId="167" fontId="19" fillId="0" borderId="16" xfId="4" quotePrefix="1" applyNumberFormat="1" applyFont="1" applyFill="1" applyBorder="1" applyAlignment="1">
      <alignment horizontal="center" vertical="center" wrapText="1"/>
    </xf>
    <xf numFmtId="167" fontId="22" fillId="0" borderId="16" xfId="4" quotePrefix="1" applyNumberFormat="1" applyFont="1" applyFill="1" applyBorder="1" applyAlignment="1">
      <alignment horizontal="center" vertical="center" wrapText="1"/>
    </xf>
    <xf numFmtId="3" fontId="16" fillId="0" borderId="16" xfId="0" quotePrefix="1" applyNumberFormat="1" applyFont="1" applyFill="1" applyBorder="1" applyAlignment="1">
      <alignment horizontal="center" vertical="center" wrapText="1"/>
    </xf>
    <xf numFmtId="1" fontId="16" fillId="0" borderId="16" xfId="0" quotePrefix="1" applyNumberFormat="1" applyFont="1" applyFill="1" applyBorder="1" applyAlignment="1">
      <alignment horizontal="center" vertical="center" wrapText="1"/>
    </xf>
    <xf numFmtId="3" fontId="251" fillId="0" borderId="16" xfId="2755" applyNumberFormat="1" applyFont="1" applyFill="1" applyBorder="1" applyAlignment="1">
      <alignment horizontal="center" vertical="center" wrapText="1"/>
    </xf>
    <xf numFmtId="3" fontId="16" fillId="0" borderId="16" xfId="2759" applyNumberFormat="1" applyFont="1" applyFill="1" applyBorder="1" applyAlignment="1">
      <alignment horizontal="center" vertical="center" wrapText="1"/>
    </xf>
    <xf numFmtId="3" fontId="10" fillId="0" borderId="16" xfId="4712" applyNumberFormat="1" applyFont="1" applyFill="1" applyBorder="1" applyAlignment="1">
      <alignment horizontal="right" vertical="center" wrapText="1"/>
    </xf>
    <xf numFmtId="335" fontId="10" fillId="0" borderId="16" xfId="1" applyNumberFormat="1" applyFont="1" applyFill="1" applyBorder="1" applyAlignment="1">
      <alignment vertical="center"/>
    </xf>
    <xf numFmtId="1" fontId="10" fillId="0" borderId="0" xfId="1" applyNumberFormat="1" applyFont="1" applyFill="1" applyAlignment="1">
      <alignment horizontal="right" vertical="center"/>
    </xf>
    <xf numFmtId="3" fontId="16" fillId="0" borderId="0" xfId="1" applyNumberFormat="1" applyFont="1" applyFill="1" applyBorder="1" applyAlignment="1">
      <alignment vertical="center" wrapText="1"/>
    </xf>
    <xf numFmtId="3" fontId="16" fillId="0" borderId="31" xfId="1" quotePrefix="1" applyNumberFormat="1" applyFont="1" applyFill="1" applyBorder="1" applyAlignment="1">
      <alignment horizontal="center" vertical="center" wrapText="1"/>
    </xf>
    <xf numFmtId="3" fontId="10" fillId="0" borderId="49" xfId="1" quotePrefix="1" applyNumberFormat="1" applyFont="1" applyFill="1" applyBorder="1" applyAlignment="1">
      <alignment horizontal="center" vertical="center" wrapText="1"/>
    </xf>
    <xf numFmtId="1" fontId="3" fillId="56" borderId="0" xfId="1" applyNumberFormat="1" applyFont="1" applyFill="1" applyAlignment="1">
      <alignment horizontal="right" vertical="center"/>
    </xf>
    <xf numFmtId="1" fontId="5" fillId="56" borderId="0" xfId="1" applyNumberFormat="1" applyFont="1" applyFill="1" applyAlignment="1">
      <alignment horizontal="center" vertical="center"/>
    </xf>
    <xf numFmtId="1" fontId="5" fillId="56" borderId="0" xfId="1" applyNumberFormat="1" applyFont="1" applyFill="1" applyAlignment="1">
      <alignment horizontal="center" vertical="center" wrapText="1"/>
    </xf>
    <xf numFmtId="1" fontId="4" fillId="56" borderId="0" xfId="1" applyNumberFormat="1" applyFont="1" applyFill="1" applyAlignment="1">
      <alignment horizontal="center" vertical="center" wrapText="1"/>
    </xf>
    <xf numFmtId="1" fontId="271" fillId="0" borderId="0" xfId="1" applyNumberFormat="1" applyFont="1" applyFill="1" applyAlignment="1">
      <alignment vertical="center" wrapText="1"/>
    </xf>
    <xf numFmtId="1" fontId="9" fillId="56" borderId="0" xfId="1" applyNumberFormat="1" applyFont="1" applyFill="1" applyBorder="1" applyAlignment="1">
      <alignment horizontal="right" vertical="center"/>
    </xf>
    <xf numFmtId="3" fontId="10" fillId="0" borderId="31" xfId="1" quotePrefix="1" applyNumberFormat="1" applyFont="1" applyFill="1" applyBorder="1" applyAlignment="1">
      <alignment horizontal="center" vertical="center" wrapText="1"/>
    </xf>
    <xf numFmtId="1" fontId="10" fillId="0" borderId="31" xfId="1" quotePrefix="1" applyNumberFormat="1" applyFont="1" applyFill="1" applyBorder="1" applyAlignment="1">
      <alignment horizontal="center" vertical="center" wrapText="1"/>
    </xf>
    <xf numFmtId="3" fontId="10" fillId="56" borderId="31" xfId="1" quotePrefix="1" applyNumberFormat="1" applyFont="1" applyFill="1" applyBorder="1" applyAlignment="1">
      <alignment horizontal="center" vertical="center" wrapText="1"/>
    </xf>
    <xf numFmtId="3" fontId="10" fillId="0" borderId="49" xfId="1" quotePrefix="1" applyNumberFormat="1" applyFont="1" applyFill="1" applyBorder="1" applyAlignment="1">
      <alignment horizontal="left" vertical="center" wrapText="1"/>
    </xf>
    <xf numFmtId="1" fontId="10" fillId="0" borderId="49" xfId="1" quotePrefix="1" applyNumberFormat="1" applyFont="1" applyFill="1" applyBorder="1" applyAlignment="1">
      <alignment horizontal="center" vertical="center" wrapText="1"/>
    </xf>
    <xf numFmtId="3" fontId="16" fillId="0" borderId="49" xfId="1" quotePrefix="1" applyNumberFormat="1" applyFont="1" applyFill="1" applyBorder="1" applyAlignment="1">
      <alignment horizontal="center" vertical="center" wrapText="1"/>
    </xf>
    <xf numFmtId="3" fontId="10" fillId="0" borderId="49" xfId="1" quotePrefix="1" applyNumberFormat="1" applyFont="1" applyFill="1" applyBorder="1" applyAlignment="1">
      <alignment horizontal="right" vertical="center" wrapText="1"/>
    </xf>
    <xf numFmtId="3" fontId="17" fillId="0" borderId="49" xfId="1" quotePrefix="1" applyNumberFormat="1" applyFont="1" applyFill="1" applyBorder="1" applyAlignment="1">
      <alignment horizontal="center" vertical="center" wrapText="1"/>
    </xf>
    <xf numFmtId="3" fontId="10" fillId="56" borderId="49" xfId="1" quotePrefix="1" applyNumberFormat="1" applyFont="1" applyFill="1" applyBorder="1" applyAlignment="1">
      <alignment horizontal="center" vertical="center" wrapText="1"/>
    </xf>
    <xf numFmtId="3" fontId="10" fillId="56" borderId="49" xfId="1" quotePrefix="1" applyNumberFormat="1" applyFont="1" applyFill="1" applyBorder="1" applyAlignment="1">
      <alignment horizontal="right" vertical="center" wrapText="1"/>
    </xf>
    <xf numFmtId="3" fontId="18" fillId="2" borderId="14" xfId="1" applyNumberFormat="1" applyFont="1" applyFill="1" applyBorder="1" applyAlignment="1">
      <alignment horizontal="left" vertical="center" wrapText="1"/>
    </xf>
    <xf numFmtId="3" fontId="12" fillId="2" borderId="14" xfId="1" quotePrefix="1" applyNumberFormat="1" applyFont="1" applyFill="1" applyBorder="1" applyAlignment="1">
      <alignment horizontal="center" vertical="center" wrapText="1"/>
    </xf>
    <xf numFmtId="3" fontId="18" fillId="56" borderId="14" xfId="1" quotePrefix="1" applyNumberFormat="1" applyFont="1" applyFill="1" applyBorder="1" applyAlignment="1">
      <alignment horizontal="right" vertical="center" wrapText="1"/>
    </xf>
    <xf numFmtId="3" fontId="10" fillId="0" borderId="15" xfId="1" quotePrefix="1" applyNumberFormat="1" applyFont="1" applyFill="1" applyBorder="1" applyAlignment="1">
      <alignment horizontal="center" vertical="center" wrapText="1"/>
    </xf>
    <xf numFmtId="3" fontId="10" fillId="0" borderId="15" xfId="1" applyNumberFormat="1" applyFont="1" applyFill="1" applyBorder="1" applyAlignment="1">
      <alignment horizontal="left" vertical="center" wrapText="1"/>
    </xf>
    <xf numFmtId="3" fontId="16" fillId="0" borderId="15" xfId="1" quotePrefix="1" applyNumberFormat="1" applyFont="1" applyFill="1" applyBorder="1" applyAlignment="1">
      <alignment horizontal="center" vertical="center" wrapText="1"/>
    </xf>
    <xf numFmtId="1" fontId="16" fillId="0" borderId="15" xfId="1" quotePrefix="1" applyNumberFormat="1" applyFont="1" applyFill="1" applyBorder="1" applyAlignment="1">
      <alignment horizontal="center" vertical="center" wrapText="1"/>
    </xf>
    <xf numFmtId="3" fontId="10" fillId="0" borderId="15" xfId="1" quotePrefix="1" applyNumberFormat="1" applyFont="1" applyFill="1" applyBorder="1" applyAlignment="1">
      <alignment horizontal="right" vertical="center" wrapText="1"/>
    </xf>
    <xf numFmtId="3" fontId="17" fillId="0" borderId="15" xfId="1" quotePrefix="1" applyNumberFormat="1" applyFont="1" applyFill="1" applyBorder="1" applyAlignment="1">
      <alignment horizontal="center" vertical="center" wrapText="1"/>
    </xf>
    <xf numFmtId="3" fontId="10" fillId="56" borderId="15" xfId="1" quotePrefix="1" applyNumberFormat="1" applyFont="1" applyFill="1" applyBorder="1" applyAlignment="1">
      <alignment horizontal="right" vertical="center" wrapText="1"/>
    </xf>
    <xf numFmtId="3" fontId="18" fillId="56" borderId="16" xfId="1" quotePrefix="1" applyNumberFormat="1" applyFont="1" applyFill="1" applyBorder="1" applyAlignment="1">
      <alignment horizontal="right" vertical="center" wrapText="1"/>
    </xf>
    <xf numFmtId="4" fontId="10" fillId="52" borderId="0" xfId="1" applyNumberFormat="1" applyFont="1" applyFill="1" applyBorder="1" applyAlignment="1">
      <alignment vertical="center" wrapText="1"/>
    </xf>
    <xf numFmtId="3" fontId="18" fillId="52" borderId="0" xfId="1" applyNumberFormat="1" applyFont="1" applyFill="1" applyBorder="1" applyAlignment="1">
      <alignment vertical="center" wrapText="1"/>
    </xf>
    <xf numFmtId="3" fontId="19" fillId="0" borderId="16" xfId="1" quotePrefix="1" applyNumberFormat="1" applyFont="1" applyFill="1" applyBorder="1" applyAlignment="1">
      <alignment horizontal="center" vertical="center" wrapText="1"/>
    </xf>
    <xf numFmtId="1" fontId="19" fillId="0" borderId="16" xfId="1" quotePrefix="1" applyNumberFormat="1" applyFont="1" applyFill="1" applyBorder="1" applyAlignment="1">
      <alignment horizontal="center" vertical="center" wrapText="1"/>
    </xf>
    <xf numFmtId="3" fontId="12" fillId="0" borderId="16" xfId="1" quotePrefix="1" applyNumberFormat="1" applyFont="1" applyFill="1" applyBorder="1" applyAlignment="1">
      <alignment horizontal="center" vertical="center" wrapText="1"/>
    </xf>
    <xf numFmtId="3" fontId="18" fillId="0" borderId="0" xfId="1" applyNumberFormat="1" applyFont="1" applyFill="1" applyBorder="1" applyAlignment="1">
      <alignment vertical="center" wrapText="1"/>
    </xf>
    <xf numFmtId="3" fontId="16" fillId="0" borderId="16" xfId="4718" applyNumberFormat="1" applyFont="1" applyFill="1" applyBorder="1" applyAlignment="1">
      <alignment horizontal="center" vertical="center" wrapText="1"/>
    </xf>
    <xf numFmtId="3" fontId="10" fillId="0" borderId="16" xfId="4718" applyNumberFormat="1" applyFont="1" applyFill="1" applyBorder="1" applyAlignment="1">
      <alignment horizontal="right" vertical="center" wrapText="1"/>
    </xf>
    <xf numFmtId="3" fontId="10" fillId="56" borderId="16" xfId="1" quotePrefix="1" applyNumberFormat="1" applyFont="1" applyFill="1" applyBorder="1" applyAlignment="1">
      <alignment horizontal="right" vertical="center" wrapText="1"/>
    </xf>
    <xf numFmtId="3" fontId="18" fillId="0" borderId="16" xfId="1" quotePrefix="1" applyNumberFormat="1" applyFont="1" applyFill="1" applyBorder="1" applyAlignment="1">
      <alignment horizontal="left" vertical="center" wrapText="1"/>
    </xf>
    <xf numFmtId="3" fontId="18" fillId="0" borderId="16" xfId="1691" applyNumberFormat="1" applyFont="1" applyFill="1" applyBorder="1" applyAlignment="1">
      <alignment horizontal="left" vertical="center" wrapText="1"/>
    </xf>
    <xf numFmtId="167" fontId="12" fillId="0" borderId="16" xfId="1691" applyNumberFormat="1" applyFont="1" applyFill="1" applyBorder="1" applyAlignment="1">
      <alignment horizontal="center" vertical="center" wrapText="1"/>
    </xf>
    <xf numFmtId="3" fontId="18" fillId="56" borderId="16" xfId="1691" applyNumberFormat="1" applyFont="1" applyFill="1" applyBorder="1" applyAlignment="1">
      <alignment horizontal="right" vertical="center"/>
    </xf>
    <xf numFmtId="167" fontId="18" fillId="0" borderId="0" xfId="1691" applyNumberFormat="1" applyFont="1" applyFill="1" applyAlignment="1">
      <alignment vertical="center"/>
    </xf>
    <xf numFmtId="3" fontId="18" fillId="0" borderId="16" xfId="4719" applyNumberFormat="1" applyFont="1" applyFill="1" applyBorder="1" applyAlignment="1">
      <alignment horizontal="right" vertical="center"/>
    </xf>
    <xf numFmtId="167" fontId="12" fillId="0" borderId="16" xfId="4719" applyNumberFormat="1" applyFont="1" applyFill="1" applyBorder="1" applyAlignment="1">
      <alignment horizontal="center" vertical="center" wrapText="1"/>
    </xf>
    <xf numFmtId="3" fontId="18" fillId="56" borderId="16" xfId="4719" applyNumberFormat="1" applyFont="1" applyFill="1" applyBorder="1" applyAlignment="1">
      <alignment horizontal="right" vertical="center"/>
    </xf>
    <xf numFmtId="3" fontId="10" fillId="0" borderId="16" xfId="4720" applyNumberFormat="1" applyFont="1" applyFill="1" applyBorder="1" applyAlignment="1">
      <alignment horizontal="right" vertical="center" wrapText="1"/>
    </xf>
    <xf numFmtId="3" fontId="10" fillId="0" borderId="16" xfId="4719" applyNumberFormat="1" applyFont="1" applyFill="1" applyBorder="1" applyAlignment="1">
      <alignment horizontal="right" vertical="center" wrapText="1"/>
    </xf>
    <xf numFmtId="3" fontId="10" fillId="56" borderId="16" xfId="4719" applyNumberFormat="1" applyFont="1" applyFill="1" applyBorder="1" applyAlignment="1">
      <alignment horizontal="right" vertical="center" wrapText="1"/>
    </xf>
    <xf numFmtId="3" fontId="12" fillId="0" borderId="16" xfId="4719" applyNumberFormat="1" applyFont="1" applyFill="1" applyBorder="1" applyAlignment="1">
      <alignment horizontal="right" vertical="center"/>
    </xf>
    <xf numFmtId="3" fontId="10" fillId="0" borderId="16" xfId="2728" applyNumberFormat="1" applyFont="1" applyFill="1" applyBorder="1" applyAlignment="1">
      <alignment horizontal="left" vertical="center" wrapText="1"/>
    </xf>
    <xf numFmtId="3" fontId="16" fillId="0" borderId="16" xfId="4721" applyNumberFormat="1" applyFont="1" applyFill="1" applyBorder="1" applyAlignment="1">
      <alignment horizontal="center" vertical="center" wrapText="1"/>
    </xf>
    <xf numFmtId="3" fontId="10" fillId="56" borderId="16" xfId="1" applyNumberFormat="1" applyFont="1" applyFill="1" applyBorder="1" applyAlignment="1">
      <alignment horizontal="right" vertical="center"/>
    </xf>
    <xf numFmtId="3" fontId="10" fillId="56" borderId="16" xfId="0" applyNumberFormat="1" applyFont="1" applyFill="1" applyBorder="1" applyAlignment="1">
      <alignment horizontal="right" vertical="center" wrapText="1"/>
    </xf>
    <xf numFmtId="3" fontId="10" fillId="0" borderId="16" xfId="0" quotePrefix="1" applyNumberFormat="1" applyFont="1" applyFill="1" applyBorder="1" applyAlignment="1">
      <alignment horizontal="right" vertical="center"/>
    </xf>
    <xf numFmtId="3" fontId="10" fillId="56" borderId="16" xfId="0" quotePrefix="1" applyNumberFormat="1" applyFont="1" applyFill="1" applyBorder="1" applyAlignment="1">
      <alignment horizontal="right" vertical="center"/>
    </xf>
    <xf numFmtId="1" fontId="15" fillId="0" borderId="0" xfId="1" applyNumberFormat="1" applyFont="1" applyFill="1" applyAlignment="1">
      <alignment vertical="center"/>
    </xf>
    <xf numFmtId="3" fontId="10" fillId="56" borderId="16" xfId="4720" applyNumberFormat="1" applyFont="1" applyFill="1" applyBorder="1" applyAlignment="1">
      <alignment horizontal="right" vertical="center" wrapText="1"/>
    </xf>
    <xf numFmtId="3" fontId="10" fillId="0" borderId="16" xfId="2760" applyNumberFormat="1" applyFont="1" applyFill="1" applyBorder="1" applyAlignment="1">
      <alignment horizontal="left" vertical="center" wrapText="1"/>
    </xf>
    <xf numFmtId="3" fontId="16" fillId="0" borderId="16" xfId="2760" applyNumberFormat="1" applyFont="1" applyFill="1" applyBorder="1" applyAlignment="1">
      <alignment horizontal="center" vertical="center" wrapText="1"/>
    </xf>
    <xf numFmtId="1" fontId="12" fillId="0" borderId="16" xfId="1" applyNumberFormat="1" applyFont="1" applyFill="1" applyBorder="1" applyAlignment="1">
      <alignment horizontal="center" vertical="center" wrapText="1"/>
    </xf>
    <xf numFmtId="3" fontId="10" fillId="0" borderId="16" xfId="4722" applyNumberFormat="1" applyFont="1" applyFill="1" applyBorder="1" applyAlignment="1">
      <alignment horizontal="left" vertical="center" wrapText="1"/>
    </xf>
    <xf numFmtId="3" fontId="16" fillId="0" borderId="16" xfId="1928" applyNumberFormat="1" applyFont="1" applyFill="1" applyBorder="1" applyAlignment="1">
      <alignment horizontal="center" vertical="center" wrapText="1"/>
    </xf>
    <xf numFmtId="3" fontId="10" fillId="0" borderId="16" xfId="1928" applyNumberFormat="1" applyFont="1" applyFill="1" applyBorder="1" applyAlignment="1">
      <alignment horizontal="right" vertical="center" wrapText="1"/>
    </xf>
    <xf numFmtId="3" fontId="10" fillId="56" borderId="16" xfId="1928" applyNumberFormat="1" applyFont="1" applyFill="1" applyBorder="1" applyAlignment="1">
      <alignment horizontal="right" vertical="center" wrapText="1"/>
    </xf>
    <xf numFmtId="3" fontId="21" fillId="0" borderId="16" xfId="4719" applyNumberFormat="1" applyFont="1" applyFill="1" applyBorder="1" applyAlignment="1">
      <alignment horizontal="right" vertical="center"/>
    </xf>
    <xf numFmtId="167" fontId="249" fillId="0" borderId="16" xfId="4719" applyNumberFormat="1" applyFont="1" applyFill="1" applyBorder="1" applyAlignment="1">
      <alignment horizontal="center" vertical="center" wrapText="1"/>
    </xf>
    <xf numFmtId="3" fontId="21" fillId="56" borderId="16" xfId="4719" applyNumberFormat="1" applyFont="1" applyFill="1" applyBorder="1" applyAlignment="1">
      <alignment horizontal="right" vertical="center"/>
    </xf>
    <xf numFmtId="3" fontId="10" fillId="0" borderId="16" xfId="2745" applyNumberFormat="1" applyFont="1" applyFill="1" applyBorder="1" applyAlignment="1">
      <alignment horizontal="left" vertical="center" wrapText="1"/>
    </xf>
    <xf numFmtId="3" fontId="16" fillId="0" borderId="16" xfId="4715" applyNumberFormat="1" applyFont="1" applyFill="1" applyBorder="1" applyAlignment="1">
      <alignment horizontal="center" vertical="center" wrapText="1"/>
    </xf>
    <xf numFmtId="3" fontId="18" fillId="52" borderId="16" xfId="4719" applyNumberFormat="1" applyFont="1" applyFill="1" applyBorder="1" applyAlignment="1">
      <alignment horizontal="right" vertical="center"/>
    </xf>
    <xf numFmtId="167" fontId="12" fillId="52" borderId="16" xfId="4719" applyNumberFormat="1" applyFont="1" applyFill="1" applyBorder="1" applyAlignment="1">
      <alignment horizontal="center" vertical="center" wrapText="1"/>
    </xf>
    <xf numFmtId="167" fontId="12" fillId="0" borderId="16" xfId="4719" quotePrefix="1" applyNumberFormat="1" applyFont="1" applyFill="1" applyBorder="1" applyAlignment="1">
      <alignment horizontal="center" vertical="center" wrapText="1"/>
    </xf>
    <xf numFmtId="3" fontId="10" fillId="0" borderId="16" xfId="4719" applyNumberFormat="1" applyFont="1" applyFill="1" applyBorder="1" applyAlignment="1">
      <alignment horizontal="right" vertical="center"/>
    </xf>
    <xf numFmtId="3" fontId="15" fillId="0" borderId="16" xfId="1" applyNumberFormat="1" applyFont="1" applyFill="1" applyBorder="1" applyAlignment="1">
      <alignment horizontal="left" vertical="center" wrapText="1"/>
    </xf>
    <xf numFmtId="3" fontId="15" fillId="0" borderId="16" xfId="4719" applyNumberFormat="1" applyFont="1" applyFill="1" applyBorder="1" applyAlignment="1">
      <alignment horizontal="right" vertical="center"/>
    </xf>
    <xf numFmtId="167" fontId="17" fillId="0" borderId="16" xfId="4719" applyNumberFormat="1" applyFont="1" applyFill="1" applyBorder="1" applyAlignment="1">
      <alignment horizontal="center" vertical="center" wrapText="1"/>
    </xf>
    <xf numFmtId="3" fontId="10" fillId="56" borderId="16" xfId="4719" applyNumberFormat="1" applyFont="1" applyFill="1" applyBorder="1" applyAlignment="1">
      <alignment horizontal="right" vertical="center"/>
    </xf>
    <xf numFmtId="167" fontId="255" fillId="0" borderId="16" xfId="4719" applyNumberFormat="1" applyFont="1" applyFill="1" applyBorder="1" applyAlignment="1">
      <alignment horizontal="center" vertical="center" wrapText="1"/>
    </xf>
    <xf numFmtId="3" fontId="15" fillId="56" borderId="16" xfId="4719" applyNumberFormat="1" applyFont="1" applyFill="1" applyBorder="1" applyAlignment="1">
      <alignment horizontal="right" vertical="center"/>
    </xf>
    <xf numFmtId="3" fontId="18" fillId="0" borderId="16" xfId="4719" applyNumberFormat="1" applyFont="1" applyFill="1" applyBorder="1" applyAlignment="1">
      <alignment horizontal="right" vertical="center" wrapText="1"/>
    </xf>
    <xf numFmtId="3" fontId="18" fillId="56" borderId="16" xfId="4719" applyNumberFormat="1" applyFont="1" applyFill="1" applyBorder="1" applyAlignment="1">
      <alignment horizontal="right" vertical="center" wrapText="1"/>
    </xf>
    <xf numFmtId="3" fontId="21" fillId="0" borderId="16" xfId="4719" applyNumberFormat="1" applyFont="1" applyFill="1" applyBorder="1" applyAlignment="1">
      <alignment horizontal="right" vertical="center" wrapText="1"/>
    </xf>
    <xf numFmtId="3" fontId="21" fillId="56" borderId="16" xfId="4719" applyNumberFormat="1" applyFont="1" applyFill="1" applyBorder="1" applyAlignment="1">
      <alignment horizontal="right" vertical="center" wrapText="1"/>
    </xf>
    <xf numFmtId="3" fontId="16" fillId="0" borderId="16" xfId="4719" applyNumberFormat="1" applyFont="1" applyFill="1" applyBorder="1" applyAlignment="1">
      <alignment horizontal="center" vertical="center" wrapText="1"/>
    </xf>
    <xf numFmtId="3" fontId="10" fillId="0" borderId="16" xfId="4719" quotePrefix="1" applyNumberFormat="1" applyFont="1" applyFill="1" applyBorder="1" applyAlignment="1">
      <alignment horizontal="right" vertical="center" wrapText="1"/>
    </xf>
    <xf numFmtId="167" fontId="17" fillId="52" borderId="16" xfId="4719" applyNumberFormat="1" applyFont="1" applyFill="1" applyBorder="1" applyAlignment="1">
      <alignment horizontal="center" vertical="center" wrapText="1"/>
    </xf>
    <xf numFmtId="1" fontId="10" fillId="52" borderId="0" xfId="1" applyNumberFormat="1" applyFont="1" applyFill="1" applyAlignment="1">
      <alignment vertical="center"/>
    </xf>
    <xf numFmtId="3" fontId="18" fillId="0" borderId="16" xfId="4719" quotePrefix="1" applyNumberFormat="1" applyFont="1" applyFill="1" applyBorder="1" applyAlignment="1">
      <alignment horizontal="right" vertical="center" wrapText="1"/>
    </xf>
    <xf numFmtId="3" fontId="18" fillId="56" borderId="16" xfId="4719" quotePrefix="1" applyNumberFormat="1" applyFont="1" applyFill="1" applyBorder="1" applyAlignment="1">
      <alignment horizontal="right" vertical="center" wrapText="1"/>
    </xf>
    <xf numFmtId="3" fontId="19" fillId="0" borderId="16" xfId="4719" applyNumberFormat="1" applyFont="1" applyFill="1" applyBorder="1" applyAlignment="1">
      <alignment horizontal="center" vertical="center" wrapText="1"/>
    </xf>
    <xf numFmtId="1" fontId="12" fillId="52" borderId="16" xfId="1" applyNumberFormat="1" applyFont="1" applyFill="1" applyBorder="1" applyAlignment="1">
      <alignment horizontal="center" vertical="center" wrapText="1"/>
    </xf>
    <xf numFmtId="3" fontId="10" fillId="0" borderId="16" xfId="2730" applyNumberFormat="1" applyFont="1" applyFill="1" applyBorder="1" applyAlignment="1">
      <alignment horizontal="left" vertical="center" wrapText="1"/>
    </xf>
    <xf numFmtId="3" fontId="16" fillId="0" borderId="59" xfId="1" quotePrefix="1" applyNumberFormat="1" applyFont="1" applyFill="1" applyBorder="1" applyAlignment="1">
      <alignment horizontal="center" vertical="center" wrapText="1"/>
    </xf>
    <xf numFmtId="1" fontId="16" fillId="0" borderId="59" xfId="4714" applyNumberFormat="1" applyFont="1" applyFill="1" applyBorder="1" applyAlignment="1">
      <alignment horizontal="center" vertical="center" wrapText="1"/>
    </xf>
    <xf numFmtId="3" fontId="19" fillId="0" borderId="15" xfId="1" quotePrefix="1" applyNumberFormat="1" applyFont="1" applyFill="1" applyBorder="1" applyAlignment="1">
      <alignment horizontal="center" vertical="center" wrapText="1"/>
    </xf>
    <xf numFmtId="1" fontId="19" fillId="0" borderId="15" xfId="1" quotePrefix="1" applyNumberFormat="1" applyFont="1" applyFill="1" applyBorder="1" applyAlignment="1">
      <alignment horizontal="center" vertical="center" wrapText="1"/>
    </xf>
    <xf numFmtId="167" fontId="18" fillId="0" borderId="0" xfId="4719" applyNumberFormat="1" applyFont="1" applyFill="1" applyAlignment="1">
      <alignment vertical="center"/>
    </xf>
    <xf numFmtId="167" fontId="18" fillId="0" borderId="16" xfId="4719" quotePrefix="1" applyNumberFormat="1" applyFont="1" applyFill="1" applyBorder="1" applyAlignment="1">
      <alignment horizontal="center" vertical="center"/>
    </xf>
    <xf numFmtId="3" fontId="18" fillId="0" borderId="16" xfId="4719" applyNumberFormat="1" applyFont="1" applyFill="1" applyBorder="1" applyAlignment="1">
      <alignment horizontal="left" vertical="center" wrapText="1"/>
    </xf>
    <xf numFmtId="1" fontId="19" fillId="0" borderId="16" xfId="4719" applyNumberFormat="1" applyFont="1" applyFill="1" applyBorder="1" applyAlignment="1">
      <alignment horizontal="center" vertical="center" wrapText="1"/>
    </xf>
    <xf numFmtId="3" fontId="16" fillId="0" borderId="16" xfId="4723" applyNumberFormat="1" applyFont="1" applyFill="1" applyBorder="1" applyAlignment="1">
      <alignment horizontal="center" vertical="center" wrapText="1"/>
    </xf>
    <xf numFmtId="3" fontId="10" fillId="0" borderId="16" xfId="4723" applyNumberFormat="1" applyFont="1" applyFill="1" applyBorder="1" applyAlignment="1">
      <alignment horizontal="right" vertical="center"/>
    </xf>
    <xf numFmtId="3" fontId="10" fillId="56" borderId="16" xfId="4723" applyNumberFormat="1" applyFont="1" applyFill="1" applyBorder="1" applyAlignment="1">
      <alignment horizontal="right" vertical="center"/>
    </xf>
    <xf numFmtId="3" fontId="16" fillId="0" borderId="16" xfId="4724" applyNumberFormat="1" applyFont="1" applyFill="1" applyBorder="1" applyAlignment="1">
      <alignment horizontal="center" vertical="center" wrapText="1"/>
    </xf>
    <xf numFmtId="1" fontId="16" fillId="0" borderId="16" xfId="2760" applyNumberFormat="1" applyFont="1" applyFill="1" applyBorder="1" applyAlignment="1">
      <alignment horizontal="center" vertical="center" wrapText="1"/>
    </xf>
    <xf numFmtId="3" fontId="10" fillId="0" borderId="16" xfId="2760" applyNumberFormat="1" applyFont="1" applyFill="1" applyBorder="1" applyAlignment="1">
      <alignment horizontal="right" vertical="center" wrapText="1"/>
    </xf>
    <xf numFmtId="3" fontId="10" fillId="0" borderId="16" xfId="2758" applyNumberFormat="1" applyFont="1" applyFill="1" applyBorder="1" applyAlignment="1">
      <alignment horizontal="left" vertical="center" wrapText="1"/>
    </xf>
    <xf numFmtId="3" fontId="10" fillId="0" borderId="16" xfId="4724" quotePrefix="1" applyNumberFormat="1" applyFont="1" applyFill="1" applyBorder="1" applyAlignment="1">
      <alignment horizontal="left" vertical="center" wrapText="1"/>
    </xf>
    <xf numFmtId="3" fontId="10" fillId="56" borderId="16" xfId="0" applyNumberFormat="1" applyFont="1" applyFill="1" applyBorder="1" applyAlignment="1">
      <alignment horizontal="right" vertical="center"/>
    </xf>
    <xf numFmtId="3" fontId="18" fillId="56" borderId="16" xfId="1" applyNumberFormat="1" applyFont="1" applyFill="1" applyBorder="1" applyAlignment="1">
      <alignment horizontal="right" vertical="center"/>
    </xf>
    <xf numFmtId="3" fontId="249" fillId="0" borderId="16" xfId="1" applyNumberFormat="1" applyFont="1" applyFill="1" applyBorder="1" applyAlignment="1">
      <alignment horizontal="right" vertical="center"/>
    </xf>
    <xf numFmtId="3" fontId="21" fillId="56" borderId="16" xfId="1" applyNumberFormat="1" applyFont="1" applyFill="1" applyBorder="1" applyAlignment="1">
      <alignment horizontal="right" vertical="center"/>
    </xf>
    <xf numFmtId="3" fontId="16" fillId="0" borderId="16" xfId="4720" applyNumberFormat="1" applyFont="1" applyFill="1" applyBorder="1" applyAlignment="1">
      <alignment horizontal="center" vertical="center" wrapText="1"/>
    </xf>
    <xf numFmtId="1" fontId="16" fillId="0" borderId="16" xfId="4720" applyNumberFormat="1" applyFont="1" applyFill="1" applyBorder="1" applyAlignment="1">
      <alignment horizontal="center" vertical="center" wrapText="1"/>
    </xf>
    <xf numFmtId="3" fontId="10" fillId="0" borderId="16" xfId="4725" applyNumberFormat="1" applyFont="1" applyFill="1" applyBorder="1" applyAlignment="1">
      <alignment horizontal="right" vertical="center"/>
    </xf>
    <xf numFmtId="3" fontId="10" fillId="0" borderId="16" xfId="4717" applyNumberFormat="1" applyFont="1" applyFill="1" applyBorder="1" applyAlignment="1">
      <alignment horizontal="left" vertical="center" wrapText="1"/>
    </xf>
    <xf numFmtId="3" fontId="10" fillId="0" borderId="16" xfId="4722" applyNumberFormat="1" applyFont="1" applyFill="1" applyBorder="1" applyAlignment="1">
      <alignment horizontal="right" vertical="center" wrapText="1"/>
    </xf>
    <xf numFmtId="3" fontId="10" fillId="56" borderId="16" xfId="4722" applyNumberFormat="1" applyFont="1" applyFill="1" applyBorder="1" applyAlignment="1">
      <alignment horizontal="right" vertical="center" wrapText="1"/>
    </xf>
    <xf numFmtId="3" fontId="21" fillId="56" borderId="16" xfId="0" applyNumberFormat="1" applyFont="1" applyFill="1" applyBorder="1" applyAlignment="1">
      <alignment horizontal="right" vertical="center"/>
    </xf>
    <xf numFmtId="3" fontId="12" fillId="0" borderId="16" xfId="1" applyNumberFormat="1" applyFont="1" applyFill="1" applyBorder="1" applyAlignment="1">
      <alignment horizontal="right" vertical="center"/>
    </xf>
    <xf numFmtId="167" fontId="18" fillId="0" borderId="16" xfId="4719" applyNumberFormat="1" applyFont="1" applyFill="1" applyBorder="1" applyAlignment="1">
      <alignment horizontal="center" vertical="center"/>
    </xf>
    <xf numFmtId="3" fontId="18" fillId="0" borderId="16" xfId="4718" applyNumberFormat="1" applyFont="1" applyFill="1" applyBorder="1" applyAlignment="1">
      <alignment horizontal="right" vertical="center" wrapText="1"/>
    </xf>
    <xf numFmtId="3" fontId="18" fillId="56" borderId="16" xfId="4718" applyNumberFormat="1" applyFont="1" applyFill="1" applyBorder="1" applyAlignment="1">
      <alignment horizontal="right" vertical="center" wrapText="1"/>
    </xf>
    <xf numFmtId="3" fontId="21" fillId="53" borderId="16" xfId="4719" applyNumberFormat="1" applyFont="1" applyFill="1" applyBorder="1" applyAlignment="1">
      <alignment horizontal="right" vertical="center"/>
    </xf>
    <xf numFmtId="1" fontId="255" fillId="53" borderId="16" xfId="1" applyNumberFormat="1" applyFont="1" applyFill="1" applyBorder="1" applyAlignment="1">
      <alignment horizontal="center" vertical="center" wrapText="1"/>
    </xf>
    <xf numFmtId="1" fontId="15" fillId="53" borderId="0" xfId="1" applyNumberFormat="1" applyFont="1" applyFill="1" applyAlignment="1">
      <alignment vertical="center"/>
    </xf>
    <xf numFmtId="335" fontId="10" fillId="0" borderId="15" xfId="1" applyNumberFormat="1" applyFont="1" applyFill="1" applyBorder="1" applyAlignment="1">
      <alignment horizontal="right" vertical="center"/>
    </xf>
    <xf numFmtId="335" fontId="10" fillId="53" borderId="15" xfId="1" applyNumberFormat="1" applyFont="1" applyFill="1" applyBorder="1" applyAlignment="1">
      <alignment horizontal="right" vertical="center"/>
    </xf>
    <xf numFmtId="335" fontId="10" fillId="56" borderId="15" xfId="1" applyNumberFormat="1" applyFont="1" applyFill="1" applyBorder="1" applyAlignment="1">
      <alignment horizontal="right" vertical="center"/>
    </xf>
    <xf numFmtId="1" fontId="255" fillId="0" borderId="16" xfId="1" applyNumberFormat="1" applyFont="1" applyFill="1" applyBorder="1" applyAlignment="1">
      <alignment horizontal="center" vertical="center" wrapText="1"/>
    </xf>
    <xf numFmtId="3" fontId="10" fillId="56" borderId="16" xfId="4715" applyNumberFormat="1" applyFont="1" applyFill="1" applyBorder="1" applyAlignment="1">
      <alignment horizontal="right" vertical="center" wrapText="1"/>
    </xf>
    <xf numFmtId="3" fontId="10" fillId="0" borderId="0" xfId="0" applyNumberFormat="1" applyFont="1" applyFill="1" applyBorder="1" applyAlignment="1">
      <alignment horizontal="right" vertical="center"/>
    </xf>
    <xf numFmtId="3" fontId="10" fillId="0" borderId="16" xfId="2850" applyNumberFormat="1" applyFont="1" applyFill="1" applyBorder="1" applyAlignment="1">
      <alignment horizontal="left" vertical="center" wrapText="1"/>
    </xf>
    <xf numFmtId="1" fontId="16" fillId="0" borderId="16" xfId="0" applyNumberFormat="1" applyFont="1" applyFill="1" applyBorder="1" applyAlignment="1">
      <alignment horizontal="center" wrapText="1"/>
    </xf>
    <xf numFmtId="1" fontId="16" fillId="0" borderId="0" xfId="1" applyNumberFormat="1" applyFont="1" applyFill="1" applyAlignment="1">
      <alignment vertical="center"/>
    </xf>
    <xf numFmtId="3" fontId="16" fillId="56" borderId="16" xfId="0" applyNumberFormat="1" applyFont="1" applyFill="1" applyBorder="1" applyAlignment="1">
      <alignment horizontal="center" vertical="center" wrapText="1"/>
    </xf>
    <xf numFmtId="167" fontId="10" fillId="0" borderId="16" xfId="4719" quotePrefix="1" applyNumberFormat="1" applyFont="1" applyFill="1" applyBorder="1" applyAlignment="1">
      <alignment horizontal="center" vertical="center"/>
    </xf>
    <xf numFmtId="3" fontId="10" fillId="0" borderId="16" xfId="4719" applyNumberFormat="1" applyFont="1" applyFill="1" applyBorder="1" applyAlignment="1">
      <alignment horizontal="left" vertical="center" wrapText="1"/>
    </xf>
    <xf numFmtId="1" fontId="16" fillId="0" borderId="16" xfId="4719" quotePrefix="1" applyNumberFormat="1" applyFont="1" applyFill="1" applyBorder="1" applyAlignment="1">
      <alignment horizontal="center" vertical="center" wrapText="1"/>
    </xf>
    <xf numFmtId="167" fontId="10" fillId="53" borderId="16" xfId="4719" quotePrefix="1" applyNumberFormat="1" applyFont="1" applyFill="1" applyBorder="1" applyAlignment="1">
      <alignment horizontal="center" vertical="center"/>
    </xf>
    <xf numFmtId="3" fontId="10" fillId="53" borderId="16" xfId="4719" applyNumberFormat="1" applyFont="1" applyFill="1" applyBorder="1" applyAlignment="1">
      <alignment horizontal="left" vertical="center" wrapText="1"/>
    </xf>
    <xf numFmtId="3" fontId="16" fillId="53" borderId="16" xfId="4719" applyNumberFormat="1" applyFont="1" applyFill="1" applyBorder="1" applyAlignment="1">
      <alignment horizontal="center" vertical="center" wrapText="1"/>
    </xf>
    <xf numFmtId="1" fontId="16" fillId="53" borderId="16" xfId="4719" quotePrefix="1" applyNumberFormat="1" applyFont="1" applyFill="1" applyBorder="1" applyAlignment="1">
      <alignment horizontal="center" vertical="center" wrapText="1"/>
    </xf>
    <xf numFmtId="3" fontId="10" fillId="53" borderId="16" xfId="4719" applyNumberFormat="1" applyFont="1" applyFill="1" applyBorder="1" applyAlignment="1">
      <alignment horizontal="right" vertical="center"/>
    </xf>
    <xf numFmtId="3" fontId="10" fillId="53" borderId="16" xfId="4719" applyNumberFormat="1" applyFont="1" applyFill="1" applyBorder="1" applyAlignment="1">
      <alignment horizontal="right" vertical="center" wrapText="1"/>
    </xf>
    <xf numFmtId="167" fontId="18" fillId="53" borderId="16" xfId="4719" quotePrefix="1" applyNumberFormat="1" applyFont="1" applyFill="1" applyBorder="1" applyAlignment="1">
      <alignment horizontal="center" vertical="center"/>
    </xf>
    <xf numFmtId="3" fontId="18" fillId="53" borderId="16" xfId="4719" applyNumberFormat="1" applyFont="1" applyFill="1" applyBorder="1" applyAlignment="1">
      <alignment horizontal="left" vertical="center" wrapText="1"/>
    </xf>
    <xf numFmtId="3" fontId="19" fillId="53" borderId="16" xfId="4719" applyNumberFormat="1" applyFont="1" applyFill="1" applyBorder="1" applyAlignment="1">
      <alignment horizontal="center" vertical="center" wrapText="1"/>
    </xf>
    <xf numFmtId="3" fontId="19" fillId="53" borderId="16" xfId="0" applyNumberFormat="1" applyFont="1" applyFill="1" applyBorder="1" applyAlignment="1">
      <alignment horizontal="center" vertical="center" wrapText="1"/>
    </xf>
    <xf numFmtId="1" fontId="19" fillId="53" borderId="16" xfId="4719" quotePrefix="1" applyNumberFormat="1" applyFont="1" applyFill="1" applyBorder="1" applyAlignment="1">
      <alignment horizontal="center" vertical="center" wrapText="1"/>
    </xf>
    <xf numFmtId="3" fontId="18" fillId="53" borderId="16" xfId="4719" applyNumberFormat="1" applyFont="1" applyFill="1" applyBorder="1" applyAlignment="1">
      <alignment horizontal="right" vertical="center"/>
    </xf>
    <xf numFmtId="3" fontId="18" fillId="53" borderId="16" xfId="4719" applyNumberFormat="1" applyFont="1" applyFill="1" applyBorder="1" applyAlignment="1">
      <alignment horizontal="right" vertical="center" wrapText="1"/>
    </xf>
    <xf numFmtId="1" fontId="12" fillId="53" borderId="16" xfId="1" applyNumberFormat="1" applyFont="1" applyFill="1" applyBorder="1" applyAlignment="1">
      <alignment horizontal="center" vertical="center" wrapText="1"/>
    </xf>
    <xf numFmtId="1" fontId="18" fillId="53" borderId="0" xfId="1" applyNumberFormat="1" applyFont="1" applyFill="1" applyAlignment="1">
      <alignment vertical="center"/>
    </xf>
    <xf numFmtId="1" fontId="19" fillId="0" borderId="16" xfId="4719" quotePrefix="1" applyNumberFormat="1" applyFont="1" applyFill="1" applyBorder="1" applyAlignment="1">
      <alignment horizontal="center" vertical="center" wrapText="1"/>
    </xf>
    <xf numFmtId="167" fontId="21" fillId="0" borderId="16" xfId="4719" quotePrefix="1" applyNumberFormat="1" applyFont="1" applyFill="1" applyBorder="1" applyAlignment="1">
      <alignment horizontal="center" vertical="center"/>
    </xf>
    <xf numFmtId="3" fontId="21" fillId="0" borderId="16" xfId="4719" applyNumberFormat="1" applyFont="1" applyFill="1" applyBorder="1" applyAlignment="1">
      <alignment horizontal="left" vertical="center" wrapText="1"/>
    </xf>
    <xf numFmtId="3" fontId="22" fillId="0" borderId="16" xfId="4719" applyNumberFormat="1" applyFont="1" applyFill="1" applyBorder="1" applyAlignment="1">
      <alignment horizontal="center" vertical="center" wrapText="1"/>
    </xf>
    <xf numFmtId="1" fontId="22" fillId="0" borderId="16" xfId="4719" quotePrefix="1" applyNumberFormat="1" applyFont="1" applyFill="1" applyBorder="1" applyAlignment="1">
      <alignment horizontal="center" vertical="center" wrapText="1"/>
    </xf>
    <xf numFmtId="1" fontId="249" fillId="0" borderId="16" xfId="1" applyNumberFormat="1" applyFont="1" applyFill="1" applyBorder="1" applyAlignment="1">
      <alignment horizontal="center" vertical="center" wrapText="1"/>
    </xf>
    <xf numFmtId="167" fontId="18" fillId="0" borderId="16" xfId="4719" applyNumberFormat="1" applyFont="1" applyFill="1" applyBorder="1" applyAlignment="1">
      <alignment vertical="center" wrapText="1"/>
    </xf>
    <xf numFmtId="1" fontId="18" fillId="53" borderId="16" xfId="1" applyNumberFormat="1" applyFont="1" applyFill="1" applyBorder="1" applyAlignment="1">
      <alignment horizontal="center" vertical="center"/>
    </xf>
    <xf numFmtId="1" fontId="18" fillId="53" borderId="16" xfId="1" quotePrefix="1" applyNumberFormat="1" applyFont="1" applyFill="1" applyBorder="1" applyAlignment="1">
      <alignment vertical="center" wrapText="1"/>
    </xf>
    <xf numFmtId="3" fontId="19" fillId="53" borderId="16" xfId="1" quotePrefix="1" applyNumberFormat="1" applyFont="1" applyFill="1" applyBorder="1" applyAlignment="1">
      <alignment horizontal="center" vertical="center" wrapText="1"/>
    </xf>
    <xf numFmtId="1" fontId="19" fillId="53" borderId="16" xfId="1" quotePrefix="1" applyNumberFormat="1" applyFont="1" applyFill="1" applyBorder="1" applyAlignment="1">
      <alignment horizontal="center" vertical="center" wrapText="1"/>
    </xf>
    <xf numFmtId="167" fontId="18" fillId="53" borderId="16" xfId="4719" quotePrefix="1" applyNumberFormat="1" applyFont="1" applyFill="1" applyBorder="1" applyAlignment="1">
      <alignment horizontal="right" vertical="center" wrapText="1"/>
    </xf>
    <xf numFmtId="3" fontId="12" fillId="53" borderId="16" xfId="1" quotePrefix="1" applyNumberFormat="1" applyFont="1" applyFill="1" applyBorder="1" applyAlignment="1">
      <alignment horizontal="center" vertical="center" wrapText="1"/>
    </xf>
    <xf numFmtId="167" fontId="18" fillId="56" borderId="16" xfId="4719" quotePrefix="1" applyNumberFormat="1" applyFont="1" applyFill="1" applyBorder="1" applyAlignment="1">
      <alignment horizontal="right" vertical="center" wrapText="1"/>
    </xf>
    <xf numFmtId="3" fontId="18" fillId="53" borderId="0" xfId="1" applyNumberFormat="1" applyFont="1" applyFill="1" applyBorder="1" applyAlignment="1">
      <alignment vertical="center" wrapText="1"/>
    </xf>
    <xf numFmtId="167" fontId="10" fillId="0" borderId="16" xfId="4719" applyNumberFormat="1" applyFont="1" applyFill="1" applyBorder="1" applyAlignment="1">
      <alignment vertical="center" wrapText="1"/>
    </xf>
    <xf numFmtId="167" fontId="16" fillId="0" borderId="16" xfId="4719" applyNumberFormat="1" applyFont="1" applyFill="1" applyBorder="1" applyAlignment="1">
      <alignment horizontal="center" vertical="center" wrapText="1"/>
    </xf>
    <xf numFmtId="167" fontId="10" fillId="0" borderId="16" xfId="4719" applyNumberFormat="1" applyFont="1" applyFill="1" applyBorder="1" applyAlignment="1">
      <alignment horizontal="right" vertical="center"/>
    </xf>
    <xf numFmtId="167" fontId="10" fillId="0" borderId="16" xfId="4719" applyNumberFormat="1" applyFont="1" applyFill="1" applyBorder="1" applyAlignment="1">
      <alignment horizontal="right" vertical="center" wrapText="1"/>
    </xf>
    <xf numFmtId="167" fontId="10" fillId="56" borderId="16" xfId="4719" applyNumberFormat="1" applyFont="1" applyFill="1" applyBorder="1" applyAlignment="1">
      <alignment horizontal="right" vertical="center"/>
    </xf>
    <xf numFmtId="1" fontId="18" fillId="0" borderId="16" xfId="1" quotePrefix="1" applyNumberFormat="1" applyFont="1" applyFill="1" applyBorder="1" applyAlignment="1">
      <alignment vertical="center" wrapText="1"/>
    </xf>
    <xf numFmtId="167" fontId="18" fillId="0" borderId="16" xfId="4719" quotePrefix="1" applyNumberFormat="1" applyFont="1" applyFill="1" applyBorder="1" applyAlignment="1">
      <alignment horizontal="right" vertical="center" wrapText="1"/>
    </xf>
    <xf numFmtId="167" fontId="19" fillId="0" borderId="16" xfId="4719" applyNumberFormat="1" applyFont="1" applyFill="1" applyBorder="1" applyAlignment="1">
      <alignment horizontal="center" vertical="center" wrapText="1"/>
    </xf>
    <xf numFmtId="167" fontId="18" fillId="0" borderId="16" xfId="4719" applyNumberFormat="1" applyFont="1" applyFill="1" applyBorder="1" applyAlignment="1">
      <alignment horizontal="right" vertical="center"/>
    </xf>
    <xf numFmtId="167" fontId="18" fillId="56" borderId="16" xfId="4719" applyNumberFormat="1" applyFont="1" applyFill="1" applyBorder="1" applyAlignment="1">
      <alignment horizontal="right" vertical="center"/>
    </xf>
    <xf numFmtId="167" fontId="21" fillId="0" borderId="16" xfId="4719" applyNumberFormat="1" applyFont="1" applyFill="1" applyBorder="1" applyAlignment="1">
      <alignment vertical="center" wrapText="1"/>
    </xf>
    <xf numFmtId="167" fontId="22" fillId="0" borderId="16" xfId="4719" applyNumberFormat="1" applyFont="1" applyFill="1" applyBorder="1" applyAlignment="1">
      <alignment horizontal="center" vertical="center" wrapText="1"/>
    </xf>
    <xf numFmtId="167" fontId="21" fillId="0" borderId="16" xfId="4719" applyNumberFormat="1" applyFont="1" applyFill="1" applyBorder="1" applyAlignment="1">
      <alignment horizontal="right" vertical="center"/>
    </xf>
    <xf numFmtId="167" fontId="21" fillId="56" borderId="16" xfId="4719" applyNumberFormat="1" applyFont="1" applyFill="1" applyBorder="1" applyAlignment="1">
      <alignment horizontal="right" vertical="center"/>
    </xf>
    <xf numFmtId="1" fontId="17" fillId="52" borderId="16" xfId="1" applyNumberFormat="1" applyFont="1" applyFill="1" applyBorder="1" applyAlignment="1">
      <alignment horizontal="center" vertical="center" wrapText="1"/>
    </xf>
    <xf numFmtId="3" fontId="10" fillId="0" borderId="0" xfId="1" applyNumberFormat="1" applyFont="1" applyFill="1" applyAlignment="1">
      <alignment horizontal="right" vertical="center"/>
    </xf>
    <xf numFmtId="1" fontId="16" fillId="0" borderId="16" xfId="0" applyNumberFormat="1" applyFont="1" applyFill="1" applyBorder="1" applyAlignment="1">
      <alignment horizontal="center" vertical="center" wrapText="1" shrinkToFit="1"/>
    </xf>
    <xf numFmtId="3" fontId="16" fillId="0" borderId="0" xfId="1" applyNumberFormat="1" applyFont="1" applyFill="1" applyAlignment="1">
      <alignment horizontal="right" vertical="center"/>
    </xf>
    <xf numFmtId="3" fontId="10" fillId="0" borderId="16" xfId="0" applyNumberFormat="1" applyFont="1" applyBorder="1" applyAlignment="1">
      <alignment horizontal="left" vertical="center" wrapText="1"/>
    </xf>
    <xf numFmtId="3" fontId="10" fillId="0" borderId="16" xfId="0" applyNumberFormat="1" applyFont="1" applyBorder="1" applyAlignment="1">
      <alignment horizontal="center" vertical="center" wrapText="1" shrinkToFit="1"/>
    </xf>
    <xf numFmtId="3" fontId="16" fillId="0" borderId="16" xfId="0" applyNumberFormat="1" applyFont="1" applyBorder="1" applyAlignment="1">
      <alignment horizontal="center" vertical="center" wrapText="1"/>
    </xf>
    <xf numFmtId="1" fontId="16" fillId="0" borderId="16" xfId="0" quotePrefix="1" applyNumberFormat="1" applyFont="1" applyBorder="1" applyAlignment="1">
      <alignment horizontal="center" vertical="center" wrapText="1"/>
    </xf>
    <xf numFmtId="1" fontId="11" fillId="0" borderId="0" xfId="1" applyNumberFormat="1" applyFont="1" applyFill="1" applyAlignment="1">
      <alignment vertical="center"/>
    </xf>
    <xf numFmtId="3" fontId="11" fillId="0" borderId="0" xfId="1" applyNumberFormat="1" applyFont="1" applyFill="1" applyBorder="1" applyAlignment="1">
      <alignment vertical="center" wrapText="1"/>
    </xf>
    <xf numFmtId="335" fontId="17" fillId="0" borderId="16" xfId="1" applyNumberFormat="1" applyFont="1" applyFill="1" applyBorder="1" applyAlignment="1">
      <alignment horizontal="center" vertical="center" wrapText="1"/>
    </xf>
    <xf numFmtId="3" fontId="10" fillId="0" borderId="16" xfId="4726" applyNumberFormat="1" applyFont="1" applyFill="1" applyBorder="1" applyAlignment="1">
      <alignment horizontal="left" vertical="center" wrapText="1"/>
    </xf>
    <xf numFmtId="3" fontId="10" fillId="0" borderId="16" xfId="2730" quotePrefix="1" applyNumberFormat="1" applyFont="1" applyFill="1" applyBorder="1" applyAlignment="1">
      <alignment horizontal="left" vertical="center" wrapText="1"/>
    </xf>
    <xf numFmtId="1" fontId="19" fillId="0" borderId="0" xfId="1" applyNumberFormat="1" applyFont="1" applyFill="1" applyAlignment="1">
      <alignment vertical="center"/>
    </xf>
    <xf numFmtId="3" fontId="10" fillId="0" borderId="16" xfId="0" applyNumberFormat="1" applyFont="1" applyFill="1" applyBorder="1" applyAlignment="1">
      <alignment horizontal="left" vertical="center" wrapText="1" shrinkToFit="1"/>
    </xf>
    <xf numFmtId="0" fontId="10" fillId="0" borderId="16" xfId="0" applyFont="1" applyFill="1" applyBorder="1" applyAlignment="1">
      <alignment horizontal="center" vertical="center" wrapText="1"/>
    </xf>
    <xf numFmtId="3" fontId="10" fillId="0" borderId="16" xfId="1887" applyNumberFormat="1" applyFont="1" applyFill="1" applyBorder="1" applyAlignment="1">
      <alignment horizontal="right" vertical="center" wrapText="1"/>
    </xf>
    <xf numFmtId="3" fontId="12" fillId="0" borderId="16" xfId="1" quotePrefix="1" applyNumberFormat="1" applyFont="1" applyFill="1" applyBorder="1" applyAlignment="1">
      <alignment horizontal="right" vertical="center" wrapText="1"/>
    </xf>
    <xf numFmtId="3" fontId="10" fillId="0" borderId="0" xfId="4719" applyNumberFormat="1" applyFont="1" applyFill="1" applyBorder="1" applyAlignment="1">
      <alignment horizontal="right" vertical="center"/>
    </xf>
    <xf numFmtId="1" fontId="16" fillId="0" borderId="16" xfId="4727" applyNumberFormat="1" applyFont="1" applyFill="1" applyBorder="1" applyAlignment="1">
      <alignment horizontal="center" vertical="center" wrapText="1"/>
    </xf>
    <xf numFmtId="1" fontId="16" fillId="0" borderId="16" xfId="7" applyNumberFormat="1" applyFont="1" applyFill="1" applyBorder="1" applyAlignment="1">
      <alignment horizontal="center" vertical="center" wrapText="1"/>
    </xf>
    <xf numFmtId="3" fontId="16" fillId="0" borderId="16" xfId="4727" applyNumberFormat="1" applyFont="1" applyFill="1" applyBorder="1" applyAlignment="1">
      <alignment horizontal="center" vertical="center" wrapText="1"/>
    </xf>
    <xf numFmtId="3" fontId="272" fillId="0" borderId="16" xfId="0" applyNumberFormat="1" applyFont="1" applyBorder="1" applyAlignment="1">
      <alignment horizontal="center" vertical="center" wrapText="1"/>
    </xf>
    <xf numFmtId="1" fontId="16" fillId="0" borderId="16" xfId="0" applyNumberFormat="1" applyFont="1" applyBorder="1" applyAlignment="1">
      <alignment horizontal="center" vertical="center" wrapText="1"/>
    </xf>
    <xf numFmtId="3" fontId="10" fillId="0" borderId="16" xfId="4719" applyNumberFormat="1" applyFont="1" applyBorder="1" applyAlignment="1">
      <alignment horizontal="right" vertical="center" wrapText="1"/>
    </xf>
    <xf numFmtId="3" fontId="10" fillId="0" borderId="16" xfId="4727" applyNumberFormat="1" applyFont="1" applyFill="1" applyBorder="1" applyAlignment="1">
      <alignment horizontal="left" vertical="center" wrapText="1"/>
    </xf>
    <xf numFmtId="0" fontId="10" fillId="0" borderId="16" xfId="7" applyFont="1" applyFill="1" applyBorder="1" applyAlignment="1">
      <alignment horizontal="center" vertical="center"/>
    </xf>
    <xf numFmtId="3" fontId="15" fillId="0" borderId="16" xfId="1" applyNumberFormat="1" applyFont="1" applyFill="1" applyBorder="1" applyAlignment="1">
      <alignment horizontal="right" vertical="center"/>
    </xf>
    <xf numFmtId="3" fontId="15" fillId="56" borderId="16" xfId="1" applyNumberFormat="1" applyFont="1" applyFill="1" applyBorder="1" applyAlignment="1">
      <alignment horizontal="right" vertical="center"/>
    </xf>
    <xf numFmtId="3" fontId="16" fillId="0" borderId="16" xfId="0" applyNumberFormat="1" applyFont="1" applyBorder="1" applyAlignment="1">
      <alignment horizontal="center" vertical="center"/>
    </xf>
    <xf numFmtId="3" fontId="21" fillId="0" borderId="16" xfId="1" quotePrefix="1" applyNumberFormat="1" applyFont="1" applyFill="1" applyBorder="1" applyAlignment="1">
      <alignment horizontal="right" vertical="center" wrapText="1"/>
    </xf>
    <xf numFmtId="3" fontId="21" fillId="56" borderId="16" xfId="1" quotePrefix="1" applyNumberFormat="1" applyFont="1" applyFill="1" applyBorder="1" applyAlignment="1">
      <alignment horizontal="right" vertical="center" wrapText="1"/>
    </xf>
    <xf numFmtId="1" fontId="16" fillId="0" borderId="16" xfId="4727" applyNumberFormat="1" applyFont="1" applyFill="1" applyBorder="1" applyAlignment="1">
      <alignment horizontal="center" vertical="center"/>
    </xf>
    <xf numFmtId="3" fontId="10" fillId="56" borderId="16" xfId="4719" quotePrefix="1" applyNumberFormat="1" applyFont="1" applyFill="1" applyBorder="1" applyAlignment="1">
      <alignment horizontal="right" vertical="center" wrapText="1"/>
    </xf>
    <xf numFmtId="1" fontId="18" fillId="56" borderId="17" xfId="1" applyNumberFormat="1" applyFont="1" applyFill="1" applyBorder="1" applyAlignment="1">
      <alignment horizontal="right" vertical="center"/>
    </xf>
    <xf numFmtId="49" fontId="25" fillId="0" borderId="0" xfId="1" applyNumberFormat="1" applyFont="1" applyFill="1" applyBorder="1" applyAlignment="1">
      <alignment horizontal="center" vertical="center"/>
    </xf>
    <xf numFmtId="1" fontId="8" fillId="0" borderId="0" xfId="1" applyNumberFormat="1" applyFont="1" applyFill="1" applyBorder="1" applyAlignment="1">
      <alignment horizontal="left" vertical="center" wrapText="1"/>
    </xf>
    <xf numFmtId="1" fontId="19" fillId="0" borderId="0" xfId="1" applyNumberFormat="1" applyFont="1" applyFill="1" applyBorder="1" applyAlignment="1">
      <alignment horizontal="center" vertical="center" wrapText="1"/>
    </xf>
    <xf numFmtId="1" fontId="25" fillId="0" borderId="0" xfId="1" applyNumberFormat="1" applyFont="1" applyFill="1" applyBorder="1" applyAlignment="1">
      <alignment horizontal="right" vertical="center"/>
    </xf>
    <xf numFmtId="1" fontId="12" fillId="0" borderId="0" xfId="1" applyNumberFormat="1" applyFont="1" applyFill="1" applyBorder="1" applyAlignment="1">
      <alignment horizontal="center" vertical="center" wrapText="1"/>
    </xf>
    <xf numFmtId="1" fontId="25" fillId="56" borderId="0" xfId="1" applyNumberFormat="1" applyFont="1" applyFill="1" applyBorder="1" applyAlignment="1">
      <alignment horizontal="right" vertical="center"/>
    </xf>
    <xf numFmtId="1" fontId="8" fillId="56" borderId="0" xfId="1" applyNumberFormat="1" applyFont="1" applyFill="1" applyAlignment="1">
      <alignment horizontal="left" vertical="center" wrapText="1"/>
    </xf>
    <xf numFmtId="1" fontId="25" fillId="0" borderId="0" xfId="1" applyNumberFormat="1" applyFont="1" applyFill="1" applyAlignment="1">
      <alignment horizontal="left" vertical="center"/>
    </xf>
    <xf numFmtId="1" fontId="16" fillId="0" borderId="0" xfId="1" applyNumberFormat="1" applyFont="1" applyFill="1" applyAlignment="1">
      <alignment horizontal="center" vertical="center"/>
    </xf>
    <xf numFmtId="1" fontId="8" fillId="56" borderId="0" xfId="1" applyNumberFormat="1" applyFont="1" applyFill="1" applyAlignment="1">
      <alignment vertical="center"/>
    </xf>
    <xf numFmtId="1" fontId="8" fillId="56" borderId="0" xfId="1" applyNumberFormat="1" applyFont="1" applyFill="1" applyAlignment="1">
      <alignment horizontal="right" vertical="center"/>
    </xf>
    <xf numFmtId="3" fontId="10" fillId="0" borderId="0" xfId="1" applyNumberFormat="1" applyFont="1" applyFill="1" applyBorder="1" applyAlignment="1">
      <alignment horizontal="center" vertical="center" wrapText="1"/>
    </xf>
    <xf numFmtId="1" fontId="4" fillId="0" borderId="0" xfId="1" applyNumberFormat="1" applyFont="1" applyFill="1" applyBorder="1" applyAlignment="1">
      <alignment vertical="center"/>
    </xf>
    <xf numFmtId="1" fontId="8" fillId="0" borderId="0" xfId="1" applyNumberFormat="1" applyFont="1" applyFill="1" applyBorder="1" applyAlignment="1">
      <alignment vertical="center"/>
    </xf>
    <xf numFmtId="1" fontId="25" fillId="0" borderId="0" xfId="1" applyNumberFormat="1" applyFont="1" applyFill="1" applyBorder="1" applyAlignment="1">
      <alignment vertical="center"/>
    </xf>
    <xf numFmtId="1" fontId="10" fillId="0" borderId="0" xfId="1" applyNumberFormat="1" applyFont="1" applyFill="1" applyBorder="1" applyAlignment="1">
      <alignment vertical="center"/>
    </xf>
    <xf numFmtId="1" fontId="252" fillId="0" borderId="0" xfId="1" applyNumberFormat="1" applyFont="1" applyFill="1" applyBorder="1" applyAlignment="1">
      <alignment vertical="center"/>
    </xf>
    <xf numFmtId="0" fontId="10" fillId="0" borderId="0" xfId="0" applyFont="1" applyFill="1" applyBorder="1"/>
    <xf numFmtId="1" fontId="258" fillId="0" borderId="0" xfId="1" applyNumberFormat="1" applyFont="1" applyFill="1" applyBorder="1" applyAlignment="1">
      <alignment vertical="center"/>
    </xf>
    <xf numFmtId="1" fontId="8" fillId="0" borderId="0" xfId="1" applyNumberFormat="1" applyFont="1" applyFill="1" applyBorder="1" applyAlignment="1">
      <alignment horizontal="right" vertical="center"/>
    </xf>
    <xf numFmtId="1" fontId="18" fillId="0" borderId="0" xfId="1" applyNumberFormat="1" applyFont="1" applyFill="1" applyBorder="1" applyAlignment="1">
      <alignment vertical="center"/>
    </xf>
    <xf numFmtId="1" fontId="21" fillId="0" borderId="0" xfId="1" applyNumberFormat="1" applyFont="1" applyFill="1" applyBorder="1" applyAlignment="1">
      <alignment vertical="center"/>
    </xf>
    <xf numFmtId="335" fontId="10" fillId="0" borderId="0" xfId="1" applyNumberFormat="1" applyFont="1" applyFill="1" applyBorder="1" applyAlignment="1">
      <alignment vertical="center"/>
    </xf>
    <xf numFmtId="3" fontId="10" fillId="0" borderId="0" xfId="1" applyNumberFormat="1" applyFont="1" applyBorder="1" applyAlignment="1">
      <alignment horizontal="center" vertical="center" wrapText="1"/>
    </xf>
    <xf numFmtId="338" fontId="16" fillId="0" borderId="16" xfId="1" applyNumberFormat="1" applyFont="1" applyFill="1" applyBorder="1" applyAlignment="1">
      <alignment horizontal="center" vertical="center" wrapText="1"/>
    </xf>
    <xf numFmtId="3" fontId="10" fillId="0" borderId="14" xfId="1" quotePrefix="1" applyNumberFormat="1" applyFont="1" applyFill="1" applyBorder="1" applyAlignment="1">
      <alignment horizontal="center" vertical="center" wrapText="1"/>
    </xf>
    <xf numFmtId="3" fontId="16" fillId="0" borderId="14" xfId="1" quotePrefix="1" applyNumberFormat="1" applyFont="1" applyFill="1" applyBorder="1" applyAlignment="1">
      <alignment horizontal="left" vertical="center" wrapText="1"/>
    </xf>
    <xf numFmtId="3" fontId="16" fillId="0" borderId="14" xfId="1" quotePrefix="1" applyNumberFormat="1" applyFont="1" applyFill="1" applyBorder="1" applyAlignment="1">
      <alignment horizontal="center" vertical="center" wrapText="1"/>
    </xf>
    <xf numFmtId="1" fontId="16" fillId="0" borderId="14" xfId="1" quotePrefix="1" applyNumberFormat="1" applyFont="1" applyFill="1" applyBorder="1" applyAlignment="1">
      <alignment horizontal="center" vertical="center" wrapText="1"/>
    </xf>
    <xf numFmtId="3" fontId="10" fillId="0" borderId="14" xfId="1" quotePrefix="1" applyNumberFormat="1" applyFont="1" applyFill="1" applyBorder="1" applyAlignment="1">
      <alignment horizontal="right" vertical="center" wrapText="1"/>
    </xf>
    <xf numFmtId="3" fontId="18" fillId="2" borderId="16" xfId="1" quotePrefix="1" applyNumberFormat="1" applyFont="1" applyFill="1" applyBorder="1" applyAlignment="1">
      <alignment horizontal="center" vertical="center" wrapText="1"/>
    </xf>
    <xf numFmtId="3" fontId="19" fillId="2" borderId="16" xfId="1" applyNumberFormat="1" applyFont="1" applyFill="1" applyBorder="1" applyAlignment="1">
      <alignment horizontal="center" vertical="center" wrapText="1"/>
    </xf>
    <xf numFmtId="3" fontId="19" fillId="2" borderId="16" xfId="1" quotePrefix="1" applyNumberFormat="1" applyFont="1" applyFill="1" applyBorder="1" applyAlignment="1">
      <alignment horizontal="center" vertical="center" wrapText="1"/>
    </xf>
    <xf numFmtId="1" fontId="19" fillId="2" borderId="16" xfId="1" quotePrefix="1" applyNumberFormat="1" applyFont="1" applyFill="1" applyBorder="1" applyAlignment="1">
      <alignment horizontal="center" vertical="center" wrapText="1"/>
    </xf>
    <xf numFmtId="3" fontId="18" fillId="2" borderId="16" xfId="1" quotePrefix="1" applyNumberFormat="1" applyFont="1" applyFill="1" applyBorder="1" applyAlignment="1">
      <alignment horizontal="right" vertical="center" wrapText="1"/>
    </xf>
    <xf numFmtId="3" fontId="19" fillId="0" borderId="16" xfId="4" applyNumberFormat="1" applyFont="1" applyFill="1" applyBorder="1" applyAlignment="1">
      <alignment horizontal="right" vertical="center"/>
    </xf>
    <xf numFmtId="3" fontId="22" fillId="0" borderId="16" xfId="4" applyNumberFormat="1" applyFont="1" applyFill="1" applyBorder="1" applyAlignment="1">
      <alignment horizontal="right" vertical="center"/>
    </xf>
    <xf numFmtId="1" fontId="251" fillId="0" borderId="16" xfId="1" applyNumberFormat="1" applyFont="1" applyFill="1" applyBorder="1" applyAlignment="1">
      <alignment horizontal="center" vertical="center" wrapText="1"/>
    </xf>
    <xf numFmtId="3" fontId="16" fillId="0" borderId="16" xfId="4" applyNumberFormat="1" applyFont="1" applyFill="1" applyBorder="1" applyAlignment="1">
      <alignment horizontal="right" vertical="center"/>
    </xf>
    <xf numFmtId="167" fontId="254" fillId="0" borderId="16" xfId="4" applyNumberFormat="1" applyFont="1" applyFill="1" applyBorder="1" applyAlignment="1">
      <alignment horizontal="center" vertical="center" wrapText="1"/>
    </xf>
    <xf numFmtId="1" fontId="270" fillId="0" borderId="16" xfId="1" applyNumberFormat="1" applyFont="1" applyFill="1" applyBorder="1" applyAlignment="1">
      <alignment horizontal="center" vertical="center" wrapText="1"/>
    </xf>
    <xf numFmtId="335" fontId="19" fillId="0" borderId="16" xfId="0" applyNumberFormat="1" applyFont="1" applyFill="1" applyBorder="1" applyAlignment="1">
      <alignment horizontal="center" vertical="center" wrapText="1"/>
    </xf>
    <xf numFmtId="3" fontId="19" fillId="0" borderId="16" xfId="1" applyNumberFormat="1" applyFont="1" applyFill="1" applyBorder="1" applyAlignment="1">
      <alignment horizontal="right" vertical="center"/>
    </xf>
    <xf numFmtId="3" fontId="22" fillId="0" borderId="16" xfId="1" applyNumberFormat="1" applyFont="1" applyFill="1" applyBorder="1" applyAlignment="1">
      <alignment horizontal="right" vertical="center"/>
    </xf>
    <xf numFmtId="167" fontId="19" fillId="0" borderId="16" xfId="4" applyNumberFormat="1" applyFont="1" applyFill="1" applyBorder="1" applyAlignment="1">
      <alignment horizontal="right" vertical="center"/>
    </xf>
    <xf numFmtId="167" fontId="22" fillId="0" borderId="16" xfId="4" applyNumberFormat="1" applyFont="1" applyFill="1" applyBorder="1" applyAlignment="1">
      <alignment horizontal="right" vertical="center"/>
    </xf>
    <xf numFmtId="3" fontId="19" fillId="0" borderId="16" xfId="1" quotePrefix="1" applyNumberFormat="1" applyFont="1" applyFill="1" applyBorder="1" applyAlignment="1">
      <alignment horizontal="right" vertical="center" wrapText="1"/>
    </xf>
    <xf numFmtId="1" fontId="15" fillId="0" borderId="16" xfId="1" applyNumberFormat="1" applyFont="1" applyFill="1" applyBorder="1" applyAlignment="1">
      <alignment vertical="center"/>
    </xf>
    <xf numFmtId="3" fontId="19" fillId="0" borderId="16" xfId="1" quotePrefix="1" applyNumberFormat="1" applyFont="1" applyFill="1" applyBorder="1" applyAlignment="1">
      <alignment horizontal="left" vertical="center" wrapText="1"/>
    </xf>
    <xf numFmtId="0" fontId="16" fillId="0" borderId="16" xfId="0" applyFont="1" applyFill="1" applyBorder="1" applyAlignment="1">
      <alignment horizontal="left" vertical="center" wrapText="1"/>
    </xf>
    <xf numFmtId="1" fontId="15" fillId="0" borderId="16" xfId="1" applyNumberFormat="1" applyFont="1" applyFill="1" applyBorder="1" applyAlignment="1">
      <alignment horizontal="right" vertical="center"/>
    </xf>
    <xf numFmtId="3" fontId="16" fillId="0" borderId="16" xfId="2728" applyNumberFormat="1" applyFont="1" applyFill="1" applyBorder="1" applyAlignment="1">
      <alignment horizontal="left" vertical="center" wrapText="1"/>
    </xf>
    <xf numFmtId="3" fontId="10" fillId="0" borderId="16" xfId="0" applyNumberFormat="1" applyFont="1" applyFill="1" applyBorder="1" applyAlignment="1">
      <alignment vertical="center" wrapText="1"/>
    </xf>
    <xf numFmtId="1" fontId="10" fillId="0" borderId="16" xfId="1" applyNumberFormat="1" applyFont="1" applyFill="1" applyBorder="1" applyAlignment="1">
      <alignment horizontal="right" vertical="center"/>
    </xf>
    <xf numFmtId="3" fontId="16" fillId="0" borderId="16" xfId="1889" applyNumberFormat="1" applyFont="1" applyFill="1" applyBorder="1" applyAlignment="1">
      <alignment horizontal="left" vertical="center" wrapText="1"/>
    </xf>
    <xf numFmtId="49" fontId="15" fillId="0" borderId="16" xfId="1" quotePrefix="1" applyNumberFormat="1" applyFont="1" applyFill="1" applyBorder="1" applyAlignment="1">
      <alignment horizontal="center" vertical="center"/>
    </xf>
    <xf numFmtId="0" fontId="10" fillId="0" borderId="16" xfId="0" applyFont="1" applyFill="1" applyBorder="1" applyAlignment="1">
      <alignment vertical="center"/>
    </xf>
    <xf numFmtId="3" fontId="10" fillId="0" borderId="16" xfId="0" applyNumberFormat="1" applyFont="1" applyFill="1" applyBorder="1" applyAlignment="1">
      <alignment vertical="center"/>
    </xf>
    <xf numFmtId="167" fontId="10" fillId="0" borderId="16" xfId="4716" applyNumberFormat="1" applyFont="1" applyFill="1" applyBorder="1" applyAlignment="1">
      <alignment horizontal="right" vertical="center" wrapText="1"/>
    </xf>
    <xf numFmtId="3" fontId="18" fillId="0" borderId="16" xfId="4" quotePrefix="1" applyNumberFormat="1" applyFont="1" applyFill="1" applyBorder="1" applyAlignment="1">
      <alignment horizontal="right" vertical="center" wrapText="1"/>
    </xf>
    <xf numFmtId="3" fontId="16" fillId="0" borderId="16" xfId="4714" applyNumberFormat="1" applyFont="1" applyFill="1" applyBorder="1" applyAlignment="1">
      <alignment horizontal="center" vertical="center"/>
    </xf>
    <xf numFmtId="0" fontId="16" fillId="0" borderId="16" xfId="0" quotePrefix="1" applyFont="1" applyFill="1" applyBorder="1" applyAlignment="1">
      <alignment horizontal="center" vertical="center"/>
    </xf>
    <xf numFmtId="167" fontId="270" fillId="0" borderId="16" xfId="1785" applyNumberFormat="1" applyFont="1" applyFill="1" applyBorder="1" applyAlignment="1">
      <alignment horizontal="center" vertical="center" wrapText="1"/>
    </xf>
    <xf numFmtId="0" fontId="270" fillId="0" borderId="16" xfId="2758" applyFont="1" applyFill="1" applyBorder="1" applyAlignment="1">
      <alignment horizontal="center" vertical="center" wrapText="1"/>
    </xf>
    <xf numFmtId="3" fontId="256" fillId="0" borderId="16" xfId="1785" applyNumberFormat="1" applyFont="1" applyFill="1" applyBorder="1" applyAlignment="1">
      <alignment horizontal="right" vertical="center"/>
    </xf>
    <xf numFmtId="167" fontId="256" fillId="0" borderId="16" xfId="4716" applyNumberFormat="1" applyFont="1" applyFill="1" applyBorder="1" applyAlignment="1">
      <alignment horizontal="right" vertical="center" wrapText="1"/>
    </xf>
    <xf numFmtId="335" fontId="10" fillId="0" borderId="16" xfId="0" applyNumberFormat="1" applyFont="1" applyFill="1" applyBorder="1" applyAlignment="1">
      <alignment horizontal="right" vertical="center" wrapText="1"/>
    </xf>
    <xf numFmtId="335" fontId="10" fillId="0" borderId="16" xfId="2758" applyNumberFormat="1" applyFont="1" applyFill="1" applyBorder="1" applyAlignment="1">
      <alignment horizontal="right" vertical="center" wrapText="1"/>
    </xf>
    <xf numFmtId="0" fontId="16" fillId="0" borderId="16" xfId="4714" applyFont="1" applyFill="1" applyBorder="1" applyAlignment="1">
      <alignment horizontal="center" vertical="center"/>
    </xf>
    <xf numFmtId="0" fontId="16" fillId="0" borderId="16" xfId="0" applyFont="1" applyFill="1" applyBorder="1" applyAlignment="1">
      <alignment vertical="center" wrapText="1"/>
    </xf>
    <xf numFmtId="1" fontId="19" fillId="0" borderId="16" xfId="1" quotePrefix="1" applyNumberFormat="1" applyFont="1" applyFill="1" applyBorder="1" applyAlignment="1">
      <alignment vertical="center" wrapText="1"/>
    </xf>
    <xf numFmtId="167" fontId="18" fillId="0" borderId="16" xfId="4" quotePrefix="1" applyNumberFormat="1" applyFont="1" applyFill="1" applyBorder="1" applyAlignment="1">
      <alignment horizontal="right" vertical="center" wrapText="1"/>
    </xf>
    <xf numFmtId="0" fontId="18" fillId="0" borderId="16" xfId="0" applyFont="1" applyFill="1" applyBorder="1" applyAlignment="1">
      <alignment horizontal="center" vertical="center"/>
    </xf>
    <xf numFmtId="0" fontId="19" fillId="0" borderId="16" xfId="4714" applyFont="1" applyFill="1" applyBorder="1" applyAlignment="1">
      <alignment horizontal="center" vertical="center" wrapText="1"/>
    </xf>
    <xf numFmtId="0" fontId="19" fillId="0" borderId="16" xfId="0" applyFont="1" applyFill="1" applyBorder="1" applyAlignment="1">
      <alignment horizontal="center" vertical="center"/>
    </xf>
    <xf numFmtId="335" fontId="18" fillId="0" borderId="16" xfId="0" applyNumberFormat="1" applyFont="1" applyFill="1" applyBorder="1" applyAlignment="1">
      <alignment horizontal="right" vertical="center"/>
    </xf>
    <xf numFmtId="335" fontId="21" fillId="0" borderId="16" xfId="0" applyNumberFormat="1" applyFont="1" applyFill="1" applyBorder="1" applyAlignment="1">
      <alignment horizontal="right" vertical="center"/>
    </xf>
    <xf numFmtId="0" fontId="21" fillId="0" borderId="16" xfId="0" applyFont="1" applyFill="1" applyBorder="1" applyAlignment="1">
      <alignment horizontal="center" vertical="center" wrapText="1"/>
    </xf>
    <xf numFmtId="0" fontId="22" fillId="0" borderId="16" xfId="0" applyFont="1" applyFill="1" applyBorder="1" applyAlignment="1">
      <alignment horizontal="left" vertical="center" wrapText="1"/>
    </xf>
    <xf numFmtId="1" fontId="18" fillId="55" borderId="16" xfId="1" quotePrefix="1" applyNumberFormat="1" applyFont="1" applyFill="1" applyBorder="1" applyAlignment="1">
      <alignment horizontal="center" vertical="center"/>
    </xf>
    <xf numFmtId="3" fontId="19" fillId="55" borderId="16" xfId="1" applyNumberFormat="1" applyFont="1" applyFill="1" applyBorder="1" applyAlignment="1">
      <alignment horizontal="left" vertical="center" wrapText="1"/>
    </xf>
    <xf numFmtId="3" fontId="19" fillId="55" borderId="16" xfId="1" quotePrefix="1" applyNumberFormat="1" applyFont="1" applyFill="1" applyBorder="1" applyAlignment="1">
      <alignment horizontal="center" vertical="center" wrapText="1"/>
    </xf>
    <xf numFmtId="1" fontId="19" fillId="55" borderId="16" xfId="1" quotePrefix="1" applyNumberFormat="1" applyFont="1" applyFill="1" applyBorder="1" applyAlignment="1">
      <alignment horizontal="center" vertical="center" wrapText="1"/>
    </xf>
    <xf numFmtId="3" fontId="18" fillId="55" borderId="16" xfId="1" quotePrefix="1" applyNumberFormat="1" applyFont="1" applyFill="1" applyBorder="1" applyAlignment="1">
      <alignment horizontal="right" vertical="center" wrapText="1"/>
    </xf>
    <xf numFmtId="1" fontId="25" fillId="55" borderId="0" xfId="1" applyNumberFormat="1" applyFont="1" applyFill="1" applyBorder="1" applyAlignment="1">
      <alignment vertical="center"/>
    </xf>
    <xf numFmtId="1" fontId="25" fillId="55" borderId="0" xfId="1" applyNumberFormat="1" applyFont="1" applyFill="1" applyAlignment="1">
      <alignment vertical="center"/>
    </xf>
    <xf numFmtId="3" fontId="18" fillId="55" borderId="16" xfId="1" applyNumberFormat="1" applyFont="1" applyFill="1" applyBorder="1" applyAlignment="1">
      <alignment horizontal="center" vertical="center" wrapText="1"/>
    </xf>
    <xf numFmtId="3" fontId="19" fillId="55" borderId="16" xfId="1" applyNumberFormat="1" applyFont="1" applyFill="1" applyBorder="1" applyAlignment="1">
      <alignment horizontal="center" vertical="center" wrapText="1"/>
    </xf>
    <xf numFmtId="1" fontId="19" fillId="55" borderId="16" xfId="1" applyNumberFormat="1" applyFont="1" applyFill="1" applyBorder="1" applyAlignment="1">
      <alignment horizontal="center" vertical="center" wrapText="1"/>
    </xf>
    <xf numFmtId="3" fontId="18" fillId="55" borderId="16" xfId="4" applyNumberFormat="1" applyFont="1" applyFill="1" applyBorder="1" applyAlignment="1">
      <alignment horizontal="right" vertical="center"/>
    </xf>
    <xf numFmtId="1" fontId="8" fillId="55" borderId="0" xfId="1" applyNumberFormat="1" applyFont="1" applyFill="1" applyBorder="1" applyAlignment="1">
      <alignment vertical="center"/>
    </xf>
    <xf numFmtId="1" fontId="8" fillId="55" borderId="0" xfId="1" applyNumberFormat="1" applyFont="1" applyFill="1" applyAlignment="1">
      <alignment vertical="center"/>
    </xf>
    <xf numFmtId="49" fontId="18" fillId="55" borderId="16" xfId="1" applyNumberFormat="1" applyFont="1" applyFill="1" applyBorder="1" applyAlignment="1">
      <alignment horizontal="center" vertical="center"/>
    </xf>
    <xf numFmtId="3" fontId="16" fillId="55" borderId="16" xfId="1" applyNumberFormat="1" applyFont="1" applyFill="1" applyBorder="1" applyAlignment="1">
      <alignment horizontal="center" vertical="center" wrapText="1"/>
    </xf>
    <xf numFmtId="1" fontId="16" fillId="55" borderId="16" xfId="1" applyNumberFormat="1" applyFont="1" applyFill="1" applyBorder="1" applyAlignment="1">
      <alignment horizontal="center" vertical="center" wrapText="1"/>
    </xf>
    <xf numFmtId="1" fontId="17" fillId="55" borderId="0" xfId="1" applyNumberFormat="1" applyFont="1" applyFill="1" applyAlignment="1">
      <alignment horizontal="center" vertical="center" wrapText="1"/>
    </xf>
    <xf numFmtId="167" fontId="10" fillId="0" borderId="16" xfId="4" applyNumberFormat="1" applyFont="1" applyFill="1" applyBorder="1" applyAlignment="1">
      <alignment horizontal="center" vertical="center" wrapText="1"/>
    </xf>
    <xf numFmtId="3" fontId="16" fillId="0" borderId="16" xfId="1" quotePrefix="1" applyNumberFormat="1" applyFont="1" applyFill="1" applyBorder="1" applyAlignment="1">
      <alignment horizontal="center" vertical="center" wrapText="1"/>
    </xf>
    <xf numFmtId="3" fontId="18" fillId="55" borderId="16" xfId="1" applyNumberFormat="1" applyFont="1" applyFill="1" applyBorder="1" applyAlignment="1">
      <alignment horizontal="right" vertical="center"/>
    </xf>
    <xf numFmtId="1" fontId="25" fillId="55" borderId="0" xfId="1" applyNumberFormat="1" applyFont="1" applyFill="1" applyBorder="1" applyAlignment="1">
      <alignment horizontal="right" vertical="center"/>
    </xf>
    <xf numFmtId="1" fontId="12" fillId="55" borderId="0" xfId="1" applyNumberFormat="1" applyFont="1" applyFill="1" applyBorder="1" applyAlignment="1">
      <alignment horizontal="center" vertical="center" wrapText="1"/>
    </xf>
    <xf numFmtId="1" fontId="18" fillId="55" borderId="0" xfId="1" applyNumberFormat="1" applyFont="1" applyFill="1" applyBorder="1" applyAlignment="1">
      <alignment vertical="center"/>
    </xf>
    <xf numFmtId="1" fontId="18" fillId="55" borderId="0" xfId="1" applyNumberFormat="1" applyFont="1" applyFill="1" applyAlignment="1">
      <alignment vertical="center"/>
    </xf>
    <xf numFmtId="1" fontId="273" fillId="0" borderId="16" xfId="1" applyNumberFormat="1" applyFont="1" applyFill="1" applyBorder="1" applyAlignment="1">
      <alignment horizontal="center" vertical="center"/>
    </xf>
    <xf numFmtId="3" fontId="274" fillId="0" borderId="16" xfId="1" quotePrefix="1" applyNumberFormat="1" applyFont="1" applyFill="1" applyBorder="1" applyAlignment="1">
      <alignment horizontal="center" vertical="center" wrapText="1"/>
    </xf>
    <xf numFmtId="3" fontId="273" fillId="0" borderId="16" xfId="1" quotePrefix="1" applyNumberFormat="1" applyFont="1" applyFill="1" applyBorder="1" applyAlignment="1">
      <alignment horizontal="right" vertical="center" wrapText="1"/>
    </xf>
    <xf numFmtId="3" fontId="274" fillId="0" borderId="16" xfId="1" applyNumberFormat="1" applyFont="1" applyFill="1" applyBorder="1" applyAlignment="1">
      <alignment horizontal="center" vertical="center" wrapText="1"/>
    </xf>
    <xf numFmtId="1" fontId="275" fillId="0" borderId="0" xfId="1" applyNumberFormat="1" applyFont="1" applyFill="1" applyBorder="1" applyAlignment="1">
      <alignment vertical="center"/>
    </xf>
    <xf numFmtId="1" fontId="83" fillId="0" borderId="0" xfId="1" applyNumberFormat="1" applyFont="1" applyFill="1" applyAlignment="1">
      <alignment horizontal="center" vertical="center" wrapText="1"/>
    </xf>
    <xf numFmtId="1" fontId="275" fillId="51" borderId="0" xfId="1" applyNumberFormat="1" applyFont="1" applyFill="1" applyAlignment="1">
      <alignment vertical="center"/>
    </xf>
    <xf numFmtId="1" fontId="259" fillId="0" borderId="0" xfId="1" applyNumberFormat="1" applyFont="1" applyFill="1" applyBorder="1" applyAlignment="1">
      <alignment vertical="center"/>
    </xf>
    <xf numFmtId="1" fontId="259" fillId="0" borderId="0" xfId="1" applyNumberFormat="1" applyFont="1" applyFill="1" applyAlignment="1">
      <alignment vertical="center"/>
    </xf>
    <xf numFmtId="49" fontId="273" fillId="0" borderId="16" xfId="1" applyNumberFormat="1" applyFont="1" applyFill="1" applyBorder="1" applyAlignment="1">
      <alignment horizontal="center" vertical="center"/>
    </xf>
    <xf numFmtId="3" fontId="273" fillId="0" borderId="16" xfId="1" applyNumberFormat="1" applyFont="1" applyFill="1" applyBorder="1" applyAlignment="1">
      <alignment horizontal="right" vertical="center"/>
    </xf>
    <xf numFmtId="1" fontId="277" fillId="0" borderId="16" xfId="1" applyNumberFormat="1" applyFont="1" applyFill="1" applyBorder="1" applyAlignment="1">
      <alignment horizontal="right" vertical="center"/>
    </xf>
    <xf numFmtId="167" fontId="273" fillId="0" borderId="16" xfId="4" applyNumberFormat="1" applyFont="1" applyFill="1" applyBorder="1" applyAlignment="1">
      <alignment horizontal="center" vertical="center" wrapText="1"/>
    </xf>
    <xf numFmtId="1" fontId="277" fillId="0" borderId="16" xfId="1" applyNumberFormat="1" applyFont="1" applyFill="1" applyBorder="1" applyAlignment="1">
      <alignment vertical="center"/>
    </xf>
    <xf numFmtId="1" fontId="278" fillId="0" borderId="0" xfId="1" applyNumberFormat="1" applyFont="1" applyFill="1" applyBorder="1" applyAlignment="1">
      <alignment vertical="center"/>
    </xf>
    <xf numFmtId="1" fontId="278" fillId="53" borderId="0" xfId="1" applyNumberFormat="1" applyFont="1" applyFill="1" applyAlignment="1">
      <alignment vertical="center"/>
    </xf>
    <xf numFmtId="3" fontId="274" fillId="0" borderId="0" xfId="1" applyNumberFormat="1" applyFont="1" applyFill="1" applyBorder="1" applyAlignment="1">
      <alignment horizontal="center" vertical="center" wrapText="1"/>
    </xf>
    <xf numFmtId="3" fontId="276" fillId="2" borderId="0" xfId="1" applyNumberFormat="1" applyFont="1" applyFill="1" applyBorder="1" applyAlignment="1">
      <alignment horizontal="center" vertical="center" wrapText="1"/>
    </xf>
    <xf numFmtId="3" fontId="276" fillId="55" borderId="0" xfId="1" applyNumberFormat="1" applyFont="1" applyFill="1" applyBorder="1" applyAlignment="1">
      <alignment horizontal="center" vertical="center" wrapText="1"/>
    </xf>
    <xf numFmtId="3" fontId="276" fillId="0" borderId="0" xfId="1" applyNumberFormat="1" applyFont="1" applyFill="1" applyBorder="1" applyAlignment="1">
      <alignment horizontal="center" vertical="center" wrapText="1"/>
    </xf>
    <xf numFmtId="3" fontId="274" fillId="0" borderId="0" xfId="0" applyNumberFormat="1" applyFont="1" applyFill="1" applyBorder="1" applyAlignment="1">
      <alignment horizontal="center" wrapText="1"/>
    </xf>
    <xf numFmtId="3" fontId="274" fillId="55" borderId="0" xfId="1" applyNumberFormat="1" applyFont="1" applyFill="1" applyBorder="1" applyAlignment="1">
      <alignment horizontal="center" vertical="center" wrapText="1"/>
    </xf>
    <xf numFmtId="4" fontId="274" fillId="0" borderId="0" xfId="1" applyNumberFormat="1" applyFont="1" applyFill="1" applyBorder="1" applyAlignment="1">
      <alignment horizontal="center" vertical="center" wrapText="1"/>
    </xf>
    <xf numFmtId="4" fontId="274" fillId="55" borderId="0" xfId="1" applyNumberFormat="1" applyFont="1" applyFill="1" applyBorder="1" applyAlignment="1">
      <alignment horizontal="center" vertical="center" wrapText="1"/>
    </xf>
    <xf numFmtId="167" fontId="274" fillId="0" borderId="16" xfId="4" applyNumberFormat="1" applyFont="1" applyFill="1" applyBorder="1" applyAlignment="1">
      <alignment horizontal="center" vertical="center" wrapText="1"/>
    </xf>
    <xf numFmtId="0" fontId="274" fillId="0" borderId="16" xfId="0" applyFont="1" applyFill="1" applyBorder="1" applyAlignment="1">
      <alignment horizontal="center" vertical="center" wrapText="1"/>
    </xf>
    <xf numFmtId="167" fontId="273" fillId="0" borderId="16" xfId="4" applyNumberFormat="1" applyFont="1" applyFill="1" applyBorder="1" applyAlignment="1">
      <alignment horizontal="right" vertical="center"/>
    </xf>
    <xf numFmtId="3" fontId="274" fillId="0" borderId="16" xfId="1" quotePrefix="1" applyNumberFormat="1" applyFont="1" applyFill="1" applyBorder="1" applyAlignment="1">
      <alignment horizontal="center" vertical="center" wrapText="1"/>
    </xf>
    <xf numFmtId="1" fontId="16" fillId="2" borderId="16" xfId="1" applyNumberFormat="1" applyFont="1" applyFill="1" applyBorder="1" applyAlignment="1">
      <alignment horizontal="center" vertical="center" wrapText="1"/>
    </xf>
    <xf numFmtId="335" fontId="10" fillId="2" borderId="16" xfId="1" quotePrefix="1" applyNumberFormat="1" applyFont="1" applyFill="1" applyBorder="1" applyAlignment="1">
      <alignment horizontal="right" vertical="center" wrapText="1"/>
    </xf>
    <xf numFmtId="1" fontId="10" fillId="2" borderId="16" xfId="1" applyNumberFormat="1" applyFont="1" applyFill="1" applyBorder="1" applyAlignment="1">
      <alignment horizontal="center" vertical="center"/>
    </xf>
    <xf numFmtId="3" fontId="16" fillId="2" borderId="16" xfId="1" quotePrefix="1" applyNumberFormat="1" applyFont="1" applyFill="1" applyBorder="1" applyAlignment="1">
      <alignment horizontal="left" vertical="center" wrapText="1"/>
    </xf>
    <xf numFmtId="3" fontId="16" fillId="2" borderId="16" xfId="1" applyNumberFormat="1" applyFont="1" applyFill="1" applyBorder="1" applyAlignment="1">
      <alignment horizontal="center" vertical="center" wrapText="1"/>
    </xf>
    <xf numFmtId="3" fontId="10" fillId="2" borderId="16" xfId="4713" applyNumberFormat="1" applyFont="1" applyFill="1" applyBorder="1" applyAlignment="1">
      <alignment horizontal="right" vertical="center" wrapText="1"/>
    </xf>
    <xf numFmtId="3" fontId="10" fillId="2" borderId="16" xfId="1" quotePrefix="1" applyNumberFormat="1" applyFont="1" applyFill="1" applyBorder="1" applyAlignment="1">
      <alignment horizontal="right" vertical="center" wrapText="1"/>
    </xf>
    <xf numFmtId="3" fontId="10" fillId="2" borderId="16" xfId="4" applyNumberFormat="1" applyFont="1" applyFill="1" applyBorder="1" applyAlignment="1">
      <alignment horizontal="right" vertical="center" wrapText="1"/>
    </xf>
    <xf numFmtId="335" fontId="10" fillId="2" borderId="16" xfId="4" applyNumberFormat="1" applyFont="1" applyFill="1" applyBorder="1" applyAlignment="1">
      <alignment horizontal="right" vertical="center" wrapText="1"/>
    </xf>
    <xf numFmtId="1" fontId="274" fillId="2" borderId="16" xfId="1" applyNumberFormat="1" applyFont="1" applyFill="1" applyBorder="1" applyAlignment="1">
      <alignment horizontal="center" vertical="center" wrapText="1"/>
    </xf>
    <xf numFmtId="3" fontId="253" fillId="2" borderId="0" xfId="1" applyNumberFormat="1" applyFont="1" applyFill="1" applyBorder="1" applyAlignment="1">
      <alignment horizontal="center" vertical="center" wrapText="1"/>
    </xf>
    <xf numFmtId="1" fontId="8" fillId="2" borderId="0" xfId="1" applyNumberFormat="1" applyFont="1" applyFill="1" applyBorder="1" applyAlignment="1">
      <alignment vertical="center"/>
    </xf>
    <xf numFmtId="1" fontId="8" fillId="2" borderId="0" xfId="1" applyNumberFormat="1" applyFont="1" applyFill="1" applyAlignment="1">
      <alignment vertical="center"/>
    </xf>
    <xf numFmtId="3" fontId="17" fillId="0" borderId="14" xfId="1" quotePrefix="1" applyNumberFormat="1" applyFont="1" applyFill="1" applyBorder="1" applyAlignment="1">
      <alignment horizontal="center" vertical="center" wrapText="1"/>
    </xf>
    <xf numFmtId="3" fontId="12" fillId="2" borderId="16" xfId="1" quotePrefix="1" applyNumberFormat="1" applyFont="1" applyFill="1" applyBorder="1" applyAlignment="1">
      <alignment horizontal="center" vertical="center" wrapText="1"/>
    </xf>
    <xf numFmtId="3" fontId="12" fillId="55" borderId="16" xfId="1" quotePrefix="1" applyNumberFormat="1" applyFont="1" applyFill="1" applyBorder="1" applyAlignment="1">
      <alignment horizontal="center" vertical="center" wrapText="1"/>
    </xf>
    <xf numFmtId="3" fontId="17" fillId="0" borderId="16" xfId="1893" applyNumberFormat="1" applyFont="1" applyFill="1" applyBorder="1" applyAlignment="1">
      <alignment horizontal="center" vertical="center" wrapText="1"/>
    </xf>
    <xf numFmtId="3" fontId="17" fillId="0" borderId="16" xfId="1928" applyNumberFormat="1" applyFont="1" applyFill="1" applyBorder="1" applyAlignment="1">
      <alignment horizontal="center" vertical="center" wrapText="1"/>
    </xf>
    <xf numFmtId="3" fontId="12" fillId="0" borderId="16" xfId="1691" applyNumberFormat="1" applyFont="1" applyFill="1" applyBorder="1" applyAlignment="1">
      <alignment horizontal="center" vertical="center" wrapText="1"/>
    </xf>
    <xf numFmtId="3" fontId="17" fillId="0" borderId="16" xfId="4715" applyNumberFormat="1" applyFont="1" applyFill="1" applyBorder="1" applyAlignment="1">
      <alignment horizontal="center" vertical="center" wrapText="1"/>
    </xf>
    <xf numFmtId="3" fontId="17" fillId="2" borderId="16" xfId="1" applyNumberFormat="1" applyFont="1" applyFill="1" applyBorder="1" applyAlignment="1">
      <alignment horizontal="center" vertical="center" wrapText="1"/>
    </xf>
    <xf numFmtId="3" fontId="12" fillId="55" borderId="16" xfId="1" applyNumberFormat="1" applyFont="1" applyFill="1" applyBorder="1" applyAlignment="1">
      <alignment horizontal="center" vertical="center" wrapText="1"/>
    </xf>
    <xf numFmtId="3" fontId="17" fillId="0" borderId="16" xfId="4" applyNumberFormat="1" applyFont="1" applyFill="1" applyBorder="1" applyAlignment="1">
      <alignment horizontal="center" vertical="center" wrapText="1"/>
    </xf>
    <xf numFmtId="3" fontId="17" fillId="55" borderId="16" xfId="1" applyNumberFormat="1" applyFont="1" applyFill="1" applyBorder="1" applyAlignment="1">
      <alignment horizontal="center" vertical="center" wrapText="1"/>
    </xf>
    <xf numFmtId="336" fontId="17" fillId="0" borderId="16" xfId="0" applyNumberFormat="1" applyFont="1" applyFill="1" applyBorder="1" applyAlignment="1">
      <alignment horizontal="center" vertical="center" wrapText="1"/>
    </xf>
    <xf numFmtId="0" fontId="17" fillId="0" borderId="16" xfId="0" quotePrefix="1" applyFont="1" applyFill="1" applyBorder="1" applyAlignment="1">
      <alignment horizontal="center" vertical="center" wrapText="1"/>
    </xf>
    <xf numFmtId="3" fontId="17" fillId="0" borderId="16" xfId="4714" applyNumberFormat="1" applyFont="1" applyFill="1" applyBorder="1" applyAlignment="1">
      <alignment horizontal="center" vertical="center" wrapText="1"/>
    </xf>
    <xf numFmtId="3" fontId="17" fillId="0" borderId="16" xfId="2758" applyNumberFormat="1" applyFont="1" applyFill="1" applyBorder="1" applyAlignment="1">
      <alignment horizontal="center" vertical="center" wrapText="1"/>
    </xf>
    <xf numFmtId="3" fontId="17" fillId="0" borderId="16" xfId="1657" applyNumberFormat="1" applyFont="1" applyFill="1" applyBorder="1" applyAlignment="1">
      <alignment horizontal="center" vertical="center" wrapText="1"/>
    </xf>
    <xf numFmtId="3" fontId="17" fillId="0" borderId="16" xfId="2759" applyNumberFormat="1" applyFont="1" applyFill="1" applyBorder="1" applyAlignment="1">
      <alignment horizontal="center" vertical="center" wrapText="1"/>
    </xf>
    <xf numFmtId="3" fontId="12" fillId="0" borderId="16" xfId="4"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1" fontId="17" fillId="0" borderId="16" xfId="1" applyNumberFormat="1" applyFont="1" applyFill="1" applyBorder="1" applyAlignment="1">
      <alignment vertical="center"/>
    </xf>
    <xf numFmtId="0" fontId="12" fillId="0" borderId="16" xfId="0" applyFont="1" applyFill="1" applyBorder="1" applyAlignment="1">
      <alignment horizontal="center" vertical="center" wrapText="1"/>
    </xf>
    <xf numFmtId="3" fontId="17" fillId="0" borderId="16" xfId="0" quotePrefix="1" applyNumberFormat="1" applyFont="1" applyFill="1" applyBorder="1" applyAlignment="1">
      <alignment horizontal="center" vertical="center" wrapText="1"/>
    </xf>
    <xf numFmtId="3" fontId="17" fillId="0" borderId="16" xfId="2762" applyNumberFormat="1" applyFont="1" applyFill="1" applyBorder="1" applyAlignment="1">
      <alignment horizontal="center" vertical="center" wrapText="1"/>
    </xf>
    <xf numFmtId="3" fontId="17" fillId="0" borderId="16" xfId="1" applyNumberFormat="1" applyFont="1" applyFill="1" applyBorder="1" applyAlignment="1">
      <alignment horizontal="right" vertical="center"/>
    </xf>
    <xf numFmtId="3" fontId="17" fillId="0" borderId="16" xfId="1" applyNumberFormat="1" applyFont="1" applyFill="1" applyBorder="1" applyAlignment="1">
      <alignment vertical="center" wrapText="1"/>
    </xf>
    <xf numFmtId="3" fontId="12" fillId="0" borderId="16" xfId="1" applyNumberFormat="1" applyFont="1" applyFill="1" applyBorder="1" applyAlignment="1">
      <alignment vertical="center" wrapText="1"/>
    </xf>
    <xf numFmtId="1" fontId="12" fillId="0" borderId="16" xfId="1" applyNumberFormat="1" applyFont="1" applyFill="1" applyBorder="1" applyAlignment="1">
      <alignment vertical="center"/>
    </xf>
    <xf numFmtId="1" fontId="249" fillId="0" borderId="16" xfId="1" applyNumberFormat="1" applyFont="1" applyFill="1" applyBorder="1" applyAlignment="1">
      <alignment vertical="center"/>
    </xf>
    <xf numFmtId="3" fontId="17" fillId="0" borderId="16" xfId="3" applyNumberFormat="1" applyFont="1" applyFill="1" applyBorder="1" applyAlignment="1">
      <alignment horizontal="center" vertical="center" wrapText="1"/>
    </xf>
    <xf numFmtId="3" fontId="17" fillId="0" borderId="16" xfId="7" applyNumberFormat="1" applyFont="1" applyFill="1" applyBorder="1" applyAlignment="1">
      <alignment horizontal="center" vertical="center" wrapText="1"/>
    </xf>
    <xf numFmtId="49" fontId="17" fillId="0" borderId="16" xfId="3" applyNumberFormat="1" applyFont="1" applyFill="1" applyBorder="1" applyAlignment="1">
      <alignment horizontal="center" vertical="center" wrapText="1"/>
    </xf>
    <xf numFmtId="3" fontId="17" fillId="0" borderId="16" xfId="4727" applyNumberFormat="1" applyFont="1" applyFill="1" applyBorder="1" applyAlignment="1">
      <alignment horizontal="center" vertical="center" wrapText="1"/>
    </xf>
    <xf numFmtId="3" fontId="16" fillId="0" borderId="0" xfId="1" applyNumberFormat="1" applyFont="1" applyFill="1" applyBorder="1" applyAlignment="1">
      <alignment horizontal="center" vertical="center" wrapText="1"/>
    </xf>
    <xf numFmtId="49" fontId="18" fillId="53" borderId="16" xfId="1" applyNumberFormat="1" applyFont="1" applyFill="1" applyBorder="1" applyAlignment="1">
      <alignment horizontal="center" vertical="center"/>
    </xf>
    <xf numFmtId="3" fontId="19" fillId="53" borderId="16" xfId="1" applyNumberFormat="1" applyFont="1" applyFill="1" applyBorder="1" applyAlignment="1">
      <alignment horizontal="center" vertical="center" wrapText="1"/>
    </xf>
    <xf numFmtId="1" fontId="19" fillId="53" borderId="16" xfId="1" applyNumberFormat="1" applyFont="1" applyFill="1" applyBorder="1" applyAlignment="1">
      <alignment horizontal="center" vertical="center" wrapText="1"/>
    </xf>
    <xf numFmtId="3" fontId="18" fillId="53" borderId="16" xfId="4" applyNumberFormat="1" applyFont="1" applyFill="1" applyBorder="1" applyAlignment="1">
      <alignment horizontal="right" vertical="center"/>
    </xf>
    <xf numFmtId="3" fontId="274" fillId="53" borderId="0" xfId="1" applyNumberFormat="1" applyFont="1" applyFill="1" applyBorder="1" applyAlignment="1">
      <alignment horizontal="center" vertical="center" wrapText="1"/>
    </xf>
    <xf numFmtId="1" fontId="8" fillId="53" borderId="0" xfId="1" applyNumberFormat="1" applyFont="1" applyFill="1" applyBorder="1" applyAlignment="1">
      <alignment vertical="center"/>
    </xf>
    <xf numFmtId="1" fontId="17" fillId="53" borderId="0" xfId="1" applyNumberFormat="1" applyFont="1" applyFill="1" applyAlignment="1">
      <alignment horizontal="center" vertical="center" wrapText="1"/>
    </xf>
    <xf numFmtId="167" fontId="10" fillId="0" borderId="16" xfId="1785" applyNumberFormat="1" applyFont="1" applyFill="1" applyBorder="1" applyAlignment="1">
      <alignment horizontal="right" vertical="center" wrapText="1"/>
    </xf>
    <xf numFmtId="167" fontId="10" fillId="0" borderId="16" xfId="4712" applyNumberFormat="1" applyFont="1" applyFill="1" applyBorder="1" applyAlignment="1">
      <alignment vertical="center"/>
    </xf>
    <xf numFmtId="335" fontId="10" fillId="0" borderId="16" xfId="4712" applyNumberFormat="1" applyFont="1" applyFill="1" applyBorder="1" applyAlignment="1">
      <alignment vertical="center"/>
    </xf>
    <xf numFmtId="167" fontId="10" fillId="0" borderId="16" xfId="4712" applyNumberFormat="1" applyFont="1" applyFill="1" applyBorder="1" applyAlignment="1">
      <alignment horizontal="right" vertical="center"/>
    </xf>
    <xf numFmtId="335" fontId="10" fillId="0" borderId="16" xfId="4712" applyNumberFormat="1" applyFont="1" applyFill="1" applyBorder="1" applyAlignment="1">
      <alignment horizontal="right" vertical="center"/>
    </xf>
    <xf numFmtId="0" fontId="16" fillId="0" borderId="16" xfId="2755" applyFont="1" applyFill="1" applyBorder="1" applyAlignment="1">
      <alignment horizontal="left" vertical="center" wrapText="1"/>
    </xf>
    <xf numFmtId="167" fontId="17" fillId="0" borderId="16" xfId="4" applyNumberFormat="1" applyFont="1" applyFill="1" applyBorder="1" applyAlignment="1">
      <alignment horizontal="center" vertical="center" wrapText="1"/>
    </xf>
    <xf numFmtId="335" fontId="17" fillId="0" borderId="16" xfId="4" applyNumberFormat="1" applyFont="1" applyFill="1" applyBorder="1" applyAlignment="1">
      <alignment horizontal="center" vertical="center" wrapText="1"/>
    </xf>
    <xf numFmtId="3" fontId="17" fillId="0" borderId="16" xfId="1889" applyNumberFormat="1" applyFont="1" applyFill="1" applyBorder="1" applyAlignment="1">
      <alignment horizontal="center" vertical="center" wrapText="1"/>
    </xf>
    <xf numFmtId="3" fontId="12" fillId="0" borderId="16" xfId="4" quotePrefix="1" applyNumberFormat="1" applyFont="1" applyFill="1" applyBorder="1" applyAlignment="1">
      <alignment horizontal="center" vertical="center" wrapText="1"/>
    </xf>
    <xf numFmtId="3" fontId="12" fillId="0" borderId="16" xfId="1893" applyNumberFormat="1" applyFont="1" applyFill="1" applyBorder="1" applyAlignment="1">
      <alignment horizontal="center" vertical="center" wrapText="1"/>
    </xf>
    <xf numFmtId="167" fontId="12" fillId="0" borderId="16" xfId="4" quotePrefix="1" applyNumberFormat="1" applyFont="1" applyFill="1" applyBorder="1" applyAlignment="1">
      <alignment horizontal="center" vertical="center" wrapText="1"/>
    </xf>
    <xf numFmtId="3" fontId="12" fillId="55" borderId="16" xfId="4" applyNumberFormat="1" applyFont="1" applyFill="1" applyBorder="1" applyAlignment="1">
      <alignment horizontal="center" vertical="center" wrapText="1"/>
    </xf>
    <xf numFmtId="3" fontId="17" fillId="0" borderId="16" xfId="1785" applyNumberFormat="1" applyFont="1" applyFill="1" applyBorder="1" applyAlignment="1">
      <alignment horizontal="center" vertical="center" wrapText="1"/>
    </xf>
    <xf numFmtId="3" fontId="12" fillId="53" borderId="16" xfId="4" applyNumberFormat="1" applyFont="1" applyFill="1" applyBorder="1" applyAlignment="1">
      <alignment horizontal="center" vertical="center" wrapText="1"/>
    </xf>
    <xf numFmtId="167" fontId="12" fillId="0" borderId="16" xfId="4" applyNumberFormat="1" applyFont="1" applyFill="1" applyBorder="1" applyAlignment="1">
      <alignment horizontal="center" vertical="center" wrapText="1"/>
    </xf>
    <xf numFmtId="335" fontId="17" fillId="0" borderId="16" xfId="4712" applyNumberFormat="1" applyFont="1" applyFill="1" applyBorder="1" applyAlignment="1">
      <alignment horizontal="center" vertical="center" wrapText="1"/>
    </xf>
    <xf numFmtId="335" fontId="249" fillId="0" borderId="16" xfId="0" applyNumberFormat="1" applyFont="1" applyFill="1" applyBorder="1" applyAlignment="1">
      <alignment horizontal="center" vertical="center" wrapText="1"/>
    </xf>
    <xf numFmtId="3" fontId="12" fillId="0" borderId="16" xfId="4719" applyNumberFormat="1" applyFont="1" applyFill="1" applyBorder="1" applyAlignment="1">
      <alignment horizontal="center" vertical="center" wrapText="1"/>
    </xf>
    <xf numFmtId="3" fontId="17" fillId="0" borderId="16" xfId="2762" quotePrefix="1" applyNumberFormat="1" applyFont="1" applyFill="1" applyBorder="1" applyAlignment="1">
      <alignment horizontal="center" vertical="center" wrapText="1"/>
    </xf>
    <xf numFmtId="0" fontId="17" fillId="0" borderId="16" xfId="2762" quotePrefix="1" applyFont="1" applyFill="1" applyBorder="1" applyAlignment="1">
      <alignment horizontal="center" vertical="center" wrapText="1"/>
    </xf>
    <xf numFmtId="1" fontId="12" fillId="55" borderId="16" xfId="1" applyNumberFormat="1" applyFont="1" applyFill="1" applyBorder="1" applyAlignment="1">
      <alignment horizontal="center" vertical="center" wrapText="1"/>
    </xf>
    <xf numFmtId="3" fontId="17" fillId="0" borderId="16" xfId="1" quotePrefix="1" applyNumberFormat="1" applyFont="1" applyFill="1" applyBorder="1" applyAlignment="1">
      <alignment horizontal="center" vertical="center" wrapText="1"/>
    </xf>
    <xf numFmtId="1" fontId="83" fillId="0" borderId="16" xfId="1" applyNumberFormat="1" applyFont="1" applyFill="1" applyBorder="1" applyAlignment="1">
      <alignment horizontal="center" vertical="center" wrapText="1"/>
    </xf>
    <xf numFmtId="335" fontId="280" fillId="0" borderId="16" xfId="1" applyNumberFormat="1" applyFont="1" applyFill="1" applyBorder="1" applyAlignment="1">
      <alignment horizontal="center" vertical="center" wrapText="1"/>
    </xf>
    <xf numFmtId="3" fontId="273" fillId="0" borderId="16" xfId="1" quotePrefix="1" applyNumberFormat="1" applyFont="1" applyFill="1" applyBorder="1" applyAlignment="1">
      <alignment horizontal="center" vertical="center" wrapText="1"/>
    </xf>
    <xf numFmtId="1" fontId="274" fillId="0" borderId="16" xfId="1" quotePrefix="1" applyNumberFormat="1" applyFont="1" applyFill="1" applyBorder="1" applyAlignment="1">
      <alignment horizontal="center" vertical="center" wrapText="1"/>
    </xf>
    <xf numFmtId="3" fontId="83" fillId="0" borderId="16" xfId="1" quotePrefix="1" applyNumberFormat="1" applyFont="1" applyFill="1" applyBorder="1" applyAlignment="1">
      <alignment horizontal="center" vertical="center" wrapText="1"/>
    </xf>
    <xf numFmtId="3" fontId="273" fillId="0" borderId="0" xfId="1" applyNumberFormat="1" applyFont="1" applyFill="1" applyBorder="1" applyAlignment="1">
      <alignment vertical="center" wrapText="1"/>
    </xf>
    <xf numFmtId="3" fontId="19" fillId="0" borderId="16" xfId="1691" quotePrefix="1" applyNumberFormat="1" applyFont="1" applyFill="1" applyBorder="1" applyAlignment="1">
      <alignment horizontal="left" vertical="center" wrapText="1"/>
    </xf>
    <xf numFmtId="167" fontId="17" fillId="0" borderId="16" xfId="4716" applyNumberFormat="1" applyFont="1" applyFill="1" applyBorder="1" applyAlignment="1">
      <alignment horizontal="center" vertical="center" wrapText="1"/>
    </xf>
    <xf numFmtId="0" fontId="0" fillId="0" borderId="0" xfId="0" applyFont="1"/>
    <xf numFmtId="4" fontId="281" fillId="0" borderId="16" xfId="0" applyNumberFormat="1" applyFont="1" applyBorder="1" applyAlignment="1">
      <alignment horizontal="center" vertical="center"/>
    </xf>
    <xf numFmtId="3" fontId="266" fillId="0" borderId="16" xfId="0" applyNumberFormat="1" applyFont="1" applyFill="1" applyBorder="1" applyAlignment="1">
      <alignment horizontal="center" vertical="center"/>
    </xf>
    <xf numFmtId="3" fontId="266" fillId="0" borderId="16" xfId="0" applyNumberFormat="1" applyFont="1" applyBorder="1" applyAlignment="1">
      <alignment horizontal="center" vertical="center" wrapText="1"/>
    </xf>
    <xf numFmtId="1" fontId="16" fillId="0" borderId="31" xfId="1" quotePrefix="1" applyNumberFormat="1" applyFont="1" applyFill="1" applyBorder="1" applyAlignment="1">
      <alignment horizontal="center" vertical="center" wrapText="1"/>
    </xf>
    <xf numFmtId="0" fontId="282" fillId="0" borderId="0" xfId="0" applyFont="1"/>
    <xf numFmtId="0" fontId="283" fillId="0" borderId="0" xfId="0" applyFont="1"/>
    <xf numFmtId="0" fontId="284" fillId="0" borderId="0" xfId="0" applyFont="1" applyAlignment="1">
      <alignment horizontal="center"/>
    </xf>
    <xf numFmtId="3" fontId="17" fillId="0" borderId="16" xfId="1" quotePrefix="1" applyNumberFormat="1" applyFont="1" applyFill="1" applyBorder="1" applyAlignment="1">
      <alignment horizontal="center" vertical="center" wrapText="1"/>
    </xf>
    <xf numFmtId="3" fontId="17" fillId="0" borderId="16" xfId="1" quotePrefix="1" applyNumberFormat="1" applyFont="1" applyFill="1" applyBorder="1" applyAlignment="1">
      <alignment horizontal="center" vertical="center" wrapText="1"/>
    </xf>
    <xf numFmtId="3" fontId="286" fillId="0" borderId="16" xfId="0" applyNumberFormat="1" applyFont="1" applyFill="1" applyBorder="1" applyAlignment="1">
      <alignment horizontal="center" vertical="center" wrapText="1"/>
    </xf>
    <xf numFmtId="3" fontId="285" fillId="0" borderId="16" xfId="0" quotePrefix="1" applyNumberFormat="1" applyFont="1" applyFill="1" applyBorder="1" applyAlignment="1">
      <alignment horizontal="right" vertical="center" wrapText="1"/>
    </xf>
    <xf numFmtId="49" fontId="16" fillId="0" borderId="16" xfId="3" applyNumberFormat="1" applyFont="1" applyFill="1" applyBorder="1" applyAlignment="1">
      <alignment horizontal="center" vertical="center" wrapText="1"/>
    </xf>
    <xf numFmtId="3" fontId="16" fillId="0" borderId="16" xfId="4727" applyNumberFormat="1" applyFont="1" applyFill="1" applyBorder="1" applyAlignment="1">
      <alignment horizontal="left" vertical="center" wrapText="1"/>
    </xf>
    <xf numFmtId="3" fontId="12" fillId="53" borderId="16" xfId="1" applyNumberFormat="1" applyFont="1" applyFill="1" applyBorder="1" applyAlignment="1">
      <alignment horizontal="center" vertical="center" wrapText="1"/>
    </xf>
    <xf numFmtId="335" fontId="250" fillId="0" borderId="16" xfId="1" quotePrefix="1" applyNumberFormat="1" applyFont="1" applyFill="1" applyBorder="1" applyAlignment="1">
      <alignment horizontal="right" vertical="center" wrapText="1"/>
    </xf>
    <xf numFmtId="3" fontId="251" fillId="2" borderId="16" xfId="1" applyNumberFormat="1" applyFont="1" applyFill="1" applyBorder="1" applyAlignment="1">
      <alignment horizontal="left" vertical="center" wrapText="1"/>
    </xf>
    <xf numFmtId="3" fontId="251" fillId="2" borderId="16" xfId="1" applyNumberFormat="1" applyFont="1" applyFill="1" applyBorder="1" applyAlignment="1">
      <alignment horizontal="center" vertical="center" wrapText="1"/>
    </xf>
    <xf numFmtId="1" fontId="251" fillId="2" borderId="16" xfId="1" applyNumberFormat="1" applyFont="1" applyFill="1" applyBorder="1" applyAlignment="1">
      <alignment horizontal="center" vertical="center" wrapText="1"/>
    </xf>
    <xf numFmtId="3" fontId="287" fillId="2" borderId="16" xfId="1" applyNumberFormat="1" applyFont="1" applyFill="1" applyBorder="1" applyAlignment="1">
      <alignment horizontal="center" vertical="center" wrapText="1"/>
    </xf>
    <xf numFmtId="3" fontId="250" fillId="2" borderId="16" xfId="4" quotePrefix="1" applyNumberFormat="1" applyFont="1" applyFill="1" applyBorder="1" applyAlignment="1">
      <alignment horizontal="right" vertical="center" wrapText="1"/>
    </xf>
    <xf numFmtId="3" fontId="250" fillId="2" borderId="16" xfId="4" applyNumberFormat="1" applyFont="1" applyFill="1" applyBorder="1" applyAlignment="1">
      <alignment horizontal="right" vertical="center"/>
    </xf>
    <xf numFmtId="335" fontId="250" fillId="2" borderId="16" xfId="4" applyNumberFormat="1" applyFont="1" applyFill="1" applyBorder="1" applyAlignment="1">
      <alignment horizontal="right" vertical="center"/>
    </xf>
    <xf numFmtId="335" fontId="250" fillId="2" borderId="16" xfId="1" quotePrefix="1" applyNumberFormat="1" applyFont="1" applyFill="1" applyBorder="1" applyAlignment="1">
      <alignment horizontal="right" vertical="center" wrapText="1"/>
    </xf>
    <xf numFmtId="335" fontId="287" fillId="2" borderId="16" xfId="4" applyNumberFormat="1" applyFont="1" applyFill="1" applyBorder="1" applyAlignment="1">
      <alignment horizontal="center" vertical="center" wrapText="1"/>
    </xf>
    <xf numFmtId="1" fontId="251" fillId="2" borderId="16" xfId="1" quotePrefix="1" applyNumberFormat="1" applyFont="1" applyFill="1" applyBorder="1" applyAlignment="1">
      <alignment horizontal="center" vertical="center" wrapText="1"/>
    </xf>
    <xf numFmtId="3" fontId="288" fillId="0" borderId="0" xfId="1" applyNumberFormat="1" applyFont="1" applyFill="1" applyBorder="1" applyAlignment="1">
      <alignment horizontal="center" vertical="center" wrapText="1"/>
    </xf>
    <xf numFmtId="0" fontId="251" fillId="0" borderId="16" xfId="0" applyFont="1" applyFill="1" applyBorder="1" applyAlignment="1">
      <alignment vertical="center" wrapText="1"/>
    </xf>
    <xf numFmtId="3" fontId="287" fillId="0" borderId="16" xfId="1893" applyNumberFormat="1" applyFont="1" applyFill="1" applyBorder="1" applyAlignment="1">
      <alignment horizontal="center" vertical="center" wrapText="1"/>
    </xf>
    <xf numFmtId="3" fontId="250" fillId="0" borderId="16" xfId="1893" applyNumberFormat="1" applyFont="1" applyFill="1" applyBorder="1" applyAlignment="1">
      <alignment horizontal="right" vertical="center" wrapText="1"/>
    </xf>
    <xf numFmtId="335" fontId="250" fillId="0" borderId="16" xfId="2758" applyNumberFormat="1" applyFont="1" applyFill="1" applyBorder="1" applyAlignment="1">
      <alignment horizontal="right" vertical="center" wrapText="1"/>
    </xf>
    <xf numFmtId="3" fontId="251" fillId="0" borderId="16" xfId="0" applyNumberFormat="1" applyFont="1" applyFill="1" applyBorder="1" applyAlignment="1">
      <alignment horizontal="left" vertical="center" wrapText="1"/>
    </xf>
    <xf numFmtId="3" fontId="16" fillId="57" borderId="0" xfId="1" applyNumberFormat="1" applyFont="1" applyFill="1" applyBorder="1" applyAlignment="1">
      <alignment horizontal="center" vertical="center" wrapText="1"/>
    </xf>
    <xf numFmtId="0" fontId="250" fillId="0" borderId="16" xfId="0" applyFont="1" applyFill="1" applyBorder="1" applyAlignment="1">
      <alignment horizontal="center" vertical="center" wrapText="1"/>
    </xf>
    <xf numFmtId="0" fontId="251" fillId="0" borderId="16" xfId="0" applyFont="1" applyFill="1" applyBorder="1" applyAlignment="1">
      <alignment horizontal="left" vertical="center" wrapText="1"/>
    </xf>
    <xf numFmtId="0" fontId="251" fillId="0" borderId="16" xfId="4714" applyFont="1" applyFill="1" applyBorder="1" applyAlignment="1">
      <alignment horizontal="center" vertical="center" wrapText="1"/>
    </xf>
    <xf numFmtId="0" fontId="251" fillId="0" borderId="16" xfId="0" applyFont="1" applyFill="1" applyBorder="1" applyAlignment="1">
      <alignment horizontal="center" vertical="center" wrapText="1"/>
    </xf>
    <xf numFmtId="1" fontId="287" fillId="0" borderId="16" xfId="1" applyNumberFormat="1" applyFont="1" applyFill="1" applyBorder="1" applyAlignment="1">
      <alignment vertical="center"/>
    </xf>
    <xf numFmtId="335" fontId="250" fillId="0" borderId="16" xfId="0" applyNumberFormat="1" applyFont="1" applyFill="1" applyBorder="1" applyAlignment="1">
      <alignment horizontal="right" vertical="center"/>
    </xf>
    <xf numFmtId="1" fontId="250" fillId="0" borderId="16" xfId="1" applyNumberFormat="1" applyFont="1" applyFill="1" applyBorder="1" applyAlignment="1">
      <alignment vertical="center"/>
    </xf>
    <xf numFmtId="3" fontId="250" fillId="0" borderId="16" xfId="0" applyNumberFormat="1" applyFont="1" applyFill="1" applyBorder="1" applyAlignment="1">
      <alignment horizontal="right" vertical="center" wrapText="1"/>
    </xf>
    <xf numFmtId="3" fontId="19" fillId="0" borderId="0" xfId="1" applyNumberFormat="1" applyFont="1" applyFill="1" applyBorder="1" applyAlignment="1">
      <alignment horizontal="center" vertical="center" wrapText="1"/>
    </xf>
    <xf numFmtId="3" fontId="251" fillId="0" borderId="0" xfId="1" applyNumberFormat="1" applyFont="1" applyFill="1" applyBorder="1" applyAlignment="1">
      <alignment horizontal="center" vertical="center" wrapText="1"/>
    </xf>
    <xf numFmtId="335" fontId="287" fillId="0" borderId="16" xfId="1" applyNumberFormat="1" applyFont="1" applyFill="1" applyBorder="1" applyAlignment="1">
      <alignment horizontal="center" vertical="center" wrapText="1"/>
    </xf>
    <xf numFmtId="1" fontId="287" fillId="0" borderId="16" xfId="1" applyNumberFormat="1" applyFont="1" applyFill="1" applyBorder="1" applyAlignment="1">
      <alignment horizontal="center" vertical="center" wrapText="1"/>
    </xf>
    <xf numFmtId="0" fontId="289" fillId="0" borderId="16" xfId="0" applyFont="1" applyFill="1" applyBorder="1" applyAlignment="1">
      <alignment horizontal="left" vertical="center" wrapText="1"/>
    </xf>
    <xf numFmtId="0" fontId="289" fillId="0" borderId="16" xfId="4714" applyFont="1" applyFill="1" applyBorder="1" applyAlignment="1">
      <alignment horizontal="center" vertical="center" wrapText="1"/>
    </xf>
    <xf numFmtId="0" fontId="289" fillId="0" borderId="16" xfId="0" applyFont="1" applyFill="1" applyBorder="1" applyAlignment="1">
      <alignment horizontal="center" vertical="center" wrapText="1"/>
    </xf>
    <xf numFmtId="1" fontId="290" fillId="0" borderId="16" xfId="1" applyNumberFormat="1" applyFont="1" applyFill="1" applyBorder="1" applyAlignment="1">
      <alignment vertical="center"/>
    </xf>
    <xf numFmtId="335" fontId="291" fillId="0" borderId="16" xfId="0" applyNumberFormat="1" applyFont="1" applyFill="1" applyBorder="1" applyAlignment="1">
      <alignment horizontal="right" vertical="center"/>
    </xf>
    <xf numFmtId="335" fontId="290" fillId="0" borderId="16" xfId="0" applyNumberFormat="1" applyFont="1" applyFill="1" applyBorder="1" applyAlignment="1">
      <alignment horizontal="center" vertical="center" wrapText="1"/>
    </xf>
    <xf numFmtId="335" fontId="292" fillId="0" borderId="16" xfId="0" applyNumberFormat="1" applyFont="1" applyFill="1" applyBorder="1" applyAlignment="1">
      <alignment horizontal="center" vertical="center" wrapText="1"/>
    </xf>
    <xf numFmtId="335" fontId="250" fillId="51" borderId="16" xfId="1" quotePrefix="1" applyNumberFormat="1" applyFont="1" applyFill="1" applyBorder="1" applyAlignment="1">
      <alignment horizontal="right" vertical="center" wrapText="1"/>
    </xf>
    <xf numFmtId="3" fontId="250" fillId="51" borderId="16" xfId="0" applyNumberFormat="1" applyFont="1" applyFill="1" applyBorder="1" applyAlignment="1">
      <alignment horizontal="right" vertical="center" wrapText="1"/>
    </xf>
    <xf numFmtId="335" fontId="291" fillId="51" borderId="16" xfId="0" applyNumberFormat="1" applyFont="1" applyFill="1" applyBorder="1" applyAlignment="1">
      <alignment horizontal="right" vertical="center"/>
    </xf>
    <xf numFmtId="167" fontId="273" fillId="0" borderId="16" xfId="4716" applyNumberFormat="1" applyFont="1" applyFill="1" applyBorder="1" applyAlignment="1">
      <alignment horizontal="right" vertical="center" wrapText="1"/>
    </xf>
    <xf numFmtId="3" fontId="17" fillId="0" borderId="59" xfId="4714" applyNumberFormat="1" applyFont="1" applyFill="1" applyBorder="1" applyAlignment="1">
      <alignment horizontal="center" vertical="center" wrapText="1"/>
    </xf>
    <xf numFmtId="3" fontId="274" fillId="51" borderId="0" xfId="1" applyNumberFormat="1" applyFont="1" applyFill="1" applyBorder="1" applyAlignment="1">
      <alignment horizontal="center" vertical="center" wrapText="1"/>
    </xf>
    <xf numFmtId="1" fontId="8" fillId="51" borderId="0" xfId="1" applyNumberFormat="1" applyFont="1" applyFill="1" applyBorder="1" applyAlignment="1">
      <alignment vertical="center"/>
    </xf>
    <xf numFmtId="1" fontId="250" fillId="51" borderId="16" xfId="1" quotePrefix="1" applyNumberFormat="1" applyFont="1" applyFill="1" applyBorder="1" applyAlignment="1">
      <alignment horizontal="center" vertical="center"/>
    </xf>
    <xf numFmtId="3" fontId="251" fillId="51" borderId="16" xfId="1" applyNumberFormat="1" applyFont="1" applyFill="1" applyBorder="1" applyAlignment="1">
      <alignment horizontal="left" vertical="center" wrapText="1"/>
    </xf>
    <xf numFmtId="3" fontId="251" fillId="51" borderId="16" xfId="1" applyNumberFormat="1" applyFont="1" applyFill="1" applyBorder="1" applyAlignment="1">
      <alignment horizontal="center" vertical="center" wrapText="1"/>
    </xf>
    <xf numFmtId="3" fontId="251" fillId="51" borderId="16" xfId="0" applyNumberFormat="1" applyFont="1" applyFill="1" applyBorder="1" applyAlignment="1">
      <alignment horizontal="center" vertical="center" wrapText="1"/>
    </xf>
    <xf numFmtId="1" fontId="251" fillId="51" borderId="16" xfId="1" applyNumberFormat="1" applyFont="1" applyFill="1" applyBorder="1" applyAlignment="1">
      <alignment horizontal="center" vertical="center" wrapText="1"/>
    </xf>
    <xf numFmtId="336" fontId="17" fillId="51" borderId="16" xfId="0" applyNumberFormat="1" applyFont="1" applyFill="1" applyBorder="1" applyAlignment="1">
      <alignment horizontal="center" vertical="center" wrapText="1"/>
    </xf>
    <xf numFmtId="3" fontId="250" fillId="51" borderId="16" xfId="4" quotePrefix="1" applyNumberFormat="1" applyFont="1" applyFill="1" applyBorder="1" applyAlignment="1">
      <alignment horizontal="right" vertical="center" wrapText="1"/>
    </xf>
    <xf numFmtId="3" fontId="250" fillId="51" borderId="16" xfId="4" applyNumberFormat="1" applyFont="1" applyFill="1" applyBorder="1" applyAlignment="1">
      <alignment horizontal="right" vertical="center"/>
    </xf>
    <xf numFmtId="335" fontId="250" fillId="51" borderId="16" xfId="4" applyNumberFormat="1" applyFont="1" applyFill="1" applyBorder="1" applyAlignment="1">
      <alignment horizontal="right" vertical="center"/>
    </xf>
    <xf numFmtId="335" fontId="287" fillId="51" borderId="16" xfId="4" applyNumberFormat="1" applyFont="1" applyFill="1" applyBorder="1" applyAlignment="1">
      <alignment horizontal="center" vertical="center" wrapText="1"/>
    </xf>
    <xf numFmtId="1" fontId="287" fillId="51" borderId="16" xfId="1" applyNumberFormat="1" applyFont="1" applyFill="1" applyBorder="1" applyAlignment="1">
      <alignment horizontal="center" vertical="center" wrapText="1"/>
    </xf>
    <xf numFmtId="3" fontId="287" fillId="51" borderId="16" xfId="4" applyNumberFormat="1" applyFont="1" applyFill="1" applyBorder="1" applyAlignment="1">
      <alignment horizontal="center" vertical="center" wrapText="1"/>
    </xf>
    <xf numFmtId="3" fontId="253" fillId="0" borderId="31" xfId="1" quotePrefix="1" applyNumberFormat="1" applyFont="1" applyFill="1" applyBorder="1" applyAlignment="1">
      <alignment horizontal="center" vertical="center" wrapText="1"/>
    </xf>
    <xf numFmtId="3" fontId="11" fillId="0" borderId="14" xfId="1" quotePrefix="1" applyNumberFormat="1" applyFont="1" applyFill="1" applyBorder="1" applyAlignment="1">
      <alignment horizontal="right" vertical="center" wrapText="1"/>
    </xf>
    <xf numFmtId="3" fontId="293" fillId="55" borderId="16" xfId="1" quotePrefix="1" applyNumberFormat="1" applyFont="1" applyFill="1" applyBorder="1" applyAlignment="1">
      <alignment horizontal="right" vertical="center" wrapText="1"/>
    </xf>
    <xf numFmtId="3" fontId="293" fillId="0" borderId="16" xfId="1" quotePrefix="1" applyNumberFormat="1" applyFont="1" applyFill="1" applyBorder="1" applyAlignment="1">
      <alignment horizontal="right" vertical="center" wrapText="1"/>
    </xf>
    <xf numFmtId="335" fontId="11" fillId="0" borderId="16" xfId="1" quotePrefix="1" applyNumberFormat="1" applyFont="1" applyFill="1" applyBorder="1" applyAlignment="1">
      <alignment horizontal="right" vertical="center" wrapText="1"/>
    </xf>
    <xf numFmtId="3" fontId="293" fillId="0" borderId="16" xfId="4" applyNumberFormat="1" applyFont="1" applyFill="1" applyBorder="1" applyAlignment="1">
      <alignment horizontal="right" vertical="center"/>
    </xf>
    <xf numFmtId="167" fontId="11" fillId="0" borderId="16" xfId="4" applyNumberFormat="1" applyFont="1" applyFill="1" applyBorder="1" applyAlignment="1">
      <alignment horizontal="center" vertical="center" wrapText="1"/>
    </xf>
    <xf numFmtId="3" fontId="11" fillId="0" borderId="16" xfId="0" applyNumberFormat="1" applyFont="1" applyFill="1" applyBorder="1" applyAlignment="1">
      <alignment horizontal="right" vertical="center" wrapText="1"/>
    </xf>
    <xf numFmtId="3" fontId="11" fillId="0" borderId="16" xfId="0" quotePrefix="1" applyNumberFormat="1" applyFont="1" applyFill="1" applyBorder="1" applyAlignment="1">
      <alignment horizontal="right" vertical="center"/>
    </xf>
    <xf numFmtId="3" fontId="11" fillId="0" borderId="16" xfId="4" applyNumberFormat="1" applyFont="1" applyFill="1" applyBorder="1" applyAlignment="1">
      <alignment horizontal="right" vertical="center" wrapText="1"/>
    </xf>
    <xf numFmtId="335" fontId="11" fillId="0" borderId="16" xfId="1657" applyNumberFormat="1" applyFont="1" applyFill="1" applyBorder="1" applyAlignment="1">
      <alignment horizontal="right" vertical="center" wrapText="1"/>
    </xf>
    <xf numFmtId="3" fontId="11" fillId="0" borderId="16" xfId="1928" applyNumberFormat="1" applyFont="1" applyFill="1" applyBorder="1" applyAlignment="1">
      <alignment horizontal="right" vertical="center" wrapText="1"/>
    </xf>
    <xf numFmtId="335" fontId="11" fillId="0" borderId="16" xfId="1" applyNumberFormat="1" applyFont="1" applyFill="1" applyBorder="1" applyAlignment="1">
      <alignment horizontal="right" vertical="center"/>
    </xf>
    <xf numFmtId="3" fontId="293" fillId="0" borderId="16" xfId="1691" applyNumberFormat="1" applyFont="1" applyFill="1" applyBorder="1" applyAlignment="1">
      <alignment horizontal="right" vertical="center"/>
    </xf>
    <xf numFmtId="3" fontId="11" fillId="0" borderId="16" xfId="1889" applyNumberFormat="1" applyFont="1" applyFill="1" applyBorder="1" applyAlignment="1">
      <alignment horizontal="right" vertical="center" wrapText="1"/>
    </xf>
    <xf numFmtId="3" fontId="11" fillId="0" borderId="16" xfId="0" applyNumberFormat="1" applyFont="1" applyFill="1" applyBorder="1" applyAlignment="1">
      <alignment vertical="center"/>
    </xf>
    <xf numFmtId="3" fontId="293" fillId="55" borderId="16" xfId="4" applyNumberFormat="1" applyFont="1" applyFill="1" applyBorder="1" applyAlignment="1">
      <alignment horizontal="right" vertical="center"/>
    </xf>
    <xf numFmtId="3" fontId="293" fillId="0" borderId="16" xfId="4" applyNumberFormat="1" applyFont="1" applyFill="1" applyBorder="1" applyAlignment="1">
      <alignment horizontal="right" vertical="center" wrapText="1"/>
    </xf>
    <xf numFmtId="335" fontId="11" fillId="0" borderId="16" xfId="4" applyNumberFormat="1" applyFont="1" applyFill="1" applyBorder="1" applyAlignment="1">
      <alignment horizontal="right" vertical="center"/>
    </xf>
    <xf numFmtId="335" fontId="256" fillId="51" borderId="16" xfId="4" applyNumberFormat="1" applyFont="1" applyFill="1" applyBorder="1" applyAlignment="1">
      <alignment horizontal="right" vertical="center"/>
    </xf>
    <xf numFmtId="3" fontId="293" fillId="0" borderId="16" xfId="4" quotePrefix="1" applyNumberFormat="1" applyFont="1" applyFill="1" applyBorder="1" applyAlignment="1">
      <alignment horizontal="right" vertical="center" wrapText="1"/>
    </xf>
    <xf numFmtId="335" fontId="256" fillId="2" borderId="16" xfId="4" applyNumberFormat="1" applyFont="1" applyFill="1" applyBorder="1" applyAlignment="1">
      <alignment horizontal="right" vertical="center"/>
    </xf>
    <xf numFmtId="3" fontId="293" fillId="0" borderId="16" xfId="1" applyNumberFormat="1" applyFont="1" applyFill="1" applyBorder="1" applyAlignment="1">
      <alignment horizontal="right" vertical="center"/>
    </xf>
    <xf numFmtId="335" fontId="11" fillId="0" borderId="16" xfId="0" applyNumberFormat="1" applyFont="1" applyFill="1" applyBorder="1" applyAlignment="1">
      <alignment horizontal="right" vertical="center" wrapText="1"/>
    </xf>
    <xf numFmtId="335" fontId="11" fillId="0" borderId="16" xfId="0" applyNumberFormat="1" applyFont="1" applyFill="1" applyBorder="1" applyAlignment="1">
      <alignment horizontal="right" vertical="center"/>
    </xf>
    <xf numFmtId="335" fontId="11" fillId="0" borderId="16" xfId="0" quotePrefix="1" applyNumberFormat="1" applyFont="1" applyFill="1" applyBorder="1" applyAlignment="1">
      <alignment horizontal="right" vertical="center"/>
    </xf>
    <xf numFmtId="335" fontId="11" fillId="0" borderId="16" xfId="1889" applyNumberFormat="1" applyFont="1" applyFill="1" applyBorder="1" applyAlignment="1">
      <alignment horizontal="right" vertical="center" wrapText="1"/>
    </xf>
    <xf numFmtId="335" fontId="11" fillId="0" borderId="16" xfId="2758" applyNumberFormat="1" applyFont="1" applyFill="1" applyBorder="1" applyAlignment="1">
      <alignment horizontal="right" vertical="center" wrapText="1"/>
    </xf>
    <xf numFmtId="3" fontId="293" fillId="53" borderId="16" xfId="4" applyNumberFormat="1" applyFont="1" applyFill="1" applyBorder="1" applyAlignment="1">
      <alignment horizontal="right" vertical="center"/>
    </xf>
    <xf numFmtId="3" fontId="11" fillId="0" borderId="16" xfId="4" applyNumberFormat="1" applyFont="1" applyFill="1" applyBorder="1" applyAlignment="1">
      <alignment horizontal="right" vertical="center"/>
    </xf>
    <xf numFmtId="3" fontId="293" fillId="0" borderId="16" xfId="1893" applyNumberFormat="1" applyFont="1" applyFill="1" applyBorder="1" applyAlignment="1">
      <alignment horizontal="right" vertical="center" wrapText="1"/>
    </xf>
    <xf numFmtId="3" fontId="293" fillId="55" borderId="16" xfId="1" applyNumberFormat="1" applyFont="1" applyFill="1" applyBorder="1" applyAlignment="1">
      <alignment horizontal="right" vertical="center"/>
    </xf>
    <xf numFmtId="167" fontId="293" fillId="0" borderId="16" xfId="4" quotePrefix="1" applyNumberFormat="1" applyFont="1" applyFill="1" applyBorder="1" applyAlignment="1">
      <alignment horizontal="right" vertical="center" wrapText="1"/>
    </xf>
    <xf numFmtId="167" fontId="11" fillId="0" borderId="16" xfId="4" applyNumberFormat="1" applyFont="1" applyFill="1" applyBorder="1" applyAlignment="1">
      <alignment horizontal="right" vertical="center"/>
    </xf>
    <xf numFmtId="167" fontId="293" fillId="0" borderId="16" xfId="4" applyNumberFormat="1" applyFont="1" applyFill="1" applyBorder="1" applyAlignment="1">
      <alignment horizontal="right" vertical="center"/>
    </xf>
    <xf numFmtId="1" fontId="11" fillId="0" borderId="16" xfId="1" applyNumberFormat="1" applyFont="1" applyFill="1" applyBorder="1" applyAlignment="1">
      <alignment horizontal="right" vertical="center"/>
    </xf>
    <xf numFmtId="3" fontId="11" fillId="0" borderId="16" xfId="1" applyNumberFormat="1" applyFont="1" applyFill="1" applyBorder="1" applyAlignment="1">
      <alignment horizontal="right" vertical="center"/>
    </xf>
    <xf numFmtId="3" fontId="11" fillId="0" borderId="16" xfId="0" applyNumberFormat="1" applyFont="1" applyFill="1" applyBorder="1" applyAlignment="1">
      <alignment horizontal="right" vertical="center"/>
    </xf>
    <xf numFmtId="335" fontId="11" fillId="0" borderId="16" xfId="4712" applyNumberFormat="1" applyFont="1" applyFill="1" applyBorder="1" applyAlignment="1">
      <alignment vertical="center"/>
    </xf>
    <xf numFmtId="335" fontId="11" fillId="0" borderId="16" xfId="4712" applyNumberFormat="1" applyFont="1" applyFill="1" applyBorder="1" applyAlignment="1">
      <alignment horizontal="right" vertical="center"/>
    </xf>
    <xf numFmtId="335" fontId="294" fillId="0" borderId="16" xfId="0" applyNumberFormat="1" applyFont="1" applyFill="1" applyBorder="1" applyAlignment="1">
      <alignment horizontal="right" vertical="center"/>
    </xf>
    <xf numFmtId="335" fontId="11" fillId="0" borderId="16" xfId="1" applyNumberFormat="1" applyFont="1" applyFill="1" applyBorder="1" applyAlignment="1">
      <alignment vertical="center"/>
    </xf>
    <xf numFmtId="3" fontId="256" fillId="0" borderId="16" xfId="0" applyNumberFormat="1" applyFont="1" applyFill="1" applyBorder="1" applyAlignment="1">
      <alignment horizontal="right" vertical="center" wrapText="1"/>
    </xf>
    <xf numFmtId="335" fontId="256" fillId="0" borderId="16" xfId="1" applyNumberFormat="1" applyFont="1" applyFill="1" applyBorder="1" applyAlignment="1">
      <alignment vertical="center"/>
    </xf>
    <xf numFmtId="335" fontId="295" fillId="0" borderId="16" xfId="0" applyNumberFormat="1" applyFont="1" applyFill="1" applyBorder="1" applyAlignment="1">
      <alignment horizontal="right" vertical="center"/>
    </xf>
    <xf numFmtId="3" fontId="11" fillId="0" borderId="16" xfId="3" applyNumberFormat="1" applyFont="1" applyFill="1" applyBorder="1" applyAlignment="1">
      <alignment horizontal="right" vertical="center" wrapText="1"/>
    </xf>
    <xf numFmtId="49" fontId="11" fillId="0" borderId="16" xfId="3" applyNumberFormat="1" applyFont="1" applyFill="1" applyBorder="1" applyAlignment="1">
      <alignment horizontal="center" vertical="center" wrapText="1"/>
    </xf>
    <xf numFmtId="3" fontId="11" fillId="0" borderId="16" xfId="4719" applyNumberFormat="1" applyFont="1" applyFill="1" applyBorder="1" applyAlignment="1">
      <alignment horizontal="right" vertical="center"/>
    </xf>
    <xf numFmtId="3" fontId="293" fillId="0" borderId="16" xfId="4719" applyNumberFormat="1" applyFont="1" applyFill="1" applyBorder="1" applyAlignment="1">
      <alignment horizontal="right" vertical="center"/>
    </xf>
    <xf numFmtId="1" fontId="293" fillId="0" borderId="17" xfId="1" applyNumberFormat="1" applyFont="1" applyFill="1" applyBorder="1" applyAlignment="1">
      <alignment horizontal="right" vertical="center"/>
    </xf>
    <xf numFmtId="1" fontId="11" fillId="0" borderId="0" xfId="1" applyNumberFormat="1" applyFont="1" applyFill="1" applyAlignment="1">
      <alignment horizontal="right" vertical="center"/>
    </xf>
    <xf numFmtId="3" fontId="10" fillId="51" borderId="0" xfId="1" applyNumberFormat="1" applyFont="1" applyFill="1" applyBorder="1" applyAlignment="1">
      <alignment vertical="center" wrapText="1"/>
    </xf>
    <xf numFmtId="3" fontId="17" fillId="0" borderId="16" xfId="1" quotePrefix="1" applyNumberFormat="1" applyFont="1" applyFill="1" applyBorder="1" applyAlignment="1">
      <alignment horizontal="center" vertical="center" wrapText="1"/>
    </xf>
    <xf numFmtId="1" fontId="9" fillId="0" borderId="0" xfId="1" applyNumberFormat="1" applyFont="1" applyFill="1" applyBorder="1" applyAlignment="1">
      <alignment horizontal="right" vertical="center"/>
    </xf>
    <xf numFmtId="3" fontId="17" fillId="0" borderId="16" xfId="1" quotePrefix="1" applyNumberFormat="1" applyFont="1" applyFill="1" applyBorder="1" applyAlignment="1">
      <alignment horizontal="center" vertical="center" wrapText="1"/>
    </xf>
    <xf numFmtId="1" fontId="16" fillId="0" borderId="16" xfId="4713" applyNumberFormat="1" applyFont="1" applyFill="1" applyBorder="1" applyAlignment="1">
      <alignment horizontal="center" vertical="center" wrapText="1"/>
    </xf>
    <xf numFmtId="1" fontId="17" fillId="0" borderId="59" xfId="4714" applyNumberFormat="1" applyFont="1" applyFill="1" applyBorder="1" applyAlignment="1">
      <alignment horizontal="center" vertical="center"/>
    </xf>
    <xf numFmtId="1" fontId="251" fillId="0" borderId="16" xfId="0" applyNumberFormat="1" applyFont="1" applyFill="1" applyBorder="1" applyAlignment="1">
      <alignment horizontal="center" vertical="center"/>
    </xf>
    <xf numFmtId="1" fontId="19" fillId="0" borderId="16" xfId="4" quotePrefix="1" applyNumberFormat="1" applyFont="1" applyFill="1" applyBorder="1" applyAlignment="1">
      <alignment horizontal="center" vertical="center" wrapText="1"/>
    </xf>
    <xf numFmtId="1" fontId="16" fillId="0" borderId="16" xfId="4" applyNumberFormat="1" applyFont="1" applyFill="1" applyBorder="1" applyAlignment="1">
      <alignment horizontal="center" vertical="center" wrapText="1"/>
    </xf>
    <xf numFmtId="1" fontId="274" fillId="0" borderId="16" xfId="4" quotePrefix="1" applyNumberFormat="1" applyFont="1" applyFill="1" applyBorder="1" applyAlignment="1">
      <alignment horizontal="center" vertical="center" wrapText="1"/>
    </xf>
    <xf numFmtId="1" fontId="16" fillId="0" borderId="16" xfId="2762" quotePrefix="1" applyNumberFormat="1" applyFont="1" applyFill="1" applyBorder="1" applyAlignment="1">
      <alignment horizontal="center" vertical="center" wrapText="1"/>
    </xf>
    <xf numFmtId="1" fontId="274" fillId="0" borderId="16" xfId="1" applyNumberFormat="1" applyFont="1" applyFill="1" applyBorder="1" applyAlignment="1">
      <alignment horizontal="center" vertical="center" wrapText="1"/>
    </xf>
    <xf numFmtId="1" fontId="19" fillId="0" borderId="16" xfId="0" applyNumberFormat="1" applyFont="1" applyFill="1" applyBorder="1" applyAlignment="1">
      <alignment horizontal="center" vertical="center"/>
    </xf>
    <xf numFmtId="1" fontId="22" fillId="0" borderId="16" xfId="0" applyNumberFormat="1" applyFont="1" applyFill="1" applyBorder="1" applyAlignment="1">
      <alignment horizontal="center" vertical="center" wrapText="1"/>
    </xf>
    <xf numFmtId="1" fontId="251" fillId="0" borderId="16" xfId="0" quotePrefix="1" applyNumberFormat="1" applyFont="1" applyFill="1" applyBorder="1" applyAlignment="1">
      <alignment horizontal="center" vertical="center" wrapText="1"/>
    </xf>
    <xf numFmtId="1" fontId="289" fillId="0" borderId="16" xfId="0" applyNumberFormat="1" applyFont="1" applyFill="1" applyBorder="1" applyAlignment="1">
      <alignment horizontal="center" vertical="center" wrapText="1"/>
    </xf>
    <xf numFmtId="1" fontId="10" fillId="0" borderId="16" xfId="3" applyNumberFormat="1" applyFont="1" applyFill="1" applyBorder="1" applyAlignment="1">
      <alignment horizontal="center" vertical="center" wrapText="1"/>
    </xf>
    <xf numFmtId="3" fontId="250" fillId="0" borderId="16" xfId="1" applyNumberFormat="1" applyFont="1" applyFill="1" applyBorder="1" applyAlignment="1">
      <alignment horizontal="center" vertical="center"/>
    </xf>
    <xf numFmtId="3" fontId="251" fillId="0" borderId="16" xfId="1" applyNumberFormat="1" applyFont="1" applyFill="1" applyBorder="1" applyAlignment="1">
      <alignment horizontal="left" vertical="center" wrapText="1"/>
    </xf>
    <xf numFmtId="3" fontId="251" fillId="0" borderId="16" xfId="1" applyNumberFormat="1" applyFont="1" applyFill="1" applyBorder="1" applyAlignment="1">
      <alignment horizontal="center" vertical="center" wrapText="1"/>
    </xf>
    <xf numFmtId="3" fontId="287" fillId="0" borderId="16" xfId="2762" applyNumberFormat="1" applyFont="1" applyFill="1" applyBorder="1" applyAlignment="1">
      <alignment horizontal="center" vertical="center" wrapText="1"/>
    </xf>
    <xf numFmtId="3" fontId="250" fillId="0" borderId="16" xfId="1" applyNumberFormat="1" applyFont="1" applyFill="1" applyBorder="1" applyAlignment="1">
      <alignment horizontal="right" vertical="center"/>
    </xf>
    <xf numFmtId="1" fontId="250" fillId="0" borderId="16" xfId="1" applyNumberFormat="1" applyFont="1" applyFill="1" applyBorder="1" applyAlignment="1">
      <alignment horizontal="center" vertical="center"/>
    </xf>
    <xf numFmtId="3" fontId="256" fillId="0" borderId="16" xfId="1" applyNumberFormat="1" applyFont="1" applyFill="1" applyBorder="1" applyAlignment="1">
      <alignment horizontal="right" vertical="center"/>
    </xf>
    <xf numFmtId="3" fontId="287" fillId="0" borderId="16" xfId="1" applyNumberFormat="1" applyFont="1" applyFill="1" applyBorder="1" applyAlignment="1">
      <alignment horizontal="center" vertical="center" wrapText="1"/>
    </xf>
    <xf numFmtId="1" fontId="287" fillId="0" borderId="0" xfId="1" applyNumberFormat="1" applyFont="1" applyFill="1" applyAlignment="1">
      <alignment horizontal="center" vertical="center" wrapText="1"/>
    </xf>
    <xf numFmtId="1" fontId="252" fillId="51" borderId="0" xfId="1" applyNumberFormat="1" applyFont="1" applyFill="1" applyAlignment="1">
      <alignment vertical="center"/>
    </xf>
    <xf numFmtId="1" fontId="5" fillId="0" borderId="0" xfId="1" applyNumberFormat="1" applyFont="1" applyFill="1" applyAlignment="1">
      <alignment horizontal="right" vertical="center"/>
    </xf>
    <xf numFmtId="1" fontId="5" fillId="0" borderId="0" xfId="1" applyNumberFormat="1" applyFont="1" applyFill="1" applyAlignment="1">
      <alignment horizontal="right" vertical="center" wrapText="1"/>
    </xf>
    <xf numFmtId="1" fontId="4" fillId="0" borderId="0" xfId="1" applyNumberFormat="1" applyFont="1" applyFill="1" applyAlignment="1">
      <alignment horizontal="right" vertical="center" wrapText="1"/>
    </xf>
    <xf numFmtId="167" fontId="10" fillId="0" borderId="16" xfId="4" applyNumberFormat="1" applyFont="1" applyFill="1" applyBorder="1" applyAlignment="1">
      <alignment horizontal="right" vertical="center" wrapText="1"/>
    </xf>
    <xf numFmtId="49" fontId="10" fillId="0" borderId="16" xfId="3" applyNumberFormat="1" applyFont="1" applyFill="1" applyBorder="1" applyAlignment="1">
      <alignment horizontal="right" vertical="center" wrapText="1"/>
    </xf>
    <xf numFmtId="49" fontId="250" fillId="0" borderId="16" xfId="1" applyNumberFormat="1" applyFont="1" applyFill="1" applyBorder="1" applyAlignment="1">
      <alignment horizontal="center" vertical="center"/>
    </xf>
    <xf numFmtId="3" fontId="251" fillId="0" borderId="16" xfId="7" applyNumberFormat="1" applyFont="1" applyFill="1" applyBorder="1" applyAlignment="1">
      <alignment horizontal="left" vertical="center" wrapText="1"/>
    </xf>
    <xf numFmtId="3" fontId="287" fillId="0" borderId="16" xfId="0" applyNumberFormat="1" applyFont="1" applyFill="1" applyBorder="1" applyAlignment="1">
      <alignment horizontal="center" vertical="center" wrapText="1"/>
    </xf>
    <xf numFmtId="3" fontId="250" fillId="0" borderId="16" xfId="0" quotePrefix="1" applyNumberFormat="1" applyFont="1" applyFill="1" applyBorder="1" applyAlignment="1">
      <alignment horizontal="right" vertical="center" wrapText="1"/>
    </xf>
    <xf numFmtId="1" fontId="296" fillId="0" borderId="16" xfId="1" applyNumberFormat="1" applyFont="1" applyFill="1" applyBorder="1" applyAlignment="1">
      <alignment horizontal="right" vertical="center"/>
    </xf>
    <xf numFmtId="167" fontId="250" fillId="0" borderId="16" xfId="4" applyNumberFormat="1" applyFont="1" applyFill="1" applyBorder="1" applyAlignment="1">
      <alignment horizontal="center" vertical="center" wrapText="1"/>
    </xf>
    <xf numFmtId="1" fontId="296" fillId="0" borderId="16" xfId="1" applyNumberFormat="1" applyFont="1" applyFill="1" applyBorder="1" applyAlignment="1">
      <alignment vertical="center"/>
    </xf>
    <xf numFmtId="1" fontId="297" fillId="0" borderId="0" xfId="1" applyNumberFormat="1" applyFont="1" applyFill="1" applyBorder="1" applyAlignment="1">
      <alignment vertical="center"/>
    </xf>
    <xf numFmtId="1" fontId="297" fillId="53" borderId="0" xfId="1" applyNumberFormat="1" applyFont="1" applyFill="1" applyAlignment="1">
      <alignment vertical="center"/>
    </xf>
    <xf numFmtId="3" fontId="250" fillId="0" borderId="16" xfId="1657" applyNumberFormat="1" applyFont="1" applyFill="1" applyBorder="1" applyAlignment="1">
      <alignment horizontal="right" vertical="center" wrapText="1"/>
    </xf>
    <xf numFmtId="3" fontId="250" fillId="0" borderId="16" xfId="0" applyNumberFormat="1" applyFont="1" applyFill="1" applyBorder="1" applyAlignment="1">
      <alignment horizontal="right" vertical="center"/>
    </xf>
    <xf numFmtId="3" fontId="256" fillId="0" borderId="16" xfId="0" applyNumberFormat="1" applyFont="1" applyFill="1" applyBorder="1" applyAlignment="1">
      <alignment horizontal="right" vertical="center"/>
    </xf>
    <xf numFmtId="0" fontId="77" fillId="0" borderId="16" xfId="4714" applyFont="1" applyFill="1" applyBorder="1" applyAlignment="1">
      <alignment horizontal="center" vertical="center" wrapText="1"/>
    </xf>
    <xf numFmtId="0" fontId="248" fillId="0" borderId="16" xfId="4714" applyFont="1" applyFill="1" applyBorder="1" applyAlignment="1">
      <alignment horizontal="center" vertical="center" wrapText="1"/>
    </xf>
    <xf numFmtId="3" fontId="77" fillId="0" borderId="16" xfId="1" quotePrefix="1" applyNumberFormat="1" applyFont="1" applyFill="1" applyBorder="1" applyAlignment="1">
      <alignment horizontal="center" vertical="center" wrapText="1"/>
    </xf>
    <xf numFmtId="3" fontId="77" fillId="0" borderId="60" xfId="1" applyNumberFormat="1" applyFont="1" applyFill="1" applyBorder="1" applyAlignment="1">
      <alignment horizontal="center" vertical="center" wrapText="1"/>
    </xf>
    <xf numFmtId="0" fontId="17" fillId="0" borderId="61" xfId="4714" applyFont="1" applyFill="1" applyBorder="1" applyAlignment="1">
      <alignment horizontal="right" vertical="center" wrapText="1"/>
    </xf>
    <xf numFmtId="0" fontId="17" fillId="0" borderId="62" xfId="4714" applyFont="1" applyFill="1" applyBorder="1" applyAlignment="1">
      <alignment horizontal="right" vertical="center" wrapText="1"/>
    </xf>
    <xf numFmtId="0" fontId="12" fillId="0" borderId="62" xfId="4714" applyFont="1" applyFill="1" applyBorder="1" applyAlignment="1">
      <alignment horizontal="center" vertical="center" wrapText="1"/>
    </xf>
    <xf numFmtId="0" fontId="12" fillId="0" borderId="63" xfId="4714" applyFont="1" applyFill="1" applyBorder="1" applyAlignment="1">
      <alignment horizontal="center" vertical="center" wrapText="1"/>
    </xf>
    <xf numFmtId="0" fontId="17" fillId="0" borderId="16" xfId="4714" applyFont="1" applyFill="1" applyBorder="1" applyAlignment="1">
      <alignment horizontal="right" vertical="center" wrapText="1"/>
    </xf>
    <xf numFmtId="0" fontId="12" fillId="0" borderId="16" xfId="4714" applyFont="1" applyFill="1" applyBorder="1" applyAlignment="1">
      <alignment horizontal="center" vertical="center" wrapText="1"/>
    </xf>
    <xf numFmtId="3" fontId="17" fillId="0" borderId="0" xfId="1" applyNumberFormat="1" applyFont="1" applyFill="1" applyBorder="1" applyAlignment="1">
      <alignment horizontal="center" vertical="center"/>
    </xf>
    <xf numFmtId="2" fontId="77" fillId="0" borderId="16" xfId="0" applyNumberFormat="1" applyFont="1" applyFill="1" applyBorder="1" applyAlignment="1">
      <alignment horizontal="center" vertical="center" wrapText="1"/>
    </xf>
    <xf numFmtId="3" fontId="17" fillId="0" borderId="16" xfId="4720" applyNumberFormat="1" applyFont="1" applyFill="1" applyBorder="1" applyAlignment="1">
      <alignment horizontal="right" vertical="center" wrapText="1"/>
    </xf>
    <xf numFmtId="0" fontId="17" fillId="0" borderId="0" xfId="2740" applyNumberFormat="1" applyFont="1" applyFill="1" applyBorder="1" applyAlignment="1">
      <alignment horizontal="center" vertical="center"/>
    </xf>
    <xf numFmtId="0" fontId="17" fillId="0" borderId="0" xfId="2740" applyFont="1" applyFill="1" applyBorder="1" applyAlignment="1"/>
    <xf numFmtId="3" fontId="256" fillId="58" borderId="16" xfId="1" applyNumberFormat="1" applyFont="1" applyFill="1" applyBorder="1" applyAlignment="1">
      <alignment horizontal="right" vertical="center"/>
    </xf>
    <xf numFmtId="335" fontId="250" fillId="58" borderId="16" xfId="1" quotePrefix="1" applyNumberFormat="1" applyFont="1" applyFill="1" applyBorder="1" applyAlignment="1">
      <alignment horizontal="right" vertical="center" wrapText="1"/>
    </xf>
    <xf numFmtId="3" fontId="250" fillId="58" borderId="16" xfId="1" applyNumberFormat="1" applyFont="1" applyFill="1" applyBorder="1" applyAlignment="1">
      <alignment horizontal="right" vertical="center"/>
    </xf>
    <xf numFmtId="3" fontId="17" fillId="0" borderId="16" xfId="1" quotePrefix="1" applyNumberFormat="1" applyFont="1" applyFill="1" applyBorder="1" applyAlignment="1">
      <alignment horizontal="center" vertical="center" wrapText="1"/>
    </xf>
    <xf numFmtId="335" fontId="250" fillId="51" borderId="0" xfId="4" applyNumberFormat="1" applyFont="1" applyFill="1" applyBorder="1" applyAlignment="1">
      <alignment horizontal="right" vertical="center"/>
    </xf>
    <xf numFmtId="335" fontId="287" fillId="51" borderId="0" xfId="4" applyNumberFormat="1" applyFont="1" applyFill="1" applyBorder="1" applyAlignment="1">
      <alignment horizontal="center" vertical="center" wrapText="1"/>
    </xf>
    <xf numFmtId="1" fontId="287" fillId="51" borderId="0" xfId="1" applyNumberFormat="1" applyFont="1" applyFill="1" applyBorder="1" applyAlignment="1">
      <alignment horizontal="center" vertical="center" wrapText="1"/>
    </xf>
    <xf numFmtId="49" fontId="277" fillId="0" borderId="16" xfId="1" applyNumberFormat="1" applyFont="1" applyFill="1" applyBorder="1" applyAlignment="1">
      <alignment horizontal="center" vertical="center"/>
    </xf>
    <xf numFmtId="3" fontId="298" fillId="0" borderId="16" xfId="1" applyNumberFormat="1" applyFont="1" applyFill="1" applyBorder="1" applyAlignment="1">
      <alignment horizontal="left" vertical="center" wrapText="1"/>
    </xf>
    <xf numFmtId="0" fontId="298" fillId="0" borderId="16" xfId="4714" applyFont="1" applyFill="1" applyBorder="1" applyAlignment="1">
      <alignment horizontal="center" vertical="center" wrapText="1"/>
    </xf>
    <xf numFmtId="0" fontId="298" fillId="0" borderId="16" xfId="4714" applyFont="1" applyFill="1" applyBorder="1" applyAlignment="1">
      <alignment horizontal="center" vertical="center"/>
    </xf>
    <xf numFmtId="1" fontId="298" fillId="0" borderId="16" xfId="0" applyNumberFormat="1" applyFont="1" applyFill="1" applyBorder="1" applyAlignment="1">
      <alignment horizontal="center" vertical="center"/>
    </xf>
    <xf numFmtId="336" fontId="299" fillId="0" borderId="16" xfId="0" applyNumberFormat="1" applyFont="1" applyFill="1" applyBorder="1" applyAlignment="1">
      <alignment horizontal="center" vertical="center" wrapText="1"/>
    </xf>
    <xf numFmtId="3" fontId="277" fillId="0" borderId="16" xfId="0" applyNumberFormat="1" applyFont="1" applyFill="1" applyBorder="1" applyAlignment="1">
      <alignment horizontal="right" vertical="center"/>
    </xf>
    <xf numFmtId="3" fontId="277" fillId="0" borderId="16" xfId="1" applyNumberFormat="1" applyFont="1" applyFill="1" applyBorder="1" applyAlignment="1">
      <alignment horizontal="right" vertical="center"/>
    </xf>
    <xf numFmtId="167" fontId="277" fillId="0" borderId="16" xfId="1893" applyNumberFormat="1" applyFont="1" applyFill="1" applyBorder="1" applyAlignment="1">
      <alignment horizontal="right" vertical="center" wrapText="1"/>
    </xf>
    <xf numFmtId="3" fontId="277" fillId="0" borderId="16" xfId="1" applyNumberFormat="1" applyFont="1" applyFill="1" applyBorder="1" applyAlignment="1">
      <alignment horizontal="right" vertical="center" wrapText="1"/>
    </xf>
    <xf numFmtId="335" fontId="277" fillId="0" borderId="16" xfId="1" applyNumberFormat="1" applyFont="1" applyFill="1" applyBorder="1" applyAlignment="1">
      <alignment horizontal="right" vertical="center"/>
    </xf>
    <xf numFmtId="335" fontId="300" fillId="0" borderId="16" xfId="1" applyNumberFormat="1" applyFont="1" applyFill="1" applyBorder="1" applyAlignment="1">
      <alignment horizontal="right" vertical="center"/>
    </xf>
    <xf numFmtId="335" fontId="277" fillId="0" borderId="16" xfId="1" quotePrefix="1" applyNumberFormat="1" applyFont="1" applyFill="1" applyBorder="1" applyAlignment="1">
      <alignment horizontal="right" vertical="center" wrapText="1"/>
    </xf>
    <xf numFmtId="335" fontId="299" fillId="0" borderId="16" xfId="1" applyNumberFormat="1" applyFont="1" applyFill="1" applyBorder="1" applyAlignment="1">
      <alignment horizontal="center" vertical="center" wrapText="1"/>
    </xf>
    <xf numFmtId="1" fontId="299" fillId="0" borderId="16" xfId="1" applyNumberFormat="1" applyFont="1" applyFill="1" applyBorder="1" applyAlignment="1">
      <alignment horizontal="center" vertical="center" wrapText="1"/>
    </xf>
    <xf numFmtId="3" fontId="298" fillId="0" borderId="0" xfId="1" applyNumberFormat="1" applyFont="1" applyFill="1" applyBorder="1" applyAlignment="1">
      <alignment horizontal="center" vertical="center" wrapText="1"/>
    </xf>
    <xf numFmtId="1" fontId="301" fillId="53" borderId="0" xfId="1" applyNumberFormat="1" applyFont="1" applyFill="1" applyAlignment="1">
      <alignment vertical="center"/>
    </xf>
    <xf numFmtId="3" fontId="273" fillId="0" borderId="16" xfId="4719" applyNumberFormat="1" applyFont="1" applyFill="1" applyBorder="1" applyAlignment="1">
      <alignment horizontal="right" vertical="center"/>
    </xf>
    <xf numFmtId="1" fontId="7" fillId="0" borderId="0" xfId="1" applyNumberFormat="1" applyFont="1" applyFill="1" applyBorder="1" applyAlignment="1">
      <alignment vertical="center"/>
    </xf>
    <xf numFmtId="1" fontId="279" fillId="0" borderId="0" xfId="1" applyNumberFormat="1" applyFont="1" applyFill="1" applyAlignment="1">
      <alignment horizontal="center" vertical="center" wrapText="1"/>
    </xf>
    <xf numFmtId="49" fontId="10" fillId="0" borderId="16" xfId="1" applyNumberFormat="1" applyFont="1" applyFill="1" applyBorder="1" applyAlignment="1">
      <alignment horizontal="right" vertical="center"/>
    </xf>
    <xf numFmtId="3" fontId="16" fillId="0" borderId="16" xfId="4722" applyNumberFormat="1" applyFont="1" applyFill="1" applyBorder="1" applyAlignment="1">
      <alignment horizontal="center" vertical="center" wrapText="1"/>
    </xf>
    <xf numFmtId="3" fontId="10" fillId="0" borderId="16" xfId="2745" applyNumberFormat="1" applyFont="1" applyFill="1" applyBorder="1" applyAlignment="1">
      <alignment horizontal="right" vertical="center" wrapText="1"/>
    </xf>
    <xf numFmtId="335" fontId="10" fillId="0" borderId="16" xfId="4719" applyNumberFormat="1" applyFont="1" applyFill="1" applyBorder="1" applyAlignment="1">
      <alignment horizontal="right" vertical="center"/>
    </xf>
    <xf numFmtId="335" fontId="285" fillId="0" borderId="16" xfId="1" quotePrefix="1"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21" fillId="0" borderId="16" xfId="0" applyFont="1" applyFill="1" applyBorder="1" applyAlignment="1">
      <alignment horizontal="right" vertical="center" wrapText="1"/>
    </xf>
    <xf numFmtId="0" fontId="19" fillId="0" borderId="16" xfId="2755" applyFont="1" applyFill="1" applyBorder="1" applyAlignment="1">
      <alignment horizontal="left" vertical="center" wrapText="1"/>
    </xf>
    <xf numFmtId="1" fontId="10" fillId="55" borderId="0" xfId="1" applyNumberFormat="1" applyFont="1" applyFill="1" applyBorder="1" applyAlignment="1">
      <alignment vertical="center"/>
    </xf>
    <xf numFmtId="1" fontId="4" fillId="51" borderId="0" xfId="1" applyNumberFormat="1" applyFont="1" applyFill="1" applyBorder="1" applyAlignment="1">
      <alignment vertical="center"/>
    </xf>
    <xf numFmtId="3" fontId="10" fillId="51" borderId="0" xfId="1" applyNumberFormat="1" applyFont="1" applyFill="1" applyBorder="1" applyAlignment="1">
      <alignment horizontal="center" vertical="center" wrapText="1"/>
    </xf>
    <xf numFmtId="3" fontId="16" fillId="51" borderId="0" xfId="1" applyNumberFormat="1" applyFont="1" applyFill="1" applyBorder="1" applyAlignment="1">
      <alignment vertical="center" wrapText="1"/>
    </xf>
    <xf numFmtId="3" fontId="18" fillId="51" borderId="0" xfId="1" applyNumberFormat="1" applyFont="1" applyFill="1" applyBorder="1" applyAlignment="1">
      <alignment vertical="center" wrapText="1"/>
    </xf>
    <xf numFmtId="4" fontId="18" fillId="51" borderId="0" xfId="1" applyNumberFormat="1" applyFont="1" applyFill="1" applyBorder="1" applyAlignment="1">
      <alignment vertical="center" wrapText="1"/>
    </xf>
    <xf numFmtId="3" fontId="273" fillId="51" borderId="0" xfId="1" applyNumberFormat="1" applyFont="1" applyFill="1" applyBorder="1" applyAlignment="1">
      <alignment vertical="center" wrapText="1"/>
    </xf>
    <xf numFmtId="1" fontId="25" fillId="51" borderId="0" xfId="1" applyNumberFormat="1" applyFont="1" applyFill="1" applyBorder="1" applyAlignment="1">
      <alignment vertical="center"/>
    </xf>
    <xf numFmtId="3" fontId="8" fillId="51" borderId="0" xfId="1" applyNumberFormat="1" applyFont="1" applyFill="1" applyBorder="1" applyAlignment="1">
      <alignment vertical="center" wrapText="1"/>
    </xf>
    <xf numFmtId="1" fontId="10" fillId="51" borderId="0" xfId="1" applyNumberFormat="1" applyFont="1" applyFill="1" applyBorder="1" applyAlignment="1">
      <alignment vertical="center"/>
    </xf>
    <xf numFmtId="0" fontId="10" fillId="51" borderId="0" xfId="0" applyFont="1" applyFill="1" applyBorder="1"/>
    <xf numFmtId="1" fontId="7" fillId="51" borderId="0" xfId="1" applyNumberFormat="1" applyFont="1" applyFill="1" applyBorder="1" applyAlignment="1">
      <alignment vertical="center"/>
    </xf>
    <xf numFmtId="1" fontId="275" fillId="51" borderId="0" xfId="1" applyNumberFormat="1" applyFont="1" applyFill="1" applyBorder="1" applyAlignment="1">
      <alignment vertical="center"/>
    </xf>
    <xf numFmtId="1" fontId="278" fillId="51" borderId="0" xfId="1" applyNumberFormat="1" applyFont="1" applyFill="1" applyBorder="1" applyAlignment="1">
      <alignment vertical="center"/>
    </xf>
    <xf numFmtId="1" fontId="25" fillId="51" borderId="0" xfId="1" applyNumberFormat="1" applyFont="1" applyFill="1" applyBorder="1" applyAlignment="1">
      <alignment horizontal="right" vertical="center"/>
    </xf>
    <xf numFmtId="3" fontId="77" fillId="51" borderId="60" xfId="1" quotePrefix="1" applyNumberFormat="1" applyFont="1" applyFill="1" applyBorder="1" applyAlignment="1">
      <alignment horizontal="center" vertical="center" wrapText="1"/>
    </xf>
    <xf numFmtId="1" fontId="17" fillId="51" borderId="0" xfId="1" applyNumberFormat="1" applyFont="1" applyFill="1" applyAlignment="1">
      <alignment horizontal="center" vertical="center" wrapText="1"/>
    </xf>
    <xf numFmtId="1" fontId="8" fillId="51" borderId="0" xfId="1" applyNumberFormat="1" applyFont="1" applyFill="1" applyBorder="1" applyAlignment="1">
      <alignment horizontal="right" vertical="center"/>
    </xf>
    <xf numFmtId="1" fontId="258" fillId="51" borderId="0" xfId="1" applyNumberFormat="1" applyFont="1" applyFill="1" applyBorder="1" applyAlignment="1">
      <alignment vertical="center"/>
    </xf>
    <xf numFmtId="1" fontId="18" fillId="51" borderId="0" xfId="1" applyNumberFormat="1" applyFont="1" applyFill="1" applyBorder="1" applyAlignment="1">
      <alignment vertical="center"/>
    </xf>
    <xf numFmtId="1" fontId="259" fillId="51" borderId="0" xfId="1" applyNumberFormat="1" applyFont="1" applyFill="1" applyBorder="1" applyAlignment="1">
      <alignment vertical="center"/>
    </xf>
    <xf numFmtId="3" fontId="275" fillId="51" borderId="0" xfId="1" applyNumberFormat="1" applyFont="1" applyFill="1" applyBorder="1" applyAlignment="1">
      <alignment vertical="center"/>
    </xf>
    <xf numFmtId="3" fontId="278" fillId="51" borderId="0" xfId="1" applyNumberFormat="1" applyFont="1" applyFill="1" applyBorder="1" applyAlignment="1">
      <alignment vertical="center"/>
    </xf>
    <xf numFmtId="3" fontId="273" fillId="51" borderId="0" xfId="1" applyNumberFormat="1" applyFont="1" applyFill="1" applyBorder="1" applyAlignment="1">
      <alignment horizontal="center" vertical="center" wrapText="1"/>
    </xf>
    <xf numFmtId="3" fontId="274" fillId="51" borderId="0" xfId="1" applyNumberFormat="1" applyFont="1" applyFill="1" applyBorder="1" applyAlignment="1">
      <alignment vertical="center" wrapText="1"/>
    </xf>
    <xf numFmtId="3" fontId="275" fillId="51" borderId="0" xfId="1" applyNumberFormat="1" applyFont="1" applyFill="1" applyBorder="1" applyAlignment="1">
      <alignment vertical="center" wrapText="1"/>
    </xf>
    <xf numFmtId="3" fontId="302" fillId="51" borderId="0" xfId="1" applyNumberFormat="1" applyFont="1" applyFill="1" applyBorder="1" applyAlignment="1">
      <alignment vertical="center"/>
    </xf>
    <xf numFmtId="3" fontId="273" fillId="51" borderId="0" xfId="1" applyNumberFormat="1" applyFont="1" applyFill="1" applyBorder="1" applyAlignment="1">
      <alignment vertical="center"/>
    </xf>
    <xf numFmtId="3" fontId="273" fillId="51" borderId="0" xfId="0" applyNumberFormat="1" applyFont="1" applyFill="1" applyBorder="1"/>
    <xf numFmtId="3" fontId="275" fillId="51" borderId="0" xfId="1" applyNumberFormat="1" applyFont="1" applyFill="1" applyBorder="1" applyAlignment="1">
      <alignment horizontal="right" vertical="center"/>
    </xf>
    <xf numFmtId="3" fontId="76" fillId="51" borderId="16" xfId="1" quotePrefix="1" applyNumberFormat="1" applyFont="1" applyFill="1" applyBorder="1" applyAlignment="1">
      <alignment horizontal="center" vertical="center" wrapText="1"/>
    </xf>
    <xf numFmtId="3" fontId="83" fillId="51" borderId="0" xfId="1" applyNumberFormat="1" applyFont="1" applyFill="1" applyAlignment="1">
      <alignment horizontal="center" vertical="center" wrapText="1"/>
    </xf>
    <xf numFmtId="0" fontId="268" fillId="0" borderId="16" xfId="0" applyFont="1" applyBorder="1" applyAlignment="1">
      <alignment vertical="center" wrapText="1"/>
    </xf>
    <xf numFmtId="4" fontId="305" fillId="0" borderId="16" xfId="0" applyNumberFormat="1" applyFont="1" applyBorder="1" applyAlignment="1">
      <alignment horizontal="center" vertical="center"/>
    </xf>
    <xf numFmtId="3" fontId="303" fillId="0" borderId="0" xfId="0" applyNumberFormat="1" applyFont="1"/>
    <xf numFmtId="0" fontId="303" fillId="0" borderId="0" xfId="0" applyFont="1"/>
    <xf numFmtId="3" fontId="306" fillId="0" borderId="14" xfId="1" quotePrefix="1" applyNumberFormat="1" applyFont="1" applyFill="1" applyBorder="1" applyAlignment="1">
      <alignment horizontal="right" vertical="center" wrapText="1"/>
    </xf>
    <xf numFmtId="3" fontId="17" fillId="55" borderId="16" xfId="1" quotePrefix="1" applyNumberFormat="1" applyFont="1" applyFill="1" applyBorder="1" applyAlignment="1">
      <alignment horizontal="center" vertical="center" wrapText="1"/>
    </xf>
    <xf numFmtId="3" fontId="273" fillId="55" borderId="0" xfId="1" applyNumberFormat="1" applyFont="1" applyFill="1" applyBorder="1" applyAlignment="1">
      <alignment vertical="center"/>
    </xf>
    <xf numFmtId="0" fontId="304" fillId="51" borderId="0" xfId="0" applyFont="1" applyFill="1"/>
    <xf numFmtId="4" fontId="304" fillId="51" borderId="0" xfId="0" applyNumberFormat="1" applyFont="1" applyFill="1"/>
    <xf numFmtId="0" fontId="304" fillId="51" borderId="0" xfId="0" quotePrefix="1" applyFont="1" applyFill="1"/>
    <xf numFmtId="1" fontId="9" fillId="0" borderId="0" xfId="1" applyNumberFormat="1" applyFont="1" applyFill="1" applyBorder="1" applyAlignment="1">
      <alignment horizontal="right" vertical="center"/>
    </xf>
    <xf numFmtId="3" fontId="17" fillId="0" borderId="16" xfId="1" quotePrefix="1" applyNumberFormat="1" applyFont="1" applyFill="1" applyBorder="1" applyAlignment="1">
      <alignment horizontal="center" vertical="center" wrapText="1"/>
    </xf>
    <xf numFmtId="3" fontId="10" fillId="0" borderId="0" xfId="1" applyNumberFormat="1" applyFont="1" applyBorder="1" applyAlignment="1">
      <alignment horizontal="center" vertical="center" wrapText="1"/>
    </xf>
    <xf numFmtId="0" fontId="276" fillId="0" borderId="16" xfId="2757" applyFont="1" applyFill="1" applyBorder="1" applyAlignment="1">
      <alignment horizontal="center" vertical="center" wrapText="1"/>
    </xf>
    <xf numFmtId="4" fontId="273" fillId="0" borderId="16" xfId="1" quotePrefix="1" applyNumberFormat="1" applyFont="1" applyFill="1" applyBorder="1" applyAlignment="1">
      <alignment horizontal="center" vertical="center" wrapText="1"/>
    </xf>
    <xf numFmtId="0" fontId="307" fillId="0" borderId="16" xfId="0" applyFont="1" applyBorder="1" applyAlignment="1">
      <alignment horizontal="center" vertical="center"/>
    </xf>
    <xf numFmtId="0" fontId="307" fillId="0" borderId="16" xfId="0" applyFont="1" applyBorder="1" applyAlignment="1">
      <alignment vertical="center" wrapText="1"/>
    </xf>
    <xf numFmtId="3" fontId="308" fillId="0" borderId="16" xfId="0" applyNumberFormat="1" applyFont="1" applyBorder="1" applyAlignment="1">
      <alignment vertical="center"/>
    </xf>
    <xf numFmtId="4" fontId="309" fillId="0" borderId="16" xfId="0" applyNumberFormat="1" applyFont="1" applyBorder="1" applyAlignment="1">
      <alignment horizontal="center" vertical="center"/>
    </xf>
    <xf numFmtId="3" fontId="308" fillId="0" borderId="16" xfId="0" applyNumberFormat="1" applyFont="1" applyBorder="1" applyAlignment="1">
      <alignment horizontal="center" vertical="center"/>
    </xf>
    <xf numFmtId="0" fontId="310" fillId="0" borderId="16" xfId="0" applyFont="1" applyBorder="1" applyAlignment="1">
      <alignment vertical="center"/>
    </xf>
    <xf numFmtId="0" fontId="311" fillId="0" borderId="0" xfId="0" applyFont="1"/>
    <xf numFmtId="0" fontId="176" fillId="0" borderId="16" xfId="0" quotePrefix="1" applyFont="1" applyBorder="1" applyAlignment="1">
      <alignment vertical="center" wrapText="1"/>
    </xf>
    <xf numFmtId="0" fontId="176" fillId="0" borderId="16" xfId="0" quotePrefix="1" applyFont="1" applyBorder="1" applyAlignment="1">
      <alignment vertical="center"/>
    </xf>
    <xf numFmtId="4" fontId="266" fillId="0" borderId="16" xfId="0" applyNumberFormat="1" applyFont="1" applyBorder="1" applyAlignment="1">
      <alignment horizontal="center" vertical="center"/>
    </xf>
    <xf numFmtId="3" fontId="0" fillId="0" borderId="0" xfId="0" applyNumberFormat="1" applyFont="1"/>
    <xf numFmtId="4" fontId="18" fillId="0" borderId="16" xfId="1" quotePrefix="1" applyNumberFormat="1" applyFont="1" applyFill="1" applyBorder="1" applyAlignment="1">
      <alignment horizontal="center" vertical="center" wrapText="1"/>
    </xf>
    <xf numFmtId="3" fontId="10" fillId="55" borderId="16" xfId="4" applyNumberFormat="1" applyFont="1" applyFill="1" applyBorder="1" applyAlignment="1">
      <alignment horizontal="right" vertical="center" wrapText="1"/>
    </xf>
    <xf numFmtId="3" fontId="10" fillId="55" borderId="16" xfId="4" applyNumberFormat="1" applyFont="1" applyFill="1" applyBorder="1" applyAlignment="1">
      <alignment horizontal="right" vertical="center"/>
    </xf>
    <xf numFmtId="1" fontId="9" fillId="0" borderId="0" xfId="1" applyNumberFormat="1" applyFont="1" applyFill="1" applyBorder="1" applyAlignment="1">
      <alignment horizontal="right" vertical="center"/>
    </xf>
    <xf numFmtId="3" fontId="17" fillId="0" borderId="16" xfId="1" quotePrefix="1" applyNumberFormat="1" applyFont="1" applyFill="1" applyBorder="1" applyAlignment="1">
      <alignment horizontal="center" vertical="center" wrapText="1"/>
    </xf>
    <xf numFmtId="3" fontId="312" fillId="0" borderId="31" xfId="1" quotePrefix="1" applyNumberFormat="1" applyFont="1" applyFill="1" applyBorder="1" applyAlignment="1">
      <alignment horizontal="center" vertical="center" wrapText="1"/>
    </xf>
    <xf numFmtId="3" fontId="285" fillId="0" borderId="14" xfId="1" quotePrefix="1" applyNumberFormat="1" applyFont="1" applyFill="1" applyBorder="1" applyAlignment="1">
      <alignment horizontal="right" vertical="center" wrapText="1"/>
    </xf>
    <xf numFmtId="3" fontId="313" fillId="2" borderId="16" xfId="1" quotePrefix="1" applyNumberFormat="1" applyFont="1" applyFill="1" applyBorder="1" applyAlignment="1">
      <alignment horizontal="right" vertical="center" wrapText="1"/>
    </xf>
    <xf numFmtId="3" fontId="285" fillId="0" borderId="16" xfId="1" quotePrefix="1" applyNumberFormat="1" applyFont="1" applyFill="1" applyBorder="1" applyAlignment="1">
      <alignment horizontal="right" vertical="center" wrapText="1"/>
    </xf>
    <xf numFmtId="3" fontId="313" fillId="55" borderId="16" xfId="1" quotePrefix="1" applyNumberFormat="1" applyFont="1" applyFill="1" applyBorder="1" applyAlignment="1">
      <alignment horizontal="right" vertical="center" wrapText="1"/>
    </xf>
    <xf numFmtId="3" fontId="313" fillId="0" borderId="16" xfId="1" quotePrefix="1" applyNumberFormat="1" applyFont="1" applyFill="1" applyBorder="1" applyAlignment="1">
      <alignment horizontal="right" vertical="center" wrapText="1"/>
    </xf>
    <xf numFmtId="3" fontId="313" fillId="0" borderId="16" xfId="4" applyNumberFormat="1" applyFont="1" applyFill="1" applyBorder="1" applyAlignment="1">
      <alignment horizontal="right" vertical="center"/>
    </xf>
    <xf numFmtId="167" fontId="285" fillId="0" borderId="16" xfId="4" applyNumberFormat="1" applyFont="1" applyFill="1" applyBorder="1" applyAlignment="1">
      <alignment horizontal="center" vertical="center" wrapText="1"/>
    </xf>
    <xf numFmtId="3" fontId="285" fillId="0" borderId="16" xfId="0" applyNumberFormat="1" applyFont="1" applyFill="1" applyBorder="1" applyAlignment="1">
      <alignment horizontal="right" vertical="center" wrapText="1"/>
    </xf>
    <xf numFmtId="3" fontId="285" fillId="0" borderId="16" xfId="0" quotePrefix="1" applyNumberFormat="1" applyFont="1" applyFill="1" applyBorder="1" applyAlignment="1">
      <alignment horizontal="right" vertical="center"/>
    </xf>
    <xf numFmtId="3" fontId="285" fillId="0" borderId="16" xfId="4" applyNumberFormat="1" applyFont="1" applyFill="1" applyBorder="1" applyAlignment="1">
      <alignment horizontal="right" vertical="center" wrapText="1"/>
    </xf>
    <xf numFmtId="335" fontId="285" fillId="0" borderId="16" xfId="4" applyNumberFormat="1" applyFont="1" applyFill="1" applyBorder="1" applyAlignment="1">
      <alignment horizontal="right" vertical="center" wrapText="1"/>
    </xf>
    <xf numFmtId="335" fontId="285" fillId="0" borderId="16" xfId="1657" applyNumberFormat="1" applyFont="1" applyFill="1" applyBorder="1" applyAlignment="1">
      <alignment horizontal="right" vertical="center" wrapText="1"/>
    </xf>
    <xf numFmtId="3" fontId="285" fillId="0" borderId="16" xfId="1928" applyNumberFormat="1" applyFont="1" applyFill="1" applyBorder="1" applyAlignment="1">
      <alignment horizontal="right" vertical="center" wrapText="1"/>
    </xf>
    <xf numFmtId="3" fontId="313" fillId="0" borderId="16" xfId="1691" applyNumberFormat="1" applyFont="1" applyFill="1" applyBorder="1" applyAlignment="1">
      <alignment horizontal="right" vertical="center"/>
    </xf>
    <xf numFmtId="3" fontId="285" fillId="0" borderId="16" xfId="1889" applyNumberFormat="1" applyFont="1" applyFill="1" applyBorder="1" applyAlignment="1">
      <alignment horizontal="right" vertical="center" wrapText="1"/>
    </xf>
    <xf numFmtId="3" fontId="285" fillId="0" borderId="16" xfId="0" applyNumberFormat="1" applyFont="1" applyFill="1" applyBorder="1" applyAlignment="1">
      <alignment vertical="center"/>
    </xf>
    <xf numFmtId="3" fontId="313" fillId="55" borderId="16" xfId="4" applyNumberFormat="1" applyFont="1" applyFill="1" applyBorder="1" applyAlignment="1">
      <alignment horizontal="right" vertical="center"/>
    </xf>
    <xf numFmtId="3" fontId="313" fillId="0" borderId="16" xfId="4" applyNumberFormat="1" applyFont="1" applyFill="1" applyBorder="1" applyAlignment="1">
      <alignment horizontal="right" vertical="center" wrapText="1"/>
    </xf>
    <xf numFmtId="335" fontId="285" fillId="0" borderId="16" xfId="4" applyNumberFormat="1" applyFont="1" applyFill="1" applyBorder="1" applyAlignment="1">
      <alignment horizontal="right" vertical="center"/>
    </xf>
    <xf numFmtId="3" fontId="313" fillId="0" borderId="16" xfId="4" quotePrefix="1" applyNumberFormat="1" applyFont="1" applyFill="1" applyBorder="1" applyAlignment="1">
      <alignment horizontal="right" vertical="center" wrapText="1"/>
    </xf>
    <xf numFmtId="3" fontId="313" fillId="0" borderId="16" xfId="1" applyNumberFormat="1" applyFont="1" applyFill="1" applyBorder="1" applyAlignment="1">
      <alignment horizontal="right" vertical="center"/>
    </xf>
    <xf numFmtId="335" fontId="285" fillId="0" borderId="16" xfId="1" applyNumberFormat="1" applyFont="1" applyFill="1" applyBorder="1" applyAlignment="1">
      <alignment horizontal="right" vertical="center"/>
    </xf>
    <xf numFmtId="335" fontId="285" fillId="0" borderId="16" xfId="0" applyNumberFormat="1" applyFont="1" applyFill="1" applyBorder="1" applyAlignment="1">
      <alignment horizontal="right" vertical="center" wrapText="1"/>
    </xf>
    <xf numFmtId="335" fontId="285" fillId="0" borderId="16" xfId="0" applyNumberFormat="1" applyFont="1" applyFill="1" applyBorder="1" applyAlignment="1">
      <alignment horizontal="right" vertical="center"/>
    </xf>
    <xf numFmtId="335" fontId="285" fillId="0" borderId="16" xfId="0" quotePrefix="1" applyNumberFormat="1" applyFont="1" applyFill="1" applyBorder="1" applyAlignment="1">
      <alignment horizontal="right" vertical="center"/>
    </xf>
    <xf numFmtId="335" fontId="285" fillId="0" borderId="16" xfId="1889" applyNumberFormat="1" applyFont="1" applyFill="1" applyBorder="1" applyAlignment="1">
      <alignment horizontal="right" vertical="center" wrapText="1"/>
    </xf>
    <xf numFmtId="335" fontId="285" fillId="0" borderId="16" xfId="2758" applyNumberFormat="1" applyFont="1" applyFill="1" applyBorder="1" applyAlignment="1">
      <alignment horizontal="right" vertical="center" wrapText="1"/>
    </xf>
    <xf numFmtId="3" fontId="313" fillId="53" borderId="16" xfId="4" applyNumberFormat="1" applyFont="1" applyFill="1" applyBorder="1" applyAlignment="1">
      <alignment horizontal="right" vertical="center"/>
    </xf>
    <xf numFmtId="3" fontId="285" fillId="0" borderId="16" xfId="4" applyNumberFormat="1" applyFont="1" applyFill="1" applyBorder="1" applyAlignment="1">
      <alignment horizontal="right" vertical="center"/>
    </xf>
    <xf numFmtId="3" fontId="313" fillId="0" borderId="16" xfId="1893" applyNumberFormat="1" applyFont="1" applyFill="1" applyBorder="1" applyAlignment="1">
      <alignment horizontal="right" vertical="center" wrapText="1"/>
    </xf>
    <xf numFmtId="3" fontId="313" fillId="55" borderId="16" xfId="1" applyNumberFormat="1" applyFont="1" applyFill="1" applyBorder="1" applyAlignment="1">
      <alignment horizontal="right" vertical="center"/>
    </xf>
    <xf numFmtId="167" fontId="313" fillId="0" borderId="16" xfId="4" quotePrefix="1" applyNumberFormat="1" applyFont="1" applyFill="1" applyBorder="1" applyAlignment="1">
      <alignment horizontal="right" vertical="center" wrapText="1"/>
    </xf>
    <xf numFmtId="167" fontId="285" fillId="0" borderId="16" xfId="4" applyNumberFormat="1" applyFont="1" applyFill="1" applyBorder="1" applyAlignment="1">
      <alignment horizontal="right" vertical="center"/>
    </xf>
    <xf numFmtId="167" fontId="313" fillId="0" borderId="16" xfId="4" applyNumberFormat="1" applyFont="1" applyFill="1" applyBorder="1" applyAlignment="1">
      <alignment horizontal="right" vertical="center"/>
    </xf>
    <xf numFmtId="1" fontId="285" fillId="0" borderId="16" xfId="1" applyNumberFormat="1" applyFont="1" applyFill="1" applyBorder="1" applyAlignment="1">
      <alignment horizontal="right" vertical="center"/>
    </xf>
    <xf numFmtId="3" fontId="285" fillId="0" borderId="16" xfId="1" applyNumberFormat="1" applyFont="1" applyFill="1" applyBorder="1" applyAlignment="1">
      <alignment horizontal="right" vertical="center"/>
    </xf>
    <xf numFmtId="3" fontId="285" fillId="0" borderId="16" xfId="0" applyNumberFormat="1" applyFont="1" applyFill="1" applyBorder="1" applyAlignment="1">
      <alignment horizontal="right" vertical="center"/>
    </xf>
    <xf numFmtId="335" fontId="285" fillId="0" borderId="16" xfId="4712" applyNumberFormat="1" applyFont="1" applyFill="1" applyBorder="1" applyAlignment="1">
      <alignment vertical="center"/>
    </xf>
    <xf numFmtId="335" fontId="285" fillId="0" borderId="16" xfId="4712" applyNumberFormat="1" applyFont="1" applyFill="1" applyBorder="1" applyAlignment="1">
      <alignment horizontal="right" vertical="center"/>
    </xf>
    <xf numFmtId="335" fontId="315" fillId="0" borderId="16" xfId="0" applyNumberFormat="1" applyFont="1" applyFill="1" applyBorder="1" applyAlignment="1">
      <alignment horizontal="right" vertical="center"/>
    </xf>
    <xf numFmtId="3" fontId="285" fillId="0" borderId="16" xfId="3" applyNumberFormat="1" applyFont="1" applyFill="1" applyBorder="1" applyAlignment="1">
      <alignment horizontal="right" vertical="center" wrapText="1"/>
    </xf>
    <xf numFmtId="335" fontId="285" fillId="0" borderId="16" xfId="1" applyNumberFormat="1" applyFont="1" applyFill="1" applyBorder="1" applyAlignment="1">
      <alignment vertical="center"/>
    </xf>
    <xf numFmtId="49" fontId="285" fillId="0" borderId="16" xfId="3" applyNumberFormat="1" applyFont="1" applyFill="1" applyBorder="1" applyAlignment="1">
      <alignment horizontal="center" vertical="center" wrapText="1"/>
    </xf>
    <xf numFmtId="3" fontId="285" fillId="0" borderId="16" xfId="4719" applyNumberFormat="1" applyFont="1" applyFill="1" applyBorder="1" applyAlignment="1">
      <alignment horizontal="right" vertical="center"/>
    </xf>
    <xf numFmtId="3" fontId="313" fillId="0" borderId="16" xfId="4719" applyNumberFormat="1" applyFont="1" applyFill="1" applyBorder="1" applyAlignment="1">
      <alignment horizontal="right" vertical="center"/>
    </xf>
    <xf numFmtId="1" fontId="313" fillId="0" borderId="17" xfId="1" applyNumberFormat="1" applyFont="1" applyFill="1" applyBorder="1" applyAlignment="1">
      <alignment horizontal="right" vertical="center"/>
    </xf>
    <xf numFmtId="1" fontId="285" fillId="0" borderId="0" xfId="1" applyNumberFormat="1" applyFont="1" applyFill="1" applyAlignment="1">
      <alignment horizontal="right" vertical="center"/>
    </xf>
    <xf numFmtId="3" fontId="285" fillId="0" borderId="0" xfId="1" applyNumberFormat="1" applyFont="1" applyFill="1" applyBorder="1" applyAlignment="1">
      <alignment horizontal="center" vertical="center" wrapText="1"/>
    </xf>
    <xf numFmtId="3" fontId="312" fillId="0" borderId="0" xfId="1" quotePrefix="1" applyNumberFormat="1" applyFont="1" applyFill="1" applyBorder="1" applyAlignment="1">
      <alignment horizontal="center" vertical="center" wrapText="1"/>
    </xf>
    <xf numFmtId="3" fontId="285" fillId="0" borderId="0" xfId="1" quotePrefix="1" applyNumberFormat="1" applyFont="1" applyFill="1" applyBorder="1" applyAlignment="1">
      <alignment horizontal="right" vertical="center" wrapText="1"/>
    </xf>
    <xf numFmtId="3" fontId="313" fillId="2" borderId="0" xfId="1" quotePrefix="1" applyNumberFormat="1" applyFont="1" applyFill="1" applyBorder="1" applyAlignment="1">
      <alignment horizontal="right" vertical="center" wrapText="1"/>
    </xf>
    <xf numFmtId="3" fontId="313" fillId="55" borderId="0" xfId="1" quotePrefix="1" applyNumberFormat="1" applyFont="1" applyFill="1" applyBorder="1" applyAlignment="1">
      <alignment horizontal="right" vertical="center" wrapText="1"/>
    </xf>
    <xf numFmtId="3" fontId="313" fillId="0" borderId="0" xfId="1" quotePrefix="1" applyNumberFormat="1" applyFont="1" applyFill="1" applyBorder="1" applyAlignment="1">
      <alignment horizontal="right" vertical="center" wrapText="1"/>
    </xf>
    <xf numFmtId="335" fontId="285" fillId="0" borderId="0" xfId="1" quotePrefix="1" applyNumberFormat="1" applyFont="1" applyFill="1" applyBorder="1" applyAlignment="1">
      <alignment horizontal="right" vertical="center" wrapText="1"/>
    </xf>
    <xf numFmtId="3" fontId="313" fillId="0" borderId="0" xfId="4" applyNumberFormat="1" applyFont="1" applyFill="1" applyBorder="1" applyAlignment="1">
      <alignment horizontal="right" vertical="center"/>
    </xf>
    <xf numFmtId="167" fontId="285" fillId="0" borderId="0" xfId="4" applyNumberFormat="1" applyFont="1" applyFill="1" applyBorder="1" applyAlignment="1">
      <alignment horizontal="center" vertical="center" wrapText="1"/>
    </xf>
    <xf numFmtId="3" fontId="285" fillId="0" borderId="0" xfId="0" applyNumberFormat="1" applyFont="1" applyFill="1" applyBorder="1" applyAlignment="1">
      <alignment horizontal="right" vertical="center" wrapText="1"/>
    </xf>
    <xf numFmtId="3" fontId="285" fillId="0" borderId="0" xfId="0" quotePrefix="1" applyNumberFormat="1" applyFont="1" applyFill="1" applyBorder="1" applyAlignment="1">
      <alignment horizontal="right" vertical="center"/>
    </xf>
    <xf numFmtId="3" fontId="285" fillId="0" borderId="0" xfId="4" applyNumberFormat="1" applyFont="1" applyFill="1" applyBorder="1" applyAlignment="1">
      <alignment horizontal="right" vertical="center" wrapText="1"/>
    </xf>
    <xf numFmtId="335" fontId="285" fillId="0" borderId="0" xfId="4" applyNumberFormat="1" applyFont="1" applyFill="1" applyBorder="1" applyAlignment="1">
      <alignment horizontal="right" vertical="center" wrapText="1"/>
    </xf>
    <xf numFmtId="3" fontId="285" fillId="0" borderId="0" xfId="1928" applyNumberFormat="1" applyFont="1" applyFill="1" applyBorder="1" applyAlignment="1">
      <alignment horizontal="right" vertical="center" wrapText="1"/>
    </xf>
    <xf numFmtId="3" fontId="313" fillId="0" borderId="0" xfId="1691" applyNumberFormat="1" applyFont="1" applyFill="1" applyBorder="1" applyAlignment="1">
      <alignment horizontal="right" vertical="center"/>
    </xf>
    <xf numFmtId="3" fontId="285" fillId="0" borderId="0" xfId="1889" applyNumberFormat="1" applyFont="1" applyFill="1" applyBorder="1" applyAlignment="1">
      <alignment horizontal="right" vertical="center" wrapText="1"/>
    </xf>
    <xf numFmtId="3" fontId="285" fillId="0" borderId="0" xfId="0" applyNumberFormat="1" applyFont="1" applyFill="1" applyBorder="1" applyAlignment="1">
      <alignment vertical="center"/>
    </xf>
    <xf numFmtId="3" fontId="313" fillId="55" borderId="0" xfId="4" applyNumberFormat="1" applyFont="1" applyFill="1" applyBorder="1" applyAlignment="1">
      <alignment horizontal="right" vertical="center"/>
    </xf>
    <xf numFmtId="3" fontId="313" fillId="0" borderId="0" xfId="4" applyNumberFormat="1" applyFont="1" applyFill="1" applyBorder="1" applyAlignment="1">
      <alignment horizontal="right" vertical="center" wrapText="1"/>
    </xf>
    <xf numFmtId="335" fontId="285" fillId="0" borderId="0" xfId="4" applyNumberFormat="1" applyFont="1" applyFill="1" applyBorder="1" applyAlignment="1">
      <alignment horizontal="right" vertical="center"/>
    </xf>
    <xf numFmtId="3" fontId="313" fillId="0" borderId="0" xfId="4" quotePrefix="1" applyNumberFormat="1" applyFont="1" applyFill="1" applyBorder="1" applyAlignment="1">
      <alignment horizontal="right" vertical="center" wrapText="1"/>
    </xf>
    <xf numFmtId="3" fontId="313" fillId="0" borderId="0" xfId="1" applyNumberFormat="1" applyFont="1" applyFill="1" applyBorder="1" applyAlignment="1">
      <alignment horizontal="right" vertical="center"/>
    </xf>
    <xf numFmtId="335" fontId="285" fillId="0" borderId="0" xfId="1" applyNumberFormat="1" applyFont="1" applyFill="1" applyBorder="1" applyAlignment="1">
      <alignment horizontal="right" vertical="center"/>
    </xf>
    <xf numFmtId="335" fontId="285" fillId="0" borderId="0" xfId="0" quotePrefix="1" applyNumberFormat="1" applyFont="1" applyFill="1" applyBorder="1" applyAlignment="1">
      <alignment horizontal="right" vertical="center"/>
    </xf>
    <xf numFmtId="335" fontId="285" fillId="0" borderId="0" xfId="0" applyNumberFormat="1" applyFont="1" applyFill="1" applyBorder="1" applyAlignment="1">
      <alignment horizontal="right" vertical="center"/>
    </xf>
    <xf numFmtId="335" fontId="285" fillId="0" borderId="0" xfId="2758" applyNumberFormat="1" applyFont="1" applyFill="1" applyBorder="1" applyAlignment="1">
      <alignment horizontal="right" vertical="center" wrapText="1"/>
    </xf>
    <xf numFmtId="3" fontId="313" fillId="53" borderId="0" xfId="4" applyNumberFormat="1" applyFont="1" applyFill="1" applyBorder="1" applyAlignment="1">
      <alignment horizontal="right" vertical="center"/>
    </xf>
    <xf numFmtId="3" fontId="285" fillId="0" borderId="0" xfId="4" applyNumberFormat="1" applyFont="1" applyFill="1" applyBorder="1" applyAlignment="1">
      <alignment horizontal="right" vertical="center"/>
    </xf>
    <xf numFmtId="3" fontId="313" fillId="0" borderId="0" xfId="1893" applyNumberFormat="1" applyFont="1" applyFill="1" applyBorder="1" applyAlignment="1">
      <alignment horizontal="right" vertical="center" wrapText="1"/>
    </xf>
    <xf numFmtId="3" fontId="313" fillId="55" borderId="0" xfId="1" applyNumberFormat="1" applyFont="1" applyFill="1" applyBorder="1" applyAlignment="1">
      <alignment horizontal="right" vertical="center"/>
    </xf>
    <xf numFmtId="167" fontId="313" fillId="0" borderId="0" xfId="4" quotePrefix="1" applyNumberFormat="1" applyFont="1" applyFill="1" applyBorder="1" applyAlignment="1">
      <alignment horizontal="right" vertical="center" wrapText="1"/>
    </xf>
    <xf numFmtId="167" fontId="285" fillId="0" borderId="0" xfId="4" applyNumberFormat="1" applyFont="1" applyFill="1" applyBorder="1" applyAlignment="1">
      <alignment horizontal="right" vertical="center"/>
    </xf>
    <xf numFmtId="167" fontId="313" fillId="0" borderId="0" xfId="4" applyNumberFormat="1" applyFont="1" applyFill="1" applyBorder="1" applyAlignment="1">
      <alignment horizontal="right" vertical="center"/>
    </xf>
    <xf numFmtId="3" fontId="285" fillId="0" borderId="0" xfId="1" applyNumberFormat="1" applyFont="1" applyFill="1" applyBorder="1" applyAlignment="1">
      <alignment horizontal="right" vertical="center"/>
    </xf>
    <xf numFmtId="3" fontId="285" fillId="0" borderId="0" xfId="0" applyNumberFormat="1" applyFont="1" applyFill="1" applyBorder="1" applyAlignment="1">
      <alignment horizontal="right" vertical="center"/>
    </xf>
    <xf numFmtId="335" fontId="285" fillId="0" borderId="0" xfId="4712" applyNumberFormat="1" applyFont="1" applyFill="1" applyBorder="1" applyAlignment="1">
      <alignment vertical="center"/>
    </xf>
    <xf numFmtId="335" fontId="285" fillId="0" borderId="0" xfId="4712" applyNumberFormat="1" applyFont="1" applyFill="1" applyBorder="1" applyAlignment="1">
      <alignment horizontal="right" vertical="center"/>
    </xf>
    <xf numFmtId="335" fontId="313" fillId="0" borderId="0" xfId="0" applyNumberFormat="1" applyFont="1" applyFill="1" applyBorder="1" applyAlignment="1">
      <alignment horizontal="right" vertical="center"/>
    </xf>
    <xf numFmtId="335" fontId="315" fillId="0" borderId="0" xfId="0" applyNumberFormat="1" applyFont="1" applyFill="1" applyBorder="1" applyAlignment="1">
      <alignment horizontal="right" vertical="center"/>
    </xf>
    <xf numFmtId="3" fontId="285" fillId="0" borderId="0" xfId="3" applyNumberFormat="1" applyFont="1" applyFill="1" applyBorder="1" applyAlignment="1">
      <alignment horizontal="right" vertical="center" wrapText="1"/>
    </xf>
    <xf numFmtId="335" fontId="285" fillId="0" borderId="0" xfId="1" applyNumberFormat="1" applyFont="1" applyFill="1" applyBorder="1" applyAlignment="1">
      <alignment vertical="center"/>
    </xf>
    <xf numFmtId="49" fontId="285" fillId="0" borderId="0" xfId="3" applyNumberFormat="1" applyFont="1" applyFill="1" applyBorder="1" applyAlignment="1">
      <alignment horizontal="center" vertical="center" wrapText="1"/>
    </xf>
    <xf numFmtId="3" fontId="313" fillId="0" borderId="0" xfId="4719" applyNumberFormat="1" applyFont="1" applyFill="1" applyBorder="1" applyAlignment="1">
      <alignment horizontal="right" vertical="center"/>
    </xf>
    <xf numFmtId="3" fontId="285" fillId="0" borderId="0" xfId="4719" applyNumberFormat="1" applyFont="1" applyFill="1" applyBorder="1" applyAlignment="1">
      <alignment horizontal="right" vertical="center"/>
    </xf>
    <xf numFmtId="1" fontId="313" fillId="0" borderId="0" xfId="1" applyNumberFormat="1" applyFont="1" applyFill="1" applyBorder="1" applyAlignment="1">
      <alignment horizontal="right" vertical="center"/>
    </xf>
    <xf numFmtId="3" fontId="18" fillId="2" borderId="16" xfId="1" quotePrefix="1" applyNumberFormat="1" applyFont="1" applyFill="1" applyBorder="1" applyAlignment="1">
      <alignment vertical="center" wrapText="1"/>
    </xf>
    <xf numFmtId="3" fontId="273" fillId="0" borderId="16" xfId="1" quotePrefix="1" applyNumberFormat="1" applyFont="1" applyFill="1" applyBorder="1" applyAlignment="1">
      <alignment vertical="center" wrapText="1"/>
    </xf>
    <xf numFmtId="3" fontId="18" fillId="55" borderId="16" xfId="1" quotePrefix="1" applyNumberFormat="1" applyFont="1" applyFill="1" applyBorder="1" applyAlignment="1">
      <alignment vertical="center" wrapText="1"/>
    </xf>
    <xf numFmtId="3" fontId="18" fillId="0" borderId="16" xfId="1" quotePrefix="1" applyNumberFormat="1" applyFont="1" applyFill="1" applyBorder="1" applyAlignment="1">
      <alignment vertical="center" wrapText="1"/>
    </xf>
    <xf numFmtId="335" fontId="10" fillId="0" borderId="16" xfId="1" quotePrefix="1" applyNumberFormat="1" applyFont="1" applyFill="1" applyBorder="1" applyAlignment="1">
      <alignment vertical="center" wrapText="1"/>
    </xf>
    <xf numFmtId="3" fontId="18" fillId="0" borderId="16" xfId="4" applyNumberFormat="1" applyFont="1" applyFill="1" applyBorder="1" applyAlignment="1">
      <alignment vertical="center"/>
    </xf>
    <xf numFmtId="167" fontId="10" fillId="0" borderId="16" xfId="4" applyNumberFormat="1" applyFont="1" applyFill="1" applyBorder="1" applyAlignment="1">
      <alignment vertical="center" wrapText="1"/>
    </xf>
    <xf numFmtId="3" fontId="10" fillId="0" borderId="16" xfId="0" quotePrefix="1" applyNumberFormat="1" applyFont="1" applyFill="1" applyBorder="1" applyAlignment="1">
      <alignment vertical="center"/>
    </xf>
    <xf numFmtId="335" fontId="10" fillId="0" borderId="16" xfId="4" applyNumberFormat="1" applyFont="1" applyFill="1" applyBorder="1" applyAlignment="1">
      <alignment vertical="center" wrapText="1"/>
    </xf>
    <xf numFmtId="335" fontId="10" fillId="0" borderId="16" xfId="1657" applyNumberFormat="1" applyFont="1" applyFill="1" applyBorder="1" applyAlignment="1">
      <alignment vertical="center" wrapText="1"/>
    </xf>
    <xf numFmtId="3" fontId="10" fillId="0" borderId="16" xfId="1928" applyNumberFormat="1" applyFont="1" applyFill="1" applyBorder="1" applyAlignment="1">
      <alignment vertical="center" wrapText="1"/>
    </xf>
    <xf numFmtId="3" fontId="18" fillId="0" borderId="16" xfId="1691" applyNumberFormat="1" applyFont="1" applyFill="1" applyBorder="1" applyAlignment="1">
      <alignment vertical="center"/>
    </xf>
    <xf numFmtId="3" fontId="10" fillId="0" borderId="16" xfId="1" quotePrefix="1" applyNumberFormat="1" applyFont="1" applyFill="1" applyBorder="1" applyAlignment="1">
      <alignment vertical="center" wrapText="1"/>
    </xf>
    <xf numFmtId="3" fontId="10" fillId="0" borderId="16" xfId="4" applyNumberFormat="1" applyFont="1" applyFill="1" applyBorder="1" applyAlignment="1">
      <alignment vertical="center" wrapText="1"/>
    </xf>
    <xf numFmtId="3" fontId="10" fillId="0" borderId="16" xfId="1889" applyNumberFormat="1" applyFont="1" applyFill="1" applyBorder="1" applyAlignment="1">
      <alignment vertical="center" wrapText="1"/>
    </xf>
    <xf numFmtId="3" fontId="18" fillId="55" borderId="16" xfId="4" applyNumberFormat="1" applyFont="1" applyFill="1" applyBorder="1" applyAlignment="1">
      <alignment vertical="center"/>
    </xf>
    <xf numFmtId="3" fontId="18" fillId="0" borderId="16" xfId="4" applyNumberFormat="1" applyFont="1" applyFill="1" applyBorder="1" applyAlignment="1">
      <alignment vertical="center" wrapText="1"/>
    </xf>
    <xf numFmtId="335" fontId="10" fillId="0" borderId="16" xfId="4" applyNumberFormat="1" applyFont="1" applyFill="1" applyBorder="1" applyAlignment="1">
      <alignment vertical="center"/>
    </xf>
    <xf numFmtId="3" fontId="18" fillId="0" borderId="16" xfId="4" quotePrefix="1" applyNumberFormat="1" applyFont="1" applyFill="1" applyBorder="1" applyAlignment="1">
      <alignment vertical="center" wrapText="1"/>
    </xf>
    <xf numFmtId="335" fontId="285" fillId="0" borderId="16" xfId="1" quotePrefix="1" applyNumberFormat="1" applyFont="1" applyFill="1" applyBorder="1" applyAlignment="1">
      <alignment vertical="center" wrapText="1"/>
    </xf>
    <xf numFmtId="3" fontId="18" fillId="0" borderId="16" xfId="1" applyNumberFormat="1" applyFont="1" applyFill="1" applyBorder="1" applyAlignment="1">
      <alignment vertical="center"/>
    </xf>
    <xf numFmtId="335" fontId="10" fillId="0" borderId="16" xfId="0" applyNumberFormat="1" applyFont="1" applyFill="1" applyBorder="1" applyAlignment="1">
      <alignment vertical="center" wrapText="1"/>
    </xf>
    <xf numFmtId="335" fontId="10" fillId="0" borderId="16" xfId="0" applyNumberFormat="1" applyFont="1" applyFill="1" applyBorder="1" applyAlignment="1">
      <alignment vertical="center"/>
    </xf>
    <xf numFmtId="335" fontId="10" fillId="0" borderId="16" xfId="1889" applyNumberFormat="1" applyFont="1" applyFill="1" applyBorder="1" applyAlignment="1">
      <alignment vertical="center" wrapText="1"/>
    </xf>
    <xf numFmtId="335" fontId="10" fillId="0" borderId="16" xfId="2758" applyNumberFormat="1" applyFont="1" applyFill="1" applyBorder="1" applyAlignment="1">
      <alignment vertical="center" wrapText="1"/>
    </xf>
    <xf numFmtId="3" fontId="18" fillId="53" borderId="16" xfId="4" applyNumberFormat="1" applyFont="1" applyFill="1" applyBorder="1" applyAlignment="1">
      <alignment vertical="center"/>
    </xf>
    <xf numFmtId="3" fontId="10" fillId="0" borderId="16" xfId="4" applyNumberFormat="1" applyFont="1" applyFill="1" applyBorder="1" applyAlignment="1">
      <alignment vertical="center"/>
    </xf>
    <xf numFmtId="3" fontId="18" fillId="0" borderId="16" xfId="1893" applyNumberFormat="1" applyFont="1" applyFill="1" applyBorder="1" applyAlignment="1">
      <alignment vertical="center" wrapText="1"/>
    </xf>
    <xf numFmtId="3" fontId="18" fillId="55" borderId="16" xfId="1" applyNumberFormat="1" applyFont="1" applyFill="1" applyBorder="1" applyAlignment="1">
      <alignment vertical="center"/>
    </xf>
    <xf numFmtId="167" fontId="18" fillId="0" borderId="16" xfId="4" quotePrefix="1" applyNumberFormat="1" applyFont="1" applyFill="1" applyBorder="1" applyAlignment="1">
      <alignment vertical="center" wrapText="1"/>
    </xf>
    <xf numFmtId="167" fontId="10" fillId="0" borderId="16" xfId="4" applyNumberFormat="1" applyFont="1" applyFill="1" applyBorder="1" applyAlignment="1">
      <alignment vertical="center"/>
    </xf>
    <xf numFmtId="167" fontId="18" fillId="0" borderId="16" xfId="4" applyNumberFormat="1" applyFont="1" applyFill="1" applyBorder="1" applyAlignment="1">
      <alignment vertical="center"/>
    </xf>
    <xf numFmtId="167" fontId="273" fillId="0" borderId="16" xfId="4" applyNumberFormat="1" applyFont="1" applyFill="1" applyBorder="1" applyAlignment="1">
      <alignment vertical="center"/>
    </xf>
    <xf numFmtId="3" fontId="10" fillId="0" borderId="16" xfId="1" applyNumberFormat="1" applyFont="1" applyFill="1" applyBorder="1" applyAlignment="1">
      <alignment vertical="center"/>
    </xf>
    <xf numFmtId="3" fontId="273" fillId="0" borderId="16" xfId="1" applyNumberFormat="1" applyFont="1" applyFill="1" applyBorder="1" applyAlignment="1">
      <alignment vertical="center"/>
    </xf>
    <xf numFmtId="335" fontId="18" fillId="0" borderId="16" xfId="0" applyNumberFormat="1" applyFont="1" applyFill="1" applyBorder="1" applyAlignment="1">
      <alignment vertical="center"/>
    </xf>
    <xf numFmtId="335" fontId="21" fillId="0" borderId="16" xfId="0" applyNumberFormat="1" applyFont="1" applyFill="1" applyBorder="1" applyAlignment="1">
      <alignment vertical="center"/>
    </xf>
    <xf numFmtId="3" fontId="10" fillId="0" borderId="16" xfId="3" applyNumberFormat="1" applyFont="1" applyFill="1" applyBorder="1" applyAlignment="1">
      <alignment vertical="center" wrapText="1"/>
    </xf>
    <xf numFmtId="49" fontId="10" fillId="0" borderId="16" xfId="3" applyNumberFormat="1" applyFont="1" applyFill="1" applyBorder="1" applyAlignment="1">
      <alignment vertical="center" wrapText="1"/>
    </xf>
    <xf numFmtId="3" fontId="10" fillId="0" borderId="16" xfId="4719" applyNumberFormat="1" applyFont="1" applyFill="1" applyBorder="1" applyAlignment="1">
      <alignment vertical="center"/>
    </xf>
    <xf numFmtId="3" fontId="18" fillId="0" borderId="16" xfId="4719" applyNumberFormat="1" applyFont="1" applyFill="1" applyBorder="1" applyAlignment="1">
      <alignment vertical="center"/>
    </xf>
    <xf numFmtId="1" fontId="18" fillId="0" borderId="17" xfId="1" applyNumberFormat="1" applyFont="1" applyFill="1" applyBorder="1" applyAlignment="1">
      <alignment vertical="center"/>
    </xf>
    <xf numFmtId="3" fontId="16" fillId="51" borderId="0" xfId="1" applyNumberFormat="1" applyFont="1" applyFill="1" applyBorder="1" applyAlignment="1">
      <alignment horizontal="center" vertical="center" wrapText="1"/>
    </xf>
    <xf numFmtId="3" fontId="306" fillId="0" borderId="14" xfId="1" quotePrefix="1" applyNumberFormat="1" applyFont="1" applyFill="1" applyBorder="1" applyAlignment="1">
      <alignment vertical="center" wrapText="1"/>
    </xf>
    <xf numFmtId="0" fontId="22" fillId="0" borderId="16" xfId="4714" applyFont="1" applyFill="1" applyBorder="1" applyAlignment="1">
      <alignment horizontal="center" vertical="center"/>
    </xf>
    <xf numFmtId="1" fontId="22" fillId="0" borderId="16" xfId="0" applyNumberFormat="1" applyFont="1" applyFill="1" applyBorder="1" applyAlignment="1">
      <alignment horizontal="center" vertical="center"/>
    </xf>
    <xf numFmtId="336" fontId="249" fillId="0" borderId="16" xfId="0" applyNumberFormat="1" applyFont="1" applyFill="1" applyBorder="1" applyAlignment="1">
      <alignment horizontal="center" vertical="center" wrapText="1"/>
    </xf>
    <xf numFmtId="167" fontId="21" fillId="0" borderId="16" xfId="1893" applyNumberFormat="1" applyFont="1" applyFill="1" applyBorder="1" applyAlignment="1">
      <alignment horizontal="right" vertical="center" wrapText="1"/>
    </xf>
    <xf numFmtId="3" fontId="21" fillId="0" borderId="16" xfId="1" applyNumberFormat="1" applyFont="1" applyFill="1" applyBorder="1" applyAlignment="1">
      <alignment horizontal="right" vertical="center" wrapText="1"/>
    </xf>
    <xf numFmtId="335" fontId="21" fillId="0" borderId="16" xfId="1" applyNumberFormat="1" applyFont="1" applyFill="1" applyBorder="1" applyAlignment="1">
      <alignment horizontal="right" vertical="center"/>
    </xf>
    <xf numFmtId="335" fontId="21" fillId="0" borderId="16" xfId="1" quotePrefix="1" applyNumberFormat="1" applyFont="1" applyFill="1" applyBorder="1" applyAlignment="1">
      <alignment horizontal="right" vertical="center" wrapText="1"/>
    </xf>
    <xf numFmtId="335" fontId="21" fillId="0" borderId="16" xfId="1" applyNumberFormat="1" applyFont="1" applyFill="1" applyBorder="1" applyAlignment="1">
      <alignment vertical="center"/>
    </xf>
    <xf numFmtId="335" fontId="249" fillId="0" borderId="16" xfId="1" applyNumberFormat="1" applyFont="1" applyFill="1" applyBorder="1" applyAlignment="1">
      <alignment horizontal="center" vertical="center" wrapText="1"/>
    </xf>
    <xf numFmtId="335" fontId="315" fillId="0" borderId="16" xfId="1" quotePrefix="1" applyNumberFormat="1" applyFont="1" applyFill="1" applyBorder="1" applyAlignment="1">
      <alignment horizontal="right" vertical="center" wrapText="1"/>
    </xf>
    <xf numFmtId="335" fontId="315" fillId="0" borderId="16" xfId="1" applyNumberFormat="1" applyFont="1" applyFill="1" applyBorder="1" applyAlignment="1">
      <alignment horizontal="right" vertical="center"/>
    </xf>
    <xf numFmtId="335" fontId="315" fillId="0" borderId="0" xfId="1" applyNumberFormat="1" applyFont="1" applyFill="1" applyBorder="1" applyAlignment="1">
      <alignment horizontal="right" vertical="center"/>
    </xf>
    <xf numFmtId="3" fontId="22" fillId="0" borderId="0" xfId="1" applyNumberFormat="1" applyFont="1" applyFill="1" applyBorder="1" applyAlignment="1">
      <alignment horizontal="center" vertical="center" wrapText="1"/>
    </xf>
    <xf numFmtId="3" fontId="258" fillId="51" borderId="0" xfId="1" applyNumberFormat="1" applyFont="1" applyFill="1" applyBorder="1" applyAlignment="1">
      <alignment vertical="center"/>
    </xf>
    <xf numFmtId="1" fontId="316" fillId="53" borderId="0" xfId="1" applyNumberFormat="1" applyFont="1" applyFill="1" applyAlignment="1">
      <alignment vertical="center"/>
    </xf>
    <xf numFmtId="3" fontId="17" fillId="0" borderId="16" xfId="4713" applyNumberFormat="1" applyFont="1" applyFill="1" applyBorder="1" applyAlignment="1">
      <alignment horizontal="center" vertical="center" wrapText="1"/>
    </xf>
    <xf numFmtId="3" fontId="17" fillId="0" borderId="16" xfId="3451" applyNumberFormat="1" applyFont="1" applyFill="1" applyBorder="1" applyAlignment="1">
      <alignment horizontal="center" vertical="center" wrapText="1"/>
    </xf>
    <xf numFmtId="3" fontId="17" fillId="0" borderId="16" xfId="4717" applyNumberFormat="1" applyFont="1" applyFill="1" applyBorder="1" applyAlignment="1">
      <alignment horizontal="center" vertical="center" wrapText="1"/>
    </xf>
    <xf numFmtId="3" fontId="17" fillId="0" borderId="16" xfId="0" applyNumberFormat="1" applyFont="1" applyFill="1" applyBorder="1" applyAlignment="1">
      <alignment horizontal="center" vertical="center" wrapText="1" shrinkToFit="1"/>
    </xf>
    <xf numFmtId="3" fontId="17" fillId="0" borderId="16" xfId="2762" applyNumberFormat="1" applyFont="1" applyFill="1" applyBorder="1" applyAlignment="1">
      <alignment horizontal="center" vertical="center" wrapText="1" shrinkToFit="1"/>
    </xf>
    <xf numFmtId="0" fontId="17" fillId="0" borderId="16" xfId="4714" applyFont="1" applyFill="1" applyBorder="1" applyAlignment="1">
      <alignment horizontal="center" vertical="center" wrapText="1"/>
    </xf>
    <xf numFmtId="0" fontId="249" fillId="0" borderId="16" xfId="4714" applyFont="1" applyFill="1" applyBorder="1" applyAlignment="1">
      <alignment horizontal="center" vertical="center" wrapText="1"/>
    </xf>
    <xf numFmtId="3" fontId="17" fillId="0" borderId="16" xfId="5" applyNumberFormat="1" applyFont="1" applyFill="1" applyBorder="1" applyAlignment="1">
      <alignment horizontal="center" vertical="center" wrapText="1"/>
    </xf>
    <xf numFmtId="3" fontId="285" fillId="0" borderId="14" xfId="1" quotePrefix="1" applyNumberFormat="1" applyFont="1" applyFill="1" applyBorder="1" applyAlignment="1">
      <alignment horizontal="center" vertical="center" wrapText="1"/>
    </xf>
    <xf numFmtId="1" fontId="314" fillId="0" borderId="16" xfId="1" applyNumberFormat="1" applyFont="1" applyFill="1" applyBorder="1" applyAlignment="1">
      <alignment vertical="center"/>
    </xf>
    <xf numFmtId="1" fontId="285" fillId="0" borderId="16" xfId="1" applyNumberFormat="1" applyFont="1" applyFill="1" applyBorder="1" applyAlignment="1">
      <alignment vertical="center"/>
    </xf>
    <xf numFmtId="3" fontId="285" fillId="0" borderId="16" xfId="4712" applyNumberFormat="1" applyFont="1" applyFill="1" applyBorder="1" applyAlignment="1">
      <alignment horizontal="right" vertical="center" wrapText="1"/>
    </xf>
    <xf numFmtId="335" fontId="285" fillId="0" borderId="16" xfId="4" applyNumberFormat="1" applyFont="1" applyFill="1" applyBorder="1" applyAlignment="1">
      <alignment vertical="center"/>
    </xf>
    <xf numFmtId="167" fontId="285" fillId="0" borderId="16" xfId="1785" applyNumberFormat="1" applyFont="1" applyFill="1" applyBorder="1" applyAlignment="1">
      <alignment horizontal="right" vertical="center" wrapText="1"/>
    </xf>
    <xf numFmtId="1" fontId="285" fillId="0" borderId="16" xfId="1" applyNumberFormat="1" applyFont="1" applyFill="1" applyBorder="1" applyAlignment="1">
      <alignment horizontal="center" vertical="center"/>
    </xf>
    <xf numFmtId="335" fontId="285" fillId="0" borderId="16" xfId="4719" applyNumberFormat="1" applyFont="1" applyFill="1" applyBorder="1" applyAlignment="1">
      <alignment horizontal="right" vertical="center"/>
    </xf>
    <xf numFmtId="3" fontId="285" fillId="0" borderId="16" xfId="4720" applyNumberFormat="1" applyFont="1" applyFill="1" applyBorder="1" applyAlignment="1">
      <alignment horizontal="right" vertical="center" wrapText="1"/>
    </xf>
    <xf numFmtId="1" fontId="285" fillId="0" borderId="16" xfId="1" applyNumberFormat="1" applyFont="1" applyFill="1" applyBorder="1" applyAlignment="1">
      <alignment horizontal="center" vertical="center" wrapText="1"/>
    </xf>
    <xf numFmtId="335" fontId="313" fillId="0" borderId="16" xfId="0" applyNumberFormat="1" applyFont="1" applyFill="1" applyBorder="1" applyAlignment="1">
      <alignment horizontal="right" vertical="center"/>
    </xf>
    <xf numFmtId="0" fontId="283" fillId="0" borderId="0" xfId="0" applyFont="1" applyAlignment="1">
      <alignment horizontal="center"/>
    </xf>
    <xf numFmtId="0" fontId="284" fillId="0" borderId="0" xfId="0" applyFont="1" applyAlignment="1">
      <alignment horizontal="center"/>
    </xf>
    <xf numFmtId="0" fontId="267" fillId="0" borderId="49" xfId="0" applyFont="1" applyBorder="1" applyAlignment="1">
      <alignment horizontal="center" vertical="center" wrapText="1"/>
    </xf>
    <xf numFmtId="0" fontId="267" fillId="0" borderId="10" xfId="0" applyFont="1" applyBorder="1" applyAlignment="1">
      <alignment horizontal="center" vertical="center" wrapText="1"/>
    </xf>
    <xf numFmtId="0" fontId="267" fillId="0" borderId="13" xfId="0" applyFont="1" applyBorder="1" applyAlignment="1">
      <alignment horizontal="center" vertical="center" wrapText="1"/>
    </xf>
    <xf numFmtId="0" fontId="267" fillId="0" borderId="31" xfId="0" applyFont="1" applyBorder="1" applyAlignment="1">
      <alignment horizontal="center" vertical="center" wrapText="1"/>
    </xf>
    <xf numFmtId="3" fontId="19" fillId="0" borderId="31" xfId="1" applyNumberFormat="1" applyFont="1" applyFill="1" applyBorder="1" applyAlignment="1">
      <alignment horizontal="center" vertical="center" wrapText="1"/>
    </xf>
    <xf numFmtId="3" fontId="19" fillId="0" borderId="49" xfId="1" applyNumberFormat="1" applyFont="1" applyFill="1" applyBorder="1" applyAlignment="1">
      <alignment horizontal="center" vertical="center" wrapText="1"/>
    </xf>
    <xf numFmtId="3" fontId="19" fillId="0" borderId="13" xfId="1" applyNumberFormat="1" applyFont="1" applyFill="1" applyBorder="1" applyAlignment="1">
      <alignment horizontal="center" vertical="center" wrapText="1"/>
    </xf>
    <xf numFmtId="0" fontId="267" fillId="0" borderId="45" xfId="0" applyFont="1" applyBorder="1" applyAlignment="1">
      <alignment horizontal="center"/>
    </xf>
    <xf numFmtId="0" fontId="267" fillId="0" borderId="4" xfId="0" applyFont="1" applyBorder="1" applyAlignment="1">
      <alignment horizontal="center"/>
    </xf>
    <xf numFmtId="3" fontId="285" fillId="0" borderId="31" xfId="1" applyNumberFormat="1" applyFont="1" applyFill="1" applyBorder="1" applyAlignment="1">
      <alignment horizontal="center" vertical="center" wrapText="1"/>
    </xf>
    <xf numFmtId="3" fontId="17" fillId="55" borderId="59" xfId="1" applyNumberFormat="1" applyFont="1" applyFill="1" applyBorder="1" applyAlignment="1">
      <alignment horizontal="center" vertical="center" wrapText="1"/>
    </xf>
    <xf numFmtId="3" fontId="17" fillId="55" borderId="15" xfId="1" applyNumberFormat="1" applyFont="1" applyFill="1" applyBorder="1" applyAlignment="1">
      <alignment horizontal="center" vertical="center" wrapText="1"/>
    </xf>
    <xf numFmtId="3" fontId="10" fillId="0" borderId="49" xfId="1" applyNumberFormat="1" applyFont="1" applyFill="1" applyBorder="1" applyAlignment="1">
      <alignment horizontal="center" vertical="center" wrapText="1"/>
    </xf>
    <xf numFmtId="3" fontId="10" fillId="0" borderId="10" xfId="1" applyNumberFormat="1" applyFont="1" applyFill="1" applyBorder="1" applyAlignment="1">
      <alignment horizontal="center" vertical="center" wrapText="1"/>
    </xf>
    <xf numFmtId="3" fontId="10" fillId="0" borderId="13" xfId="1" applyNumberFormat="1" applyFont="1" applyFill="1" applyBorder="1" applyAlignment="1">
      <alignment horizontal="center" vertical="center" wrapText="1"/>
    </xf>
    <xf numFmtId="3" fontId="10" fillId="0" borderId="31" xfId="1" applyNumberFormat="1" applyFont="1" applyFill="1" applyBorder="1" applyAlignment="1">
      <alignment horizontal="center" vertical="center" wrapText="1"/>
    </xf>
    <xf numFmtId="0" fontId="14" fillId="0" borderId="31" xfId="3" applyFont="1" applyFill="1" applyBorder="1"/>
    <xf numFmtId="3" fontId="273" fillId="0" borderId="31" xfId="1" applyNumberFormat="1" applyFont="1" applyFill="1" applyBorder="1" applyAlignment="1">
      <alignment horizontal="center" vertical="center" wrapText="1"/>
    </xf>
    <xf numFmtId="3" fontId="10" fillId="0" borderId="31" xfId="1" applyNumberFormat="1" applyFont="1" applyBorder="1" applyAlignment="1">
      <alignment horizontal="center" vertical="center" wrapText="1"/>
    </xf>
    <xf numFmtId="1" fontId="10" fillId="0" borderId="31" xfId="1" applyNumberFormat="1" applyFont="1" applyBorder="1" applyAlignment="1">
      <alignment horizontal="center" vertical="center" wrapText="1"/>
    </xf>
    <xf numFmtId="1" fontId="5" fillId="0" borderId="0" xfId="1" applyNumberFormat="1" applyFont="1" applyFill="1" applyAlignment="1">
      <alignment horizontal="center" vertical="center"/>
    </xf>
    <xf numFmtId="1" fontId="5" fillId="0" borderId="0" xfId="1" applyNumberFormat="1" applyFont="1" applyFill="1" applyAlignment="1">
      <alignment horizontal="center" vertical="center" wrapText="1"/>
    </xf>
    <xf numFmtId="1" fontId="4" fillId="0" borderId="0" xfId="1" applyNumberFormat="1" applyFont="1" applyFill="1" applyAlignment="1">
      <alignment horizontal="center" vertical="center" wrapText="1"/>
    </xf>
    <xf numFmtId="1" fontId="9" fillId="0" borderId="0" xfId="1" applyNumberFormat="1" applyFont="1" applyFill="1" applyBorder="1" applyAlignment="1">
      <alignment horizontal="right" vertical="center"/>
    </xf>
    <xf numFmtId="3" fontId="17" fillId="0" borderId="31" xfId="1" applyNumberFormat="1" applyFont="1" applyFill="1" applyBorder="1" applyAlignment="1">
      <alignment horizontal="center" vertical="center" wrapText="1"/>
    </xf>
    <xf numFmtId="3" fontId="255" fillId="0" borderId="31" xfId="1" applyNumberFormat="1" applyFont="1" applyBorder="1" applyAlignment="1">
      <alignment horizontal="center" vertical="center" wrapText="1"/>
    </xf>
    <xf numFmtId="3" fontId="317" fillId="0" borderId="31" xfId="1" applyNumberFormat="1" applyFont="1" applyBorder="1" applyAlignment="1">
      <alignment horizontal="center" vertical="center" wrapText="1"/>
    </xf>
    <xf numFmtId="3" fontId="11" fillId="0" borderId="31" xfId="1" applyNumberFormat="1" applyFont="1" applyFill="1" applyBorder="1" applyAlignment="1">
      <alignment horizontal="center" vertical="center" wrapText="1"/>
    </xf>
    <xf numFmtId="3" fontId="10" fillId="55" borderId="31" xfId="1" applyNumberFormat="1" applyFont="1" applyFill="1" applyBorder="1" applyAlignment="1">
      <alignment horizontal="center" vertical="center" wrapText="1"/>
    </xf>
    <xf numFmtId="3" fontId="17" fillId="0" borderId="16" xfId="1" quotePrefix="1" applyNumberFormat="1" applyFont="1" applyFill="1" applyBorder="1" applyAlignment="1">
      <alignment horizontal="center" vertical="center" wrapText="1"/>
    </xf>
    <xf numFmtId="1" fontId="3" fillId="0" borderId="0" xfId="1" applyNumberFormat="1" applyFont="1" applyFill="1" applyAlignment="1">
      <alignment horizontal="right" vertical="center"/>
    </xf>
    <xf numFmtId="1" fontId="9" fillId="0" borderId="1" xfId="1" applyNumberFormat="1" applyFont="1" applyFill="1" applyBorder="1" applyAlignment="1">
      <alignment horizontal="right" vertical="center"/>
    </xf>
    <xf numFmtId="3" fontId="10" fillId="0" borderId="49" xfId="1" applyNumberFormat="1" applyFont="1" applyBorder="1" applyAlignment="1">
      <alignment horizontal="center" vertical="center" wrapText="1"/>
    </xf>
    <xf numFmtId="3" fontId="10" fillId="0" borderId="10" xfId="1" applyNumberFormat="1" applyFont="1" applyBorder="1" applyAlignment="1">
      <alignment horizontal="center" vertical="center" wrapText="1"/>
    </xf>
    <xf numFmtId="3" fontId="10" fillId="0" borderId="13" xfId="1" applyNumberFormat="1" applyFont="1" applyBorder="1" applyAlignment="1">
      <alignment horizontal="center" vertical="center" wrapText="1"/>
    </xf>
    <xf numFmtId="3" fontId="15" fillId="0" borderId="49" xfId="1" applyNumberFormat="1" applyFont="1" applyBorder="1" applyAlignment="1">
      <alignment horizontal="center" vertical="center" wrapText="1"/>
    </xf>
    <xf numFmtId="3" fontId="15" fillId="0" borderId="13" xfId="1" applyNumberFormat="1" applyFont="1" applyBorder="1" applyAlignment="1">
      <alignment horizontal="center" vertical="center" wrapText="1"/>
    </xf>
    <xf numFmtId="3" fontId="10" fillId="0" borderId="0" xfId="1" applyNumberFormat="1" applyFont="1" applyBorder="1" applyAlignment="1">
      <alignment horizontal="center" vertical="center" wrapText="1"/>
    </xf>
    <xf numFmtId="0" fontId="12" fillId="0" borderId="0" xfId="2" applyFont="1" applyFill="1" applyBorder="1" applyAlignment="1">
      <alignment horizontal="center" vertical="center" wrapText="1"/>
    </xf>
    <xf numFmtId="3" fontId="10" fillId="56" borderId="5" xfId="1" applyNumberFormat="1" applyFont="1" applyFill="1" applyBorder="1" applyAlignment="1">
      <alignment horizontal="center" vertical="center" wrapText="1"/>
    </xf>
    <xf numFmtId="3" fontId="10" fillId="56" borderId="29" xfId="1" applyNumberFormat="1" applyFont="1" applyFill="1" applyBorder="1" applyAlignment="1">
      <alignment horizontal="center" vertical="center" wrapText="1"/>
    </xf>
    <xf numFmtId="3" fontId="10" fillId="56" borderId="6" xfId="1" applyNumberFormat="1" applyFont="1" applyFill="1" applyBorder="1" applyAlignment="1">
      <alignment horizontal="center" vertical="center" wrapText="1"/>
    </xf>
    <xf numFmtId="3" fontId="10" fillId="56" borderId="11" xfId="1" applyNumberFormat="1" applyFont="1" applyFill="1" applyBorder="1" applyAlignment="1">
      <alignment horizontal="center" vertical="center" wrapText="1"/>
    </xf>
    <xf numFmtId="3" fontId="10" fillId="56" borderId="1" xfId="1" applyNumberFormat="1" applyFont="1" applyFill="1" applyBorder="1" applyAlignment="1">
      <alignment horizontal="center" vertical="center" wrapText="1"/>
    </xf>
    <xf numFmtId="3" fontId="10" fillId="56" borderId="12" xfId="1" applyNumberFormat="1" applyFont="1" applyFill="1" applyBorder="1" applyAlignment="1">
      <alignment horizontal="center" vertical="center" wrapText="1"/>
    </xf>
    <xf numFmtId="3" fontId="10" fillId="56" borderId="31" xfId="1" applyNumberFormat="1" applyFont="1" applyFill="1" applyBorder="1" applyAlignment="1">
      <alignment horizontal="center" vertical="center" wrapText="1"/>
    </xf>
    <xf numFmtId="3" fontId="15" fillId="56" borderId="49" xfId="1" applyNumberFormat="1" applyFont="1" applyFill="1" applyBorder="1" applyAlignment="1">
      <alignment horizontal="center" vertical="center" wrapText="1"/>
    </xf>
    <xf numFmtId="3" fontId="15" fillId="56" borderId="13" xfId="1" applyNumberFormat="1" applyFont="1" applyFill="1" applyBorder="1" applyAlignment="1">
      <alignment horizontal="center" vertical="center" wrapText="1"/>
    </xf>
    <xf numFmtId="3" fontId="10" fillId="0" borderId="5" xfId="1" applyNumberFormat="1" applyFont="1" applyFill="1" applyBorder="1" applyAlignment="1">
      <alignment horizontal="center" vertical="center" wrapText="1"/>
    </xf>
    <xf numFmtId="3" fontId="10" fillId="0" borderId="6" xfId="1" applyNumberFormat="1" applyFont="1" applyFill="1" applyBorder="1" applyAlignment="1">
      <alignment horizontal="center" vertical="center" wrapText="1"/>
    </xf>
    <xf numFmtId="3" fontId="10" fillId="0" borderId="11" xfId="1" applyNumberFormat="1" applyFont="1" applyFill="1" applyBorder="1" applyAlignment="1">
      <alignment horizontal="center" vertical="center" wrapText="1"/>
    </xf>
    <xf numFmtId="3" fontId="10" fillId="0" borderId="12" xfId="1" applyNumberFormat="1"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3" fontId="10" fillId="0" borderId="45" xfId="1" applyNumberFormat="1" applyFont="1" applyFill="1" applyBorder="1" applyAlignment="1">
      <alignment horizontal="center" vertical="center" wrapText="1"/>
    </xf>
    <xf numFmtId="3" fontId="10" fillId="0" borderId="35" xfId="1" applyNumberFormat="1" applyFont="1" applyFill="1" applyBorder="1" applyAlignment="1">
      <alignment horizontal="center" vertical="center" wrapText="1"/>
    </xf>
    <xf numFmtId="3" fontId="10" fillId="0" borderId="4" xfId="1" applyNumberFormat="1" applyFont="1" applyFill="1" applyBorder="1" applyAlignment="1">
      <alignment horizontal="center" vertical="center" wrapText="1"/>
    </xf>
    <xf numFmtId="3" fontId="10" fillId="0" borderId="5" xfId="1" applyNumberFormat="1" applyFont="1" applyBorder="1" applyAlignment="1">
      <alignment horizontal="center" vertical="center" wrapText="1"/>
    </xf>
    <xf numFmtId="3" fontId="10" fillId="0" borderId="6" xfId="1" applyNumberFormat="1" applyFont="1" applyBorder="1" applyAlignment="1">
      <alignment horizontal="center" vertical="center" wrapText="1"/>
    </xf>
    <xf numFmtId="3" fontId="10" fillId="0" borderId="9" xfId="1" applyNumberFormat="1" applyFont="1" applyBorder="1" applyAlignment="1">
      <alignment horizontal="center" vertical="center" wrapText="1"/>
    </xf>
    <xf numFmtId="3" fontId="10" fillId="0" borderId="8" xfId="1" applyNumberFormat="1" applyFont="1" applyBorder="1" applyAlignment="1">
      <alignment horizontal="center" vertical="center" wrapText="1"/>
    </xf>
    <xf numFmtId="3" fontId="10" fillId="0" borderId="11" xfId="1" applyNumberFormat="1" applyFont="1" applyBorder="1" applyAlignment="1">
      <alignment horizontal="center" vertical="center" wrapText="1"/>
    </xf>
    <xf numFmtId="3" fontId="10" fillId="0" borderId="12" xfId="1" applyNumberFormat="1" applyFont="1" applyBorder="1" applyAlignment="1">
      <alignment horizontal="center" vertical="center" wrapText="1"/>
    </xf>
    <xf numFmtId="3" fontId="10" fillId="0" borderId="29" xfId="1" applyNumberFormat="1" applyFont="1" applyBorder="1" applyAlignment="1">
      <alignment horizontal="center" vertical="center" wrapText="1"/>
    </xf>
    <xf numFmtId="3" fontId="10" fillId="0" borderId="1" xfId="1" applyNumberFormat="1" applyFont="1" applyBorder="1" applyAlignment="1">
      <alignment horizontal="center" vertical="center" wrapText="1"/>
    </xf>
    <xf numFmtId="0" fontId="14" fillId="0" borderId="10" xfId="0" applyFont="1" applyBorder="1"/>
    <xf numFmtId="0" fontId="14" fillId="0" borderId="13" xfId="0" applyFont="1" applyBorder="1"/>
    <xf numFmtId="1" fontId="8" fillId="0" borderId="0" xfId="1" applyNumberFormat="1" applyFont="1" applyFill="1" applyAlignment="1">
      <alignment horizontal="left" vertical="center" wrapText="1"/>
    </xf>
  </cellXfs>
  <cellStyles count="4728">
    <cellStyle name="_x0001_" xfId="8"/>
    <cellStyle name="          _x000a__x000a_shell=progman.exe_x000a__x000a_m" xfId="9"/>
    <cellStyle name="          _x000d__x000a_shell=progman.exe_x000d__x000a_m" xfId="10"/>
    <cellStyle name="          _x005f_x000d__x005f_x000a_shell=progman.exe_x005f_x000d__x005f_x000a_m" xfId="11"/>
    <cellStyle name="_x000a__x000a_JournalTemplate=C:\COMFO\CTALK\JOURSTD.TPL_x000a__x000a_LbStateAddress=3 3 0 251 1 89 2 311_x000a__x000a_LbStateJou" xfId="12"/>
    <cellStyle name="_x000d__x000a_JournalTemplate=C:\COMFO\CTALK\JOURSTD.TPL_x000d__x000a_LbStateAddress=3 3 0 251 1 89 2 311_x000d__x000a_LbStateJou" xfId="13"/>
    <cellStyle name="#,##0" xfId="14"/>
    <cellStyle name="#,##0 2" xfId="15"/>
    <cellStyle name="." xfId="16"/>
    <cellStyle name=". 2" xfId="17"/>
    <cellStyle name=". 3" xfId="18"/>
    <cellStyle name=".d©y" xfId="19"/>
    <cellStyle name="??" xfId="20"/>
    <cellStyle name="?? [0.00]_ Att. 1- Cover" xfId="21"/>
    <cellStyle name="?? [0]" xfId="22"/>
    <cellStyle name="?? [0] 2" xfId="23"/>
    <cellStyle name="?? [0]_1202" xfId="24"/>
    <cellStyle name="?? 2" xfId="25"/>
    <cellStyle name="?? 3" xfId="26"/>
    <cellStyle name="?? 4" xfId="27"/>
    <cellStyle name="?? 5" xfId="28"/>
    <cellStyle name="?? 6" xfId="29"/>
    <cellStyle name="?? 7" xfId="30"/>
    <cellStyle name="?_x001d_??%U©÷u&amp;H©÷9_x0008_? s_x000a__x0007__x0001__x0001_" xfId="31"/>
    <cellStyle name="?_x001d_??%U©÷u&amp;H©÷9_x0008_? s_x000a__x0007__x0001__x0001_ 10" xfId="32"/>
    <cellStyle name="?_x001d_??%U©÷u&amp;H©÷9_x0008_? s_x000a__x0007__x0001__x0001_ 11" xfId="33"/>
    <cellStyle name="?_x001d_??%U©÷u&amp;H©÷9_x0008_? s_x000a__x0007__x0001__x0001_ 12" xfId="34"/>
    <cellStyle name="?_x001d_??%U©÷u&amp;H©÷9_x0008_? s_x000a__x0007__x0001__x0001_ 13" xfId="35"/>
    <cellStyle name="?_x001d_??%U©÷u&amp;H©÷9_x0008_? s_x000a__x0007__x0001__x0001_ 14" xfId="36"/>
    <cellStyle name="?_x001d_??%U©÷u&amp;H©÷9_x0008_? s_x000a__x0007__x0001__x0001_ 15" xfId="37"/>
    <cellStyle name="?_x001d_??%U©÷u&amp;H©÷9_x0008_? s_x000a__x0007__x0001__x0001_ 2" xfId="38"/>
    <cellStyle name="?_x001d_??%U©÷u&amp;H©÷9_x0008_? s_x000a__x0007__x0001__x0001_ 3" xfId="39"/>
    <cellStyle name="?_x001d_??%U©÷u&amp;H©÷9_x0008_? s_x000a__x0007__x0001__x0001_ 4" xfId="40"/>
    <cellStyle name="?_x001d_??%U©÷u&amp;H©÷9_x0008_? s_x000a__x0007__x0001__x0001_ 5" xfId="41"/>
    <cellStyle name="?_x001d_??%U©÷u&amp;H©÷9_x0008_? s_x000a__x0007__x0001__x0001_ 6" xfId="42"/>
    <cellStyle name="?_x001d_??%U©÷u&amp;H©÷9_x0008_? s_x000a__x0007__x0001__x0001_ 7" xfId="43"/>
    <cellStyle name="?_x001d_??%U©÷u&amp;H©÷9_x0008_? s_x000a__x0007__x0001__x0001_ 8" xfId="44"/>
    <cellStyle name="?_x001d_??%U©÷u&amp;H©÷9_x0008_? s_x000a__x0007__x0001__x0001_ 9" xfId="45"/>
    <cellStyle name="???? [0.00]_      " xfId="46"/>
    <cellStyle name="??????" xfId="47"/>
    <cellStyle name="????_      " xfId="48"/>
    <cellStyle name="???[0]_?? DI" xfId="49"/>
    <cellStyle name="???_?? DI" xfId="50"/>
    <cellStyle name="??[0]_BRE" xfId="51"/>
    <cellStyle name="??_      " xfId="52"/>
    <cellStyle name="??A? [0]_laroux_1_¢¬???¢â? " xfId="53"/>
    <cellStyle name="??A?_laroux_1_¢¬???¢â? " xfId="54"/>
    <cellStyle name="?_x005f_x001d_??%U©÷u&amp;H©÷9_x005f_x0008_? s_x005f_x000a__x005f_x0007__x005f_x0001__x005f_x0001_" xfId="55"/>
    <cellStyle name="?_x005f_x001d_??%U©÷u&amp;H©÷9_x005f_x0008_?_x005f_x0009_s_x005f_x000a__x005f_x0007__x005f_x0001__x005f_x0001_" xfId="56"/>
    <cellStyle name="?_x005f_x005f_x005f_x001d_??%U©÷u&amp;H©÷9_x005f_x005f_x005f_x0008_? s_x005f_x005f_x005f_x000a__x005f_x005f_x005f_x0007__x005f_x005f_x005f_x0001__x005f_x005f_x005f_x0001_" xfId="57"/>
    <cellStyle name="?¡±¢¥?_?¨ù??¢´¢¥_¢¬???¢â? " xfId="58"/>
    <cellStyle name="?ðÇ%U?&amp;H?_x0008_?s_x000a__x0007__x0001__x0001_" xfId="59"/>
    <cellStyle name="?ðÇ%U?&amp;H?_x0008_?s_x000a__x0007__x0001__x0001_ 10" xfId="60"/>
    <cellStyle name="?ðÇ%U?&amp;H?_x0008_?s_x000a__x0007__x0001__x0001_ 11" xfId="61"/>
    <cellStyle name="?ðÇ%U?&amp;H?_x0008_?s_x000a__x0007__x0001__x0001_ 12" xfId="62"/>
    <cellStyle name="?ðÇ%U?&amp;H?_x0008_?s_x000a__x0007__x0001__x0001_ 13" xfId="63"/>
    <cellStyle name="?ðÇ%U?&amp;H?_x0008_?s_x000a__x0007__x0001__x0001_ 14" xfId="64"/>
    <cellStyle name="?ðÇ%U?&amp;H?_x0008_?s_x000a__x0007__x0001__x0001_ 15" xfId="65"/>
    <cellStyle name="?ðÇ%U?&amp;H?_x0008_?s_x000a__x0007__x0001__x0001_ 2" xfId="66"/>
    <cellStyle name="?ðÇ%U?&amp;H?_x0008_?s_x000a__x0007__x0001__x0001_ 3" xfId="67"/>
    <cellStyle name="?ðÇ%U?&amp;H?_x0008_?s_x000a__x0007__x0001__x0001_ 4" xfId="68"/>
    <cellStyle name="?ðÇ%U?&amp;H?_x0008_?s_x000a__x0007__x0001__x0001_ 5" xfId="69"/>
    <cellStyle name="?ðÇ%U?&amp;H?_x0008_?s_x000a__x0007__x0001__x0001_ 6" xfId="70"/>
    <cellStyle name="?ðÇ%U?&amp;H?_x0008_?s_x000a__x0007__x0001__x0001_ 7" xfId="71"/>
    <cellStyle name="?ðÇ%U?&amp;H?_x0008_?s_x000a__x0007__x0001__x0001_ 8" xfId="72"/>
    <cellStyle name="?ðÇ%U?&amp;H?_x0008_?s_x000a__x0007__x0001__x0001_ 9" xfId="73"/>
    <cellStyle name="?ðÇ%U?&amp;H?_x005f_x0008_?s_x005f_x000a__x005f_x0007__x005f_x0001__x005f_x0001_" xfId="74"/>
    <cellStyle name="@ET_Style?.font5" xfId="75"/>
    <cellStyle name="[0]_Chi phÝ kh¸c_V" xfId="76"/>
    <cellStyle name="_!1 1 bao cao giao KH ve HTCMT vung TNB   12-12-2011" xfId="77"/>
    <cellStyle name="_x0001__!1 1 bao cao giao KH ve HTCMT vung TNB   12-12-2011" xfId="78"/>
    <cellStyle name="_1 TONG HOP - CA NA" xfId="79"/>
    <cellStyle name="_123_DONG_THANH_Moi" xfId="80"/>
    <cellStyle name="_123_DONG_THANH_Moi_!1 1 bao cao giao KH ve HTCMT vung TNB   12-12-2011" xfId="81"/>
    <cellStyle name="_123_DONG_THANH_Moi_KH TPCP vung TNB (03-1-2012)" xfId="82"/>
    <cellStyle name="_Bang Chi tieu (2)" xfId="83"/>
    <cellStyle name="_BAO GIA NGAY 24-10-08 (co dam)" xfId="84"/>
    <cellStyle name="_BC  NAM 2007" xfId="85"/>
    <cellStyle name="_BC CV 6403 BKHĐT" xfId="86"/>
    <cellStyle name="_BC thuc hien KH 2009" xfId="87"/>
    <cellStyle name="_BC thuc hien KH 2009_15_10_2013 BC nhu cau von doi ung ODA (2014-2016) ngay 15102013 Sua" xfId="88"/>
    <cellStyle name="_BC thuc hien KH 2009_BC nhu cau von doi ung ODA nganh NN (BKH)" xfId="89"/>
    <cellStyle name="_BC thuc hien KH 2009_BC nhu cau von doi ung ODA nganh NN (BKH)_05-12  KH trung han 2016-2020 - Liem Thinh edited" xfId="90"/>
    <cellStyle name="_BC thuc hien KH 2009_BC nhu cau von doi ung ODA nganh NN (BKH)_Copy of 05-12  KH trung han 2016-2020 - Liem Thinh edited (1)" xfId="91"/>
    <cellStyle name="_BC thuc hien KH 2009_BC Tai co cau (bieu TH)" xfId="92"/>
    <cellStyle name="_BC thuc hien KH 2009_BC Tai co cau (bieu TH)_05-12  KH trung han 2016-2020 - Liem Thinh edited" xfId="93"/>
    <cellStyle name="_BC thuc hien KH 2009_BC Tai co cau (bieu TH)_Copy of 05-12  KH trung han 2016-2020 - Liem Thinh edited (1)" xfId="94"/>
    <cellStyle name="_BC thuc hien KH 2009_DK 2014-2015 final" xfId="95"/>
    <cellStyle name="_BC thuc hien KH 2009_DK 2014-2015 final_05-12  KH trung han 2016-2020 - Liem Thinh edited" xfId="96"/>
    <cellStyle name="_BC thuc hien KH 2009_DK 2014-2015 final_Copy of 05-12  KH trung han 2016-2020 - Liem Thinh edited (1)" xfId="97"/>
    <cellStyle name="_BC thuc hien KH 2009_DK 2014-2015 new" xfId="98"/>
    <cellStyle name="_BC thuc hien KH 2009_DK 2014-2015 new_05-12  KH trung han 2016-2020 - Liem Thinh edited" xfId="99"/>
    <cellStyle name="_BC thuc hien KH 2009_DK 2014-2015 new_Copy of 05-12  KH trung han 2016-2020 - Liem Thinh edited (1)" xfId="100"/>
    <cellStyle name="_BC thuc hien KH 2009_DK KH CBDT 2014 11-11-2013" xfId="101"/>
    <cellStyle name="_BC thuc hien KH 2009_DK KH CBDT 2014 11-11-2013(1)" xfId="102"/>
    <cellStyle name="_BC thuc hien KH 2009_DK KH CBDT 2014 11-11-2013(1)_05-12  KH trung han 2016-2020 - Liem Thinh edited" xfId="103"/>
    <cellStyle name="_BC thuc hien KH 2009_DK KH CBDT 2014 11-11-2013(1)_Copy of 05-12  KH trung han 2016-2020 - Liem Thinh edited (1)" xfId="104"/>
    <cellStyle name="_BC thuc hien KH 2009_DK KH CBDT 2014 11-11-2013_05-12  KH trung han 2016-2020 - Liem Thinh edited" xfId="105"/>
    <cellStyle name="_BC thuc hien KH 2009_DK KH CBDT 2014 11-11-2013_Copy of 05-12  KH trung han 2016-2020 - Liem Thinh edited (1)" xfId="106"/>
    <cellStyle name="_BC thuc hien KH 2009_KH 2011-2015" xfId="107"/>
    <cellStyle name="_BC thuc hien KH 2009_tai co cau dau tu (tong hop)1" xfId="108"/>
    <cellStyle name="_BEN TRE" xfId="109"/>
    <cellStyle name="_Bieu mau cong trinh khoi cong moi 3-4" xfId="110"/>
    <cellStyle name="_Bieu Tay Nam Bo 25-11" xfId="111"/>
    <cellStyle name="_Bieu3ODA" xfId="112"/>
    <cellStyle name="_Bieu3ODA_1" xfId="113"/>
    <cellStyle name="_Bieu4HTMT" xfId="114"/>
    <cellStyle name="_Bieu4HTMT_!1 1 bao cao giao KH ve HTCMT vung TNB   12-12-2011" xfId="115"/>
    <cellStyle name="_Bieu4HTMT_KH TPCP vung TNB (03-1-2012)" xfId="116"/>
    <cellStyle name="_Book1" xfId="117"/>
    <cellStyle name="_Book1 2" xfId="118"/>
    <cellStyle name="_Book1_!1 1 bao cao giao KH ve HTCMT vung TNB   12-12-2011" xfId="119"/>
    <cellStyle name="_Book1_1" xfId="120"/>
    <cellStyle name="_Book1_BC-QT-WB-dthao" xfId="121"/>
    <cellStyle name="_Book1_BC-QT-WB-dthao_05-12  KH trung han 2016-2020 - Liem Thinh edited" xfId="122"/>
    <cellStyle name="_Book1_BC-QT-WB-dthao_Copy of 05-12  KH trung han 2016-2020 - Liem Thinh edited (1)" xfId="123"/>
    <cellStyle name="_Book1_BC-QT-WB-dthao_KH TPCP 2016-2020 (tong hop)" xfId="124"/>
    <cellStyle name="_Book1_Bieu3ODA" xfId="125"/>
    <cellStyle name="_Book1_Bieu4HTMT" xfId="126"/>
    <cellStyle name="_Book1_Bieu4HTMT_!1 1 bao cao giao KH ve HTCMT vung TNB   12-12-2011" xfId="127"/>
    <cellStyle name="_Book1_Bieu4HTMT_KH TPCP vung TNB (03-1-2012)" xfId="128"/>
    <cellStyle name="_Book1_bo sung von KCH nam 2010 va Du an tre kho khan" xfId="129"/>
    <cellStyle name="_Book1_bo sung von KCH nam 2010 va Du an tre kho khan_!1 1 bao cao giao KH ve HTCMT vung TNB   12-12-2011" xfId="130"/>
    <cellStyle name="_Book1_bo sung von KCH nam 2010 va Du an tre kho khan_KH TPCP vung TNB (03-1-2012)" xfId="131"/>
    <cellStyle name="_Book1_cong hang rao" xfId="132"/>
    <cellStyle name="_Book1_cong hang rao_!1 1 bao cao giao KH ve HTCMT vung TNB   12-12-2011" xfId="133"/>
    <cellStyle name="_Book1_cong hang rao_KH TPCP vung TNB (03-1-2012)" xfId="134"/>
    <cellStyle name="_Book1_danh muc chuan bi dau tu 2011 ngay 07-6-2011" xfId="135"/>
    <cellStyle name="_Book1_danh muc chuan bi dau tu 2011 ngay 07-6-2011_!1 1 bao cao giao KH ve HTCMT vung TNB   12-12-2011" xfId="136"/>
    <cellStyle name="_Book1_danh muc chuan bi dau tu 2011 ngay 07-6-2011_KH TPCP vung TNB (03-1-2012)" xfId="137"/>
    <cellStyle name="_Book1_Danh muc pbo nguon von XSKT, XDCB nam 2009 chuyen qua nam 2010" xfId="138"/>
    <cellStyle name="_Book1_Danh muc pbo nguon von XSKT, XDCB nam 2009 chuyen qua nam 2010_!1 1 bao cao giao KH ve HTCMT vung TNB   12-12-2011" xfId="139"/>
    <cellStyle name="_Book1_Danh muc pbo nguon von XSKT, XDCB nam 2009 chuyen qua nam 2010_KH TPCP vung TNB (03-1-2012)" xfId="140"/>
    <cellStyle name="_Book1_dieu chinh KH 2011 ngay 26-5-2011111" xfId="141"/>
    <cellStyle name="_Book1_dieu chinh KH 2011 ngay 26-5-2011111_!1 1 bao cao giao KH ve HTCMT vung TNB   12-12-2011" xfId="142"/>
    <cellStyle name="_Book1_dieu chinh KH 2011 ngay 26-5-2011111_KH TPCP vung TNB (03-1-2012)" xfId="143"/>
    <cellStyle name="_Book1_DS KCH PHAN BO VON NSDP NAM 2010" xfId="144"/>
    <cellStyle name="_Book1_DS KCH PHAN BO VON NSDP NAM 2010_!1 1 bao cao giao KH ve HTCMT vung TNB   12-12-2011" xfId="145"/>
    <cellStyle name="_Book1_DS KCH PHAN BO VON NSDP NAM 2010_KH TPCP vung TNB (03-1-2012)" xfId="146"/>
    <cellStyle name="_Book1_giao KH 2011 ngay 10-12-2010" xfId="147"/>
    <cellStyle name="_Book1_giao KH 2011 ngay 10-12-2010_!1 1 bao cao giao KH ve HTCMT vung TNB   12-12-2011" xfId="148"/>
    <cellStyle name="_Book1_giao KH 2011 ngay 10-12-2010_KH TPCP vung TNB (03-1-2012)" xfId="149"/>
    <cellStyle name="_Book1_IN" xfId="150"/>
    <cellStyle name="_Book1_Kh ql62 (2010) 11-09" xfId="151"/>
    <cellStyle name="_Book1_KH TPCP vung TNB (03-1-2012)" xfId="152"/>
    <cellStyle name="_Book1_Khung 2012" xfId="153"/>
    <cellStyle name="_Book1_kien giang 2" xfId="154"/>
    <cellStyle name="_Book1_phu luc tong ket tinh hinh TH giai doan 03-10 (ngay 30)" xfId="155"/>
    <cellStyle name="_Book1_phu luc tong ket tinh hinh TH giai doan 03-10 (ngay 30)_!1 1 bao cao giao KH ve HTCMT vung TNB   12-12-2011" xfId="156"/>
    <cellStyle name="_Book1_phu luc tong ket tinh hinh TH giai doan 03-10 (ngay 30)_KH TPCP vung TNB (03-1-2012)" xfId="157"/>
    <cellStyle name="_C.cong+B.luong-Sanluong" xfId="158"/>
    <cellStyle name="_cong hang rao" xfId="159"/>
    <cellStyle name="_dien chieu sang" xfId="160"/>
    <cellStyle name="_DK KH 2009" xfId="161"/>
    <cellStyle name="_DK KH 2009_15_10_2013 BC nhu cau von doi ung ODA (2014-2016) ngay 15102013 Sua" xfId="162"/>
    <cellStyle name="_DK KH 2009_BC nhu cau von doi ung ODA nganh NN (BKH)" xfId="163"/>
    <cellStyle name="_DK KH 2009_BC nhu cau von doi ung ODA nganh NN (BKH)_05-12  KH trung han 2016-2020 - Liem Thinh edited" xfId="164"/>
    <cellStyle name="_DK KH 2009_BC nhu cau von doi ung ODA nganh NN (BKH)_Copy of 05-12  KH trung han 2016-2020 - Liem Thinh edited (1)" xfId="165"/>
    <cellStyle name="_DK KH 2009_BC Tai co cau (bieu TH)" xfId="166"/>
    <cellStyle name="_DK KH 2009_BC Tai co cau (bieu TH)_05-12  KH trung han 2016-2020 - Liem Thinh edited" xfId="167"/>
    <cellStyle name="_DK KH 2009_BC Tai co cau (bieu TH)_Copy of 05-12  KH trung han 2016-2020 - Liem Thinh edited (1)" xfId="168"/>
    <cellStyle name="_DK KH 2009_DK 2014-2015 final" xfId="169"/>
    <cellStyle name="_DK KH 2009_DK 2014-2015 final_05-12  KH trung han 2016-2020 - Liem Thinh edited" xfId="170"/>
    <cellStyle name="_DK KH 2009_DK 2014-2015 final_Copy of 05-12  KH trung han 2016-2020 - Liem Thinh edited (1)" xfId="171"/>
    <cellStyle name="_DK KH 2009_DK 2014-2015 new" xfId="172"/>
    <cellStyle name="_DK KH 2009_DK 2014-2015 new_05-12  KH trung han 2016-2020 - Liem Thinh edited" xfId="173"/>
    <cellStyle name="_DK KH 2009_DK 2014-2015 new_Copy of 05-12  KH trung han 2016-2020 - Liem Thinh edited (1)" xfId="174"/>
    <cellStyle name="_DK KH 2009_DK KH CBDT 2014 11-11-2013" xfId="175"/>
    <cellStyle name="_DK KH 2009_DK KH CBDT 2014 11-11-2013(1)" xfId="176"/>
    <cellStyle name="_DK KH 2009_DK KH CBDT 2014 11-11-2013(1)_05-12  KH trung han 2016-2020 - Liem Thinh edited" xfId="177"/>
    <cellStyle name="_DK KH 2009_DK KH CBDT 2014 11-11-2013(1)_Copy of 05-12  KH trung han 2016-2020 - Liem Thinh edited (1)" xfId="178"/>
    <cellStyle name="_DK KH 2009_DK KH CBDT 2014 11-11-2013_05-12  KH trung han 2016-2020 - Liem Thinh edited" xfId="179"/>
    <cellStyle name="_DK KH 2009_DK KH CBDT 2014 11-11-2013_Copy of 05-12  KH trung han 2016-2020 - Liem Thinh edited (1)" xfId="180"/>
    <cellStyle name="_DK KH 2009_KH 2011-2015" xfId="181"/>
    <cellStyle name="_DK KH 2009_tai co cau dau tu (tong hop)1" xfId="182"/>
    <cellStyle name="_DK KH 2010" xfId="183"/>
    <cellStyle name="_DK KH 2010 (BKH)" xfId="184"/>
    <cellStyle name="_DK KH 2010_15_10_2013 BC nhu cau von doi ung ODA (2014-2016) ngay 15102013 Sua" xfId="185"/>
    <cellStyle name="_DK KH 2010_BC nhu cau von doi ung ODA nganh NN (BKH)" xfId="186"/>
    <cellStyle name="_DK KH 2010_BC nhu cau von doi ung ODA nganh NN (BKH)_05-12  KH trung han 2016-2020 - Liem Thinh edited" xfId="187"/>
    <cellStyle name="_DK KH 2010_BC nhu cau von doi ung ODA nganh NN (BKH)_Copy of 05-12  KH trung han 2016-2020 - Liem Thinh edited (1)" xfId="188"/>
    <cellStyle name="_DK KH 2010_BC Tai co cau (bieu TH)" xfId="189"/>
    <cellStyle name="_DK KH 2010_BC Tai co cau (bieu TH)_05-12  KH trung han 2016-2020 - Liem Thinh edited" xfId="190"/>
    <cellStyle name="_DK KH 2010_BC Tai co cau (bieu TH)_Copy of 05-12  KH trung han 2016-2020 - Liem Thinh edited (1)" xfId="191"/>
    <cellStyle name="_DK KH 2010_DK 2014-2015 final" xfId="192"/>
    <cellStyle name="_DK KH 2010_DK 2014-2015 final_05-12  KH trung han 2016-2020 - Liem Thinh edited" xfId="193"/>
    <cellStyle name="_DK KH 2010_DK 2014-2015 final_Copy of 05-12  KH trung han 2016-2020 - Liem Thinh edited (1)" xfId="194"/>
    <cellStyle name="_DK KH 2010_DK 2014-2015 new" xfId="195"/>
    <cellStyle name="_DK KH 2010_DK 2014-2015 new_05-12  KH trung han 2016-2020 - Liem Thinh edited" xfId="196"/>
    <cellStyle name="_DK KH 2010_DK 2014-2015 new_Copy of 05-12  KH trung han 2016-2020 - Liem Thinh edited (1)" xfId="197"/>
    <cellStyle name="_DK KH 2010_DK KH CBDT 2014 11-11-2013" xfId="198"/>
    <cellStyle name="_DK KH 2010_DK KH CBDT 2014 11-11-2013(1)" xfId="199"/>
    <cellStyle name="_DK KH 2010_DK KH CBDT 2014 11-11-2013(1)_05-12  KH trung han 2016-2020 - Liem Thinh edited" xfId="200"/>
    <cellStyle name="_DK KH 2010_DK KH CBDT 2014 11-11-2013(1)_Copy of 05-12  KH trung han 2016-2020 - Liem Thinh edited (1)" xfId="201"/>
    <cellStyle name="_DK KH 2010_DK KH CBDT 2014 11-11-2013_05-12  KH trung han 2016-2020 - Liem Thinh edited" xfId="202"/>
    <cellStyle name="_DK KH 2010_DK KH CBDT 2014 11-11-2013_Copy of 05-12  KH trung han 2016-2020 - Liem Thinh edited (1)" xfId="203"/>
    <cellStyle name="_DK KH 2010_KH 2011-2015" xfId="204"/>
    <cellStyle name="_DK KH 2010_tai co cau dau tu (tong hop)1" xfId="205"/>
    <cellStyle name="_DK TPCP 2010" xfId="206"/>
    <cellStyle name="_DO-D1500-KHONG CO TRONG DT" xfId="207"/>
    <cellStyle name="_Dong Thap" xfId="208"/>
    <cellStyle name="_Duyet TK thay đôi" xfId="209"/>
    <cellStyle name="_Duyet TK thay đôi_!1 1 bao cao giao KH ve HTCMT vung TNB   12-12-2011" xfId="210"/>
    <cellStyle name="_Duyet TK thay đôi_Bieu4HTMT" xfId="211"/>
    <cellStyle name="_Duyet TK thay đôi_Bieu4HTMT_!1 1 bao cao giao KH ve HTCMT vung TNB   12-12-2011" xfId="212"/>
    <cellStyle name="_Duyet TK thay đôi_Bieu4HTMT_KH TPCP vung TNB (03-1-2012)" xfId="213"/>
    <cellStyle name="_Duyet TK thay đôi_KH TPCP vung TNB (03-1-2012)" xfId="214"/>
    <cellStyle name="_GOITHAUSO2" xfId="215"/>
    <cellStyle name="_GOITHAUSO3" xfId="216"/>
    <cellStyle name="_GOITHAUSO4" xfId="217"/>
    <cellStyle name="_GTGT 2003" xfId="218"/>
    <cellStyle name="_Gui VU KH 5-5-09" xfId="219"/>
    <cellStyle name="_Gui VU KH 5-5-09_05-12  KH trung han 2016-2020 - Liem Thinh edited" xfId="220"/>
    <cellStyle name="_Gui VU KH 5-5-09_Copy of 05-12  KH trung han 2016-2020 - Liem Thinh edited (1)" xfId="221"/>
    <cellStyle name="_Gui VU KH 5-5-09_KH TPCP 2016-2020 (tong hop)" xfId="222"/>
    <cellStyle name="_HaHoa_TDT_DienCSang" xfId="223"/>
    <cellStyle name="_HaHoa19-5-07" xfId="224"/>
    <cellStyle name="_Huong CHI tieu Nhiem vu CTMTQG 2014(1)" xfId="225"/>
    <cellStyle name="_IN" xfId="226"/>
    <cellStyle name="_IN_!1 1 bao cao giao KH ve HTCMT vung TNB   12-12-2011" xfId="227"/>
    <cellStyle name="_IN_KH TPCP vung TNB (03-1-2012)" xfId="228"/>
    <cellStyle name="_KE KHAI THUE GTGT 2004" xfId="229"/>
    <cellStyle name="_KE KHAI THUE GTGT 2004_BCTC2004" xfId="230"/>
    <cellStyle name="_KH 2009" xfId="231"/>
    <cellStyle name="_KH 2009_15_10_2013 BC nhu cau von doi ung ODA (2014-2016) ngay 15102013 Sua" xfId="232"/>
    <cellStyle name="_KH 2009_BC nhu cau von doi ung ODA nganh NN (BKH)" xfId="233"/>
    <cellStyle name="_KH 2009_BC nhu cau von doi ung ODA nganh NN (BKH)_05-12  KH trung han 2016-2020 - Liem Thinh edited" xfId="234"/>
    <cellStyle name="_KH 2009_BC nhu cau von doi ung ODA nganh NN (BKH)_Copy of 05-12  KH trung han 2016-2020 - Liem Thinh edited (1)" xfId="235"/>
    <cellStyle name="_KH 2009_BC Tai co cau (bieu TH)" xfId="236"/>
    <cellStyle name="_KH 2009_BC Tai co cau (bieu TH)_05-12  KH trung han 2016-2020 - Liem Thinh edited" xfId="237"/>
    <cellStyle name="_KH 2009_BC Tai co cau (bieu TH)_Copy of 05-12  KH trung han 2016-2020 - Liem Thinh edited (1)" xfId="238"/>
    <cellStyle name="_KH 2009_DK 2014-2015 final" xfId="239"/>
    <cellStyle name="_KH 2009_DK 2014-2015 final_05-12  KH trung han 2016-2020 - Liem Thinh edited" xfId="240"/>
    <cellStyle name="_KH 2009_DK 2014-2015 final_Copy of 05-12  KH trung han 2016-2020 - Liem Thinh edited (1)" xfId="241"/>
    <cellStyle name="_KH 2009_DK 2014-2015 new" xfId="242"/>
    <cellStyle name="_KH 2009_DK 2014-2015 new_05-12  KH trung han 2016-2020 - Liem Thinh edited" xfId="243"/>
    <cellStyle name="_KH 2009_DK 2014-2015 new_Copy of 05-12  KH trung han 2016-2020 - Liem Thinh edited (1)" xfId="244"/>
    <cellStyle name="_KH 2009_DK KH CBDT 2014 11-11-2013" xfId="245"/>
    <cellStyle name="_KH 2009_DK KH CBDT 2014 11-11-2013(1)" xfId="246"/>
    <cellStyle name="_KH 2009_DK KH CBDT 2014 11-11-2013(1)_05-12  KH trung han 2016-2020 - Liem Thinh edited" xfId="247"/>
    <cellStyle name="_KH 2009_DK KH CBDT 2014 11-11-2013(1)_Copy of 05-12  KH trung han 2016-2020 - Liem Thinh edited (1)" xfId="248"/>
    <cellStyle name="_KH 2009_DK KH CBDT 2014 11-11-2013_05-12  KH trung han 2016-2020 - Liem Thinh edited" xfId="249"/>
    <cellStyle name="_KH 2009_DK KH CBDT 2014 11-11-2013_Copy of 05-12  KH trung han 2016-2020 - Liem Thinh edited (1)" xfId="250"/>
    <cellStyle name="_KH 2009_KH 2011-2015" xfId="251"/>
    <cellStyle name="_KH 2009_tai co cau dau tu (tong hop)1" xfId="252"/>
    <cellStyle name="_KH 2012 (TPCP) Bac Lieu (25-12-2011)" xfId="253"/>
    <cellStyle name="_Kh ql62 (2010) 11-09" xfId="254"/>
    <cellStyle name="_KH TPCP 2010 17-3-10" xfId="255"/>
    <cellStyle name="_KH TPCP vung TNB (03-1-2012)" xfId="256"/>
    <cellStyle name="_KH ung von cap bach 2009-Cuc NTTS de nghi (sua)" xfId="257"/>
    <cellStyle name="_KH.DTC.gd2016-2020 tinh (T2-2015)" xfId="258"/>
    <cellStyle name="_Khung 2012" xfId="259"/>
    <cellStyle name="_Khung nam 2010" xfId="260"/>
    <cellStyle name="_x0001__kien giang 2" xfId="261"/>
    <cellStyle name="_KT (2)" xfId="262"/>
    <cellStyle name="_KT (2) 2" xfId="263"/>
    <cellStyle name="_KT (2)_05-12  KH trung han 2016-2020 - Liem Thinh edited" xfId="264"/>
    <cellStyle name="_KT (2)_1" xfId="265"/>
    <cellStyle name="_KT (2)_1 2" xfId="266"/>
    <cellStyle name="_KT (2)_1_05-12  KH trung han 2016-2020 - Liem Thinh edited" xfId="267"/>
    <cellStyle name="_KT (2)_1_Copy of 05-12  KH trung han 2016-2020 - Liem Thinh edited (1)" xfId="268"/>
    <cellStyle name="_KT (2)_1_KH TPCP 2016-2020 (tong hop)" xfId="269"/>
    <cellStyle name="_KT (2)_1_Lora-tungchau" xfId="270"/>
    <cellStyle name="_KT (2)_1_Lora-tungchau 2" xfId="271"/>
    <cellStyle name="_KT (2)_1_Lora-tungchau_05-12  KH trung han 2016-2020 - Liem Thinh edited" xfId="272"/>
    <cellStyle name="_KT (2)_1_Lora-tungchau_Copy of 05-12  KH trung han 2016-2020 - Liem Thinh edited (1)" xfId="273"/>
    <cellStyle name="_KT (2)_1_Lora-tungchau_KH TPCP 2016-2020 (tong hop)" xfId="274"/>
    <cellStyle name="_KT (2)_1_Qt-HT3PQ1(CauKho)" xfId="275"/>
    <cellStyle name="_KT (2)_2" xfId="276"/>
    <cellStyle name="_KT (2)_2_TG-TH" xfId="277"/>
    <cellStyle name="_KT (2)_2_TG-TH 2" xfId="278"/>
    <cellStyle name="_KT (2)_2_TG-TH_05-12  KH trung han 2016-2020 - Liem Thinh edited" xfId="279"/>
    <cellStyle name="_KT (2)_2_TG-TH_ApGiaVatTu_cayxanh_latgach" xfId="280"/>
    <cellStyle name="_KT (2)_2_TG-TH_BANG TONG HOP TINH HINH THANH QUYET TOAN (MOI I)" xfId="281"/>
    <cellStyle name="_KT (2)_2_TG-TH_BAO CAO KLCT PT2000" xfId="282"/>
    <cellStyle name="_KT (2)_2_TG-TH_BAO CAO PT2000" xfId="283"/>
    <cellStyle name="_KT (2)_2_TG-TH_BAO CAO PT2000_Book1" xfId="284"/>
    <cellStyle name="_KT (2)_2_TG-TH_Bao cao XDCB 2001 - T11 KH dieu chinh 20-11-THAI" xfId="285"/>
    <cellStyle name="_KT (2)_2_TG-TH_BAO GIA NGAY 24-10-08 (co dam)" xfId="286"/>
    <cellStyle name="_KT (2)_2_TG-TH_BC  NAM 2007" xfId="287"/>
    <cellStyle name="_KT (2)_2_TG-TH_BC CV 6403 BKHĐT" xfId="288"/>
    <cellStyle name="_KT (2)_2_TG-TH_BC NQ11-CP - chinh sua lai" xfId="289"/>
    <cellStyle name="_KT (2)_2_TG-TH_BC NQ11-CP-Quynh sau bieu so3" xfId="290"/>
    <cellStyle name="_KT (2)_2_TG-TH_BC_NQ11-CP_-_Thao_sua_lai" xfId="291"/>
    <cellStyle name="_KT (2)_2_TG-TH_Bieu mau cong trinh khoi cong moi 3-4" xfId="292"/>
    <cellStyle name="_KT (2)_2_TG-TH_Bieu3ODA" xfId="293"/>
    <cellStyle name="_KT (2)_2_TG-TH_Bieu3ODA_1" xfId="294"/>
    <cellStyle name="_KT (2)_2_TG-TH_Bieu4HTMT" xfId="295"/>
    <cellStyle name="_KT (2)_2_TG-TH_bo sung von KCH nam 2010 va Du an tre kho khan" xfId="296"/>
    <cellStyle name="_KT (2)_2_TG-TH_Book1" xfId="297"/>
    <cellStyle name="_KT (2)_2_TG-TH_Book1 2" xfId="298"/>
    <cellStyle name="_KT (2)_2_TG-TH_Book1_1" xfId="299"/>
    <cellStyle name="_KT (2)_2_TG-TH_Book1_1 2" xfId="300"/>
    <cellStyle name="_KT (2)_2_TG-TH_Book1_1_BC CV 6403 BKHĐT" xfId="301"/>
    <cellStyle name="_KT (2)_2_TG-TH_Book1_1_Bieu mau cong trinh khoi cong moi 3-4" xfId="302"/>
    <cellStyle name="_KT (2)_2_TG-TH_Book1_1_Bieu3ODA" xfId="303"/>
    <cellStyle name="_KT (2)_2_TG-TH_Book1_1_Bieu4HTMT" xfId="304"/>
    <cellStyle name="_KT (2)_2_TG-TH_Book1_1_Book1" xfId="305"/>
    <cellStyle name="_KT (2)_2_TG-TH_Book1_1_Luy ke von ung nam 2011 -Thoa gui ngay 12-8-2012" xfId="306"/>
    <cellStyle name="_KT (2)_2_TG-TH_Book1_2" xfId="307"/>
    <cellStyle name="_KT (2)_2_TG-TH_Book1_2 2" xfId="308"/>
    <cellStyle name="_KT (2)_2_TG-TH_Book1_2_BC CV 6403 BKHĐT" xfId="309"/>
    <cellStyle name="_KT (2)_2_TG-TH_Book1_2_Bieu3ODA" xfId="310"/>
    <cellStyle name="_KT (2)_2_TG-TH_Book1_2_Luy ke von ung nam 2011 -Thoa gui ngay 12-8-2012" xfId="311"/>
    <cellStyle name="_KT (2)_2_TG-TH_Book1_3" xfId="312"/>
    <cellStyle name="_KT (2)_2_TG-TH_Book1_3 2" xfId="313"/>
    <cellStyle name="_KT (2)_2_TG-TH_Book1_BC CV 6403 BKHĐT" xfId="314"/>
    <cellStyle name="_KT (2)_2_TG-TH_Book1_Bieu mau cong trinh khoi cong moi 3-4" xfId="315"/>
    <cellStyle name="_KT (2)_2_TG-TH_Book1_Bieu3ODA" xfId="316"/>
    <cellStyle name="_KT (2)_2_TG-TH_Book1_Bieu4HTMT" xfId="317"/>
    <cellStyle name="_KT (2)_2_TG-TH_Book1_bo sung von KCH nam 2010 va Du an tre kho khan" xfId="318"/>
    <cellStyle name="_KT (2)_2_TG-TH_Book1_Book1" xfId="319"/>
    <cellStyle name="_KT (2)_2_TG-TH_Book1_danh muc chuan bi dau tu 2011 ngay 07-6-2011" xfId="320"/>
    <cellStyle name="_KT (2)_2_TG-TH_Book1_Danh muc pbo nguon von XSKT, XDCB nam 2009 chuyen qua nam 2010" xfId="321"/>
    <cellStyle name="_KT (2)_2_TG-TH_Book1_dieu chinh KH 2011 ngay 26-5-2011111" xfId="322"/>
    <cellStyle name="_KT (2)_2_TG-TH_Book1_DS KCH PHAN BO VON NSDP NAM 2010" xfId="323"/>
    <cellStyle name="_KT (2)_2_TG-TH_Book1_giao KH 2011 ngay 10-12-2010" xfId="324"/>
    <cellStyle name="_KT (2)_2_TG-TH_Book1_Luy ke von ung nam 2011 -Thoa gui ngay 12-8-2012" xfId="325"/>
    <cellStyle name="_KT (2)_2_TG-TH_CAU Khanh Nam(Thi Cong)" xfId="326"/>
    <cellStyle name="_KT (2)_2_TG-TH_ChiHuong_ApGia" xfId="327"/>
    <cellStyle name="_KT (2)_2_TG-TH_CoCauPhi (version 1)" xfId="328"/>
    <cellStyle name="_KT (2)_2_TG-TH_Copy of 05-12  KH trung han 2016-2020 - Liem Thinh edited (1)" xfId="329"/>
    <cellStyle name="_KT (2)_2_TG-TH_danh muc chuan bi dau tu 2011 ngay 07-6-2011" xfId="330"/>
    <cellStyle name="_KT (2)_2_TG-TH_Danh muc pbo nguon von XSKT, XDCB nam 2009 chuyen qua nam 2010" xfId="331"/>
    <cellStyle name="_KT (2)_2_TG-TH_DAU NOI PL-CL TAI PHU LAMHC" xfId="332"/>
    <cellStyle name="_KT (2)_2_TG-TH_dieu chinh KH 2011 ngay 26-5-2011111" xfId="333"/>
    <cellStyle name="_KT (2)_2_TG-TH_DS KCH PHAN BO VON NSDP NAM 2010" xfId="334"/>
    <cellStyle name="_KT (2)_2_TG-TH_DTCDT MR.2N110.HOCMON.TDTOAN.CCUNG" xfId="335"/>
    <cellStyle name="_KT (2)_2_TG-TH_DU TRU VAT TU" xfId="336"/>
    <cellStyle name="_KT (2)_2_TG-TH_giao KH 2011 ngay 10-12-2010" xfId="337"/>
    <cellStyle name="_KT (2)_2_TG-TH_GTGT 2003" xfId="338"/>
    <cellStyle name="_KT (2)_2_TG-TH_KE KHAI THUE GTGT 2004" xfId="339"/>
    <cellStyle name="_KT (2)_2_TG-TH_KE KHAI THUE GTGT 2004_BCTC2004" xfId="340"/>
    <cellStyle name="_KT (2)_2_TG-TH_KH TPCP 2016-2020 (tong hop)" xfId="341"/>
    <cellStyle name="_KT (2)_2_TG-TH_KH TPCP vung TNB (03-1-2012)" xfId="342"/>
    <cellStyle name="_KT (2)_2_TG-TH_kien giang 2" xfId="343"/>
    <cellStyle name="_KT (2)_2_TG-TH_Lora-tungchau" xfId="344"/>
    <cellStyle name="_KT (2)_2_TG-TH_Luy ke von ung nam 2011 -Thoa gui ngay 12-8-2012" xfId="345"/>
    <cellStyle name="_KT (2)_2_TG-TH_NhanCong" xfId="346"/>
    <cellStyle name="_KT (2)_2_TG-TH_N-X-T-04" xfId="347"/>
    <cellStyle name="_KT (2)_2_TG-TH_PGIA-phieu tham tra Kho bac" xfId="348"/>
    <cellStyle name="_KT (2)_2_TG-TH_phu luc tong ket tinh hinh TH giai doan 03-10 (ngay 30)" xfId="349"/>
    <cellStyle name="_KT (2)_2_TG-TH_PT02-02" xfId="350"/>
    <cellStyle name="_KT (2)_2_TG-TH_PT02-02_Book1" xfId="351"/>
    <cellStyle name="_KT (2)_2_TG-TH_PT02-03" xfId="352"/>
    <cellStyle name="_KT (2)_2_TG-TH_PT02-03_Book1" xfId="353"/>
    <cellStyle name="_KT (2)_2_TG-TH_Qt-HT3PQ1(CauKho)" xfId="354"/>
    <cellStyle name="_KT (2)_2_TG-TH_Sheet1" xfId="355"/>
    <cellStyle name="_KT (2)_2_TG-TH_TK152-04" xfId="356"/>
    <cellStyle name="_KT (2)_2_TG-TH_ÿÿÿÿÿ" xfId="357"/>
    <cellStyle name="_KT (2)_2_TG-TH_ÿÿÿÿÿ_Bieu mau cong trinh khoi cong moi 3-4" xfId="358"/>
    <cellStyle name="_KT (2)_2_TG-TH_ÿÿÿÿÿ_Bieu3ODA" xfId="359"/>
    <cellStyle name="_KT (2)_2_TG-TH_ÿÿÿÿÿ_Bieu4HTMT" xfId="360"/>
    <cellStyle name="_KT (2)_2_TG-TH_ÿÿÿÿÿ_KH TPCP vung TNB (03-1-2012)" xfId="361"/>
    <cellStyle name="_KT (2)_2_TG-TH_ÿÿÿÿÿ_kien giang 2" xfId="362"/>
    <cellStyle name="_KT (2)_3" xfId="363"/>
    <cellStyle name="_KT (2)_3_TG-TH" xfId="364"/>
    <cellStyle name="_KT (2)_3_TG-TH 2" xfId="365"/>
    <cellStyle name="_KT (2)_3_TG-TH_05-12  KH trung han 2016-2020 - Liem Thinh edited" xfId="366"/>
    <cellStyle name="_KT (2)_3_TG-TH_BC  NAM 2007" xfId="367"/>
    <cellStyle name="_KT (2)_3_TG-TH_Bieu mau cong trinh khoi cong moi 3-4" xfId="368"/>
    <cellStyle name="_KT (2)_3_TG-TH_Bieu3ODA" xfId="369"/>
    <cellStyle name="_KT (2)_3_TG-TH_Bieu3ODA_1" xfId="370"/>
    <cellStyle name="_KT (2)_3_TG-TH_Bieu4HTMT" xfId="371"/>
    <cellStyle name="_KT (2)_3_TG-TH_bo sung von KCH nam 2010 va Du an tre kho khan" xfId="372"/>
    <cellStyle name="_KT (2)_3_TG-TH_Book1" xfId="373"/>
    <cellStyle name="_KT (2)_3_TG-TH_Book1 2" xfId="374"/>
    <cellStyle name="_KT (2)_3_TG-TH_Book1_BC-QT-WB-dthao" xfId="375"/>
    <cellStyle name="_KT (2)_3_TG-TH_Book1_BC-QT-WB-dthao_05-12  KH trung han 2016-2020 - Liem Thinh edited" xfId="376"/>
    <cellStyle name="_KT (2)_3_TG-TH_Book1_BC-QT-WB-dthao_Copy of 05-12  KH trung han 2016-2020 - Liem Thinh edited (1)" xfId="377"/>
    <cellStyle name="_KT (2)_3_TG-TH_Book1_BC-QT-WB-dthao_KH TPCP 2016-2020 (tong hop)" xfId="378"/>
    <cellStyle name="_KT (2)_3_TG-TH_Book1_KH TPCP vung TNB (03-1-2012)" xfId="379"/>
    <cellStyle name="_KT (2)_3_TG-TH_Book1_kien giang 2" xfId="380"/>
    <cellStyle name="_KT (2)_3_TG-TH_Copy of 05-12  KH trung han 2016-2020 - Liem Thinh edited (1)" xfId="381"/>
    <cellStyle name="_KT (2)_3_TG-TH_danh muc chuan bi dau tu 2011 ngay 07-6-2011" xfId="382"/>
    <cellStyle name="_KT (2)_3_TG-TH_Danh muc pbo nguon von XSKT, XDCB nam 2009 chuyen qua nam 2010" xfId="383"/>
    <cellStyle name="_KT (2)_3_TG-TH_dieu chinh KH 2011 ngay 26-5-2011111" xfId="384"/>
    <cellStyle name="_KT (2)_3_TG-TH_DS KCH PHAN BO VON NSDP NAM 2010" xfId="385"/>
    <cellStyle name="_KT (2)_3_TG-TH_giao KH 2011 ngay 10-12-2010" xfId="386"/>
    <cellStyle name="_KT (2)_3_TG-TH_GTGT 2003" xfId="387"/>
    <cellStyle name="_KT (2)_3_TG-TH_KE KHAI THUE GTGT 2004" xfId="388"/>
    <cellStyle name="_KT (2)_3_TG-TH_KE KHAI THUE GTGT 2004_BCTC2004" xfId="389"/>
    <cellStyle name="_KT (2)_3_TG-TH_KH TPCP 2016-2020 (tong hop)" xfId="390"/>
    <cellStyle name="_KT (2)_3_TG-TH_KH TPCP vung TNB (03-1-2012)" xfId="391"/>
    <cellStyle name="_KT (2)_3_TG-TH_kien giang 2" xfId="392"/>
    <cellStyle name="_KT (2)_3_TG-TH_Lora-tungchau" xfId="393"/>
    <cellStyle name="_KT (2)_3_TG-TH_Lora-tungchau 2" xfId="394"/>
    <cellStyle name="_KT (2)_3_TG-TH_Lora-tungchau_05-12  KH trung han 2016-2020 - Liem Thinh edited" xfId="395"/>
    <cellStyle name="_KT (2)_3_TG-TH_Lora-tungchau_Copy of 05-12  KH trung han 2016-2020 - Liem Thinh edited (1)" xfId="396"/>
    <cellStyle name="_KT (2)_3_TG-TH_Lora-tungchau_KH TPCP 2016-2020 (tong hop)" xfId="397"/>
    <cellStyle name="_KT (2)_3_TG-TH_N-X-T-04" xfId="398"/>
    <cellStyle name="_KT (2)_3_TG-TH_PERSONAL" xfId="399"/>
    <cellStyle name="_KT (2)_3_TG-TH_PERSONAL_BC CV 6403 BKHĐT" xfId="400"/>
    <cellStyle name="_KT (2)_3_TG-TH_PERSONAL_Bieu mau cong trinh khoi cong moi 3-4" xfId="401"/>
    <cellStyle name="_KT (2)_3_TG-TH_PERSONAL_Bieu3ODA" xfId="402"/>
    <cellStyle name="_KT (2)_3_TG-TH_PERSONAL_Bieu4HTMT" xfId="403"/>
    <cellStyle name="_KT (2)_3_TG-TH_PERSONAL_Book1" xfId="404"/>
    <cellStyle name="_KT (2)_3_TG-TH_PERSONAL_Book1 2" xfId="405"/>
    <cellStyle name="_KT (2)_3_TG-TH_PERSONAL_HTQ.8 GD1" xfId="406"/>
    <cellStyle name="_KT (2)_3_TG-TH_PERSONAL_HTQ.8 GD1_05-12  KH trung han 2016-2020 - Liem Thinh edited" xfId="407"/>
    <cellStyle name="_KT (2)_3_TG-TH_PERSONAL_HTQ.8 GD1_Copy of 05-12  KH trung han 2016-2020 - Liem Thinh edited (1)" xfId="408"/>
    <cellStyle name="_KT (2)_3_TG-TH_PERSONAL_HTQ.8 GD1_KH TPCP 2016-2020 (tong hop)" xfId="409"/>
    <cellStyle name="_KT (2)_3_TG-TH_PERSONAL_Luy ke von ung nam 2011 -Thoa gui ngay 12-8-2012" xfId="410"/>
    <cellStyle name="_KT (2)_3_TG-TH_PERSONAL_Tong hop KHCB 2001" xfId="411"/>
    <cellStyle name="_KT (2)_3_TG-TH_Qt-HT3PQ1(CauKho)" xfId="412"/>
    <cellStyle name="_KT (2)_3_TG-TH_TK152-04" xfId="413"/>
    <cellStyle name="_KT (2)_3_TG-TH_ÿÿÿÿÿ" xfId="414"/>
    <cellStyle name="_KT (2)_3_TG-TH_ÿÿÿÿÿ_KH TPCP vung TNB (03-1-2012)" xfId="415"/>
    <cellStyle name="_KT (2)_3_TG-TH_ÿÿÿÿÿ_kien giang 2" xfId="416"/>
    <cellStyle name="_KT (2)_4" xfId="417"/>
    <cellStyle name="_KT (2)_4 2" xfId="418"/>
    <cellStyle name="_KT (2)_4_05-12  KH trung han 2016-2020 - Liem Thinh edited" xfId="419"/>
    <cellStyle name="_KT (2)_4_ApGiaVatTu_cayxanh_latgach" xfId="420"/>
    <cellStyle name="_KT (2)_4_BANG TONG HOP TINH HINH THANH QUYET TOAN (MOI I)" xfId="421"/>
    <cellStyle name="_KT (2)_4_BAO CAO KLCT PT2000" xfId="422"/>
    <cellStyle name="_KT (2)_4_BAO CAO PT2000" xfId="423"/>
    <cellStyle name="_KT (2)_4_BAO CAO PT2000_Book1" xfId="424"/>
    <cellStyle name="_KT (2)_4_Bao cao XDCB 2001 - T11 KH dieu chinh 20-11-THAI" xfId="425"/>
    <cellStyle name="_KT (2)_4_BAO GIA NGAY 24-10-08 (co dam)" xfId="426"/>
    <cellStyle name="_KT (2)_4_BC  NAM 2007" xfId="427"/>
    <cellStyle name="_KT (2)_4_BC CV 6403 BKHĐT" xfId="428"/>
    <cellStyle name="_KT (2)_4_BC NQ11-CP - chinh sua lai" xfId="429"/>
    <cellStyle name="_KT (2)_4_BC NQ11-CP-Quynh sau bieu so3" xfId="430"/>
    <cellStyle name="_KT (2)_4_BC_NQ11-CP_-_Thao_sua_lai" xfId="431"/>
    <cellStyle name="_KT (2)_4_Bieu mau cong trinh khoi cong moi 3-4" xfId="432"/>
    <cellStyle name="_KT (2)_4_Bieu3ODA" xfId="433"/>
    <cellStyle name="_KT (2)_4_Bieu3ODA_1" xfId="434"/>
    <cellStyle name="_KT (2)_4_Bieu4HTMT" xfId="435"/>
    <cellStyle name="_KT (2)_4_bo sung von KCH nam 2010 va Du an tre kho khan" xfId="436"/>
    <cellStyle name="_KT (2)_4_Book1" xfId="437"/>
    <cellStyle name="_KT (2)_4_Book1 2" xfId="438"/>
    <cellStyle name="_KT (2)_4_Book1_1" xfId="439"/>
    <cellStyle name="_KT (2)_4_Book1_1 2" xfId="440"/>
    <cellStyle name="_KT (2)_4_Book1_1_BC CV 6403 BKHĐT" xfId="441"/>
    <cellStyle name="_KT (2)_4_Book1_1_Bieu mau cong trinh khoi cong moi 3-4" xfId="442"/>
    <cellStyle name="_KT (2)_4_Book1_1_Bieu3ODA" xfId="443"/>
    <cellStyle name="_KT (2)_4_Book1_1_Bieu4HTMT" xfId="444"/>
    <cellStyle name="_KT (2)_4_Book1_1_Book1" xfId="445"/>
    <cellStyle name="_KT (2)_4_Book1_1_Luy ke von ung nam 2011 -Thoa gui ngay 12-8-2012" xfId="446"/>
    <cellStyle name="_KT (2)_4_Book1_2" xfId="447"/>
    <cellStyle name="_KT (2)_4_Book1_2 2" xfId="448"/>
    <cellStyle name="_KT (2)_4_Book1_2_BC CV 6403 BKHĐT" xfId="449"/>
    <cellStyle name="_KT (2)_4_Book1_2_Bieu3ODA" xfId="450"/>
    <cellStyle name="_KT (2)_4_Book1_2_Luy ke von ung nam 2011 -Thoa gui ngay 12-8-2012" xfId="451"/>
    <cellStyle name="_KT (2)_4_Book1_3" xfId="452"/>
    <cellStyle name="_KT (2)_4_Book1_3 2" xfId="453"/>
    <cellStyle name="_KT (2)_4_Book1_BC CV 6403 BKHĐT" xfId="454"/>
    <cellStyle name="_KT (2)_4_Book1_Bieu mau cong trinh khoi cong moi 3-4" xfId="455"/>
    <cellStyle name="_KT (2)_4_Book1_Bieu3ODA" xfId="456"/>
    <cellStyle name="_KT (2)_4_Book1_Bieu4HTMT" xfId="457"/>
    <cellStyle name="_KT (2)_4_Book1_bo sung von KCH nam 2010 va Du an tre kho khan" xfId="458"/>
    <cellStyle name="_KT (2)_4_Book1_Book1" xfId="459"/>
    <cellStyle name="_KT (2)_4_Book1_danh muc chuan bi dau tu 2011 ngay 07-6-2011" xfId="460"/>
    <cellStyle name="_KT (2)_4_Book1_Danh muc pbo nguon von XSKT, XDCB nam 2009 chuyen qua nam 2010" xfId="461"/>
    <cellStyle name="_KT (2)_4_Book1_dieu chinh KH 2011 ngay 26-5-2011111" xfId="462"/>
    <cellStyle name="_KT (2)_4_Book1_DS KCH PHAN BO VON NSDP NAM 2010" xfId="463"/>
    <cellStyle name="_KT (2)_4_Book1_giao KH 2011 ngay 10-12-2010" xfId="464"/>
    <cellStyle name="_KT (2)_4_Book1_Luy ke von ung nam 2011 -Thoa gui ngay 12-8-2012" xfId="465"/>
    <cellStyle name="_KT (2)_4_CAU Khanh Nam(Thi Cong)" xfId="466"/>
    <cellStyle name="_KT (2)_4_ChiHuong_ApGia" xfId="467"/>
    <cellStyle name="_KT (2)_4_CoCauPhi (version 1)" xfId="468"/>
    <cellStyle name="_KT (2)_4_Copy of 05-12  KH trung han 2016-2020 - Liem Thinh edited (1)" xfId="469"/>
    <cellStyle name="_KT (2)_4_danh muc chuan bi dau tu 2011 ngay 07-6-2011" xfId="470"/>
    <cellStyle name="_KT (2)_4_Danh muc pbo nguon von XSKT, XDCB nam 2009 chuyen qua nam 2010" xfId="471"/>
    <cellStyle name="_KT (2)_4_DAU NOI PL-CL TAI PHU LAMHC" xfId="472"/>
    <cellStyle name="_KT (2)_4_dieu chinh KH 2011 ngay 26-5-2011111" xfId="473"/>
    <cellStyle name="_KT (2)_4_DS KCH PHAN BO VON NSDP NAM 2010" xfId="474"/>
    <cellStyle name="_KT (2)_4_DTCDT MR.2N110.HOCMON.TDTOAN.CCUNG" xfId="475"/>
    <cellStyle name="_KT (2)_4_DU TRU VAT TU" xfId="476"/>
    <cellStyle name="_KT (2)_4_giao KH 2011 ngay 10-12-2010" xfId="477"/>
    <cellStyle name="_KT (2)_4_GTGT 2003" xfId="478"/>
    <cellStyle name="_KT (2)_4_KE KHAI THUE GTGT 2004" xfId="479"/>
    <cellStyle name="_KT (2)_4_KE KHAI THUE GTGT 2004_BCTC2004" xfId="480"/>
    <cellStyle name="_KT (2)_4_KH TPCP 2016-2020 (tong hop)" xfId="481"/>
    <cellStyle name="_KT (2)_4_KH TPCP vung TNB (03-1-2012)" xfId="482"/>
    <cellStyle name="_KT (2)_4_kien giang 2" xfId="483"/>
    <cellStyle name="_KT (2)_4_Lora-tungchau" xfId="484"/>
    <cellStyle name="_KT (2)_4_Luy ke von ung nam 2011 -Thoa gui ngay 12-8-2012" xfId="485"/>
    <cellStyle name="_KT (2)_4_NhanCong" xfId="486"/>
    <cellStyle name="_KT (2)_4_N-X-T-04" xfId="487"/>
    <cellStyle name="_KT (2)_4_PGIA-phieu tham tra Kho bac" xfId="488"/>
    <cellStyle name="_KT (2)_4_phu luc tong ket tinh hinh TH giai doan 03-10 (ngay 30)" xfId="489"/>
    <cellStyle name="_KT (2)_4_PT02-02" xfId="490"/>
    <cellStyle name="_KT (2)_4_PT02-02_Book1" xfId="491"/>
    <cellStyle name="_KT (2)_4_PT02-03" xfId="492"/>
    <cellStyle name="_KT (2)_4_PT02-03_Book1" xfId="493"/>
    <cellStyle name="_KT (2)_4_Qt-HT3PQ1(CauKho)" xfId="494"/>
    <cellStyle name="_KT (2)_4_Sheet1" xfId="495"/>
    <cellStyle name="_KT (2)_4_TG-TH" xfId="496"/>
    <cellStyle name="_KT (2)_4_TK152-04" xfId="497"/>
    <cellStyle name="_KT (2)_4_ÿÿÿÿÿ" xfId="498"/>
    <cellStyle name="_KT (2)_4_ÿÿÿÿÿ_Bieu mau cong trinh khoi cong moi 3-4" xfId="499"/>
    <cellStyle name="_KT (2)_4_ÿÿÿÿÿ_Bieu3ODA" xfId="500"/>
    <cellStyle name="_KT (2)_4_ÿÿÿÿÿ_Bieu4HTMT" xfId="501"/>
    <cellStyle name="_KT (2)_4_ÿÿÿÿÿ_KH TPCP vung TNB (03-1-2012)" xfId="502"/>
    <cellStyle name="_KT (2)_4_ÿÿÿÿÿ_kien giang 2" xfId="503"/>
    <cellStyle name="_KT (2)_5" xfId="504"/>
    <cellStyle name="_KT (2)_5 2" xfId="505"/>
    <cellStyle name="_KT (2)_5_05-12  KH trung han 2016-2020 - Liem Thinh edited" xfId="506"/>
    <cellStyle name="_KT (2)_5_ApGiaVatTu_cayxanh_latgach" xfId="507"/>
    <cellStyle name="_KT (2)_5_BANG TONG HOP TINH HINH THANH QUYET TOAN (MOI I)" xfId="508"/>
    <cellStyle name="_KT (2)_5_BAO CAO KLCT PT2000" xfId="509"/>
    <cellStyle name="_KT (2)_5_BAO CAO PT2000" xfId="510"/>
    <cellStyle name="_KT (2)_5_BAO CAO PT2000_Book1" xfId="511"/>
    <cellStyle name="_KT (2)_5_Bao cao XDCB 2001 - T11 KH dieu chinh 20-11-THAI" xfId="512"/>
    <cellStyle name="_KT (2)_5_BAO GIA NGAY 24-10-08 (co dam)" xfId="513"/>
    <cellStyle name="_KT (2)_5_BC  NAM 2007" xfId="514"/>
    <cellStyle name="_KT (2)_5_BC CV 6403 BKHĐT" xfId="515"/>
    <cellStyle name="_KT (2)_5_BC NQ11-CP - chinh sua lai" xfId="516"/>
    <cellStyle name="_KT (2)_5_BC NQ11-CP-Quynh sau bieu so3" xfId="517"/>
    <cellStyle name="_KT (2)_5_BC_NQ11-CP_-_Thao_sua_lai" xfId="518"/>
    <cellStyle name="_KT (2)_5_Bieu mau cong trinh khoi cong moi 3-4" xfId="519"/>
    <cellStyle name="_KT (2)_5_Bieu3ODA" xfId="520"/>
    <cellStyle name="_KT (2)_5_Bieu3ODA_1" xfId="521"/>
    <cellStyle name="_KT (2)_5_Bieu4HTMT" xfId="522"/>
    <cellStyle name="_KT (2)_5_bo sung von KCH nam 2010 va Du an tre kho khan" xfId="523"/>
    <cellStyle name="_KT (2)_5_Book1" xfId="524"/>
    <cellStyle name="_KT (2)_5_Book1 2" xfId="525"/>
    <cellStyle name="_KT (2)_5_Book1_1" xfId="526"/>
    <cellStyle name="_KT (2)_5_Book1_1 2" xfId="527"/>
    <cellStyle name="_KT (2)_5_Book1_1_BC CV 6403 BKHĐT" xfId="528"/>
    <cellStyle name="_KT (2)_5_Book1_1_Bieu mau cong trinh khoi cong moi 3-4" xfId="529"/>
    <cellStyle name="_KT (2)_5_Book1_1_Bieu3ODA" xfId="530"/>
    <cellStyle name="_KT (2)_5_Book1_1_Bieu4HTMT" xfId="531"/>
    <cellStyle name="_KT (2)_5_Book1_1_Book1" xfId="532"/>
    <cellStyle name="_KT (2)_5_Book1_1_Luy ke von ung nam 2011 -Thoa gui ngay 12-8-2012" xfId="533"/>
    <cellStyle name="_KT (2)_5_Book1_2" xfId="534"/>
    <cellStyle name="_KT (2)_5_Book1_2 2" xfId="535"/>
    <cellStyle name="_KT (2)_5_Book1_2_BC CV 6403 BKHĐT" xfId="536"/>
    <cellStyle name="_KT (2)_5_Book1_2_Bieu3ODA" xfId="537"/>
    <cellStyle name="_KT (2)_5_Book1_2_Luy ke von ung nam 2011 -Thoa gui ngay 12-8-2012" xfId="538"/>
    <cellStyle name="_KT (2)_5_Book1_3" xfId="539"/>
    <cellStyle name="_KT (2)_5_Book1_BC CV 6403 BKHĐT" xfId="540"/>
    <cellStyle name="_KT (2)_5_Book1_BC-QT-WB-dthao" xfId="541"/>
    <cellStyle name="_KT (2)_5_Book1_Bieu mau cong trinh khoi cong moi 3-4" xfId="542"/>
    <cellStyle name="_KT (2)_5_Book1_Bieu3ODA" xfId="543"/>
    <cellStyle name="_KT (2)_5_Book1_Bieu4HTMT" xfId="544"/>
    <cellStyle name="_KT (2)_5_Book1_bo sung von KCH nam 2010 va Du an tre kho khan" xfId="545"/>
    <cellStyle name="_KT (2)_5_Book1_Book1" xfId="546"/>
    <cellStyle name="_KT (2)_5_Book1_danh muc chuan bi dau tu 2011 ngay 07-6-2011" xfId="547"/>
    <cellStyle name="_KT (2)_5_Book1_Danh muc pbo nguon von XSKT, XDCB nam 2009 chuyen qua nam 2010" xfId="548"/>
    <cellStyle name="_KT (2)_5_Book1_dieu chinh KH 2011 ngay 26-5-2011111" xfId="549"/>
    <cellStyle name="_KT (2)_5_Book1_DS KCH PHAN BO VON NSDP NAM 2010" xfId="550"/>
    <cellStyle name="_KT (2)_5_Book1_giao KH 2011 ngay 10-12-2010" xfId="551"/>
    <cellStyle name="_KT (2)_5_Book1_Luy ke von ung nam 2011 -Thoa gui ngay 12-8-2012" xfId="552"/>
    <cellStyle name="_KT (2)_5_CAU Khanh Nam(Thi Cong)" xfId="553"/>
    <cellStyle name="_KT (2)_5_ChiHuong_ApGia" xfId="554"/>
    <cellStyle name="_KT (2)_5_CoCauPhi (version 1)" xfId="555"/>
    <cellStyle name="_KT (2)_5_Copy of 05-12  KH trung han 2016-2020 - Liem Thinh edited (1)" xfId="556"/>
    <cellStyle name="_KT (2)_5_danh muc chuan bi dau tu 2011 ngay 07-6-2011" xfId="557"/>
    <cellStyle name="_KT (2)_5_Danh muc pbo nguon von XSKT, XDCB nam 2009 chuyen qua nam 2010" xfId="558"/>
    <cellStyle name="_KT (2)_5_DAU NOI PL-CL TAI PHU LAMHC" xfId="559"/>
    <cellStyle name="_KT (2)_5_dieu chinh KH 2011 ngay 26-5-2011111" xfId="560"/>
    <cellStyle name="_KT (2)_5_DS KCH PHAN BO VON NSDP NAM 2010" xfId="561"/>
    <cellStyle name="_KT (2)_5_DTCDT MR.2N110.HOCMON.TDTOAN.CCUNG" xfId="562"/>
    <cellStyle name="_KT (2)_5_DU TRU VAT TU" xfId="563"/>
    <cellStyle name="_KT (2)_5_giao KH 2011 ngay 10-12-2010" xfId="564"/>
    <cellStyle name="_KT (2)_5_GTGT 2003" xfId="565"/>
    <cellStyle name="_KT (2)_5_KE KHAI THUE GTGT 2004" xfId="566"/>
    <cellStyle name="_KT (2)_5_KE KHAI THUE GTGT 2004_BCTC2004" xfId="567"/>
    <cellStyle name="_KT (2)_5_KH TPCP 2016-2020 (tong hop)" xfId="568"/>
    <cellStyle name="_KT (2)_5_KH TPCP vung TNB (03-1-2012)" xfId="569"/>
    <cellStyle name="_KT (2)_5_kien giang 2" xfId="570"/>
    <cellStyle name="_KT (2)_5_Lora-tungchau" xfId="571"/>
    <cellStyle name="_KT (2)_5_Luy ke von ung nam 2011 -Thoa gui ngay 12-8-2012" xfId="572"/>
    <cellStyle name="_KT (2)_5_NhanCong" xfId="573"/>
    <cellStyle name="_KT (2)_5_N-X-T-04" xfId="574"/>
    <cellStyle name="_KT (2)_5_PGIA-phieu tham tra Kho bac" xfId="575"/>
    <cellStyle name="_KT (2)_5_phu luc tong ket tinh hinh TH giai doan 03-10 (ngay 30)" xfId="576"/>
    <cellStyle name="_KT (2)_5_PT02-02" xfId="577"/>
    <cellStyle name="_KT (2)_5_PT02-02_Book1" xfId="578"/>
    <cellStyle name="_KT (2)_5_PT02-03" xfId="579"/>
    <cellStyle name="_KT (2)_5_PT02-03_Book1" xfId="580"/>
    <cellStyle name="_KT (2)_5_Qt-HT3PQ1(CauKho)" xfId="581"/>
    <cellStyle name="_KT (2)_5_Sheet1" xfId="582"/>
    <cellStyle name="_KT (2)_5_TK152-04" xfId="583"/>
    <cellStyle name="_KT (2)_5_ÿÿÿÿÿ" xfId="584"/>
    <cellStyle name="_KT (2)_5_ÿÿÿÿÿ_Bieu mau cong trinh khoi cong moi 3-4" xfId="585"/>
    <cellStyle name="_KT (2)_5_ÿÿÿÿÿ_Bieu3ODA" xfId="586"/>
    <cellStyle name="_KT (2)_5_ÿÿÿÿÿ_Bieu4HTMT" xfId="587"/>
    <cellStyle name="_KT (2)_5_ÿÿÿÿÿ_KH TPCP vung TNB (03-1-2012)" xfId="588"/>
    <cellStyle name="_KT (2)_5_ÿÿÿÿÿ_kien giang 2" xfId="589"/>
    <cellStyle name="_KT (2)_BC  NAM 2007" xfId="590"/>
    <cellStyle name="_KT (2)_Bieu mau cong trinh khoi cong moi 3-4" xfId="591"/>
    <cellStyle name="_KT (2)_Bieu3ODA" xfId="592"/>
    <cellStyle name="_KT (2)_Bieu3ODA_1" xfId="593"/>
    <cellStyle name="_KT (2)_Bieu4HTMT" xfId="594"/>
    <cellStyle name="_KT (2)_bo sung von KCH nam 2010 va Du an tre kho khan" xfId="595"/>
    <cellStyle name="_KT (2)_Book1" xfId="596"/>
    <cellStyle name="_KT (2)_Book1 2" xfId="597"/>
    <cellStyle name="_KT (2)_Book1_BC-QT-WB-dthao" xfId="598"/>
    <cellStyle name="_KT (2)_Book1_BC-QT-WB-dthao_05-12  KH trung han 2016-2020 - Liem Thinh edited" xfId="599"/>
    <cellStyle name="_KT (2)_Book1_BC-QT-WB-dthao_Copy of 05-12  KH trung han 2016-2020 - Liem Thinh edited (1)" xfId="600"/>
    <cellStyle name="_KT (2)_Book1_BC-QT-WB-dthao_KH TPCP 2016-2020 (tong hop)" xfId="601"/>
    <cellStyle name="_KT (2)_Book1_KH TPCP vung TNB (03-1-2012)" xfId="602"/>
    <cellStyle name="_KT (2)_Book1_kien giang 2" xfId="603"/>
    <cellStyle name="_KT (2)_Copy of 05-12  KH trung han 2016-2020 - Liem Thinh edited (1)" xfId="604"/>
    <cellStyle name="_KT (2)_danh muc chuan bi dau tu 2011 ngay 07-6-2011" xfId="605"/>
    <cellStyle name="_KT (2)_Danh muc pbo nguon von XSKT, XDCB nam 2009 chuyen qua nam 2010" xfId="606"/>
    <cellStyle name="_KT (2)_dieu chinh KH 2011 ngay 26-5-2011111" xfId="607"/>
    <cellStyle name="_KT (2)_DS KCH PHAN BO VON NSDP NAM 2010" xfId="608"/>
    <cellStyle name="_KT (2)_giao KH 2011 ngay 10-12-2010" xfId="609"/>
    <cellStyle name="_KT (2)_GTGT 2003" xfId="610"/>
    <cellStyle name="_KT (2)_KE KHAI THUE GTGT 2004" xfId="611"/>
    <cellStyle name="_KT (2)_KE KHAI THUE GTGT 2004_BCTC2004" xfId="612"/>
    <cellStyle name="_KT (2)_KH TPCP 2016-2020 (tong hop)" xfId="613"/>
    <cellStyle name="_KT (2)_KH TPCP vung TNB (03-1-2012)" xfId="614"/>
    <cellStyle name="_KT (2)_kien giang 2" xfId="615"/>
    <cellStyle name="_KT (2)_Lora-tungchau" xfId="616"/>
    <cellStyle name="_KT (2)_Lora-tungchau 2" xfId="617"/>
    <cellStyle name="_KT (2)_Lora-tungchau_05-12  KH trung han 2016-2020 - Liem Thinh edited" xfId="618"/>
    <cellStyle name="_KT (2)_Lora-tungchau_Copy of 05-12  KH trung han 2016-2020 - Liem Thinh edited (1)" xfId="619"/>
    <cellStyle name="_KT (2)_Lora-tungchau_KH TPCP 2016-2020 (tong hop)" xfId="620"/>
    <cellStyle name="_KT (2)_N-X-T-04" xfId="621"/>
    <cellStyle name="_KT (2)_PERSONAL" xfId="622"/>
    <cellStyle name="_KT (2)_PERSONAL_BC CV 6403 BKHĐT" xfId="623"/>
    <cellStyle name="_KT (2)_PERSONAL_Bieu mau cong trinh khoi cong moi 3-4" xfId="624"/>
    <cellStyle name="_KT (2)_PERSONAL_Bieu3ODA" xfId="625"/>
    <cellStyle name="_KT (2)_PERSONAL_Bieu4HTMT" xfId="626"/>
    <cellStyle name="_KT (2)_PERSONAL_Book1" xfId="627"/>
    <cellStyle name="_KT (2)_PERSONAL_Book1 2" xfId="628"/>
    <cellStyle name="_KT (2)_PERSONAL_HTQ.8 GD1" xfId="629"/>
    <cellStyle name="_KT (2)_PERSONAL_HTQ.8 GD1_05-12  KH trung han 2016-2020 - Liem Thinh edited" xfId="630"/>
    <cellStyle name="_KT (2)_PERSONAL_HTQ.8 GD1_Copy of 05-12  KH trung han 2016-2020 - Liem Thinh edited (1)" xfId="631"/>
    <cellStyle name="_KT (2)_PERSONAL_HTQ.8 GD1_KH TPCP 2016-2020 (tong hop)" xfId="632"/>
    <cellStyle name="_KT (2)_PERSONAL_Luy ke von ung nam 2011 -Thoa gui ngay 12-8-2012" xfId="633"/>
    <cellStyle name="_KT (2)_PERSONAL_Tong hop KHCB 2001" xfId="634"/>
    <cellStyle name="_KT (2)_Qt-HT3PQ1(CauKho)" xfId="635"/>
    <cellStyle name="_KT (2)_TG-TH" xfId="636"/>
    <cellStyle name="_KT (2)_TK152-04" xfId="637"/>
    <cellStyle name="_KT (2)_ÿÿÿÿÿ" xfId="638"/>
    <cellStyle name="_KT (2)_ÿÿÿÿÿ_KH TPCP vung TNB (03-1-2012)" xfId="639"/>
    <cellStyle name="_KT (2)_ÿÿÿÿÿ_kien giang 2" xfId="640"/>
    <cellStyle name="_KT_TG" xfId="641"/>
    <cellStyle name="_KT_TG_1" xfId="642"/>
    <cellStyle name="_KT_TG_1 2" xfId="643"/>
    <cellStyle name="_KT_TG_1_05-12  KH trung han 2016-2020 - Liem Thinh edited" xfId="644"/>
    <cellStyle name="_KT_TG_1_ApGiaVatTu_cayxanh_latgach" xfId="645"/>
    <cellStyle name="_KT_TG_1_BANG TONG HOP TINH HINH THANH QUYET TOAN (MOI I)" xfId="646"/>
    <cellStyle name="_KT_TG_1_BAO CAO KLCT PT2000" xfId="647"/>
    <cellStyle name="_KT_TG_1_BAO CAO PT2000" xfId="648"/>
    <cellStyle name="_KT_TG_1_BAO CAO PT2000_Book1" xfId="649"/>
    <cellStyle name="_KT_TG_1_Bao cao XDCB 2001 - T11 KH dieu chinh 20-11-THAI" xfId="650"/>
    <cellStyle name="_KT_TG_1_BAO GIA NGAY 24-10-08 (co dam)" xfId="651"/>
    <cellStyle name="_KT_TG_1_BC  NAM 2007" xfId="652"/>
    <cellStyle name="_KT_TG_1_BC CV 6403 BKHĐT" xfId="653"/>
    <cellStyle name="_KT_TG_1_BC NQ11-CP - chinh sua lai" xfId="654"/>
    <cellStyle name="_KT_TG_1_BC NQ11-CP-Quynh sau bieu so3" xfId="655"/>
    <cellStyle name="_KT_TG_1_BC_NQ11-CP_-_Thao_sua_lai" xfId="656"/>
    <cellStyle name="_KT_TG_1_Bieu mau cong trinh khoi cong moi 3-4" xfId="657"/>
    <cellStyle name="_KT_TG_1_Bieu3ODA" xfId="658"/>
    <cellStyle name="_KT_TG_1_Bieu3ODA_1" xfId="659"/>
    <cellStyle name="_KT_TG_1_Bieu4HTMT" xfId="660"/>
    <cellStyle name="_KT_TG_1_bo sung von KCH nam 2010 va Du an tre kho khan" xfId="661"/>
    <cellStyle name="_KT_TG_1_Book1" xfId="662"/>
    <cellStyle name="_KT_TG_1_Book1 2" xfId="663"/>
    <cellStyle name="_KT_TG_1_Book1_1" xfId="664"/>
    <cellStyle name="_KT_TG_1_Book1_1 2" xfId="665"/>
    <cellStyle name="_KT_TG_1_Book1_1_BC CV 6403 BKHĐT" xfId="666"/>
    <cellStyle name="_KT_TG_1_Book1_1_Bieu mau cong trinh khoi cong moi 3-4" xfId="667"/>
    <cellStyle name="_KT_TG_1_Book1_1_Bieu3ODA" xfId="668"/>
    <cellStyle name="_KT_TG_1_Book1_1_Bieu4HTMT" xfId="669"/>
    <cellStyle name="_KT_TG_1_Book1_1_Book1" xfId="670"/>
    <cellStyle name="_KT_TG_1_Book1_1_Luy ke von ung nam 2011 -Thoa gui ngay 12-8-2012" xfId="671"/>
    <cellStyle name="_KT_TG_1_Book1_2" xfId="672"/>
    <cellStyle name="_KT_TG_1_Book1_2 2" xfId="673"/>
    <cellStyle name="_KT_TG_1_Book1_2_BC CV 6403 BKHĐT" xfId="674"/>
    <cellStyle name="_KT_TG_1_Book1_2_Bieu3ODA" xfId="675"/>
    <cellStyle name="_KT_TG_1_Book1_2_Luy ke von ung nam 2011 -Thoa gui ngay 12-8-2012" xfId="676"/>
    <cellStyle name="_KT_TG_1_Book1_3" xfId="677"/>
    <cellStyle name="_KT_TG_1_Book1_BC CV 6403 BKHĐT" xfId="678"/>
    <cellStyle name="_KT_TG_1_Book1_BC-QT-WB-dthao" xfId="679"/>
    <cellStyle name="_KT_TG_1_Book1_Bieu mau cong trinh khoi cong moi 3-4" xfId="680"/>
    <cellStyle name="_KT_TG_1_Book1_Bieu3ODA" xfId="681"/>
    <cellStyle name="_KT_TG_1_Book1_Bieu4HTMT" xfId="682"/>
    <cellStyle name="_KT_TG_1_Book1_bo sung von KCH nam 2010 va Du an tre kho khan" xfId="683"/>
    <cellStyle name="_KT_TG_1_Book1_Book1" xfId="684"/>
    <cellStyle name="_KT_TG_1_Book1_danh muc chuan bi dau tu 2011 ngay 07-6-2011" xfId="685"/>
    <cellStyle name="_KT_TG_1_Book1_Danh muc pbo nguon von XSKT, XDCB nam 2009 chuyen qua nam 2010" xfId="686"/>
    <cellStyle name="_KT_TG_1_Book1_dieu chinh KH 2011 ngay 26-5-2011111" xfId="687"/>
    <cellStyle name="_KT_TG_1_Book1_DS KCH PHAN BO VON NSDP NAM 2010" xfId="688"/>
    <cellStyle name="_KT_TG_1_Book1_giao KH 2011 ngay 10-12-2010" xfId="689"/>
    <cellStyle name="_KT_TG_1_Book1_Luy ke von ung nam 2011 -Thoa gui ngay 12-8-2012" xfId="690"/>
    <cellStyle name="_KT_TG_1_CAU Khanh Nam(Thi Cong)" xfId="691"/>
    <cellStyle name="_KT_TG_1_ChiHuong_ApGia" xfId="692"/>
    <cellStyle name="_KT_TG_1_CoCauPhi (version 1)" xfId="693"/>
    <cellStyle name="_KT_TG_1_Copy of 05-12  KH trung han 2016-2020 - Liem Thinh edited (1)" xfId="694"/>
    <cellStyle name="_KT_TG_1_danh muc chuan bi dau tu 2011 ngay 07-6-2011" xfId="695"/>
    <cellStyle name="_KT_TG_1_Danh muc pbo nguon von XSKT, XDCB nam 2009 chuyen qua nam 2010" xfId="696"/>
    <cellStyle name="_KT_TG_1_DAU NOI PL-CL TAI PHU LAMHC" xfId="697"/>
    <cellStyle name="_KT_TG_1_dieu chinh KH 2011 ngay 26-5-2011111" xfId="698"/>
    <cellStyle name="_KT_TG_1_DS KCH PHAN BO VON NSDP NAM 2010" xfId="699"/>
    <cellStyle name="_KT_TG_1_DTCDT MR.2N110.HOCMON.TDTOAN.CCUNG" xfId="700"/>
    <cellStyle name="_KT_TG_1_DU TRU VAT TU" xfId="701"/>
    <cellStyle name="_KT_TG_1_giao KH 2011 ngay 10-12-2010" xfId="702"/>
    <cellStyle name="_KT_TG_1_GTGT 2003" xfId="703"/>
    <cellStyle name="_KT_TG_1_KE KHAI THUE GTGT 2004" xfId="704"/>
    <cellStyle name="_KT_TG_1_KE KHAI THUE GTGT 2004_BCTC2004" xfId="705"/>
    <cellStyle name="_KT_TG_1_KH TPCP 2016-2020 (tong hop)" xfId="706"/>
    <cellStyle name="_KT_TG_1_KH TPCP vung TNB (03-1-2012)" xfId="707"/>
    <cellStyle name="_KT_TG_1_kien giang 2" xfId="708"/>
    <cellStyle name="_KT_TG_1_Lora-tungchau" xfId="709"/>
    <cellStyle name="_KT_TG_1_Luy ke von ung nam 2011 -Thoa gui ngay 12-8-2012" xfId="710"/>
    <cellStyle name="_KT_TG_1_NhanCong" xfId="711"/>
    <cellStyle name="_KT_TG_1_N-X-T-04" xfId="712"/>
    <cellStyle name="_KT_TG_1_PGIA-phieu tham tra Kho bac" xfId="713"/>
    <cellStyle name="_KT_TG_1_phu luc tong ket tinh hinh TH giai doan 03-10 (ngay 30)" xfId="714"/>
    <cellStyle name="_KT_TG_1_PT02-02" xfId="715"/>
    <cellStyle name="_KT_TG_1_PT02-02_Book1" xfId="716"/>
    <cellStyle name="_KT_TG_1_PT02-03" xfId="717"/>
    <cellStyle name="_KT_TG_1_PT02-03_Book1" xfId="718"/>
    <cellStyle name="_KT_TG_1_Qt-HT3PQ1(CauKho)" xfId="719"/>
    <cellStyle name="_KT_TG_1_Sheet1" xfId="720"/>
    <cellStyle name="_KT_TG_1_TK152-04" xfId="721"/>
    <cellStyle name="_KT_TG_1_ÿÿÿÿÿ" xfId="722"/>
    <cellStyle name="_KT_TG_1_ÿÿÿÿÿ_Bieu mau cong trinh khoi cong moi 3-4" xfId="723"/>
    <cellStyle name="_KT_TG_1_ÿÿÿÿÿ_Bieu3ODA" xfId="724"/>
    <cellStyle name="_KT_TG_1_ÿÿÿÿÿ_Bieu4HTMT" xfId="725"/>
    <cellStyle name="_KT_TG_1_ÿÿÿÿÿ_KH TPCP vung TNB (03-1-2012)" xfId="726"/>
    <cellStyle name="_KT_TG_1_ÿÿÿÿÿ_kien giang 2" xfId="727"/>
    <cellStyle name="_KT_TG_2" xfId="728"/>
    <cellStyle name="_KT_TG_2 2" xfId="729"/>
    <cellStyle name="_KT_TG_2_05-12  KH trung han 2016-2020 - Liem Thinh edited" xfId="730"/>
    <cellStyle name="_KT_TG_2_ApGiaVatTu_cayxanh_latgach" xfId="731"/>
    <cellStyle name="_KT_TG_2_BANG TONG HOP TINH HINH THANH QUYET TOAN (MOI I)" xfId="732"/>
    <cellStyle name="_KT_TG_2_BAO CAO KLCT PT2000" xfId="733"/>
    <cellStyle name="_KT_TG_2_BAO CAO PT2000" xfId="734"/>
    <cellStyle name="_KT_TG_2_BAO CAO PT2000_Book1" xfId="735"/>
    <cellStyle name="_KT_TG_2_Bao cao XDCB 2001 - T11 KH dieu chinh 20-11-THAI" xfId="736"/>
    <cellStyle name="_KT_TG_2_BAO GIA NGAY 24-10-08 (co dam)" xfId="737"/>
    <cellStyle name="_KT_TG_2_BC  NAM 2007" xfId="738"/>
    <cellStyle name="_KT_TG_2_BC CV 6403 BKHĐT" xfId="739"/>
    <cellStyle name="_KT_TG_2_BC NQ11-CP - chinh sua lai" xfId="740"/>
    <cellStyle name="_KT_TG_2_BC NQ11-CP-Quynh sau bieu so3" xfId="741"/>
    <cellStyle name="_KT_TG_2_BC_NQ11-CP_-_Thao_sua_lai" xfId="742"/>
    <cellStyle name="_KT_TG_2_Bieu mau cong trinh khoi cong moi 3-4" xfId="743"/>
    <cellStyle name="_KT_TG_2_Bieu3ODA" xfId="744"/>
    <cellStyle name="_KT_TG_2_Bieu3ODA_1" xfId="745"/>
    <cellStyle name="_KT_TG_2_Bieu4HTMT" xfId="746"/>
    <cellStyle name="_KT_TG_2_bo sung von KCH nam 2010 va Du an tre kho khan" xfId="747"/>
    <cellStyle name="_KT_TG_2_Book1" xfId="748"/>
    <cellStyle name="_KT_TG_2_Book1 2" xfId="749"/>
    <cellStyle name="_KT_TG_2_Book1_1" xfId="750"/>
    <cellStyle name="_KT_TG_2_Book1_1 2" xfId="751"/>
    <cellStyle name="_KT_TG_2_Book1_1_BC CV 6403 BKHĐT" xfId="752"/>
    <cellStyle name="_KT_TG_2_Book1_1_Bieu mau cong trinh khoi cong moi 3-4" xfId="753"/>
    <cellStyle name="_KT_TG_2_Book1_1_Bieu3ODA" xfId="754"/>
    <cellStyle name="_KT_TG_2_Book1_1_Bieu4HTMT" xfId="755"/>
    <cellStyle name="_KT_TG_2_Book1_1_Book1" xfId="756"/>
    <cellStyle name="_KT_TG_2_Book1_1_Luy ke von ung nam 2011 -Thoa gui ngay 12-8-2012" xfId="757"/>
    <cellStyle name="_KT_TG_2_Book1_2" xfId="758"/>
    <cellStyle name="_KT_TG_2_Book1_2 2" xfId="759"/>
    <cellStyle name="_KT_TG_2_Book1_2_BC CV 6403 BKHĐT" xfId="760"/>
    <cellStyle name="_KT_TG_2_Book1_2_Bieu3ODA" xfId="761"/>
    <cellStyle name="_KT_TG_2_Book1_2_Luy ke von ung nam 2011 -Thoa gui ngay 12-8-2012" xfId="762"/>
    <cellStyle name="_KT_TG_2_Book1_3" xfId="763"/>
    <cellStyle name="_KT_TG_2_Book1_3 2" xfId="764"/>
    <cellStyle name="_KT_TG_2_Book1_BC CV 6403 BKHĐT" xfId="765"/>
    <cellStyle name="_KT_TG_2_Book1_Bieu mau cong trinh khoi cong moi 3-4" xfId="766"/>
    <cellStyle name="_KT_TG_2_Book1_Bieu3ODA" xfId="767"/>
    <cellStyle name="_KT_TG_2_Book1_Bieu4HTMT" xfId="768"/>
    <cellStyle name="_KT_TG_2_Book1_bo sung von KCH nam 2010 va Du an tre kho khan" xfId="769"/>
    <cellStyle name="_KT_TG_2_Book1_Book1" xfId="770"/>
    <cellStyle name="_KT_TG_2_Book1_danh muc chuan bi dau tu 2011 ngay 07-6-2011" xfId="771"/>
    <cellStyle name="_KT_TG_2_Book1_Danh muc pbo nguon von XSKT, XDCB nam 2009 chuyen qua nam 2010" xfId="772"/>
    <cellStyle name="_KT_TG_2_Book1_dieu chinh KH 2011 ngay 26-5-2011111" xfId="773"/>
    <cellStyle name="_KT_TG_2_Book1_DS KCH PHAN BO VON NSDP NAM 2010" xfId="774"/>
    <cellStyle name="_KT_TG_2_Book1_giao KH 2011 ngay 10-12-2010" xfId="775"/>
    <cellStyle name="_KT_TG_2_Book1_Luy ke von ung nam 2011 -Thoa gui ngay 12-8-2012" xfId="776"/>
    <cellStyle name="_KT_TG_2_CAU Khanh Nam(Thi Cong)" xfId="777"/>
    <cellStyle name="_KT_TG_2_ChiHuong_ApGia" xfId="778"/>
    <cellStyle name="_KT_TG_2_CoCauPhi (version 1)" xfId="779"/>
    <cellStyle name="_KT_TG_2_Copy of 05-12  KH trung han 2016-2020 - Liem Thinh edited (1)" xfId="780"/>
    <cellStyle name="_KT_TG_2_danh muc chuan bi dau tu 2011 ngay 07-6-2011" xfId="781"/>
    <cellStyle name="_KT_TG_2_Danh muc pbo nguon von XSKT, XDCB nam 2009 chuyen qua nam 2010" xfId="782"/>
    <cellStyle name="_KT_TG_2_DAU NOI PL-CL TAI PHU LAMHC" xfId="783"/>
    <cellStyle name="_KT_TG_2_dieu chinh KH 2011 ngay 26-5-2011111" xfId="784"/>
    <cellStyle name="_KT_TG_2_DS KCH PHAN BO VON NSDP NAM 2010" xfId="785"/>
    <cellStyle name="_KT_TG_2_DTCDT MR.2N110.HOCMON.TDTOAN.CCUNG" xfId="786"/>
    <cellStyle name="_KT_TG_2_DU TRU VAT TU" xfId="787"/>
    <cellStyle name="_KT_TG_2_giao KH 2011 ngay 10-12-2010" xfId="788"/>
    <cellStyle name="_KT_TG_2_GTGT 2003" xfId="789"/>
    <cellStyle name="_KT_TG_2_KE KHAI THUE GTGT 2004" xfId="790"/>
    <cellStyle name="_KT_TG_2_KE KHAI THUE GTGT 2004_BCTC2004" xfId="791"/>
    <cellStyle name="_KT_TG_2_KH TPCP 2016-2020 (tong hop)" xfId="792"/>
    <cellStyle name="_KT_TG_2_KH TPCP vung TNB (03-1-2012)" xfId="793"/>
    <cellStyle name="_KT_TG_2_kien giang 2" xfId="794"/>
    <cellStyle name="_KT_TG_2_Lora-tungchau" xfId="795"/>
    <cellStyle name="_KT_TG_2_Luy ke von ung nam 2011 -Thoa gui ngay 12-8-2012" xfId="796"/>
    <cellStyle name="_KT_TG_2_NhanCong" xfId="797"/>
    <cellStyle name="_KT_TG_2_N-X-T-04" xfId="798"/>
    <cellStyle name="_KT_TG_2_PGIA-phieu tham tra Kho bac" xfId="799"/>
    <cellStyle name="_KT_TG_2_phu luc tong ket tinh hinh TH giai doan 03-10 (ngay 30)" xfId="800"/>
    <cellStyle name="_KT_TG_2_PT02-02" xfId="801"/>
    <cellStyle name="_KT_TG_2_PT02-02_Book1" xfId="802"/>
    <cellStyle name="_KT_TG_2_PT02-03" xfId="803"/>
    <cellStyle name="_KT_TG_2_PT02-03_Book1" xfId="804"/>
    <cellStyle name="_KT_TG_2_Qt-HT3PQ1(CauKho)" xfId="805"/>
    <cellStyle name="_KT_TG_2_Sheet1" xfId="806"/>
    <cellStyle name="_KT_TG_2_TK152-04" xfId="807"/>
    <cellStyle name="_KT_TG_2_ÿÿÿÿÿ" xfId="808"/>
    <cellStyle name="_KT_TG_2_ÿÿÿÿÿ_Bieu mau cong trinh khoi cong moi 3-4" xfId="809"/>
    <cellStyle name="_KT_TG_2_ÿÿÿÿÿ_Bieu3ODA" xfId="810"/>
    <cellStyle name="_KT_TG_2_ÿÿÿÿÿ_Bieu4HTMT" xfId="811"/>
    <cellStyle name="_KT_TG_2_ÿÿÿÿÿ_KH TPCP vung TNB (03-1-2012)" xfId="812"/>
    <cellStyle name="_KT_TG_2_ÿÿÿÿÿ_kien giang 2" xfId="813"/>
    <cellStyle name="_KT_TG_3" xfId="814"/>
    <cellStyle name="_KT_TG_4" xfId="815"/>
    <cellStyle name="_KT_TG_4 2" xfId="816"/>
    <cellStyle name="_KT_TG_4_05-12  KH trung han 2016-2020 - Liem Thinh edited" xfId="817"/>
    <cellStyle name="_KT_TG_4_Copy of 05-12  KH trung han 2016-2020 - Liem Thinh edited (1)" xfId="818"/>
    <cellStyle name="_KT_TG_4_KH TPCP 2016-2020 (tong hop)" xfId="819"/>
    <cellStyle name="_KT_TG_4_Lora-tungchau" xfId="820"/>
    <cellStyle name="_KT_TG_4_Lora-tungchau 2" xfId="821"/>
    <cellStyle name="_KT_TG_4_Lora-tungchau_05-12  KH trung han 2016-2020 - Liem Thinh edited" xfId="822"/>
    <cellStyle name="_KT_TG_4_Lora-tungchau_Copy of 05-12  KH trung han 2016-2020 - Liem Thinh edited (1)" xfId="823"/>
    <cellStyle name="_KT_TG_4_Lora-tungchau_KH TPCP 2016-2020 (tong hop)" xfId="824"/>
    <cellStyle name="_KT_TG_4_Qt-HT3PQ1(CauKho)" xfId="825"/>
    <cellStyle name="_Lora-tungchau" xfId="826"/>
    <cellStyle name="_Lora-tungchau 2" xfId="827"/>
    <cellStyle name="_Lora-tungchau_05-12  KH trung han 2016-2020 - Liem Thinh edited" xfId="828"/>
    <cellStyle name="_Lora-tungchau_Copy of 05-12  KH trung han 2016-2020 - Liem Thinh edited (1)" xfId="829"/>
    <cellStyle name="_Lora-tungchau_KH TPCP 2016-2020 (tong hop)" xfId="830"/>
    <cellStyle name="_Luy ke von ung nam 2011 -Thoa gui ngay 12-8-2012" xfId="831"/>
    <cellStyle name="_mau so 3" xfId="832"/>
    <cellStyle name="_MauThanTKKT-goi7-DonGia2143(vl t7)" xfId="833"/>
    <cellStyle name="_MauThanTKKT-goi7-DonGia2143(vl t7)_!1 1 bao cao giao KH ve HTCMT vung TNB   12-12-2011" xfId="834"/>
    <cellStyle name="_MauThanTKKT-goi7-DonGia2143(vl t7)_Bieu4HTMT" xfId="835"/>
    <cellStyle name="_MauThanTKKT-goi7-DonGia2143(vl t7)_Bieu4HTMT_!1 1 bao cao giao KH ve HTCMT vung TNB   12-12-2011" xfId="836"/>
    <cellStyle name="_MauThanTKKT-goi7-DonGia2143(vl t7)_Bieu4HTMT_KH TPCP vung TNB (03-1-2012)" xfId="837"/>
    <cellStyle name="_MauThanTKKT-goi7-DonGia2143(vl t7)_KH TPCP vung TNB (03-1-2012)" xfId="838"/>
    <cellStyle name="_Nhu cau von ung truoc 2011 Tha h Hoa + Nge An gui TW" xfId="839"/>
    <cellStyle name="_Nhu cau von ung truoc 2011 Tha h Hoa + Nge An gui TW_!1 1 bao cao giao KH ve HTCMT vung TNB   12-12-2011" xfId="840"/>
    <cellStyle name="_Nhu cau von ung truoc 2011 Tha h Hoa + Nge An gui TW_Bieu4HTMT" xfId="841"/>
    <cellStyle name="_Nhu cau von ung truoc 2011 Tha h Hoa + Nge An gui TW_Bieu4HTMT_!1 1 bao cao giao KH ve HTCMT vung TNB   12-12-2011" xfId="842"/>
    <cellStyle name="_Nhu cau von ung truoc 2011 Tha h Hoa + Nge An gui TW_Bieu4HTMT_KH TPCP vung TNB (03-1-2012)" xfId="843"/>
    <cellStyle name="_Nhu cau von ung truoc 2011 Tha h Hoa + Nge An gui TW_KH TPCP vung TNB (03-1-2012)" xfId="844"/>
    <cellStyle name="_N-X-T-04" xfId="845"/>
    <cellStyle name="_PERSONAL" xfId="846"/>
    <cellStyle name="_PERSONAL_BC CV 6403 BKHĐT" xfId="847"/>
    <cellStyle name="_PERSONAL_Bieu mau cong trinh khoi cong moi 3-4" xfId="848"/>
    <cellStyle name="_PERSONAL_Bieu3ODA" xfId="849"/>
    <cellStyle name="_PERSONAL_Bieu4HTMT" xfId="850"/>
    <cellStyle name="_PERSONAL_Book1" xfId="851"/>
    <cellStyle name="_PERSONAL_Book1 2" xfId="852"/>
    <cellStyle name="_PERSONAL_HTQ.8 GD1" xfId="853"/>
    <cellStyle name="_PERSONAL_HTQ.8 GD1_05-12  KH trung han 2016-2020 - Liem Thinh edited" xfId="854"/>
    <cellStyle name="_PERSONAL_HTQ.8 GD1_Copy of 05-12  KH trung han 2016-2020 - Liem Thinh edited (1)" xfId="855"/>
    <cellStyle name="_PERSONAL_HTQ.8 GD1_KH TPCP 2016-2020 (tong hop)" xfId="856"/>
    <cellStyle name="_PERSONAL_Luy ke von ung nam 2011 -Thoa gui ngay 12-8-2012" xfId="857"/>
    <cellStyle name="_PERSONAL_Tong hop KHCB 2001" xfId="858"/>
    <cellStyle name="_Phan bo KH 2009 TPCP" xfId="859"/>
    <cellStyle name="_phong bo mon22" xfId="860"/>
    <cellStyle name="_phong bo mon22_!1 1 bao cao giao KH ve HTCMT vung TNB   12-12-2011" xfId="861"/>
    <cellStyle name="_phong bo mon22_KH TPCP vung TNB (03-1-2012)" xfId="862"/>
    <cellStyle name="_Phu luc 2 (Bieu 2) TH KH 2010" xfId="863"/>
    <cellStyle name="_phu luc tong ket tinh hinh TH giai doan 03-10 (ngay 30)" xfId="864"/>
    <cellStyle name="_Phuluckinhphi_DC_lan 4_YL" xfId="865"/>
    <cellStyle name="_Q TOAN  SCTX QL.62 QUI I ( oanh)" xfId="866"/>
    <cellStyle name="_Q TOAN  SCTX QL.62 QUI II ( oanh)" xfId="867"/>
    <cellStyle name="_QT SCTXQL62_QT1 (Cty QL)" xfId="868"/>
    <cellStyle name="_Qt-HT3PQ1(CauKho)" xfId="869"/>
    <cellStyle name="_Sheet1" xfId="870"/>
    <cellStyle name="_Sheet2" xfId="871"/>
    <cellStyle name="_TG-TH" xfId="872"/>
    <cellStyle name="_TG-TH_1" xfId="873"/>
    <cellStyle name="_TG-TH_1 2" xfId="874"/>
    <cellStyle name="_TG-TH_1_05-12  KH trung han 2016-2020 - Liem Thinh edited" xfId="875"/>
    <cellStyle name="_TG-TH_1_ApGiaVatTu_cayxanh_latgach" xfId="876"/>
    <cellStyle name="_TG-TH_1_BANG TONG HOP TINH HINH THANH QUYET TOAN (MOI I)" xfId="877"/>
    <cellStyle name="_TG-TH_1_BAO CAO KLCT PT2000" xfId="878"/>
    <cellStyle name="_TG-TH_1_BAO CAO PT2000" xfId="879"/>
    <cellStyle name="_TG-TH_1_BAO CAO PT2000_Book1" xfId="880"/>
    <cellStyle name="_TG-TH_1_Bao cao XDCB 2001 - T11 KH dieu chinh 20-11-THAI" xfId="881"/>
    <cellStyle name="_TG-TH_1_BAO GIA NGAY 24-10-08 (co dam)" xfId="882"/>
    <cellStyle name="_TG-TH_1_BC  NAM 2007" xfId="883"/>
    <cellStyle name="_TG-TH_1_BC CV 6403 BKHĐT" xfId="884"/>
    <cellStyle name="_TG-TH_1_BC NQ11-CP - chinh sua lai" xfId="885"/>
    <cellStyle name="_TG-TH_1_BC NQ11-CP-Quynh sau bieu so3" xfId="886"/>
    <cellStyle name="_TG-TH_1_BC_NQ11-CP_-_Thao_sua_lai" xfId="887"/>
    <cellStyle name="_TG-TH_1_Bieu mau cong trinh khoi cong moi 3-4" xfId="888"/>
    <cellStyle name="_TG-TH_1_Bieu3ODA" xfId="889"/>
    <cellStyle name="_TG-TH_1_Bieu3ODA_1" xfId="890"/>
    <cellStyle name="_TG-TH_1_Bieu4HTMT" xfId="891"/>
    <cellStyle name="_TG-TH_1_bo sung von KCH nam 2010 va Du an tre kho khan" xfId="892"/>
    <cellStyle name="_TG-TH_1_Book1" xfId="893"/>
    <cellStyle name="_TG-TH_1_Book1 2" xfId="894"/>
    <cellStyle name="_TG-TH_1_Book1_1" xfId="895"/>
    <cellStyle name="_TG-TH_1_Book1_1 2" xfId="896"/>
    <cellStyle name="_TG-TH_1_Book1_1_BC CV 6403 BKHĐT" xfId="897"/>
    <cellStyle name="_TG-TH_1_Book1_1_Bieu mau cong trinh khoi cong moi 3-4" xfId="898"/>
    <cellStyle name="_TG-TH_1_Book1_1_Bieu3ODA" xfId="899"/>
    <cellStyle name="_TG-TH_1_Book1_1_Bieu4HTMT" xfId="900"/>
    <cellStyle name="_TG-TH_1_Book1_1_Book1" xfId="901"/>
    <cellStyle name="_TG-TH_1_Book1_1_Luy ke von ung nam 2011 -Thoa gui ngay 12-8-2012" xfId="902"/>
    <cellStyle name="_TG-TH_1_Book1_2" xfId="903"/>
    <cellStyle name="_TG-TH_1_Book1_2 2" xfId="904"/>
    <cellStyle name="_TG-TH_1_Book1_2_BC CV 6403 BKHĐT" xfId="905"/>
    <cellStyle name="_TG-TH_1_Book1_2_Bieu3ODA" xfId="906"/>
    <cellStyle name="_TG-TH_1_Book1_2_Luy ke von ung nam 2011 -Thoa gui ngay 12-8-2012" xfId="907"/>
    <cellStyle name="_TG-TH_1_Book1_3" xfId="908"/>
    <cellStyle name="_TG-TH_1_Book1_BC CV 6403 BKHĐT" xfId="909"/>
    <cellStyle name="_TG-TH_1_Book1_BC-QT-WB-dthao" xfId="910"/>
    <cellStyle name="_TG-TH_1_Book1_Bieu mau cong trinh khoi cong moi 3-4" xfId="911"/>
    <cellStyle name="_TG-TH_1_Book1_Bieu3ODA" xfId="912"/>
    <cellStyle name="_TG-TH_1_Book1_Bieu4HTMT" xfId="913"/>
    <cellStyle name="_TG-TH_1_Book1_bo sung von KCH nam 2010 va Du an tre kho khan" xfId="914"/>
    <cellStyle name="_TG-TH_1_Book1_Book1" xfId="915"/>
    <cellStyle name="_TG-TH_1_Book1_danh muc chuan bi dau tu 2011 ngay 07-6-2011" xfId="916"/>
    <cellStyle name="_TG-TH_1_Book1_Danh muc pbo nguon von XSKT, XDCB nam 2009 chuyen qua nam 2010" xfId="917"/>
    <cellStyle name="_TG-TH_1_Book1_dieu chinh KH 2011 ngay 26-5-2011111" xfId="918"/>
    <cellStyle name="_TG-TH_1_Book1_DS KCH PHAN BO VON NSDP NAM 2010" xfId="919"/>
    <cellStyle name="_TG-TH_1_Book1_giao KH 2011 ngay 10-12-2010" xfId="920"/>
    <cellStyle name="_TG-TH_1_Book1_Luy ke von ung nam 2011 -Thoa gui ngay 12-8-2012" xfId="921"/>
    <cellStyle name="_TG-TH_1_CAU Khanh Nam(Thi Cong)" xfId="922"/>
    <cellStyle name="_TG-TH_1_ChiHuong_ApGia" xfId="923"/>
    <cellStyle name="_TG-TH_1_CoCauPhi (version 1)" xfId="924"/>
    <cellStyle name="_TG-TH_1_Copy of 05-12  KH trung han 2016-2020 - Liem Thinh edited (1)" xfId="925"/>
    <cellStyle name="_TG-TH_1_danh muc chuan bi dau tu 2011 ngay 07-6-2011" xfId="926"/>
    <cellStyle name="_TG-TH_1_Danh muc pbo nguon von XSKT, XDCB nam 2009 chuyen qua nam 2010" xfId="927"/>
    <cellStyle name="_TG-TH_1_DAU NOI PL-CL TAI PHU LAMHC" xfId="928"/>
    <cellStyle name="_TG-TH_1_dieu chinh KH 2011 ngay 26-5-2011111" xfId="929"/>
    <cellStyle name="_TG-TH_1_DS KCH PHAN BO VON NSDP NAM 2010" xfId="930"/>
    <cellStyle name="_TG-TH_1_DTCDT MR.2N110.HOCMON.TDTOAN.CCUNG" xfId="931"/>
    <cellStyle name="_TG-TH_1_DU TRU VAT TU" xfId="932"/>
    <cellStyle name="_TG-TH_1_giao KH 2011 ngay 10-12-2010" xfId="933"/>
    <cellStyle name="_TG-TH_1_GTGT 2003" xfId="934"/>
    <cellStyle name="_TG-TH_1_KE KHAI THUE GTGT 2004" xfId="935"/>
    <cellStyle name="_TG-TH_1_KE KHAI THUE GTGT 2004_BCTC2004" xfId="936"/>
    <cellStyle name="_TG-TH_1_KH TPCP 2016-2020 (tong hop)" xfId="937"/>
    <cellStyle name="_TG-TH_1_KH TPCP vung TNB (03-1-2012)" xfId="938"/>
    <cellStyle name="_TG-TH_1_kien giang 2" xfId="939"/>
    <cellStyle name="_TG-TH_1_Lora-tungchau" xfId="940"/>
    <cellStyle name="_TG-TH_1_Luy ke von ung nam 2011 -Thoa gui ngay 12-8-2012" xfId="941"/>
    <cellStyle name="_TG-TH_1_NhanCong" xfId="942"/>
    <cellStyle name="_TG-TH_1_N-X-T-04" xfId="943"/>
    <cellStyle name="_TG-TH_1_PGIA-phieu tham tra Kho bac" xfId="944"/>
    <cellStyle name="_TG-TH_1_phu luc tong ket tinh hinh TH giai doan 03-10 (ngay 30)" xfId="945"/>
    <cellStyle name="_TG-TH_1_PT02-02" xfId="946"/>
    <cellStyle name="_TG-TH_1_PT02-02_Book1" xfId="947"/>
    <cellStyle name="_TG-TH_1_PT02-03" xfId="948"/>
    <cellStyle name="_TG-TH_1_PT02-03_Book1" xfId="949"/>
    <cellStyle name="_TG-TH_1_Qt-HT3PQ1(CauKho)" xfId="950"/>
    <cellStyle name="_TG-TH_1_Sheet1" xfId="951"/>
    <cellStyle name="_TG-TH_1_TK152-04" xfId="952"/>
    <cellStyle name="_TG-TH_1_ÿÿÿÿÿ" xfId="953"/>
    <cellStyle name="_TG-TH_1_ÿÿÿÿÿ_Bieu mau cong trinh khoi cong moi 3-4" xfId="954"/>
    <cellStyle name="_TG-TH_1_ÿÿÿÿÿ_Bieu3ODA" xfId="955"/>
    <cellStyle name="_TG-TH_1_ÿÿÿÿÿ_Bieu4HTMT" xfId="956"/>
    <cellStyle name="_TG-TH_1_ÿÿÿÿÿ_KH TPCP vung TNB (03-1-2012)" xfId="957"/>
    <cellStyle name="_TG-TH_1_ÿÿÿÿÿ_kien giang 2" xfId="958"/>
    <cellStyle name="_TG-TH_2" xfId="959"/>
    <cellStyle name="_TG-TH_2 2" xfId="960"/>
    <cellStyle name="_TG-TH_2_05-12  KH trung han 2016-2020 - Liem Thinh edited" xfId="961"/>
    <cellStyle name="_TG-TH_2_ApGiaVatTu_cayxanh_latgach" xfId="962"/>
    <cellStyle name="_TG-TH_2_BANG TONG HOP TINH HINH THANH QUYET TOAN (MOI I)" xfId="963"/>
    <cellStyle name="_TG-TH_2_BAO CAO KLCT PT2000" xfId="964"/>
    <cellStyle name="_TG-TH_2_BAO CAO PT2000" xfId="965"/>
    <cellStyle name="_TG-TH_2_BAO CAO PT2000_Book1" xfId="966"/>
    <cellStyle name="_TG-TH_2_Bao cao XDCB 2001 - T11 KH dieu chinh 20-11-THAI" xfId="967"/>
    <cellStyle name="_TG-TH_2_BAO GIA NGAY 24-10-08 (co dam)" xfId="968"/>
    <cellStyle name="_TG-TH_2_BC  NAM 2007" xfId="969"/>
    <cellStyle name="_TG-TH_2_BC CV 6403 BKHĐT" xfId="970"/>
    <cellStyle name="_TG-TH_2_BC NQ11-CP - chinh sua lai" xfId="971"/>
    <cellStyle name="_TG-TH_2_BC NQ11-CP-Quynh sau bieu so3" xfId="972"/>
    <cellStyle name="_TG-TH_2_BC_NQ11-CP_-_Thao_sua_lai" xfId="973"/>
    <cellStyle name="_TG-TH_2_Bieu mau cong trinh khoi cong moi 3-4" xfId="974"/>
    <cellStyle name="_TG-TH_2_Bieu3ODA" xfId="975"/>
    <cellStyle name="_TG-TH_2_Bieu3ODA_1" xfId="976"/>
    <cellStyle name="_TG-TH_2_Bieu4HTMT" xfId="977"/>
    <cellStyle name="_TG-TH_2_bo sung von KCH nam 2010 va Du an tre kho khan" xfId="978"/>
    <cellStyle name="_TG-TH_2_Book1" xfId="979"/>
    <cellStyle name="_TG-TH_2_Book1 2" xfId="980"/>
    <cellStyle name="_TG-TH_2_Book1_1" xfId="981"/>
    <cellStyle name="_TG-TH_2_Book1_1 2" xfId="982"/>
    <cellStyle name="_TG-TH_2_Book1_1_BC CV 6403 BKHĐT" xfId="983"/>
    <cellStyle name="_TG-TH_2_Book1_1_Bieu mau cong trinh khoi cong moi 3-4" xfId="984"/>
    <cellStyle name="_TG-TH_2_Book1_1_Bieu3ODA" xfId="985"/>
    <cellStyle name="_TG-TH_2_Book1_1_Bieu4HTMT" xfId="986"/>
    <cellStyle name="_TG-TH_2_Book1_1_Book1" xfId="987"/>
    <cellStyle name="_TG-TH_2_Book1_1_Luy ke von ung nam 2011 -Thoa gui ngay 12-8-2012" xfId="988"/>
    <cellStyle name="_TG-TH_2_Book1_2" xfId="989"/>
    <cellStyle name="_TG-TH_2_Book1_2 2" xfId="990"/>
    <cellStyle name="_TG-TH_2_Book1_2_BC CV 6403 BKHĐT" xfId="991"/>
    <cellStyle name="_TG-TH_2_Book1_2_Bieu3ODA" xfId="992"/>
    <cellStyle name="_TG-TH_2_Book1_2_Luy ke von ung nam 2011 -Thoa gui ngay 12-8-2012" xfId="993"/>
    <cellStyle name="_TG-TH_2_Book1_3" xfId="994"/>
    <cellStyle name="_TG-TH_2_Book1_3 2" xfId="995"/>
    <cellStyle name="_TG-TH_2_Book1_BC CV 6403 BKHĐT" xfId="996"/>
    <cellStyle name="_TG-TH_2_Book1_Bieu mau cong trinh khoi cong moi 3-4" xfId="997"/>
    <cellStyle name="_TG-TH_2_Book1_Bieu3ODA" xfId="998"/>
    <cellStyle name="_TG-TH_2_Book1_Bieu4HTMT" xfId="999"/>
    <cellStyle name="_TG-TH_2_Book1_bo sung von KCH nam 2010 va Du an tre kho khan" xfId="1000"/>
    <cellStyle name="_TG-TH_2_Book1_Book1" xfId="1001"/>
    <cellStyle name="_TG-TH_2_Book1_danh muc chuan bi dau tu 2011 ngay 07-6-2011" xfId="1002"/>
    <cellStyle name="_TG-TH_2_Book1_Danh muc pbo nguon von XSKT, XDCB nam 2009 chuyen qua nam 2010" xfId="1003"/>
    <cellStyle name="_TG-TH_2_Book1_dieu chinh KH 2011 ngay 26-5-2011111" xfId="1004"/>
    <cellStyle name="_TG-TH_2_Book1_DS KCH PHAN BO VON NSDP NAM 2010" xfId="1005"/>
    <cellStyle name="_TG-TH_2_Book1_giao KH 2011 ngay 10-12-2010" xfId="1006"/>
    <cellStyle name="_TG-TH_2_Book1_Luy ke von ung nam 2011 -Thoa gui ngay 12-8-2012" xfId="1007"/>
    <cellStyle name="_TG-TH_2_CAU Khanh Nam(Thi Cong)" xfId="1008"/>
    <cellStyle name="_TG-TH_2_ChiHuong_ApGia" xfId="1009"/>
    <cellStyle name="_TG-TH_2_CoCauPhi (version 1)" xfId="1010"/>
    <cellStyle name="_TG-TH_2_Copy of 05-12  KH trung han 2016-2020 - Liem Thinh edited (1)" xfId="1011"/>
    <cellStyle name="_TG-TH_2_danh muc chuan bi dau tu 2011 ngay 07-6-2011" xfId="1012"/>
    <cellStyle name="_TG-TH_2_Danh muc pbo nguon von XSKT, XDCB nam 2009 chuyen qua nam 2010" xfId="1013"/>
    <cellStyle name="_TG-TH_2_DAU NOI PL-CL TAI PHU LAMHC" xfId="1014"/>
    <cellStyle name="_TG-TH_2_dieu chinh KH 2011 ngay 26-5-2011111" xfId="1015"/>
    <cellStyle name="_TG-TH_2_DS KCH PHAN BO VON NSDP NAM 2010" xfId="1016"/>
    <cellStyle name="_TG-TH_2_DTCDT MR.2N110.HOCMON.TDTOAN.CCUNG" xfId="1017"/>
    <cellStyle name="_TG-TH_2_DU TRU VAT TU" xfId="1018"/>
    <cellStyle name="_TG-TH_2_giao KH 2011 ngay 10-12-2010" xfId="1019"/>
    <cellStyle name="_TG-TH_2_GTGT 2003" xfId="1020"/>
    <cellStyle name="_TG-TH_2_KE KHAI THUE GTGT 2004" xfId="1021"/>
    <cellStyle name="_TG-TH_2_KE KHAI THUE GTGT 2004_BCTC2004" xfId="1022"/>
    <cellStyle name="_TG-TH_2_KH TPCP 2016-2020 (tong hop)" xfId="1023"/>
    <cellStyle name="_TG-TH_2_KH TPCP vung TNB (03-1-2012)" xfId="1024"/>
    <cellStyle name="_TG-TH_2_kien giang 2" xfId="1025"/>
    <cellStyle name="_TG-TH_2_Lora-tungchau" xfId="1026"/>
    <cellStyle name="_TG-TH_2_Luy ke von ung nam 2011 -Thoa gui ngay 12-8-2012" xfId="1027"/>
    <cellStyle name="_TG-TH_2_NhanCong" xfId="1028"/>
    <cellStyle name="_TG-TH_2_N-X-T-04" xfId="1029"/>
    <cellStyle name="_TG-TH_2_PGIA-phieu tham tra Kho bac" xfId="1030"/>
    <cellStyle name="_TG-TH_2_phu luc tong ket tinh hinh TH giai doan 03-10 (ngay 30)" xfId="1031"/>
    <cellStyle name="_TG-TH_2_PT02-02" xfId="1032"/>
    <cellStyle name="_TG-TH_2_PT02-02_Book1" xfId="1033"/>
    <cellStyle name="_TG-TH_2_PT02-03" xfId="1034"/>
    <cellStyle name="_TG-TH_2_PT02-03_Book1" xfId="1035"/>
    <cellStyle name="_TG-TH_2_Qt-HT3PQ1(CauKho)" xfId="1036"/>
    <cellStyle name="_TG-TH_2_Sheet1" xfId="1037"/>
    <cellStyle name="_TG-TH_2_TK152-04" xfId="1038"/>
    <cellStyle name="_TG-TH_2_ÿÿÿÿÿ" xfId="1039"/>
    <cellStyle name="_TG-TH_2_ÿÿÿÿÿ_Bieu mau cong trinh khoi cong moi 3-4" xfId="1040"/>
    <cellStyle name="_TG-TH_2_ÿÿÿÿÿ_Bieu3ODA" xfId="1041"/>
    <cellStyle name="_TG-TH_2_ÿÿÿÿÿ_Bieu4HTMT" xfId="1042"/>
    <cellStyle name="_TG-TH_2_ÿÿÿÿÿ_KH TPCP vung TNB (03-1-2012)" xfId="1043"/>
    <cellStyle name="_TG-TH_2_ÿÿÿÿÿ_kien giang 2" xfId="1044"/>
    <cellStyle name="_TG-TH_3" xfId="1045"/>
    <cellStyle name="_TG-TH_3 2" xfId="1046"/>
    <cellStyle name="_TG-TH_3_05-12  KH trung han 2016-2020 - Liem Thinh edited" xfId="1047"/>
    <cellStyle name="_TG-TH_3_Copy of 05-12  KH trung han 2016-2020 - Liem Thinh edited (1)" xfId="1048"/>
    <cellStyle name="_TG-TH_3_KH TPCP 2016-2020 (tong hop)" xfId="1049"/>
    <cellStyle name="_TG-TH_3_Lora-tungchau" xfId="1050"/>
    <cellStyle name="_TG-TH_3_Lora-tungchau 2" xfId="1051"/>
    <cellStyle name="_TG-TH_3_Lora-tungchau_05-12  KH trung han 2016-2020 - Liem Thinh edited" xfId="1052"/>
    <cellStyle name="_TG-TH_3_Lora-tungchau_Copy of 05-12  KH trung han 2016-2020 - Liem Thinh edited (1)" xfId="1053"/>
    <cellStyle name="_TG-TH_3_Lora-tungchau_KH TPCP 2016-2020 (tong hop)" xfId="1054"/>
    <cellStyle name="_TG-TH_3_Qt-HT3PQ1(CauKho)" xfId="1055"/>
    <cellStyle name="_TG-TH_4" xfId="1056"/>
    <cellStyle name="_TH KH 2010" xfId="1057"/>
    <cellStyle name="_TK152-04" xfId="1058"/>
    <cellStyle name="_Tong dutoan PP LAHAI" xfId="1059"/>
    <cellStyle name="_TPCP GT-24-5-Mien Nui" xfId="1060"/>
    <cellStyle name="_TPCP GT-24-5-Mien Nui_!1 1 bao cao giao KH ve HTCMT vung TNB   12-12-2011" xfId="1061"/>
    <cellStyle name="_TPCP GT-24-5-Mien Nui_Bieu4HTMT" xfId="1062"/>
    <cellStyle name="_TPCP GT-24-5-Mien Nui_Bieu4HTMT_!1 1 bao cao giao KH ve HTCMT vung TNB   12-12-2011" xfId="1063"/>
    <cellStyle name="_TPCP GT-24-5-Mien Nui_Bieu4HTMT_KH TPCP vung TNB (03-1-2012)" xfId="1064"/>
    <cellStyle name="_TPCP GT-24-5-Mien Nui_KH TPCP vung TNB (03-1-2012)" xfId="1065"/>
    <cellStyle name="_ung truoc 2011 NSTW Thanh Hoa + Nge An gui Thu 12-5" xfId="1066"/>
    <cellStyle name="_ung truoc 2011 NSTW Thanh Hoa + Nge An gui Thu 12-5_!1 1 bao cao giao KH ve HTCMT vung TNB   12-12-2011" xfId="1067"/>
    <cellStyle name="_ung truoc 2011 NSTW Thanh Hoa + Nge An gui Thu 12-5_Bieu4HTMT" xfId="1068"/>
    <cellStyle name="_ung truoc 2011 NSTW Thanh Hoa + Nge An gui Thu 12-5_Bieu4HTMT_!1 1 bao cao giao KH ve HTCMT vung TNB   12-12-2011" xfId="1069"/>
    <cellStyle name="_ung truoc 2011 NSTW Thanh Hoa + Nge An gui Thu 12-5_Bieu4HTMT_KH TPCP vung TNB (03-1-2012)" xfId="1070"/>
    <cellStyle name="_ung truoc 2011 NSTW Thanh Hoa + Nge An gui Thu 12-5_KH TPCP vung TNB (03-1-2012)" xfId="1071"/>
    <cellStyle name="_ung truoc cua long an (6-5-2010)" xfId="1072"/>
    <cellStyle name="_Ung von nam 2011 vung TNB - Doan Cong tac (12-5-2010)" xfId="1073"/>
    <cellStyle name="_Ung von nam 2011 vung TNB - Doan Cong tac (12-5-2010)_!1 1 bao cao giao KH ve HTCMT vung TNB   12-12-2011" xfId="1074"/>
    <cellStyle name="_Ung von nam 2011 vung TNB - Doan Cong tac (12-5-2010)_Bieu4HTMT" xfId="1075"/>
    <cellStyle name="_Ung von nam 2011 vung TNB - Doan Cong tac (12-5-2010)_Bieu4HTMT_!1 1 bao cao giao KH ve HTCMT vung TNB   12-12-2011" xfId="1076"/>
    <cellStyle name="_Ung von nam 2011 vung TNB - Doan Cong tac (12-5-2010)_Bieu4HTMT_KH TPCP vung TNB (03-1-2012)" xfId="1077"/>
    <cellStyle name="_Ung von nam 2011 vung TNB - Doan Cong tac (12-5-2010)_Chuẩn bị đầu tư 2011 (sep Hung)_KH 2012 (T3-2013)" xfId="1078"/>
    <cellStyle name="_Ung von nam 2011 vung TNB - Doan Cong tac (12-5-2010)_Cong trinh co y kien LD_Dang_NN_2011-Tay nguyen-9-10" xfId="1079"/>
    <cellStyle name="_Ung von nam 2011 vung TNB - Doan Cong tac (12-5-2010)_Cong trinh co y kien LD_Dang_NN_2011-Tay nguyen-9-10_!1 1 bao cao giao KH ve HTCMT vung TNB   12-12-2011" xfId="1080"/>
    <cellStyle name="_Ung von nam 2011 vung TNB - Doan Cong tac (12-5-2010)_Cong trinh co y kien LD_Dang_NN_2011-Tay nguyen-9-10_Bieu4HTMT" xfId="1081"/>
    <cellStyle name="_Ung von nam 2011 vung TNB - Doan Cong tac (12-5-2010)_Cong trinh co y kien LD_Dang_NN_2011-Tay nguyen-9-10_Bieu4HTMT_!1 1 bao cao giao KH ve HTCMT vung TNB   12-12-2011" xfId="1082"/>
    <cellStyle name="_Ung von nam 2011 vung TNB - Doan Cong tac (12-5-2010)_Cong trinh co y kien LD_Dang_NN_2011-Tay nguyen-9-10_Bieu4HTMT_KH TPCP vung TNB (03-1-2012)" xfId="1083"/>
    <cellStyle name="_Ung von nam 2011 vung TNB - Doan Cong tac (12-5-2010)_Cong trinh co y kien LD_Dang_NN_2011-Tay nguyen-9-10_KH TPCP vung TNB (03-1-2012)" xfId="1084"/>
    <cellStyle name="_Ung von nam 2011 vung TNB - Doan Cong tac (12-5-2010)_KH TPCP vung TNB (03-1-2012)" xfId="1085"/>
    <cellStyle name="_Ung von nam 2011 vung TNB - Doan Cong tac (12-5-2010)_TN - Ho tro khac 2011" xfId="1086"/>
    <cellStyle name="_Ung von nam 2011 vung TNB - Doan Cong tac (12-5-2010)_TN - Ho tro khac 2011_!1 1 bao cao giao KH ve HTCMT vung TNB   12-12-2011" xfId="1087"/>
    <cellStyle name="_Ung von nam 2011 vung TNB - Doan Cong tac (12-5-2010)_TN - Ho tro khac 2011_Bieu4HTMT" xfId="1088"/>
    <cellStyle name="_Ung von nam 2011 vung TNB - Doan Cong tac (12-5-2010)_TN - Ho tro khac 2011_Bieu4HTMT_!1 1 bao cao giao KH ve HTCMT vung TNB   12-12-2011" xfId="1089"/>
    <cellStyle name="_Ung von nam 2011 vung TNB - Doan Cong tac (12-5-2010)_TN - Ho tro khac 2011_Bieu4HTMT_KH TPCP vung TNB (03-1-2012)" xfId="1090"/>
    <cellStyle name="_Ung von nam 2011 vung TNB - Doan Cong tac (12-5-2010)_TN - Ho tro khac 2011_KH TPCP vung TNB (03-1-2012)" xfId="1091"/>
    <cellStyle name="_Von dau tu 2006-2020 (TL chien luoc)" xfId="1092"/>
    <cellStyle name="_Von dau tu 2006-2020 (TL chien luoc)_15_10_2013 BC nhu cau von doi ung ODA (2014-2016) ngay 15102013 Sua" xfId="1093"/>
    <cellStyle name="_Von dau tu 2006-2020 (TL chien luoc)_BC nhu cau von doi ung ODA nganh NN (BKH)" xfId="1094"/>
    <cellStyle name="_Von dau tu 2006-2020 (TL chien luoc)_BC nhu cau von doi ung ODA nganh NN (BKH)_05-12  KH trung han 2016-2020 - Liem Thinh edited" xfId="1095"/>
    <cellStyle name="_Von dau tu 2006-2020 (TL chien luoc)_BC nhu cau von doi ung ODA nganh NN (BKH)_Copy of 05-12  KH trung han 2016-2020 - Liem Thinh edited (1)" xfId="1096"/>
    <cellStyle name="_Von dau tu 2006-2020 (TL chien luoc)_BC Tai co cau (bieu TH)" xfId="1097"/>
    <cellStyle name="_Von dau tu 2006-2020 (TL chien luoc)_BC Tai co cau (bieu TH)_05-12  KH trung han 2016-2020 - Liem Thinh edited" xfId="1098"/>
    <cellStyle name="_Von dau tu 2006-2020 (TL chien luoc)_BC Tai co cau (bieu TH)_Copy of 05-12  KH trung han 2016-2020 - Liem Thinh edited (1)" xfId="1099"/>
    <cellStyle name="_Von dau tu 2006-2020 (TL chien luoc)_DK 2014-2015 final" xfId="1100"/>
    <cellStyle name="_Von dau tu 2006-2020 (TL chien luoc)_DK 2014-2015 final_05-12  KH trung han 2016-2020 - Liem Thinh edited" xfId="1101"/>
    <cellStyle name="_Von dau tu 2006-2020 (TL chien luoc)_DK 2014-2015 final_Copy of 05-12  KH trung han 2016-2020 - Liem Thinh edited (1)" xfId="1102"/>
    <cellStyle name="_Von dau tu 2006-2020 (TL chien luoc)_DK 2014-2015 new" xfId="1103"/>
    <cellStyle name="_Von dau tu 2006-2020 (TL chien luoc)_DK 2014-2015 new_05-12  KH trung han 2016-2020 - Liem Thinh edited" xfId="1104"/>
    <cellStyle name="_Von dau tu 2006-2020 (TL chien luoc)_DK 2014-2015 new_Copy of 05-12  KH trung han 2016-2020 - Liem Thinh edited (1)" xfId="1105"/>
    <cellStyle name="_Von dau tu 2006-2020 (TL chien luoc)_DK KH CBDT 2014 11-11-2013" xfId="1106"/>
    <cellStyle name="_Von dau tu 2006-2020 (TL chien luoc)_DK KH CBDT 2014 11-11-2013(1)" xfId="1107"/>
    <cellStyle name="_Von dau tu 2006-2020 (TL chien luoc)_DK KH CBDT 2014 11-11-2013(1)_05-12  KH trung han 2016-2020 - Liem Thinh edited" xfId="1108"/>
    <cellStyle name="_Von dau tu 2006-2020 (TL chien luoc)_DK KH CBDT 2014 11-11-2013(1)_Copy of 05-12  KH trung han 2016-2020 - Liem Thinh edited (1)" xfId="1109"/>
    <cellStyle name="_Von dau tu 2006-2020 (TL chien luoc)_DK KH CBDT 2014 11-11-2013_05-12  KH trung han 2016-2020 - Liem Thinh edited" xfId="1110"/>
    <cellStyle name="_Von dau tu 2006-2020 (TL chien luoc)_DK KH CBDT 2014 11-11-2013_Copy of 05-12  KH trung han 2016-2020 - Liem Thinh edited (1)" xfId="1111"/>
    <cellStyle name="_Von dau tu 2006-2020 (TL chien luoc)_KH 2011-2015" xfId="1112"/>
    <cellStyle name="_Von dau tu 2006-2020 (TL chien luoc)_tai co cau dau tu (tong hop)1" xfId="1113"/>
    <cellStyle name="_x005f_x0001_" xfId="1114"/>
    <cellStyle name="_x005f_x0001__!1 1 bao cao giao KH ve HTCMT vung TNB   12-12-2011" xfId="1115"/>
    <cellStyle name="_x005f_x0001__kien giang 2" xfId="1116"/>
    <cellStyle name="_x005f_x000d__x005f_x000a_JournalTemplate=C:\COMFO\CTALK\JOURSTD.TPL_x005f_x000d__x005f_x000a_LbStateAddress=3 3 0 251 1 89 2 311_x005f_x000d__x005f_x000a_LbStateJou" xfId="1117"/>
    <cellStyle name="_x005f_x005f_x005f_x0001_" xfId="1118"/>
    <cellStyle name="_x005f_x005f_x005f_x0001__!1 1 bao cao giao KH ve HTCMT vung TNB   12-12-2011" xfId="1119"/>
    <cellStyle name="_x005f_x005f_x005f_x0001__kien giang 2" xfId="1120"/>
    <cellStyle name="_x005f_x005f_x005f_x000d__x005f_x005f_x005f_x000a_JournalTemplate=C:\COMFO\CTALK\JOURSTD.TPL_x005f_x005f_x005f_x000d__x005f_x005f_x005f_x000a_LbStateAddress=3 3 0 251 1 89 2 311_x005f_x005f_x005f_x000d__x005f_x005f_x005f_x000a_LbStateJou" xfId="1121"/>
    <cellStyle name="_XDCB thang 12.2010" xfId="1122"/>
    <cellStyle name="_ÿÿÿÿÿ" xfId="1123"/>
    <cellStyle name="_ÿÿÿÿÿ_Bieu mau cong trinh khoi cong moi 3-4" xfId="1124"/>
    <cellStyle name="_ÿÿÿÿÿ_Bieu mau cong trinh khoi cong moi 3-4_!1 1 bao cao giao KH ve HTCMT vung TNB   12-12-2011" xfId="1125"/>
    <cellStyle name="_ÿÿÿÿÿ_Bieu mau cong trinh khoi cong moi 3-4_KH TPCP vung TNB (03-1-2012)" xfId="1126"/>
    <cellStyle name="_ÿÿÿÿÿ_Bieu3ODA" xfId="1127"/>
    <cellStyle name="_ÿÿÿÿÿ_Bieu3ODA_!1 1 bao cao giao KH ve HTCMT vung TNB   12-12-2011" xfId="1128"/>
    <cellStyle name="_ÿÿÿÿÿ_Bieu3ODA_KH TPCP vung TNB (03-1-2012)" xfId="1129"/>
    <cellStyle name="_ÿÿÿÿÿ_Bieu4HTMT" xfId="1130"/>
    <cellStyle name="_ÿÿÿÿÿ_Bieu4HTMT_!1 1 bao cao giao KH ve HTCMT vung TNB   12-12-2011" xfId="1131"/>
    <cellStyle name="_ÿÿÿÿÿ_Bieu4HTMT_KH TPCP vung TNB (03-1-2012)" xfId="1132"/>
    <cellStyle name="_ÿÿÿÿÿ_Kh ql62 (2010) 11-09" xfId="1133"/>
    <cellStyle name="_ÿÿÿÿÿ_KH TPCP vung TNB (03-1-2012)" xfId="1134"/>
    <cellStyle name="_ÿÿÿÿÿ_Khung 2012" xfId="1135"/>
    <cellStyle name="_ÿÿÿÿÿ_kien giang 2" xfId="1136"/>
    <cellStyle name="~1" xfId="1137"/>
    <cellStyle name="’Ê‰Ý [0.00]_laroux" xfId="1138"/>
    <cellStyle name="’Ê‰Ý_laroux" xfId="1139"/>
    <cellStyle name="¤@¯ë_CHI PHI QUAN LY 1-00" xfId="1140"/>
    <cellStyle name="•W?_Format" xfId="1141"/>
    <cellStyle name="•W€_’·Šú‰p•¶" xfId="1142"/>
    <cellStyle name="•W_’·Šú‰p•¶" xfId="1143"/>
    <cellStyle name="W_MARINE" xfId="1144"/>
    <cellStyle name="0" xfId="1145"/>
    <cellStyle name="0 2" xfId="1146"/>
    <cellStyle name="0,0_x000a__x000a_NA_x000a__x000a_" xfId="1147"/>
    <cellStyle name="0,0_x000d__x000a_NA_x000d__x000a_" xfId="1148"/>
    <cellStyle name="0,0_x000d__x000a_NA_x000d__x000a_ 2" xfId="1149"/>
    <cellStyle name="0,0_x000d__x000a_NA_x000d__x000a__Thanh hoa chinh thuc 28-2" xfId="1150"/>
    <cellStyle name="0,0_x005f_x000d__x005f_x000a_NA_x005f_x000d__x005f_x000a_" xfId="1151"/>
    <cellStyle name="0.0" xfId="1152"/>
    <cellStyle name="0.0 2" xfId="1153"/>
    <cellStyle name="0.00" xfId="1154"/>
    <cellStyle name="0.00 2" xfId="1155"/>
    <cellStyle name="1" xfId="1156"/>
    <cellStyle name="1 2" xfId="1157"/>
    <cellStyle name="1_!1 1 bao cao giao KH ve HTCMT vung TNB   12-12-2011" xfId="1158"/>
    <cellStyle name="1_BAO GIA NGAY 24-10-08 (co dam)" xfId="1159"/>
    <cellStyle name="1_Bieu4HTMT" xfId="1160"/>
    <cellStyle name="1_Book1" xfId="1161"/>
    <cellStyle name="1_Book1_1" xfId="1162"/>
    <cellStyle name="1_Book1_1_!1 1 bao cao giao KH ve HTCMT vung TNB   12-12-2011" xfId="1163"/>
    <cellStyle name="1_Book1_1_Bieu4HTMT" xfId="1164"/>
    <cellStyle name="1_Book1_1_Bieu4HTMT_!1 1 bao cao giao KH ve HTCMT vung TNB   12-12-2011" xfId="1165"/>
    <cellStyle name="1_Book1_1_Bieu4HTMT_KH TPCP vung TNB (03-1-2012)" xfId="1166"/>
    <cellStyle name="1_Book1_1_KH TPCP vung TNB (03-1-2012)" xfId="1167"/>
    <cellStyle name="1_Cau thuy dien Ban La (Cu Anh)" xfId="1168"/>
    <cellStyle name="1_Cau thuy dien Ban La (Cu Anh)_!1 1 bao cao giao KH ve HTCMT vung TNB   12-12-2011" xfId="1169"/>
    <cellStyle name="1_Cau thuy dien Ban La (Cu Anh)_Bieu4HTMT" xfId="1170"/>
    <cellStyle name="1_Cau thuy dien Ban La (Cu Anh)_Bieu4HTMT_!1 1 bao cao giao KH ve HTCMT vung TNB   12-12-2011" xfId="1171"/>
    <cellStyle name="1_Cau thuy dien Ban La (Cu Anh)_Bieu4HTMT_KH TPCP vung TNB (03-1-2012)" xfId="1172"/>
    <cellStyle name="1_Cau thuy dien Ban La (Cu Anh)_KH TPCP vung TNB (03-1-2012)" xfId="1173"/>
    <cellStyle name="1_Cong trinh co y kien LD_Dang_NN_2011-Tay nguyen-9-10" xfId="1174"/>
    <cellStyle name="1_Du toan 558 (Km17+508.12 - Km 22)" xfId="1175"/>
    <cellStyle name="1_Du toan 558 (Km17+508.12 - Km 22)_!1 1 bao cao giao KH ve HTCMT vung TNB   12-12-2011" xfId="1176"/>
    <cellStyle name="1_Du toan 558 (Km17+508.12 - Km 22)_Bieu4HTMT" xfId="1177"/>
    <cellStyle name="1_Du toan 558 (Km17+508.12 - Km 22)_Bieu4HTMT_!1 1 bao cao giao KH ve HTCMT vung TNB   12-12-2011" xfId="1178"/>
    <cellStyle name="1_Du toan 558 (Km17+508.12 - Km 22)_Bieu4HTMT_KH TPCP vung TNB (03-1-2012)" xfId="1179"/>
    <cellStyle name="1_Du toan 558 (Km17+508.12 - Km 22)_KH TPCP vung TNB (03-1-2012)" xfId="1180"/>
    <cellStyle name="1_Gia_VLQL48_duyet " xfId="1181"/>
    <cellStyle name="1_Gia_VLQL48_duyet _!1 1 bao cao giao KH ve HTCMT vung TNB   12-12-2011" xfId="1182"/>
    <cellStyle name="1_Gia_VLQL48_duyet _Bieu4HTMT" xfId="1183"/>
    <cellStyle name="1_Gia_VLQL48_duyet _Bieu4HTMT_!1 1 bao cao giao KH ve HTCMT vung TNB   12-12-2011" xfId="1184"/>
    <cellStyle name="1_Gia_VLQL48_duyet _Bieu4HTMT_KH TPCP vung TNB (03-1-2012)" xfId="1185"/>
    <cellStyle name="1_Gia_VLQL48_duyet _KH TPCP vung TNB (03-1-2012)" xfId="1186"/>
    <cellStyle name="1_Kh ql62 (2010) 11-09" xfId="1187"/>
    <cellStyle name="1_KH TPCP vung TNB (03-1-2012)" xfId="1188"/>
    <cellStyle name="1_Khung 2012" xfId="1189"/>
    <cellStyle name="1_KlQdinhduyet" xfId="1190"/>
    <cellStyle name="1_KlQdinhduyet_!1 1 bao cao giao KH ve HTCMT vung TNB   12-12-2011" xfId="1191"/>
    <cellStyle name="1_KlQdinhduyet_Bieu4HTMT" xfId="1192"/>
    <cellStyle name="1_KlQdinhduyet_Bieu4HTMT_!1 1 bao cao giao KH ve HTCMT vung TNB   12-12-2011" xfId="1193"/>
    <cellStyle name="1_KlQdinhduyet_Bieu4HTMT_KH TPCP vung TNB (03-1-2012)" xfId="1194"/>
    <cellStyle name="1_KlQdinhduyet_KH TPCP vung TNB (03-1-2012)" xfId="1195"/>
    <cellStyle name="1_TN - Ho tro khac 2011" xfId="1196"/>
    <cellStyle name="1_TRUNG PMU 5" xfId="1197"/>
    <cellStyle name="1_ÿÿÿÿÿ" xfId="1198"/>
    <cellStyle name="1_ÿÿÿÿÿ_Bieu tong hop nhu cau ung 2011 da chon loc -Mien nui" xfId="1199"/>
    <cellStyle name="1_ÿÿÿÿÿ_Bieu tong hop nhu cau ung 2011 da chon loc -Mien nui 2" xfId="1200"/>
    <cellStyle name="1_ÿÿÿÿÿ_Kh ql62 (2010) 11-09" xfId="1201"/>
    <cellStyle name="1_ÿÿÿÿÿ_Khung 2012" xfId="1202"/>
    <cellStyle name="15" xfId="1203"/>
    <cellStyle name="18" xfId="1204"/>
    <cellStyle name="¹éºÐÀ²_      " xfId="1205"/>
    <cellStyle name="2" xfId="1206"/>
    <cellStyle name="2_Book1" xfId="1207"/>
    <cellStyle name="2_Book1_1" xfId="1208"/>
    <cellStyle name="2_Book1_1_!1 1 bao cao giao KH ve HTCMT vung TNB   12-12-2011" xfId="1209"/>
    <cellStyle name="2_Book1_1_Bieu4HTMT" xfId="1210"/>
    <cellStyle name="2_Book1_1_Bieu4HTMT_!1 1 bao cao giao KH ve HTCMT vung TNB   12-12-2011" xfId="1211"/>
    <cellStyle name="2_Book1_1_Bieu4HTMT_KH TPCP vung TNB (03-1-2012)" xfId="1212"/>
    <cellStyle name="2_Book1_1_KH TPCP vung TNB (03-1-2012)" xfId="1213"/>
    <cellStyle name="2_Cau thuy dien Ban La (Cu Anh)" xfId="1214"/>
    <cellStyle name="2_Cau thuy dien Ban La (Cu Anh)_!1 1 bao cao giao KH ve HTCMT vung TNB   12-12-2011" xfId="1215"/>
    <cellStyle name="2_Cau thuy dien Ban La (Cu Anh)_Bieu4HTMT" xfId="1216"/>
    <cellStyle name="2_Cau thuy dien Ban La (Cu Anh)_Bieu4HTMT_!1 1 bao cao giao KH ve HTCMT vung TNB   12-12-2011" xfId="1217"/>
    <cellStyle name="2_Cau thuy dien Ban La (Cu Anh)_Bieu4HTMT_KH TPCP vung TNB (03-1-2012)" xfId="1218"/>
    <cellStyle name="2_Cau thuy dien Ban La (Cu Anh)_KH TPCP vung TNB (03-1-2012)" xfId="1219"/>
    <cellStyle name="2_Du toan 558 (Km17+508.12 - Km 22)" xfId="1220"/>
    <cellStyle name="2_Du toan 558 (Km17+508.12 - Km 22)_!1 1 bao cao giao KH ve HTCMT vung TNB   12-12-2011" xfId="1221"/>
    <cellStyle name="2_Du toan 558 (Km17+508.12 - Km 22)_Bieu4HTMT" xfId="1222"/>
    <cellStyle name="2_Du toan 558 (Km17+508.12 - Km 22)_Bieu4HTMT_!1 1 bao cao giao KH ve HTCMT vung TNB   12-12-2011" xfId="1223"/>
    <cellStyle name="2_Du toan 558 (Km17+508.12 - Km 22)_Bieu4HTMT_KH TPCP vung TNB (03-1-2012)" xfId="1224"/>
    <cellStyle name="2_Du toan 558 (Km17+508.12 - Km 22)_KH TPCP vung TNB (03-1-2012)" xfId="1225"/>
    <cellStyle name="2_Gia_VLQL48_duyet " xfId="1226"/>
    <cellStyle name="2_Gia_VLQL48_duyet _!1 1 bao cao giao KH ve HTCMT vung TNB   12-12-2011" xfId="1227"/>
    <cellStyle name="2_Gia_VLQL48_duyet _Bieu4HTMT" xfId="1228"/>
    <cellStyle name="2_Gia_VLQL48_duyet _Bieu4HTMT_!1 1 bao cao giao KH ve HTCMT vung TNB   12-12-2011" xfId="1229"/>
    <cellStyle name="2_Gia_VLQL48_duyet _Bieu4HTMT_KH TPCP vung TNB (03-1-2012)" xfId="1230"/>
    <cellStyle name="2_Gia_VLQL48_duyet _KH TPCP vung TNB (03-1-2012)" xfId="1231"/>
    <cellStyle name="2_KlQdinhduyet" xfId="1232"/>
    <cellStyle name="2_KlQdinhduyet_!1 1 bao cao giao KH ve HTCMT vung TNB   12-12-2011" xfId="1233"/>
    <cellStyle name="2_KlQdinhduyet_Bieu4HTMT" xfId="1234"/>
    <cellStyle name="2_KlQdinhduyet_Bieu4HTMT_!1 1 bao cao giao KH ve HTCMT vung TNB   12-12-2011" xfId="1235"/>
    <cellStyle name="2_KlQdinhduyet_Bieu4HTMT_KH TPCP vung TNB (03-1-2012)" xfId="1236"/>
    <cellStyle name="2_KlQdinhduyet_KH TPCP vung TNB (03-1-2012)" xfId="1237"/>
    <cellStyle name="2_TRUNG PMU 5" xfId="1238"/>
    <cellStyle name="2_ÿÿÿÿÿ" xfId="1239"/>
    <cellStyle name="2_ÿÿÿÿÿ_Bieu tong hop nhu cau ung 2011 da chon loc -Mien nui" xfId="1240"/>
    <cellStyle name="2_ÿÿÿÿÿ_Bieu tong hop nhu cau ung 2011 da chon loc -Mien nui 2" xfId="1241"/>
    <cellStyle name="20% - Accent1 2" xfId="1242"/>
    <cellStyle name="20% - Accent2 2" xfId="1243"/>
    <cellStyle name="20% - Accent3 2" xfId="1244"/>
    <cellStyle name="20% - Accent4 2" xfId="1245"/>
    <cellStyle name="20% - Accent5 2" xfId="1246"/>
    <cellStyle name="20% - Accent6 2" xfId="1247"/>
    <cellStyle name="20% - Nhấn1" xfId="1248"/>
    <cellStyle name="20% - Nhấn2" xfId="1249"/>
    <cellStyle name="20% - Nhấn3" xfId="1250"/>
    <cellStyle name="20% - Nhấn4" xfId="1251"/>
    <cellStyle name="20% - Nhấn5" xfId="1252"/>
    <cellStyle name="20% - Nhấn6" xfId="1253"/>
    <cellStyle name="-2001" xfId="1254"/>
    <cellStyle name="3" xfId="1255"/>
    <cellStyle name="3_Book1" xfId="1256"/>
    <cellStyle name="3_Book1_1" xfId="1257"/>
    <cellStyle name="3_Book1_1_!1 1 bao cao giao KH ve HTCMT vung TNB   12-12-2011" xfId="1258"/>
    <cellStyle name="3_Book1_1_Bieu4HTMT" xfId="1259"/>
    <cellStyle name="3_Book1_1_Bieu4HTMT_!1 1 bao cao giao KH ve HTCMT vung TNB   12-12-2011" xfId="1260"/>
    <cellStyle name="3_Book1_1_Bieu4HTMT_KH TPCP vung TNB (03-1-2012)" xfId="1261"/>
    <cellStyle name="3_Book1_1_KH TPCP vung TNB (03-1-2012)" xfId="1262"/>
    <cellStyle name="3_Cau thuy dien Ban La (Cu Anh)" xfId="1263"/>
    <cellStyle name="3_Cau thuy dien Ban La (Cu Anh)_!1 1 bao cao giao KH ve HTCMT vung TNB   12-12-2011" xfId="1264"/>
    <cellStyle name="3_Cau thuy dien Ban La (Cu Anh)_Bieu4HTMT" xfId="1265"/>
    <cellStyle name="3_Cau thuy dien Ban La (Cu Anh)_Bieu4HTMT_!1 1 bao cao giao KH ve HTCMT vung TNB   12-12-2011" xfId="1266"/>
    <cellStyle name="3_Cau thuy dien Ban La (Cu Anh)_Bieu4HTMT_KH TPCP vung TNB (03-1-2012)" xfId="1267"/>
    <cellStyle name="3_Cau thuy dien Ban La (Cu Anh)_KH TPCP vung TNB (03-1-2012)" xfId="1268"/>
    <cellStyle name="3_Du toan 558 (Km17+508.12 - Km 22)" xfId="1269"/>
    <cellStyle name="3_Du toan 558 (Km17+508.12 - Km 22)_!1 1 bao cao giao KH ve HTCMT vung TNB   12-12-2011" xfId="1270"/>
    <cellStyle name="3_Du toan 558 (Km17+508.12 - Km 22)_Bieu4HTMT" xfId="1271"/>
    <cellStyle name="3_Du toan 558 (Km17+508.12 - Km 22)_Bieu4HTMT_!1 1 bao cao giao KH ve HTCMT vung TNB   12-12-2011" xfId="1272"/>
    <cellStyle name="3_Du toan 558 (Km17+508.12 - Km 22)_Bieu4HTMT_KH TPCP vung TNB (03-1-2012)" xfId="1273"/>
    <cellStyle name="3_Du toan 558 (Km17+508.12 - Km 22)_KH TPCP vung TNB (03-1-2012)" xfId="1274"/>
    <cellStyle name="3_Gia_VLQL48_duyet " xfId="1275"/>
    <cellStyle name="3_Gia_VLQL48_duyet _!1 1 bao cao giao KH ve HTCMT vung TNB   12-12-2011" xfId="1276"/>
    <cellStyle name="3_Gia_VLQL48_duyet _Bieu4HTMT" xfId="1277"/>
    <cellStyle name="3_Gia_VLQL48_duyet _Bieu4HTMT_!1 1 bao cao giao KH ve HTCMT vung TNB   12-12-2011" xfId="1278"/>
    <cellStyle name="3_Gia_VLQL48_duyet _Bieu4HTMT_KH TPCP vung TNB (03-1-2012)" xfId="1279"/>
    <cellStyle name="3_Gia_VLQL48_duyet _KH TPCP vung TNB (03-1-2012)" xfId="1280"/>
    <cellStyle name="3_KlQdinhduyet" xfId="1281"/>
    <cellStyle name="3_KlQdinhduyet_!1 1 bao cao giao KH ve HTCMT vung TNB   12-12-2011" xfId="1282"/>
    <cellStyle name="3_KlQdinhduyet_Bieu4HTMT" xfId="1283"/>
    <cellStyle name="3_KlQdinhduyet_Bieu4HTMT_!1 1 bao cao giao KH ve HTCMT vung TNB   12-12-2011" xfId="1284"/>
    <cellStyle name="3_KlQdinhduyet_Bieu4HTMT_KH TPCP vung TNB (03-1-2012)" xfId="1285"/>
    <cellStyle name="3_KlQdinhduyet_KH TPCP vung TNB (03-1-2012)" xfId="1286"/>
    <cellStyle name="3_ÿÿÿÿÿ" xfId="1287"/>
    <cellStyle name="4" xfId="1288"/>
    <cellStyle name="4_Book1" xfId="1289"/>
    <cellStyle name="4_Book1_1" xfId="1290"/>
    <cellStyle name="4_Book1_1_!1 1 bao cao giao KH ve HTCMT vung TNB   12-12-2011" xfId="1291"/>
    <cellStyle name="4_Book1_1_Bieu4HTMT" xfId="1292"/>
    <cellStyle name="4_Book1_1_Bieu4HTMT_!1 1 bao cao giao KH ve HTCMT vung TNB   12-12-2011" xfId="1293"/>
    <cellStyle name="4_Book1_1_Bieu4HTMT_KH TPCP vung TNB (03-1-2012)" xfId="1294"/>
    <cellStyle name="4_Book1_1_KH TPCP vung TNB (03-1-2012)" xfId="1295"/>
    <cellStyle name="4_Cau thuy dien Ban La (Cu Anh)" xfId="1296"/>
    <cellStyle name="4_Cau thuy dien Ban La (Cu Anh)_!1 1 bao cao giao KH ve HTCMT vung TNB   12-12-2011" xfId="1297"/>
    <cellStyle name="4_Cau thuy dien Ban La (Cu Anh)_Bieu4HTMT" xfId="1298"/>
    <cellStyle name="4_Cau thuy dien Ban La (Cu Anh)_Bieu4HTMT_!1 1 bao cao giao KH ve HTCMT vung TNB   12-12-2011" xfId="1299"/>
    <cellStyle name="4_Cau thuy dien Ban La (Cu Anh)_Bieu4HTMT_KH TPCP vung TNB (03-1-2012)" xfId="1300"/>
    <cellStyle name="4_Cau thuy dien Ban La (Cu Anh)_KH TPCP vung TNB (03-1-2012)" xfId="1301"/>
    <cellStyle name="4_Du toan 558 (Km17+508.12 - Km 22)" xfId="1302"/>
    <cellStyle name="4_Du toan 558 (Km17+508.12 - Km 22)_!1 1 bao cao giao KH ve HTCMT vung TNB   12-12-2011" xfId="1303"/>
    <cellStyle name="4_Du toan 558 (Km17+508.12 - Km 22)_Bieu4HTMT" xfId="1304"/>
    <cellStyle name="4_Du toan 558 (Km17+508.12 - Km 22)_Bieu4HTMT_!1 1 bao cao giao KH ve HTCMT vung TNB   12-12-2011" xfId="1305"/>
    <cellStyle name="4_Du toan 558 (Km17+508.12 - Km 22)_Bieu4HTMT_KH TPCP vung TNB (03-1-2012)" xfId="1306"/>
    <cellStyle name="4_Du toan 558 (Km17+508.12 - Km 22)_KH TPCP vung TNB (03-1-2012)" xfId="1307"/>
    <cellStyle name="4_Gia_VLQL48_duyet " xfId="1308"/>
    <cellStyle name="4_Gia_VLQL48_duyet _!1 1 bao cao giao KH ve HTCMT vung TNB   12-12-2011" xfId="1309"/>
    <cellStyle name="4_Gia_VLQL48_duyet _Bieu4HTMT" xfId="1310"/>
    <cellStyle name="4_Gia_VLQL48_duyet _Bieu4HTMT_!1 1 bao cao giao KH ve HTCMT vung TNB   12-12-2011" xfId="1311"/>
    <cellStyle name="4_Gia_VLQL48_duyet _Bieu4HTMT_KH TPCP vung TNB (03-1-2012)" xfId="1312"/>
    <cellStyle name="4_Gia_VLQL48_duyet _KH TPCP vung TNB (03-1-2012)" xfId="1313"/>
    <cellStyle name="4_KlQdinhduyet" xfId="1314"/>
    <cellStyle name="4_KlQdinhduyet_!1 1 bao cao giao KH ve HTCMT vung TNB   12-12-2011" xfId="1315"/>
    <cellStyle name="4_KlQdinhduyet_Bieu4HTMT" xfId="1316"/>
    <cellStyle name="4_KlQdinhduyet_Bieu4HTMT_!1 1 bao cao giao KH ve HTCMT vung TNB   12-12-2011" xfId="1317"/>
    <cellStyle name="4_KlQdinhduyet_Bieu4HTMT_KH TPCP vung TNB (03-1-2012)" xfId="1318"/>
    <cellStyle name="4_KlQdinhduyet_KH TPCP vung TNB (03-1-2012)" xfId="1319"/>
    <cellStyle name="4_ÿÿÿÿÿ" xfId="1320"/>
    <cellStyle name="40% - Accent1 2" xfId="1321"/>
    <cellStyle name="40% - Accent2 2" xfId="1322"/>
    <cellStyle name="40% - Accent3 2" xfId="1323"/>
    <cellStyle name="40% - Accent4 2" xfId="1324"/>
    <cellStyle name="40% - Accent5 2" xfId="1325"/>
    <cellStyle name="40% - Accent6 2" xfId="1326"/>
    <cellStyle name="40% - Nhấn1" xfId="1327"/>
    <cellStyle name="40% - Nhấn2" xfId="1328"/>
    <cellStyle name="40% - Nhấn3" xfId="1329"/>
    <cellStyle name="40% - Nhấn4" xfId="1330"/>
    <cellStyle name="40% - Nhấn5" xfId="1331"/>
    <cellStyle name="40% - Nhấn6" xfId="1332"/>
    <cellStyle name="52" xfId="1333"/>
    <cellStyle name="6" xfId="1334"/>
    <cellStyle name="6_15_10_2013 BC nhu cau von doi ung ODA (2014-2016) ngay 15102013 Sua" xfId="1335"/>
    <cellStyle name="6_BC nhu cau von doi ung ODA nganh NN (BKH)" xfId="1336"/>
    <cellStyle name="6_BC nhu cau von doi ung ODA nganh NN (BKH)_05-12  KH trung han 2016-2020 - Liem Thinh edited" xfId="1337"/>
    <cellStyle name="6_BC nhu cau von doi ung ODA nganh NN (BKH)_Copy of 05-12  KH trung han 2016-2020 - Liem Thinh edited (1)" xfId="1338"/>
    <cellStyle name="6_BC Tai co cau (bieu TH)" xfId="1339"/>
    <cellStyle name="6_BC Tai co cau (bieu TH)_05-12  KH trung han 2016-2020 - Liem Thinh edited" xfId="1340"/>
    <cellStyle name="6_BC Tai co cau (bieu TH)_Copy of 05-12  KH trung han 2016-2020 - Liem Thinh edited (1)" xfId="1341"/>
    <cellStyle name="6_Cong trinh co y kien LD_Dang_NN_2011-Tay nguyen-9-10" xfId="1342"/>
    <cellStyle name="6_Cong trinh co y kien LD_Dang_NN_2011-Tay nguyen-9-10_!1 1 bao cao giao KH ve HTCMT vung TNB   12-12-2011" xfId="1343"/>
    <cellStyle name="6_Cong trinh co y kien LD_Dang_NN_2011-Tay nguyen-9-10_Bieu4HTMT" xfId="1344"/>
    <cellStyle name="6_Cong trinh co y kien LD_Dang_NN_2011-Tay nguyen-9-10_Bieu4HTMT_!1 1 bao cao giao KH ve HTCMT vung TNB   12-12-2011" xfId="1345"/>
    <cellStyle name="6_Cong trinh co y kien LD_Dang_NN_2011-Tay nguyen-9-10_Bieu4HTMT_KH TPCP vung TNB (03-1-2012)" xfId="1346"/>
    <cellStyle name="6_Cong trinh co y kien LD_Dang_NN_2011-Tay nguyen-9-10_KH TPCP vung TNB (03-1-2012)" xfId="1347"/>
    <cellStyle name="6_DK 2014-2015 final" xfId="1348"/>
    <cellStyle name="6_DK 2014-2015 final_05-12  KH trung han 2016-2020 - Liem Thinh edited" xfId="1349"/>
    <cellStyle name="6_DK 2014-2015 final_Copy of 05-12  KH trung han 2016-2020 - Liem Thinh edited (1)" xfId="1350"/>
    <cellStyle name="6_DK 2014-2015 new" xfId="1351"/>
    <cellStyle name="6_DK 2014-2015 new_05-12  KH trung han 2016-2020 - Liem Thinh edited" xfId="1352"/>
    <cellStyle name="6_DK 2014-2015 new_Copy of 05-12  KH trung han 2016-2020 - Liem Thinh edited (1)" xfId="1353"/>
    <cellStyle name="6_DK KH CBDT 2014 11-11-2013" xfId="1354"/>
    <cellStyle name="6_DK KH CBDT 2014 11-11-2013(1)" xfId="1355"/>
    <cellStyle name="6_DK KH CBDT 2014 11-11-2013(1)_05-12  KH trung han 2016-2020 - Liem Thinh edited" xfId="1356"/>
    <cellStyle name="6_DK KH CBDT 2014 11-11-2013(1)_Copy of 05-12  KH trung han 2016-2020 - Liem Thinh edited (1)" xfId="1357"/>
    <cellStyle name="6_DK KH CBDT 2014 11-11-2013_05-12  KH trung han 2016-2020 - Liem Thinh edited" xfId="1358"/>
    <cellStyle name="6_DK KH CBDT 2014 11-11-2013_Copy of 05-12  KH trung han 2016-2020 - Liem Thinh edited (1)" xfId="1359"/>
    <cellStyle name="6_KH 2011-2015" xfId="1360"/>
    <cellStyle name="6_tai co cau dau tu (tong hop)1" xfId="1361"/>
    <cellStyle name="6_TN - Ho tro khac 2011" xfId="1362"/>
    <cellStyle name="6_TN - Ho tro khac 2011_!1 1 bao cao giao KH ve HTCMT vung TNB   12-12-2011" xfId="1363"/>
    <cellStyle name="6_TN - Ho tro khac 2011_Bieu4HTMT" xfId="1364"/>
    <cellStyle name="6_TN - Ho tro khac 2011_Bieu4HTMT_!1 1 bao cao giao KH ve HTCMT vung TNB   12-12-2011" xfId="1365"/>
    <cellStyle name="6_TN - Ho tro khac 2011_Bieu4HTMT_KH TPCP vung TNB (03-1-2012)" xfId="1366"/>
    <cellStyle name="6_TN - Ho tro khac 2011_KH TPCP vung TNB (03-1-2012)" xfId="1367"/>
    <cellStyle name="60% - Accent1 2" xfId="1368"/>
    <cellStyle name="60% - Accent2 2" xfId="1369"/>
    <cellStyle name="60% - Accent3 2" xfId="1370"/>
    <cellStyle name="60% - Accent4 2" xfId="1371"/>
    <cellStyle name="60% - Accent5 2" xfId="1372"/>
    <cellStyle name="60% - Accent6 2" xfId="1373"/>
    <cellStyle name="60% - Nhấn1" xfId="1374"/>
    <cellStyle name="60% - Nhấn2" xfId="1375"/>
    <cellStyle name="60% - Nhấn3" xfId="1376"/>
    <cellStyle name="60% - Nhấn4" xfId="1377"/>
    <cellStyle name="60% - Nhấn5" xfId="1378"/>
    <cellStyle name="60% - Nhấn6" xfId="1379"/>
    <cellStyle name="9" xfId="1380"/>
    <cellStyle name="9_!1 1 bao cao giao KH ve HTCMT vung TNB   12-12-2011" xfId="1381"/>
    <cellStyle name="9_Bieu4HTMT" xfId="1382"/>
    <cellStyle name="9_Bieu4HTMT_!1 1 bao cao giao KH ve HTCMT vung TNB   12-12-2011" xfId="1383"/>
    <cellStyle name="9_Bieu4HTMT_KH TPCP vung TNB (03-1-2012)" xfId="1384"/>
    <cellStyle name="9_KH TPCP vung TNB (03-1-2012)" xfId="1385"/>
    <cellStyle name="Accent1 2" xfId="1386"/>
    <cellStyle name="Accent2 2" xfId="1387"/>
    <cellStyle name="Accent3 2" xfId="1388"/>
    <cellStyle name="Accent4 2" xfId="1389"/>
    <cellStyle name="Accent5 2" xfId="1390"/>
    <cellStyle name="Accent6 2" xfId="1391"/>
    <cellStyle name="ÅëÈ­ [0]_      " xfId="1392"/>
    <cellStyle name="AeE­ [0]_INQUIRY ¿?¾÷AßAø " xfId="1393"/>
    <cellStyle name="ÅëÈ­ [0]_L601CPT" xfId="1394"/>
    <cellStyle name="ÅëÈ­_      " xfId="1395"/>
    <cellStyle name="AeE­_INQUIRY ¿?¾÷AßAø " xfId="1396"/>
    <cellStyle name="ÅëÈ­_L601CPT" xfId="1397"/>
    <cellStyle name="args.style" xfId="1398"/>
    <cellStyle name="args.style 2" xfId="1399"/>
    <cellStyle name="at" xfId="1400"/>
    <cellStyle name="ÄÞ¸¶ [0]_      " xfId="1401"/>
    <cellStyle name="AÞ¸¶ [0]_INQUIRY ¿?¾÷AßAø " xfId="1402"/>
    <cellStyle name="ÄÞ¸¶ [0]_L601CPT" xfId="1403"/>
    <cellStyle name="ÄÞ¸¶_      " xfId="1404"/>
    <cellStyle name="AÞ¸¶_INQUIRY ¿?¾÷AßAø " xfId="1405"/>
    <cellStyle name="ÄÞ¸¶_L601CPT" xfId="1406"/>
    <cellStyle name="AutoFormat Options" xfId="1407"/>
    <cellStyle name="AutoFormat Options 2" xfId="1408"/>
    <cellStyle name="Bad 2" xfId="1409"/>
    <cellStyle name="Body" xfId="1410"/>
    <cellStyle name="C?AØ_¿?¾÷CoE² " xfId="1411"/>
    <cellStyle name="C~1" xfId="1412"/>
    <cellStyle name="Ç¥ÁØ_      " xfId="1413"/>
    <cellStyle name="C￥AØ_¿μ¾÷CoE² " xfId="1414"/>
    <cellStyle name="Ç¥ÁØ_±¸¹Ì´ëÃ¥" xfId="1415"/>
    <cellStyle name="C￥AØ_Sheet1_¿μ¾÷CoE² " xfId="1416"/>
    <cellStyle name="Ç¥ÁØ_ÿÿÿÿÿÿ_4_ÃÑÇÕ°è " xfId="1417"/>
    <cellStyle name="Calc Currency (0)" xfId="1418"/>
    <cellStyle name="Calc Currency (0) 2" xfId="1419"/>
    <cellStyle name="Calc Currency (2)" xfId="1420"/>
    <cellStyle name="Calc Currency (2) 10" xfId="1421"/>
    <cellStyle name="Calc Currency (2) 11" xfId="1422"/>
    <cellStyle name="Calc Currency (2) 12" xfId="1423"/>
    <cellStyle name="Calc Currency (2) 13" xfId="1424"/>
    <cellStyle name="Calc Currency (2) 14" xfId="1425"/>
    <cellStyle name="Calc Currency (2) 15" xfId="1426"/>
    <cellStyle name="Calc Currency (2) 16" xfId="1427"/>
    <cellStyle name="Calc Currency (2) 2" xfId="1428"/>
    <cellStyle name="Calc Currency (2) 3" xfId="1429"/>
    <cellStyle name="Calc Currency (2) 4" xfId="1430"/>
    <cellStyle name="Calc Currency (2) 5" xfId="1431"/>
    <cellStyle name="Calc Currency (2) 6" xfId="1432"/>
    <cellStyle name="Calc Currency (2) 7" xfId="1433"/>
    <cellStyle name="Calc Currency (2) 8" xfId="1434"/>
    <cellStyle name="Calc Currency (2) 9" xfId="1435"/>
    <cellStyle name="Calc Percent (0)" xfId="1436"/>
    <cellStyle name="Calc Percent (0) 10" xfId="1437"/>
    <cellStyle name="Calc Percent (0) 11" xfId="1438"/>
    <cellStyle name="Calc Percent (0) 12" xfId="1439"/>
    <cellStyle name="Calc Percent (0) 13" xfId="1440"/>
    <cellStyle name="Calc Percent (0) 14" xfId="1441"/>
    <cellStyle name="Calc Percent (0) 15" xfId="1442"/>
    <cellStyle name="Calc Percent (0) 16" xfId="1443"/>
    <cellStyle name="Calc Percent (0) 2" xfId="1444"/>
    <cellStyle name="Calc Percent (0) 3" xfId="1445"/>
    <cellStyle name="Calc Percent (0) 4" xfId="1446"/>
    <cellStyle name="Calc Percent (0) 5" xfId="1447"/>
    <cellStyle name="Calc Percent (0) 6" xfId="1448"/>
    <cellStyle name="Calc Percent (0) 7" xfId="1449"/>
    <cellStyle name="Calc Percent (0) 8" xfId="1450"/>
    <cellStyle name="Calc Percent (0) 9" xfId="1451"/>
    <cellStyle name="Calc Percent (1)" xfId="1452"/>
    <cellStyle name="Calc Percent (1) 10" xfId="1453"/>
    <cellStyle name="Calc Percent (1) 11" xfId="1454"/>
    <cellStyle name="Calc Percent (1) 12" xfId="1455"/>
    <cellStyle name="Calc Percent (1) 13" xfId="1456"/>
    <cellStyle name="Calc Percent (1) 14" xfId="1457"/>
    <cellStyle name="Calc Percent (1) 15" xfId="1458"/>
    <cellStyle name="Calc Percent (1) 16" xfId="1459"/>
    <cellStyle name="Calc Percent (1) 2" xfId="1460"/>
    <cellStyle name="Calc Percent (1) 3" xfId="1461"/>
    <cellStyle name="Calc Percent (1) 4" xfId="1462"/>
    <cellStyle name="Calc Percent (1) 5" xfId="1463"/>
    <cellStyle name="Calc Percent (1) 6" xfId="1464"/>
    <cellStyle name="Calc Percent (1) 7" xfId="1465"/>
    <cellStyle name="Calc Percent (1) 8" xfId="1466"/>
    <cellStyle name="Calc Percent (1) 9" xfId="1467"/>
    <cellStyle name="Calc Percent (2)" xfId="1468"/>
    <cellStyle name="Calc Percent (2) 10" xfId="1469"/>
    <cellStyle name="Calc Percent (2) 11" xfId="1470"/>
    <cellStyle name="Calc Percent (2) 12" xfId="1471"/>
    <cellStyle name="Calc Percent (2) 13" xfId="1472"/>
    <cellStyle name="Calc Percent (2) 14" xfId="1473"/>
    <cellStyle name="Calc Percent (2) 15" xfId="1474"/>
    <cellStyle name="Calc Percent (2) 16" xfId="1475"/>
    <cellStyle name="Calc Percent (2) 2" xfId="1476"/>
    <cellStyle name="Calc Percent (2) 3" xfId="1477"/>
    <cellStyle name="Calc Percent (2) 4" xfId="1478"/>
    <cellStyle name="Calc Percent (2) 5" xfId="1479"/>
    <cellStyle name="Calc Percent (2) 6" xfId="1480"/>
    <cellStyle name="Calc Percent (2) 7" xfId="1481"/>
    <cellStyle name="Calc Percent (2) 8" xfId="1482"/>
    <cellStyle name="Calc Percent (2) 9" xfId="1483"/>
    <cellStyle name="Calc Units (0)" xfId="1484"/>
    <cellStyle name="Calc Units (0) 10" xfId="1485"/>
    <cellStyle name="Calc Units (0) 11" xfId="1486"/>
    <cellStyle name="Calc Units (0) 12" xfId="1487"/>
    <cellStyle name="Calc Units (0) 13" xfId="1488"/>
    <cellStyle name="Calc Units (0) 14" xfId="1489"/>
    <cellStyle name="Calc Units (0) 15" xfId="1490"/>
    <cellStyle name="Calc Units (0) 16" xfId="1491"/>
    <cellStyle name="Calc Units (0) 2" xfId="1492"/>
    <cellStyle name="Calc Units (0) 3" xfId="1493"/>
    <cellStyle name="Calc Units (0) 4" xfId="1494"/>
    <cellStyle name="Calc Units (0) 5" xfId="1495"/>
    <cellStyle name="Calc Units (0) 6" xfId="1496"/>
    <cellStyle name="Calc Units (0) 7" xfId="1497"/>
    <cellStyle name="Calc Units (0) 8" xfId="1498"/>
    <cellStyle name="Calc Units (0) 9" xfId="1499"/>
    <cellStyle name="Calc Units (1)" xfId="1500"/>
    <cellStyle name="Calc Units (1) 10" xfId="1501"/>
    <cellStyle name="Calc Units (1) 11" xfId="1502"/>
    <cellStyle name="Calc Units (1) 12" xfId="1503"/>
    <cellStyle name="Calc Units (1) 13" xfId="1504"/>
    <cellStyle name="Calc Units (1) 14" xfId="1505"/>
    <cellStyle name="Calc Units (1) 15" xfId="1506"/>
    <cellStyle name="Calc Units (1) 16" xfId="1507"/>
    <cellStyle name="Calc Units (1) 2" xfId="1508"/>
    <cellStyle name="Calc Units (1) 3" xfId="1509"/>
    <cellStyle name="Calc Units (1) 4" xfId="1510"/>
    <cellStyle name="Calc Units (1) 5" xfId="1511"/>
    <cellStyle name="Calc Units (1) 6" xfId="1512"/>
    <cellStyle name="Calc Units (1) 7" xfId="1513"/>
    <cellStyle name="Calc Units (1) 8" xfId="1514"/>
    <cellStyle name="Calc Units (1) 9" xfId="1515"/>
    <cellStyle name="Calc Units (2)" xfId="1516"/>
    <cellStyle name="Calc Units (2) 10" xfId="1517"/>
    <cellStyle name="Calc Units (2) 11" xfId="1518"/>
    <cellStyle name="Calc Units (2) 12" xfId="1519"/>
    <cellStyle name="Calc Units (2) 13" xfId="1520"/>
    <cellStyle name="Calc Units (2) 14" xfId="1521"/>
    <cellStyle name="Calc Units (2) 15" xfId="1522"/>
    <cellStyle name="Calc Units (2) 16" xfId="1523"/>
    <cellStyle name="Calc Units (2) 2" xfId="1524"/>
    <cellStyle name="Calc Units (2) 3" xfId="1525"/>
    <cellStyle name="Calc Units (2) 4" xfId="1526"/>
    <cellStyle name="Calc Units (2) 5" xfId="1527"/>
    <cellStyle name="Calc Units (2) 6" xfId="1528"/>
    <cellStyle name="Calc Units (2) 7" xfId="1529"/>
    <cellStyle name="Calc Units (2) 8" xfId="1530"/>
    <cellStyle name="Calc Units (2) 9" xfId="1531"/>
    <cellStyle name="Calculation 2" xfId="1532"/>
    <cellStyle name="Calculation 2 10" xfId="1533"/>
    <cellStyle name="Calculation 2 11" xfId="1534"/>
    <cellStyle name="Calculation 2 12" xfId="1535"/>
    <cellStyle name="Calculation 2 13" xfId="1536"/>
    <cellStyle name="Calculation 2 14" xfId="1537"/>
    <cellStyle name="Calculation 2 15" xfId="1538"/>
    <cellStyle name="Calculation 2 16" xfId="1539"/>
    <cellStyle name="Calculation 2 17" xfId="1540"/>
    <cellStyle name="Calculation 2 18" xfId="1541"/>
    <cellStyle name="Calculation 2 19" xfId="1542"/>
    <cellStyle name="Calculation 2 2" xfId="1543"/>
    <cellStyle name="Calculation 2 20" xfId="1544"/>
    <cellStyle name="Calculation 2 3" xfId="1545"/>
    <cellStyle name="Calculation 2 4" xfId="1546"/>
    <cellStyle name="Calculation 2 5" xfId="1547"/>
    <cellStyle name="Calculation 2 6" xfId="1548"/>
    <cellStyle name="Calculation 2 7" xfId="1549"/>
    <cellStyle name="Calculation 2 8" xfId="1550"/>
    <cellStyle name="Calculation 2 9" xfId="1551"/>
    <cellStyle name="category" xfId="1552"/>
    <cellStyle name="category 2" xfId="1553"/>
    <cellStyle name="Centered Heading" xfId="1554"/>
    <cellStyle name="Cerrency_Sheet2_XANGDAU" xfId="1555"/>
    <cellStyle name="Check Cell 2" xfId="1556"/>
    <cellStyle name="Chi phÝ kh¸c_Book1" xfId="1557"/>
    <cellStyle name="CHUONG" xfId="1558"/>
    <cellStyle name="Column_Title" xfId="1559"/>
    <cellStyle name="Comma" xfId="4712" builtinId="3"/>
    <cellStyle name="Comma  - Style1" xfId="1560"/>
    <cellStyle name="Comma  - Style2" xfId="1561"/>
    <cellStyle name="Comma  - Style3" xfId="1562"/>
    <cellStyle name="Comma  - Style4" xfId="1563"/>
    <cellStyle name="Comma  - Style5" xfId="1564"/>
    <cellStyle name="Comma  - Style6" xfId="1565"/>
    <cellStyle name="Comma  - Style7" xfId="1566"/>
    <cellStyle name="Comma  - Style8" xfId="1567"/>
    <cellStyle name="Comma %" xfId="1568"/>
    <cellStyle name="Comma % 10" xfId="1569"/>
    <cellStyle name="Comma % 11" xfId="1570"/>
    <cellStyle name="Comma % 12" xfId="1571"/>
    <cellStyle name="Comma % 13" xfId="1572"/>
    <cellStyle name="Comma % 14" xfId="1573"/>
    <cellStyle name="Comma % 15" xfId="1574"/>
    <cellStyle name="Comma % 2" xfId="1575"/>
    <cellStyle name="Comma % 3" xfId="1576"/>
    <cellStyle name="Comma % 4" xfId="1577"/>
    <cellStyle name="Comma % 5" xfId="1578"/>
    <cellStyle name="Comma % 6" xfId="1579"/>
    <cellStyle name="Comma % 7" xfId="1580"/>
    <cellStyle name="Comma % 8" xfId="1581"/>
    <cellStyle name="Comma % 9" xfId="1582"/>
    <cellStyle name="Comma [0] 10" xfId="1583"/>
    <cellStyle name="Comma [0] 11" xfId="1584"/>
    <cellStyle name="Comma [0] 2" xfId="1585"/>
    <cellStyle name="Comma [0] 2 10" xfId="1586"/>
    <cellStyle name="Comma [0] 2 11" xfId="1587"/>
    <cellStyle name="Comma [0] 2 12" xfId="1588"/>
    <cellStyle name="Comma [0] 2 13" xfId="1589"/>
    <cellStyle name="Comma [0] 2 14" xfId="1590"/>
    <cellStyle name="Comma [0] 2 15" xfId="1591"/>
    <cellStyle name="Comma [0] 2 16" xfId="1592"/>
    <cellStyle name="Comma [0] 2 17" xfId="1593"/>
    <cellStyle name="Comma [0] 2 18" xfId="1594"/>
    <cellStyle name="Comma [0] 2 19" xfId="1595"/>
    <cellStyle name="Comma [0] 2 2" xfId="1596"/>
    <cellStyle name="Comma [0] 2 2 2" xfId="1597"/>
    <cellStyle name="Comma [0] 2 20" xfId="1598"/>
    <cellStyle name="Comma [0] 2 21" xfId="1599"/>
    <cellStyle name="Comma [0] 2 22" xfId="1600"/>
    <cellStyle name="Comma [0] 2 23" xfId="1601"/>
    <cellStyle name="Comma [0] 2 24" xfId="1602"/>
    <cellStyle name="Comma [0] 2 25" xfId="1603"/>
    <cellStyle name="Comma [0] 2 26" xfId="1604"/>
    <cellStyle name="Comma [0] 2 3" xfId="1605"/>
    <cellStyle name="Comma [0] 2 4" xfId="1606"/>
    <cellStyle name="Comma [0] 2 5" xfId="1607"/>
    <cellStyle name="Comma [0] 2 6" xfId="1608"/>
    <cellStyle name="Comma [0] 2 7" xfId="1609"/>
    <cellStyle name="Comma [0] 2 8" xfId="1610"/>
    <cellStyle name="Comma [0] 2 9" xfId="1611"/>
    <cellStyle name="Comma [0] 2_05-12  KH trung han 2016-2020 - Liem Thinh edited" xfId="1612"/>
    <cellStyle name="Comma [0] 3" xfId="1613"/>
    <cellStyle name="Comma [0] 3 2" xfId="1614"/>
    <cellStyle name="Comma [0] 3 3" xfId="1615"/>
    <cellStyle name="Comma [0] 4" xfId="1616"/>
    <cellStyle name="Comma [0] 5" xfId="1617"/>
    <cellStyle name="Comma [0] 6" xfId="1618"/>
    <cellStyle name="Comma [0] 7" xfId="1619"/>
    <cellStyle name="Comma [0] 8" xfId="1620"/>
    <cellStyle name="Comma [0] 9" xfId="1621"/>
    <cellStyle name="Comma [00]" xfId="1622"/>
    <cellStyle name="Comma [00] 10" xfId="1623"/>
    <cellStyle name="Comma [00] 11" xfId="1624"/>
    <cellStyle name="Comma [00] 12" xfId="1625"/>
    <cellStyle name="Comma [00] 13" xfId="1626"/>
    <cellStyle name="Comma [00] 14" xfId="1627"/>
    <cellStyle name="Comma [00] 15" xfId="1628"/>
    <cellStyle name="Comma [00] 16" xfId="1629"/>
    <cellStyle name="Comma [00] 2" xfId="1630"/>
    <cellStyle name="Comma [00] 3" xfId="1631"/>
    <cellStyle name="Comma [00] 4" xfId="1632"/>
    <cellStyle name="Comma [00] 5" xfId="1633"/>
    <cellStyle name="Comma [00] 6" xfId="1634"/>
    <cellStyle name="Comma [00] 7" xfId="1635"/>
    <cellStyle name="Comma [00] 8" xfId="1636"/>
    <cellStyle name="Comma [00] 9" xfId="1637"/>
    <cellStyle name="Comma 0.0" xfId="1638"/>
    <cellStyle name="Comma 0.0%" xfId="1639"/>
    <cellStyle name="Comma 0.00" xfId="1640"/>
    <cellStyle name="Comma 0.00%" xfId="1641"/>
    <cellStyle name="Comma 0.000" xfId="1642"/>
    <cellStyle name="Comma 0.000%" xfId="1643"/>
    <cellStyle name="Comma 10" xfId="1644"/>
    <cellStyle name="Comma 10 10" xfId="4"/>
    <cellStyle name="Comma 10 10 2" xfId="1645"/>
    <cellStyle name="Comma 10 10 3" xfId="4719"/>
    <cellStyle name="Comma 10 2" xfId="1646"/>
    <cellStyle name="Comma 10 2 2" xfId="1647"/>
    <cellStyle name="Comma 10 2 3" xfId="1648"/>
    <cellStyle name="Comma 10 2 4" xfId="1649"/>
    <cellStyle name="Comma 10 2 5" xfId="1650"/>
    <cellStyle name="Comma 10 3" xfId="1651"/>
    <cellStyle name="Comma 10 3 2" xfId="1652"/>
    <cellStyle name="Comma 10 3 3 2" xfId="1653"/>
    <cellStyle name="Comma 10 4" xfId="1654"/>
    <cellStyle name="Comma 10 5" xfId="1655"/>
    <cellStyle name="Comma 10 6" xfId="1656"/>
    <cellStyle name="Comma 11" xfId="1657"/>
    <cellStyle name="Comma 11 2" xfId="6"/>
    <cellStyle name="Comma 11 3" xfId="1658"/>
    <cellStyle name="Comma 11 3 2" xfId="1659"/>
    <cellStyle name="Comma 11 3 3" xfId="1660"/>
    <cellStyle name="Comma 11 4" xfId="1661"/>
    <cellStyle name="Comma 11 5" xfId="1662"/>
    <cellStyle name="Comma 11 6" xfId="4720"/>
    <cellStyle name="Comma 12" xfId="1663"/>
    <cellStyle name="Comma 12 2" xfId="1664"/>
    <cellStyle name="Comma 12 3" xfId="1665"/>
    <cellStyle name="Comma 13" xfId="1666"/>
    <cellStyle name="Comma 13 2" xfId="1667"/>
    <cellStyle name="Comma 13 2 2" xfId="1668"/>
    <cellStyle name="Comma 13 2 2 2" xfId="1669"/>
    <cellStyle name="Comma 13 2 2 2 2" xfId="1670"/>
    <cellStyle name="Comma 13 2 2 2 3" xfId="1671"/>
    <cellStyle name="Comma 13 2 2 3" xfId="1672"/>
    <cellStyle name="Comma 13 2 2 4" xfId="1673"/>
    <cellStyle name="Comma 13 2 2 5" xfId="1674"/>
    <cellStyle name="Comma 13 2 3" xfId="1675"/>
    <cellStyle name="Comma 13 2 3 2" xfId="1676"/>
    <cellStyle name="Comma 13 2 4" xfId="1677"/>
    <cellStyle name="Comma 13 2 5" xfId="1678"/>
    <cellStyle name="Comma 13 3" xfId="1679"/>
    <cellStyle name="Comma 13 4" xfId="1680"/>
    <cellStyle name="Comma 14" xfId="1681"/>
    <cellStyle name="Comma 14 2" xfId="1682"/>
    <cellStyle name="Comma 14 2 2" xfId="1683"/>
    <cellStyle name="Comma 14 3" xfId="1684"/>
    <cellStyle name="Comma 15" xfId="1685"/>
    <cellStyle name="Comma 15 2" xfId="1686"/>
    <cellStyle name="Comma 15 3" xfId="1687"/>
    <cellStyle name="Comma 16" xfId="1688"/>
    <cellStyle name="Comma 16 2" xfId="1689"/>
    <cellStyle name="Comma 16 3" xfId="1690"/>
    <cellStyle name="Comma 16 3 2" xfId="1691"/>
    <cellStyle name="Comma 16 3 2 2" xfId="1692"/>
    <cellStyle name="Comma 16 3 3" xfId="1693"/>
    <cellStyle name="Comma 16 3 3 2" xfId="1694"/>
    <cellStyle name="Comma 16 3 4" xfId="1695"/>
    <cellStyle name="Comma 17" xfId="1696"/>
    <cellStyle name="Comma 17 2" xfId="1697"/>
    <cellStyle name="Comma 17 3" xfId="1698"/>
    <cellStyle name="Comma 17 4" xfId="1699"/>
    <cellStyle name="Comma 18" xfId="1700"/>
    <cellStyle name="Comma 18 2" xfId="1701"/>
    <cellStyle name="Comma 18 3" xfId="1702"/>
    <cellStyle name="Comma 19" xfId="1703"/>
    <cellStyle name="Comma 19 2" xfId="1704"/>
    <cellStyle name="Comma 2" xfId="1705"/>
    <cellStyle name="Comma 2 10" xfId="1706"/>
    <cellStyle name="Comma 2 11" xfId="1707"/>
    <cellStyle name="Comma 2 12" xfId="1708"/>
    <cellStyle name="Comma 2 13" xfId="1709"/>
    <cellStyle name="Comma 2 14" xfId="1710"/>
    <cellStyle name="Comma 2 15" xfId="1711"/>
    <cellStyle name="Comma 2 16" xfId="1712"/>
    <cellStyle name="Comma 2 17" xfId="1713"/>
    <cellStyle name="Comma 2 18" xfId="1714"/>
    <cellStyle name="Comma 2 19" xfId="1715"/>
    <cellStyle name="Comma 2 2" xfId="1716"/>
    <cellStyle name="Comma 2 2 10" xfId="1717"/>
    <cellStyle name="Comma 2 2 11" xfId="1718"/>
    <cellStyle name="Comma 2 2 12" xfId="1719"/>
    <cellStyle name="Comma 2 2 13" xfId="1720"/>
    <cellStyle name="Comma 2 2 14" xfId="1721"/>
    <cellStyle name="Comma 2 2 15" xfId="1722"/>
    <cellStyle name="Comma 2 2 16" xfId="1723"/>
    <cellStyle name="Comma 2 2 17" xfId="1724"/>
    <cellStyle name="Comma 2 2 18" xfId="1725"/>
    <cellStyle name="Comma 2 2 19" xfId="1726"/>
    <cellStyle name="Comma 2 2 2" xfId="1727"/>
    <cellStyle name="Comma 2 2 2 10" xfId="1728"/>
    <cellStyle name="Comma 2 2 2 11" xfId="1729"/>
    <cellStyle name="Comma 2 2 2 12" xfId="1730"/>
    <cellStyle name="Comma 2 2 2 13" xfId="1731"/>
    <cellStyle name="Comma 2 2 2 14" xfId="1732"/>
    <cellStyle name="Comma 2 2 2 15" xfId="1733"/>
    <cellStyle name="Comma 2 2 2 16" xfId="1734"/>
    <cellStyle name="Comma 2 2 2 17" xfId="1735"/>
    <cellStyle name="Comma 2 2 2 18" xfId="1736"/>
    <cellStyle name="Comma 2 2 2 19" xfId="1737"/>
    <cellStyle name="Comma 2 2 2 2" xfId="1738"/>
    <cellStyle name="Comma 2 2 2 2 2" xfId="1739"/>
    <cellStyle name="Comma 2 2 2 20" xfId="1740"/>
    <cellStyle name="Comma 2 2 2 21" xfId="1741"/>
    <cellStyle name="Comma 2 2 2 22" xfId="1742"/>
    <cellStyle name="Comma 2 2 2 23" xfId="1743"/>
    <cellStyle name="Comma 2 2 2 24" xfId="1744"/>
    <cellStyle name="Comma 2 2 2 3" xfId="1745"/>
    <cellStyle name="Comma 2 2 2 4" xfId="1746"/>
    <cellStyle name="Comma 2 2 2 5" xfId="1747"/>
    <cellStyle name="Comma 2 2 2 6" xfId="1748"/>
    <cellStyle name="Comma 2 2 2 7" xfId="1749"/>
    <cellStyle name="Comma 2 2 2 8" xfId="1750"/>
    <cellStyle name="Comma 2 2 2 9" xfId="1751"/>
    <cellStyle name="Comma 2 2 20" xfId="1752"/>
    <cellStyle name="Comma 2 2 21" xfId="1753"/>
    <cellStyle name="Comma 2 2 22" xfId="1754"/>
    <cellStyle name="Comma 2 2 23" xfId="1755"/>
    <cellStyle name="Comma 2 2 24" xfId="1756"/>
    <cellStyle name="Comma 2 2 24 2" xfId="1757"/>
    <cellStyle name="Comma 2 2 25" xfId="1758"/>
    <cellStyle name="Comma 2 2 3" xfId="1759"/>
    <cellStyle name="Comma 2 2 3 2" xfId="1760"/>
    <cellStyle name="Comma 2 2 4" xfId="1761"/>
    <cellStyle name="Comma 2 2 5" xfId="1762"/>
    <cellStyle name="Comma 2 2 6" xfId="1763"/>
    <cellStyle name="Comma 2 2 7" xfId="1764"/>
    <cellStyle name="Comma 2 2 8" xfId="1765"/>
    <cellStyle name="Comma 2 2 9" xfId="1766"/>
    <cellStyle name="Comma 2 2_05-12  KH trung han 2016-2020 - Liem Thinh edited" xfId="1767"/>
    <cellStyle name="Comma 2 20" xfId="1768"/>
    <cellStyle name="Comma 2 21" xfId="1769"/>
    <cellStyle name="Comma 2 22" xfId="1770"/>
    <cellStyle name="Comma 2 23" xfId="1771"/>
    <cellStyle name="Comma 2 24" xfId="1772"/>
    <cellStyle name="Comma 2 25" xfId="1773"/>
    <cellStyle name="Comma 2 26" xfId="1774"/>
    <cellStyle name="Comma 2 26 2" xfId="1775"/>
    <cellStyle name="Comma 2 27" xfId="1776"/>
    <cellStyle name="Comma 2 28" xfId="1777"/>
    <cellStyle name="Comma 2 3" xfId="1778"/>
    <cellStyle name="Comma 2 3 2" xfId="1779"/>
    <cellStyle name="Comma 2 3 2 2" xfId="1780"/>
    <cellStyle name="Comma 2 3 2 3" xfId="1781"/>
    <cellStyle name="Comma 2 3 3" xfId="1782"/>
    <cellStyle name="Comma 2 4" xfId="1783"/>
    <cellStyle name="Comma 2 4 2" xfId="1784"/>
    <cellStyle name="Comma 2 4 3" xfId="1785"/>
    <cellStyle name="Comma 2 4 3 2" xfId="1786"/>
    <cellStyle name="Comma 2 4 3 3" xfId="4723"/>
    <cellStyle name="Comma 2 4 4" xfId="1787"/>
    <cellStyle name="Comma 2 5" xfId="1788"/>
    <cellStyle name="Comma 2 5 2" xfId="1789"/>
    <cellStyle name="Comma 2 5 3" xfId="1790"/>
    <cellStyle name="Comma 2 6" xfId="1791"/>
    <cellStyle name="Comma 2 7" xfId="1792"/>
    <cellStyle name="Comma 2 8" xfId="1793"/>
    <cellStyle name="Comma 2 9" xfId="1794"/>
    <cellStyle name="Comma 2_05-12  KH trung han 2016-2020 - Liem Thinh edited" xfId="1795"/>
    <cellStyle name="Comma 20" xfId="1796"/>
    <cellStyle name="Comma 20 2" xfId="1797"/>
    <cellStyle name="Comma 20 3" xfId="1798"/>
    <cellStyle name="Comma 21" xfId="1799"/>
    <cellStyle name="Comma 21 2" xfId="1800"/>
    <cellStyle name="Comma 21 3" xfId="1801"/>
    <cellStyle name="Comma 22" xfId="1802"/>
    <cellStyle name="Comma 22 2" xfId="1803"/>
    <cellStyle name="Comma 22 3" xfId="1804"/>
    <cellStyle name="Comma 23" xfId="1805"/>
    <cellStyle name="Comma 23 2" xfId="1806"/>
    <cellStyle name="Comma 23 3" xfId="1807"/>
    <cellStyle name="Comma 24" xfId="1808"/>
    <cellStyle name="Comma 24 2" xfId="1809"/>
    <cellStyle name="Comma 25" xfId="1810"/>
    <cellStyle name="Comma 25 2" xfId="1811"/>
    <cellStyle name="Comma 26" xfId="1812"/>
    <cellStyle name="Comma 26 2" xfId="1813"/>
    <cellStyle name="Comma 27" xfId="1814"/>
    <cellStyle name="Comma 27 2" xfId="1815"/>
    <cellStyle name="Comma 28" xfId="1816"/>
    <cellStyle name="Comma 28 2" xfId="1817"/>
    <cellStyle name="Comma 29" xfId="1818"/>
    <cellStyle name="Comma 29 2" xfId="1819"/>
    <cellStyle name="Comma 3" xfId="1820"/>
    <cellStyle name="Comma 3 2" xfId="1821"/>
    <cellStyle name="Comma 3 2 10" xfId="1822"/>
    <cellStyle name="Comma 3 2 11" xfId="1823"/>
    <cellStyle name="Comma 3 2 12" xfId="1824"/>
    <cellStyle name="Comma 3 2 13" xfId="1825"/>
    <cellStyle name="Comma 3 2 14" xfId="1826"/>
    <cellStyle name="Comma 3 2 15" xfId="1827"/>
    <cellStyle name="Comma 3 2 2" xfId="1828"/>
    <cellStyle name="Comma 3 2 2 2" xfId="1829"/>
    <cellStyle name="Comma 3 2 2 3" xfId="1830"/>
    <cellStyle name="Comma 3 2 3" xfId="1831"/>
    <cellStyle name="Comma 3 2 3 2" xfId="1832"/>
    <cellStyle name="Comma 3 2 3 3" xfId="1833"/>
    <cellStyle name="Comma 3 2 4" xfId="1834"/>
    <cellStyle name="Comma 3 2 5" xfId="1835"/>
    <cellStyle name="Comma 3 2 6" xfId="1836"/>
    <cellStyle name="Comma 3 2 7" xfId="1837"/>
    <cellStyle name="Comma 3 2 8" xfId="1838"/>
    <cellStyle name="Comma 3 2 9" xfId="1839"/>
    <cellStyle name="Comma 3 3" xfId="1840"/>
    <cellStyle name="Comma 3 3 2" xfId="1841"/>
    <cellStyle name="Comma 3 3 3" xfId="1842"/>
    <cellStyle name="Comma 3 4" xfId="1843"/>
    <cellStyle name="Comma 3 4 2" xfId="1844"/>
    <cellStyle name="Comma 3 4 3" xfId="1845"/>
    <cellStyle name="Comma 3 5" xfId="1846"/>
    <cellStyle name="Comma 3 5 2" xfId="1847"/>
    <cellStyle name="Comma 3 6" xfId="1848"/>
    <cellStyle name="Comma 3 6 2" xfId="1849"/>
    <cellStyle name="Comma 3 7" xfId="1850"/>
    <cellStyle name="Comma 3 8" xfId="1851"/>
    <cellStyle name="Comma 3_Biểu 14 - KH2015 dự án ODA" xfId="1852"/>
    <cellStyle name="Comma 30" xfId="1853"/>
    <cellStyle name="Comma 30 2" xfId="1854"/>
    <cellStyle name="Comma 31" xfId="1855"/>
    <cellStyle name="Comma 31 2" xfId="1856"/>
    <cellStyle name="Comma 32" xfId="1857"/>
    <cellStyle name="Comma 32 2" xfId="1858"/>
    <cellStyle name="Comma 32 2 2" xfId="1859"/>
    <cellStyle name="Comma 32 3" xfId="1860"/>
    <cellStyle name="Comma 33" xfId="1861"/>
    <cellStyle name="Comma 33 2" xfId="1862"/>
    <cellStyle name="Comma 34" xfId="1863"/>
    <cellStyle name="Comma 34 2" xfId="1864"/>
    <cellStyle name="Comma 35" xfId="1865"/>
    <cellStyle name="Comma 35 2" xfId="1866"/>
    <cellStyle name="Comma 35 3" xfId="1867"/>
    <cellStyle name="Comma 35 3 2" xfId="1868"/>
    <cellStyle name="Comma 35 4" xfId="1869"/>
    <cellStyle name="Comma 35 4 2" xfId="1870"/>
    <cellStyle name="Comma 36" xfId="1871"/>
    <cellStyle name="Comma 36 2" xfId="1872"/>
    <cellStyle name="Comma 37" xfId="1873"/>
    <cellStyle name="Comma 37 2" xfId="1874"/>
    <cellStyle name="Comma 38" xfId="1875"/>
    <cellStyle name="Comma 39" xfId="1876"/>
    <cellStyle name="Comma 39 2" xfId="1877"/>
    <cellStyle name="Comma 4" xfId="1878"/>
    <cellStyle name="Comma 4 10" xfId="1879"/>
    <cellStyle name="Comma 4 11" xfId="1880"/>
    <cellStyle name="Comma 4 12" xfId="1881"/>
    <cellStyle name="Comma 4 13" xfId="1882"/>
    <cellStyle name="Comma 4 14" xfId="1883"/>
    <cellStyle name="Comma 4 15" xfId="1884"/>
    <cellStyle name="Comma 4 16" xfId="1885"/>
    <cellStyle name="Comma 4 17" xfId="1886"/>
    <cellStyle name="Comma 4 18" xfId="1887"/>
    <cellStyle name="Comma 4 19" xfId="1888"/>
    <cellStyle name="Comma 4 2" xfId="1889"/>
    <cellStyle name="Comma 4 2 2" xfId="1890"/>
    <cellStyle name="Comma 4 2 3" xfId="1891"/>
    <cellStyle name="Comma 4 2 4" xfId="1892"/>
    <cellStyle name="Comma 4 2 5" xfId="4722"/>
    <cellStyle name="Comma 4 2_bieu 21" xfId="1893"/>
    <cellStyle name="Comma 4 2_bieu 21 2" xfId="4716"/>
    <cellStyle name="Comma 4 2_bieu 21 3" xfId="4718"/>
    <cellStyle name="Comma 4 20" xfId="1894"/>
    <cellStyle name="Comma 4 3" xfId="1895"/>
    <cellStyle name="Comma 4 3 2" xfId="1896"/>
    <cellStyle name="Comma 4 3 2 2" xfId="1897"/>
    <cellStyle name="Comma 4 3 3" xfId="1898"/>
    <cellStyle name="Comma 4 4" xfId="1899"/>
    <cellStyle name="Comma 4 4 2" xfId="1900"/>
    <cellStyle name="Comma 4 4 3" xfId="1901"/>
    <cellStyle name="Comma 4 4 4" xfId="1902"/>
    <cellStyle name="Comma 4 5" xfId="1903"/>
    <cellStyle name="Comma 4 6" xfId="1904"/>
    <cellStyle name="Comma 4 7" xfId="1905"/>
    <cellStyle name="Comma 4 8" xfId="1906"/>
    <cellStyle name="Comma 4 9" xfId="1907"/>
    <cellStyle name="Comma 4_Bieu 5 BSMT NSTW" xfId="1908"/>
    <cellStyle name="Comma 40" xfId="1909"/>
    <cellStyle name="Comma 40 2" xfId="1910"/>
    <cellStyle name="Comma 41" xfId="1911"/>
    <cellStyle name="Comma 42" xfId="1912"/>
    <cellStyle name="Comma 43" xfId="1913"/>
    <cellStyle name="Comma 44" xfId="1914"/>
    <cellStyle name="Comma 45" xfId="1915"/>
    <cellStyle name="Comma 46" xfId="1916"/>
    <cellStyle name="Comma 47" xfId="1917"/>
    <cellStyle name="Comma 48" xfId="1918"/>
    <cellStyle name="Comma 49" xfId="1919"/>
    <cellStyle name="Comma 5" xfId="1920"/>
    <cellStyle name="Comma 5 10" xfId="1921"/>
    <cellStyle name="Comma 5 11" xfId="1922"/>
    <cellStyle name="Comma 5 12" xfId="1923"/>
    <cellStyle name="Comma 5 13" xfId="1924"/>
    <cellStyle name="Comma 5 14" xfId="1925"/>
    <cellStyle name="Comma 5 15" xfId="1926"/>
    <cellStyle name="Comma 5 16" xfId="1927"/>
    <cellStyle name="Comma 5 17" xfId="1928"/>
    <cellStyle name="Comma 5 17 2" xfId="1929"/>
    <cellStyle name="Comma 5 18" xfId="1930"/>
    <cellStyle name="Comma 5 19" xfId="1931"/>
    <cellStyle name="Comma 5 2" xfId="1932"/>
    <cellStyle name="Comma 5 2 2" xfId="1933"/>
    <cellStyle name="Comma 5 2 3" xfId="1934"/>
    <cellStyle name="Comma 5 2 4" xfId="1935"/>
    <cellStyle name="Comma 5 2 5" xfId="4725"/>
    <cellStyle name="Comma 5 20" xfId="1936"/>
    <cellStyle name="Comma 5 3" xfId="1937"/>
    <cellStyle name="Comma 5 3 2" xfId="1938"/>
    <cellStyle name="Comma 5 4" xfId="1939"/>
    <cellStyle name="Comma 5 4 2" xfId="1940"/>
    <cellStyle name="Comma 5 5" xfId="1941"/>
    <cellStyle name="Comma 5 5 2" xfId="1942"/>
    <cellStyle name="Comma 5 6" xfId="1943"/>
    <cellStyle name="Comma 5 7" xfId="1944"/>
    <cellStyle name="Comma 5 8" xfId="1945"/>
    <cellStyle name="Comma 5 9" xfId="1946"/>
    <cellStyle name="Comma 5_05-12  KH trung han 2016-2020 - Liem Thinh edited" xfId="1947"/>
    <cellStyle name="Comma 50" xfId="1948"/>
    <cellStyle name="Comma 50 2" xfId="1949"/>
    <cellStyle name="Comma 51" xfId="1950"/>
    <cellStyle name="Comma 51 2" xfId="1951"/>
    <cellStyle name="Comma 52" xfId="1952"/>
    <cellStyle name="Comma 6" xfId="1953"/>
    <cellStyle name="Comma 6 2" xfId="1954"/>
    <cellStyle name="Comma 6 2 2" xfId="1955"/>
    <cellStyle name="Comma 6 3" xfId="1956"/>
    <cellStyle name="Comma 6 4" xfId="1957"/>
    <cellStyle name="Comma 7" xfId="1958"/>
    <cellStyle name="Comma 7 2" xfId="1959"/>
    <cellStyle name="Comma 7 3" xfId="1960"/>
    <cellStyle name="Comma 7 3 2" xfId="1961"/>
    <cellStyle name="Comma 7_20131129 Nhu cau 2014_TPCP ODA (co hoan ung)" xfId="1962"/>
    <cellStyle name="Comma 8" xfId="1963"/>
    <cellStyle name="Comma 8 2" xfId="1964"/>
    <cellStyle name="Comma 8 2 2" xfId="1965"/>
    <cellStyle name="Comma 8 3" xfId="1966"/>
    <cellStyle name="Comma 8 4" xfId="1967"/>
    <cellStyle name="Comma 9" xfId="1968"/>
    <cellStyle name="Comma 9 2" xfId="1969"/>
    <cellStyle name="Comma 9 2 2" xfId="1970"/>
    <cellStyle name="Comma 9 2 3" xfId="1971"/>
    <cellStyle name="Comma 9 3" xfId="1972"/>
    <cellStyle name="Comma 9 3 2" xfId="1973"/>
    <cellStyle name="Comma 9 4" xfId="1974"/>
    <cellStyle name="Comma 9 5" xfId="1975"/>
    <cellStyle name="Comma 9 6" xfId="1976"/>
    <cellStyle name="Comma 9 7" xfId="1977"/>
    <cellStyle name="comma zerodec" xfId="1978"/>
    <cellStyle name="Comma_Bieu 15 KCM TPCP" xfId="4713"/>
    <cellStyle name="Comma0" xfId="1979"/>
    <cellStyle name="Comma0 10" xfId="1980"/>
    <cellStyle name="Comma0 11" xfId="1981"/>
    <cellStyle name="Comma0 12" xfId="1982"/>
    <cellStyle name="Comma0 13" xfId="1983"/>
    <cellStyle name="Comma0 14" xfId="1984"/>
    <cellStyle name="Comma0 15" xfId="1985"/>
    <cellStyle name="Comma0 16" xfId="1986"/>
    <cellStyle name="Comma0 2" xfId="1987"/>
    <cellStyle name="Comma0 2 2" xfId="1988"/>
    <cellStyle name="Comma0 3" xfId="1989"/>
    <cellStyle name="Comma0 4" xfId="1990"/>
    <cellStyle name="Comma0 5" xfId="1991"/>
    <cellStyle name="Comma0 6" xfId="1992"/>
    <cellStyle name="Comma0 7" xfId="1993"/>
    <cellStyle name="Comma0 8" xfId="1994"/>
    <cellStyle name="Comma0 9" xfId="1995"/>
    <cellStyle name="Company Name" xfId="1996"/>
    <cellStyle name="cong" xfId="1997"/>
    <cellStyle name="Copied" xfId="1998"/>
    <cellStyle name="Co聭ma_Sheet1" xfId="1999"/>
    <cellStyle name="CR Comma" xfId="2000"/>
    <cellStyle name="CR Currency" xfId="2001"/>
    <cellStyle name="Credit" xfId="2002"/>
    <cellStyle name="Credit subtotal" xfId="2003"/>
    <cellStyle name="Credit Total" xfId="2004"/>
    <cellStyle name="Cࡵrrency_Sheet1_PRODUCTĠ" xfId="2005"/>
    <cellStyle name="Curråncy [0]_FCST_RESULTS" xfId="2006"/>
    <cellStyle name="Currency %" xfId="2007"/>
    <cellStyle name="Currency % 10" xfId="2008"/>
    <cellStyle name="Currency % 11" xfId="2009"/>
    <cellStyle name="Currency % 12" xfId="2010"/>
    <cellStyle name="Currency % 13" xfId="2011"/>
    <cellStyle name="Currency % 14" xfId="2012"/>
    <cellStyle name="Currency % 15" xfId="2013"/>
    <cellStyle name="Currency % 2" xfId="2014"/>
    <cellStyle name="Currency % 3" xfId="2015"/>
    <cellStyle name="Currency % 4" xfId="2016"/>
    <cellStyle name="Currency % 5" xfId="2017"/>
    <cellStyle name="Currency % 6" xfId="2018"/>
    <cellStyle name="Currency % 7" xfId="2019"/>
    <cellStyle name="Currency % 8" xfId="2020"/>
    <cellStyle name="Currency % 9" xfId="2021"/>
    <cellStyle name="Currency %_05-12  KH trung han 2016-2020 - Liem Thinh edited" xfId="2022"/>
    <cellStyle name="Currency [0]ßmud plant bolted_RESULTS" xfId="2023"/>
    <cellStyle name="Currency [00]" xfId="2024"/>
    <cellStyle name="Currency [00] 10" xfId="2025"/>
    <cellStyle name="Currency [00] 11" xfId="2026"/>
    <cellStyle name="Currency [00] 12" xfId="2027"/>
    <cellStyle name="Currency [00] 13" xfId="2028"/>
    <cellStyle name="Currency [00] 14" xfId="2029"/>
    <cellStyle name="Currency [00] 15" xfId="2030"/>
    <cellStyle name="Currency [00] 16" xfId="2031"/>
    <cellStyle name="Currency [00] 2" xfId="2032"/>
    <cellStyle name="Currency [00] 3" xfId="2033"/>
    <cellStyle name="Currency [00] 4" xfId="2034"/>
    <cellStyle name="Currency [00] 5" xfId="2035"/>
    <cellStyle name="Currency [00] 6" xfId="2036"/>
    <cellStyle name="Currency [00] 7" xfId="2037"/>
    <cellStyle name="Currency [00] 8" xfId="2038"/>
    <cellStyle name="Currency [00] 9" xfId="2039"/>
    <cellStyle name="Currency 0.0" xfId="2040"/>
    <cellStyle name="Currency 0.0%" xfId="2041"/>
    <cellStyle name="Currency 0.0_05-12  KH trung han 2016-2020 - Liem Thinh edited" xfId="2042"/>
    <cellStyle name="Currency 0.00" xfId="2043"/>
    <cellStyle name="Currency 0.00%" xfId="2044"/>
    <cellStyle name="Currency 0.00_05-12  KH trung han 2016-2020 - Liem Thinh edited" xfId="2045"/>
    <cellStyle name="Currency 0.000" xfId="2046"/>
    <cellStyle name="Currency 0.000%" xfId="2047"/>
    <cellStyle name="Currency 0.000_05-12  KH trung han 2016-2020 - Liem Thinh edited" xfId="2048"/>
    <cellStyle name="Currency 2" xfId="2049"/>
    <cellStyle name="Currency 2 10" xfId="2050"/>
    <cellStyle name="Currency 2 11" xfId="2051"/>
    <cellStyle name="Currency 2 12" xfId="2052"/>
    <cellStyle name="Currency 2 13" xfId="2053"/>
    <cellStyle name="Currency 2 14" xfId="2054"/>
    <cellStyle name="Currency 2 15" xfId="2055"/>
    <cellStyle name="Currency 2 16" xfId="2056"/>
    <cellStyle name="Currency 2 2" xfId="2057"/>
    <cellStyle name="Currency 2 3" xfId="2058"/>
    <cellStyle name="Currency 2 4" xfId="2059"/>
    <cellStyle name="Currency 2 5" xfId="2060"/>
    <cellStyle name="Currency 2 6" xfId="2061"/>
    <cellStyle name="Currency 2 7" xfId="2062"/>
    <cellStyle name="Currency 2 8" xfId="2063"/>
    <cellStyle name="Currency 2 9" xfId="2064"/>
    <cellStyle name="Currency![0]_FCSt (2)" xfId="2065"/>
    <cellStyle name="Currency0" xfId="2066"/>
    <cellStyle name="Currency0 10" xfId="2067"/>
    <cellStyle name="Currency0 11" xfId="2068"/>
    <cellStyle name="Currency0 12" xfId="2069"/>
    <cellStyle name="Currency0 13" xfId="2070"/>
    <cellStyle name="Currency0 14" xfId="2071"/>
    <cellStyle name="Currency0 15" xfId="2072"/>
    <cellStyle name="Currency0 16" xfId="2073"/>
    <cellStyle name="Currency0 2" xfId="2074"/>
    <cellStyle name="Currency0 2 2" xfId="2075"/>
    <cellStyle name="Currency0 3" xfId="2076"/>
    <cellStyle name="Currency0 4" xfId="2077"/>
    <cellStyle name="Currency0 5" xfId="2078"/>
    <cellStyle name="Currency0 6" xfId="2079"/>
    <cellStyle name="Currency0 7" xfId="2080"/>
    <cellStyle name="Currency0 8" xfId="2081"/>
    <cellStyle name="Currency0 9" xfId="2082"/>
    <cellStyle name="Currency1" xfId="2083"/>
    <cellStyle name="Currency1 10" xfId="2084"/>
    <cellStyle name="Currency1 11" xfId="2085"/>
    <cellStyle name="Currency1 12" xfId="2086"/>
    <cellStyle name="Currency1 13" xfId="2087"/>
    <cellStyle name="Currency1 14" xfId="2088"/>
    <cellStyle name="Currency1 15" xfId="2089"/>
    <cellStyle name="Currency1 16" xfId="2090"/>
    <cellStyle name="Currency1 2" xfId="2091"/>
    <cellStyle name="Currency1 2 2" xfId="2092"/>
    <cellStyle name="Currency1 3" xfId="2093"/>
    <cellStyle name="Currency1 4" xfId="2094"/>
    <cellStyle name="Currency1 5" xfId="2095"/>
    <cellStyle name="Currency1 6" xfId="2096"/>
    <cellStyle name="Currency1 7" xfId="2097"/>
    <cellStyle name="Currency1 8" xfId="2098"/>
    <cellStyle name="Currency1 9" xfId="2099"/>
    <cellStyle name="D1" xfId="2100"/>
    <cellStyle name="Date" xfId="2101"/>
    <cellStyle name="Date 10" xfId="2102"/>
    <cellStyle name="Date 11" xfId="2103"/>
    <cellStyle name="Date 12" xfId="2104"/>
    <cellStyle name="Date 13" xfId="2105"/>
    <cellStyle name="Date 14" xfId="2106"/>
    <cellStyle name="Date 15" xfId="2107"/>
    <cellStyle name="Date 16" xfId="2108"/>
    <cellStyle name="Date 2" xfId="2109"/>
    <cellStyle name="Date 2 2" xfId="2110"/>
    <cellStyle name="Date 3" xfId="2111"/>
    <cellStyle name="Date 4" xfId="2112"/>
    <cellStyle name="Date 5" xfId="2113"/>
    <cellStyle name="Date 6" xfId="2114"/>
    <cellStyle name="Date 7" xfId="2115"/>
    <cellStyle name="Date 8" xfId="2116"/>
    <cellStyle name="Date 9" xfId="2117"/>
    <cellStyle name="Date Short" xfId="2118"/>
    <cellStyle name="Date Short 2" xfId="2119"/>
    <cellStyle name="Date_Book1" xfId="2120"/>
    <cellStyle name="Đầu ra" xfId="2121"/>
    <cellStyle name="Đầu ra 10" xfId="2122"/>
    <cellStyle name="Đầu ra 11" xfId="2123"/>
    <cellStyle name="Đầu ra 12" xfId="2124"/>
    <cellStyle name="Đầu ra 13" xfId="2125"/>
    <cellStyle name="Đầu ra 14" xfId="2126"/>
    <cellStyle name="Đầu ra 15" xfId="2127"/>
    <cellStyle name="Đầu ra 16" xfId="2128"/>
    <cellStyle name="Đầu ra 17" xfId="2129"/>
    <cellStyle name="Đầu ra 18" xfId="2130"/>
    <cellStyle name="Đầu ra 19" xfId="2131"/>
    <cellStyle name="Đầu ra 2" xfId="2132"/>
    <cellStyle name="Đầu ra 20" xfId="2133"/>
    <cellStyle name="Đầu ra 21" xfId="2134"/>
    <cellStyle name="Đầu ra 22" xfId="2135"/>
    <cellStyle name="Đầu ra 23" xfId="2136"/>
    <cellStyle name="Đầu ra 24" xfId="2137"/>
    <cellStyle name="Đầu ra 25" xfId="2138"/>
    <cellStyle name="Đầu ra 26" xfId="2139"/>
    <cellStyle name="Đầu ra 27" xfId="2140"/>
    <cellStyle name="Đầu ra 28" xfId="2141"/>
    <cellStyle name="Đầu ra 29" xfId="2142"/>
    <cellStyle name="Đầu ra 3" xfId="2143"/>
    <cellStyle name="Đầu ra 4" xfId="2144"/>
    <cellStyle name="Đầu ra 5" xfId="2145"/>
    <cellStyle name="Đầu ra 6" xfId="2146"/>
    <cellStyle name="Đầu ra 7" xfId="2147"/>
    <cellStyle name="Đầu ra 8" xfId="2148"/>
    <cellStyle name="Đầu ra 9" xfId="2149"/>
    <cellStyle name="Đầu vào" xfId="2150"/>
    <cellStyle name="Đầu vào 10" xfId="2151"/>
    <cellStyle name="Đầu vào 11" xfId="2152"/>
    <cellStyle name="Đầu vào 12" xfId="2153"/>
    <cellStyle name="Đầu vào 13" xfId="2154"/>
    <cellStyle name="Đầu vào 14" xfId="2155"/>
    <cellStyle name="Đầu vào 15" xfId="2156"/>
    <cellStyle name="Đầu vào 16" xfId="2157"/>
    <cellStyle name="Đầu vào 17" xfId="2158"/>
    <cellStyle name="Đầu vào 18" xfId="2159"/>
    <cellStyle name="Đầu vào 19" xfId="2160"/>
    <cellStyle name="Đầu vào 2" xfId="2161"/>
    <cellStyle name="Đầu vào 20" xfId="2162"/>
    <cellStyle name="Đầu vào 3" xfId="2163"/>
    <cellStyle name="Đầu vào 4" xfId="2164"/>
    <cellStyle name="Đầu vào 5" xfId="2165"/>
    <cellStyle name="Đầu vào 6" xfId="2166"/>
    <cellStyle name="Đầu vào 7" xfId="2167"/>
    <cellStyle name="Đầu vào 8" xfId="2168"/>
    <cellStyle name="Đầu vào 9" xfId="2169"/>
    <cellStyle name="Dấu_phảy 2" xfId="2170"/>
    <cellStyle name="DAUDE" xfId="2171"/>
    <cellStyle name="Đề mục 1" xfId="2172"/>
    <cellStyle name="Đề mục 2" xfId="2173"/>
    <cellStyle name="Đề mục 3" xfId="2174"/>
    <cellStyle name="Đề mục 4" xfId="2175"/>
    <cellStyle name="Debit" xfId="2176"/>
    <cellStyle name="Debit subtotal" xfId="2177"/>
    <cellStyle name="Debit Total" xfId="2178"/>
    <cellStyle name="DELTA" xfId="2179"/>
    <cellStyle name="DELTA 10" xfId="2180"/>
    <cellStyle name="DELTA 11" xfId="2181"/>
    <cellStyle name="DELTA 12" xfId="2182"/>
    <cellStyle name="DELTA 13" xfId="2183"/>
    <cellStyle name="DELTA 14" xfId="2184"/>
    <cellStyle name="DELTA 15" xfId="2185"/>
    <cellStyle name="DELTA 2" xfId="2186"/>
    <cellStyle name="DELTA 3" xfId="2187"/>
    <cellStyle name="DELTA 4" xfId="2188"/>
    <cellStyle name="DELTA 5" xfId="2189"/>
    <cellStyle name="DELTA 6" xfId="2190"/>
    <cellStyle name="DELTA 7" xfId="2191"/>
    <cellStyle name="DELTA 8" xfId="2192"/>
    <cellStyle name="DELTA 9" xfId="2193"/>
    <cellStyle name="Dezimal [0]_35ERI8T2gbIEMixb4v26icuOo" xfId="2194"/>
    <cellStyle name="Dezimal_35ERI8T2gbIEMixb4v26icuOo" xfId="2195"/>
    <cellStyle name="Dg" xfId="2196"/>
    <cellStyle name="Dgia" xfId="2197"/>
    <cellStyle name="Dgia 2" xfId="2198"/>
    <cellStyle name="Dollar (zero dec)" xfId="2199"/>
    <cellStyle name="Dollar (zero dec) 10" xfId="2200"/>
    <cellStyle name="Dollar (zero dec) 11" xfId="2201"/>
    <cellStyle name="Dollar (zero dec) 12" xfId="2202"/>
    <cellStyle name="Dollar (zero dec) 13" xfId="2203"/>
    <cellStyle name="Dollar (zero dec) 14" xfId="2204"/>
    <cellStyle name="Dollar (zero dec) 15" xfId="2205"/>
    <cellStyle name="Dollar (zero dec) 16" xfId="2206"/>
    <cellStyle name="Dollar (zero dec) 2" xfId="2207"/>
    <cellStyle name="Dollar (zero dec) 2 2" xfId="2208"/>
    <cellStyle name="Dollar (zero dec) 3" xfId="2209"/>
    <cellStyle name="Dollar (zero dec) 4" xfId="2210"/>
    <cellStyle name="Dollar (zero dec) 5" xfId="2211"/>
    <cellStyle name="Dollar (zero dec) 6" xfId="2212"/>
    <cellStyle name="Dollar (zero dec) 7" xfId="2213"/>
    <cellStyle name="Dollar (zero dec) 8" xfId="2214"/>
    <cellStyle name="Dollar (zero dec) 9" xfId="2215"/>
    <cellStyle name="Don gia" xfId="2216"/>
    <cellStyle name="Dziesi?tny [0]_Invoices2001Slovakia" xfId="2217"/>
    <cellStyle name="Dziesi?tny_Invoices2001Slovakia" xfId="2218"/>
    <cellStyle name="Dziesietny [0]_Invoices2001Slovakia" xfId="2219"/>
    <cellStyle name="Dziesiętny [0]_Invoices2001Slovakia" xfId="2220"/>
    <cellStyle name="Dziesietny [0]_Invoices2001Slovakia 2" xfId="2221"/>
    <cellStyle name="Dziesiętny [0]_Invoices2001Slovakia 2" xfId="2222"/>
    <cellStyle name="Dziesietny [0]_Invoices2001Slovakia 3" xfId="2223"/>
    <cellStyle name="Dziesiętny [0]_Invoices2001Slovakia 3" xfId="2224"/>
    <cellStyle name="Dziesietny [0]_Invoices2001Slovakia 4" xfId="2225"/>
    <cellStyle name="Dziesiętny [0]_Invoices2001Slovakia 4" xfId="2226"/>
    <cellStyle name="Dziesietny [0]_Invoices2001Slovakia 5" xfId="2227"/>
    <cellStyle name="Dziesiętny [0]_Invoices2001Slovakia 5" xfId="2228"/>
    <cellStyle name="Dziesietny [0]_Invoices2001Slovakia 6" xfId="2229"/>
    <cellStyle name="Dziesiętny [0]_Invoices2001Slovakia 6" xfId="2230"/>
    <cellStyle name="Dziesietny [0]_Invoices2001Slovakia 7" xfId="2231"/>
    <cellStyle name="Dziesiętny [0]_Invoices2001Slovakia 7" xfId="2232"/>
    <cellStyle name="Dziesietny [0]_Invoices2001Slovakia_01_Nha so 1_Dien" xfId="2233"/>
    <cellStyle name="Dziesiętny [0]_Invoices2001Slovakia_01_Nha so 1_Dien" xfId="2234"/>
    <cellStyle name="Dziesietny [0]_Invoices2001Slovakia_05-12  KH trung han 2016-2020 - Liem Thinh edited" xfId="2235"/>
    <cellStyle name="Dziesiętny [0]_Invoices2001Slovakia_05-12  KH trung han 2016-2020 - Liem Thinh edited" xfId="2236"/>
    <cellStyle name="Dziesietny [0]_Invoices2001Slovakia_10_Nha so 10_Dien1" xfId="2237"/>
    <cellStyle name="Dziesiętny [0]_Invoices2001Slovakia_10_Nha so 10_Dien1" xfId="2238"/>
    <cellStyle name="Dziesietny [0]_Invoices2001Slovakia_Book1" xfId="2239"/>
    <cellStyle name="Dziesiętny [0]_Invoices2001Slovakia_Book1" xfId="2240"/>
    <cellStyle name="Dziesietny [0]_Invoices2001Slovakia_Book1_1" xfId="2241"/>
    <cellStyle name="Dziesiętny [0]_Invoices2001Slovakia_Book1_1" xfId="2242"/>
    <cellStyle name="Dziesietny [0]_Invoices2001Slovakia_Book1_1_Book1" xfId="2243"/>
    <cellStyle name="Dziesiętny [0]_Invoices2001Slovakia_Book1_1_Book1" xfId="2244"/>
    <cellStyle name="Dziesietny [0]_Invoices2001Slovakia_Book1_2" xfId="2245"/>
    <cellStyle name="Dziesiętny [0]_Invoices2001Slovakia_Book1_2" xfId="2246"/>
    <cellStyle name="Dziesietny [0]_Invoices2001Slovakia_Book1_Nhu cau von ung truoc 2011 Tha h Hoa + Nge An gui TW" xfId="2247"/>
    <cellStyle name="Dziesiętny [0]_Invoices2001Slovakia_Book1_Nhu cau von ung truoc 2011 Tha h Hoa + Nge An gui TW" xfId="2248"/>
    <cellStyle name="Dziesietny [0]_Invoices2001Slovakia_Book1_Tong hop Cac tuyen(9-1-06)" xfId="2249"/>
    <cellStyle name="Dziesiętny [0]_Invoices2001Slovakia_Book1_Tong hop Cac tuyen(9-1-06)" xfId="2250"/>
    <cellStyle name="Dziesietny [0]_Invoices2001Slovakia_Book1_ung truoc 2011 NSTW Thanh Hoa + Nge An gui Thu 12-5" xfId="2251"/>
    <cellStyle name="Dziesiętny [0]_Invoices2001Slovakia_Book1_ung truoc 2011 NSTW Thanh Hoa + Nge An gui Thu 12-5" xfId="2252"/>
    <cellStyle name="Dziesietny [0]_Invoices2001Slovakia_Copy of 05-12  KH trung han 2016-2020 - Liem Thinh edited (1)" xfId="2253"/>
    <cellStyle name="Dziesiętny [0]_Invoices2001Slovakia_Copy of 05-12  KH trung han 2016-2020 - Liem Thinh edited (1)" xfId="2254"/>
    <cellStyle name="Dziesietny [0]_Invoices2001Slovakia_d-uong+TDT" xfId="2255"/>
    <cellStyle name="Dziesiętny [0]_Invoices2001Slovakia_KH TPCP 2016-2020 (tong hop)" xfId="2256"/>
    <cellStyle name="Dziesietny [0]_Invoices2001Slovakia_Nha bao ve(28-7-05)" xfId="2257"/>
    <cellStyle name="Dziesiętny [0]_Invoices2001Slovakia_Nha bao ve(28-7-05)" xfId="2258"/>
    <cellStyle name="Dziesietny [0]_Invoices2001Slovakia_NHA de xe nguyen du" xfId="2259"/>
    <cellStyle name="Dziesiętny [0]_Invoices2001Slovakia_NHA de xe nguyen du" xfId="2260"/>
    <cellStyle name="Dziesietny [0]_Invoices2001Slovakia_Nhalamviec VTC(25-1-05)" xfId="2261"/>
    <cellStyle name="Dziesiętny [0]_Invoices2001Slovakia_Nhalamviec VTC(25-1-05)" xfId="2262"/>
    <cellStyle name="Dziesietny [0]_Invoices2001Slovakia_Nhu cau von ung truoc 2011 Tha h Hoa + Nge An gui TW" xfId="2263"/>
    <cellStyle name="Dziesiętny [0]_Invoices2001Slovakia_TDT KHANH HOA" xfId="2264"/>
    <cellStyle name="Dziesietny [0]_Invoices2001Slovakia_TDT KHANH HOA_Tong hop Cac tuyen(9-1-06)" xfId="2265"/>
    <cellStyle name="Dziesiętny [0]_Invoices2001Slovakia_TDT KHANH HOA_Tong hop Cac tuyen(9-1-06)" xfId="2266"/>
    <cellStyle name="Dziesietny [0]_Invoices2001Slovakia_TDT quangngai" xfId="2267"/>
    <cellStyle name="Dziesiętny [0]_Invoices2001Slovakia_TDT quangngai" xfId="2268"/>
    <cellStyle name="Dziesietny [0]_Invoices2001Slovakia_TMDT(10-5-06)" xfId="2269"/>
    <cellStyle name="Dziesietny_Invoices2001Slovakia" xfId="2270"/>
    <cellStyle name="Dziesiętny_Invoices2001Slovakia" xfId="2271"/>
    <cellStyle name="Dziesietny_Invoices2001Slovakia 2" xfId="2272"/>
    <cellStyle name="Dziesiętny_Invoices2001Slovakia 2" xfId="2273"/>
    <cellStyle name="Dziesietny_Invoices2001Slovakia 3" xfId="2274"/>
    <cellStyle name="Dziesiętny_Invoices2001Slovakia 3" xfId="2275"/>
    <cellStyle name="Dziesietny_Invoices2001Slovakia 4" xfId="2276"/>
    <cellStyle name="Dziesiętny_Invoices2001Slovakia 4" xfId="2277"/>
    <cellStyle name="Dziesietny_Invoices2001Slovakia 5" xfId="2278"/>
    <cellStyle name="Dziesiętny_Invoices2001Slovakia 5" xfId="2279"/>
    <cellStyle name="Dziesietny_Invoices2001Slovakia 6" xfId="2280"/>
    <cellStyle name="Dziesiętny_Invoices2001Slovakia 6" xfId="2281"/>
    <cellStyle name="Dziesietny_Invoices2001Slovakia 7" xfId="2282"/>
    <cellStyle name="Dziesiętny_Invoices2001Slovakia 7" xfId="2283"/>
    <cellStyle name="Dziesietny_Invoices2001Slovakia_01_Nha so 1_Dien" xfId="2284"/>
    <cellStyle name="Dziesiętny_Invoices2001Slovakia_01_Nha so 1_Dien" xfId="2285"/>
    <cellStyle name="Dziesietny_Invoices2001Slovakia_05-12  KH trung han 2016-2020 - Liem Thinh edited" xfId="2286"/>
    <cellStyle name="Dziesiętny_Invoices2001Slovakia_05-12  KH trung han 2016-2020 - Liem Thinh edited" xfId="2287"/>
    <cellStyle name="Dziesietny_Invoices2001Slovakia_10_Nha so 10_Dien1" xfId="2288"/>
    <cellStyle name="Dziesiętny_Invoices2001Slovakia_10_Nha so 10_Dien1" xfId="2289"/>
    <cellStyle name="Dziesietny_Invoices2001Slovakia_Book1" xfId="2290"/>
    <cellStyle name="Dziesiętny_Invoices2001Slovakia_Book1" xfId="2291"/>
    <cellStyle name="Dziesietny_Invoices2001Slovakia_Book1_1" xfId="2292"/>
    <cellStyle name="Dziesiętny_Invoices2001Slovakia_Book1_1" xfId="2293"/>
    <cellStyle name="Dziesietny_Invoices2001Slovakia_Book1_1_Book1" xfId="2294"/>
    <cellStyle name="Dziesiętny_Invoices2001Slovakia_Book1_1_Book1" xfId="2295"/>
    <cellStyle name="Dziesietny_Invoices2001Slovakia_Book1_2" xfId="2296"/>
    <cellStyle name="Dziesiętny_Invoices2001Slovakia_Book1_2" xfId="2297"/>
    <cellStyle name="Dziesietny_Invoices2001Slovakia_Book1_Nhu cau von ung truoc 2011 Tha h Hoa + Nge An gui TW" xfId="2298"/>
    <cellStyle name="Dziesiętny_Invoices2001Slovakia_Book1_Nhu cau von ung truoc 2011 Tha h Hoa + Nge An gui TW" xfId="2299"/>
    <cellStyle name="Dziesietny_Invoices2001Slovakia_Book1_Tong hop Cac tuyen(9-1-06)" xfId="2300"/>
    <cellStyle name="Dziesiętny_Invoices2001Slovakia_Book1_Tong hop Cac tuyen(9-1-06)" xfId="2301"/>
    <cellStyle name="Dziesietny_Invoices2001Slovakia_Book1_ung truoc 2011 NSTW Thanh Hoa + Nge An gui Thu 12-5" xfId="2302"/>
    <cellStyle name="Dziesiętny_Invoices2001Slovakia_Book1_ung truoc 2011 NSTW Thanh Hoa + Nge An gui Thu 12-5" xfId="2303"/>
    <cellStyle name="Dziesietny_Invoices2001Slovakia_Copy of 05-12  KH trung han 2016-2020 - Liem Thinh edited (1)" xfId="2304"/>
    <cellStyle name="Dziesiętny_Invoices2001Slovakia_Copy of 05-12  KH trung han 2016-2020 - Liem Thinh edited (1)" xfId="2305"/>
    <cellStyle name="Dziesietny_Invoices2001Slovakia_d-uong+TDT" xfId="2306"/>
    <cellStyle name="Dziesiętny_Invoices2001Slovakia_KH TPCP 2016-2020 (tong hop)" xfId="2307"/>
    <cellStyle name="Dziesietny_Invoices2001Slovakia_Nha bao ve(28-7-05)" xfId="2308"/>
    <cellStyle name="Dziesiętny_Invoices2001Slovakia_Nha bao ve(28-7-05)" xfId="2309"/>
    <cellStyle name="Dziesietny_Invoices2001Slovakia_NHA de xe nguyen du" xfId="2310"/>
    <cellStyle name="Dziesiętny_Invoices2001Slovakia_NHA de xe nguyen du" xfId="2311"/>
    <cellStyle name="Dziesietny_Invoices2001Slovakia_Nhalamviec VTC(25-1-05)" xfId="2312"/>
    <cellStyle name="Dziesiętny_Invoices2001Slovakia_Nhalamviec VTC(25-1-05)" xfId="2313"/>
    <cellStyle name="Dziesietny_Invoices2001Slovakia_Nhu cau von ung truoc 2011 Tha h Hoa + Nge An gui TW" xfId="2314"/>
    <cellStyle name="Dziesiętny_Invoices2001Slovakia_TDT KHANH HOA" xfId="2315"/>
    <cellStyle name="Dziesietny_Invoices2001Slovakia_TDT KHANH HOA_Tong hop Cac tuyen(9-1-06)" xfId="2316"/>
    <cellStyle name="Dziesiętny_Invoices2001Slovakia_TDT KHANH HOA_Tong hop Cac tuyen(9-1-06)" xfId="2317"/>
    <cellStyle name="Dziesietny_Invoices2001Slovakia_TDT quangngai" xfId="2318"/>
    <cellStyle name="Dziesiętny_Invoices2001Slovakia_TDT quangngai" xfId="2319"/>
    <cellStyle name="Dziesietny_Invoices2001Slovakia_TMDT(10-5-06)" xfId="2320"/>
    <cellStyle name="e" xfId="2321"/>
    <cellStyle name="Enter Currency (0)" xfId="2322"/>
    <cellStyle name="Enter Currency (0) 10" xfId="2323"/>
    <cellStyle name="Enter Currency (0) 11" xfId="2324"/>
    <cellStyle name="Enter Currency (0) 12" xfId="2325"/>
    <cellStyle name="Enter Currency (0) 13" xfId="2326"/>
    <cellStyle name="Enter Currency (0) 14" xfId="2327"/>
    <cellStyle name="Enter Currency (0) 15" xfId="2328"/>
    <cellStyle name="Enter Currency (0) 16" xfId="2329"/>
    <cellStyle name="Enter Currency (0) 2" xfId="2330"/>
    <cellStyle name="Enter Currency (0) 3" xfId="2331"/>
    <cellStyle name="Enter Currency (0) 4" xfId="2332"/>
    <cellStyle name="Enter Currency (0) 5" xfId="2333"/>
    <cellStyle name="Enter Currency (0) 6" xfId="2334"/>
    <cellStyle name="Enter Currency (0) 7" xfId="2335"/>
    <cellStyle name="Enter Currency (0) 8" xfId="2336"/>
    <cellStyle name="Enter Currency (0) 9" xfId="2337"/>
    <cellStyle name="Enter Currency (2)" xfId="2338"/>
    <cellStyle name="Enter Currency (2) 10" xfId="2339"/>
    <cellStyle name="Enter Currency (2) 11" xfId="2340"/>
    <cellStyle name="Enter Currency (2) 12" xfId="2341"/>
    <cellStyle name="Enter Currency (2) 13" xfId="2342"/>
    <cellStyle name="Enter Currency (2) 14" xfId="2343"/>
    <cellStyle name="Enter Currency (2) 15" xfId="2344"/>
    <cellStyle name="Enter Currency (2) 16" xfId="2345"/>
    <cellStyle name="Enter Currency (2) 2" xfId="2346"/>
    <cellStyle name="Enter Currency (2) 3" xfId="2347"/>
    <cellStyle name="Enter Currency (2) 4" xfId="2348"/>
    <cellStyle name="Enter Currency (2) 5" xfId="2349"/>
    <cellStyle name="Enter Currency (2) 6" xfId="2350"/>
    <cellStyle name="Enter Currency (2) 7" xfId="2351"/>
    <cellStyle name="Enter Currency (2) 8" xfId="2352"/>
    <cellStyle name="Enter Currency (2) 9" xfId="2353"/>
    <cellStyle name="Enter Units (0)" xfId="2354"/>
    <cellStyle name="Enter Units (0) 10" xfId="2355"/>
    <cellStyle name="Enter Units (0) 11" xfId="2356"/>
    <cellStyle name="Enter Units (0) 12" xfId="2357"/>
    <cellStyle name="Enter Units (0) 13" xfId="2358"/>
    <cellStyle name="Enter Units (0) 14" xfId="2359"/>
    <cellStyle name="Enter Units (0) 15" xfId="2360"/>
    <cellStyle name="Enter Units (0) 16" xfId="2361"/>
    <cellStyle name="Enter Units (0) 2" xfId="2362"/>
    <cellStyle name="Enter Units (0) 3" xfId="2363"/>
    <cellStyle name="Enter Units (0) 4" xfId="2364"/>
    <cellStyle name="Enter Units (0) 5" xfId="2365"/>
    <cellStyle name="Enter Units (0) 6" xfId="2366"/>
    <cellStyle name="Enter Units (0) 7" xfId="2367"/>
    <cellStyle name="Enter Units (0) 8" xfId="2368"/>
    <cellStyle name="Enter Units (0) 9" xfId="2369"/>
    <cellStyle name="Enter Units (1)" xfId="2370"/>
    <cellStyle name="Enter Units (1) 10" xfId="2371"/>
    <cellStyle name="Enter Units (1) 11" xfId="2372"/>
    <cellStyle name="Enter Units (1) 12" xfId="2373"/>
    <cellStyle name="Enter Units (1) 13" xfId="2374"/>
    <cellStyle name="Enter Units (1) 14" xfId="2375"/>
    <cellStyle name="Enter Units (1) 15" xfId="2376"/>
    <cellStyle name="Enter Units (1) 16" xfId="2377"/>
    <cellStyle name="Enter Units (1) 2" xfId="2378"/>
    <cellStyle name="Enter Units (1) 3" xfId="2379"/>
    <cellStyle name="Enter Units (1) 4" xfId="2380"/>
    <cellStyle name="Enter Units (1) 5" xfId="2381"/>
    <cellStyle name="Enter Units (1) 6" xfId="2382"/>
    <cellStyle name="Enter Units (1) 7" xfId="2383"/>
    <cellStyle name="Enter Units (1) 8" xfId="2384"/>
    <cellStyle name="Enter Units (1) 9" xfId="2385"/>
    <cellStyle name="Enter Units (2)" xfId="2386"/>
    <cellStyle name="Enter Units (2) 10" xfId="2387"/>
    <cellStyle name="Enter Units (2) 11" xfId="2388"/>
    <cellStyle name="Enter Units (2) 12" xfId="2389"/>
    <cellStyle name="Enter Units (2) 13" xfId="2390"/>
    <cellStyle name="Enter Units (2) 14" xfId="2391"/>
    <cellStyle name="Enter Units (2) 15" xfId="2392"/>
    <cellStyle name="Enter Units (2) 16" xfId="2393"/>
    <cellStyle name="Enter Units (2) 2" xfId="2394"/>
    <cellStyle name="Enter Units (2) 3" xfId="2395"/>
    <cellStyle name="Enter Units (2) 4" xfId="2396"/>
    <cellStyle name="Enter Units (2) 5" xfId="2397"/>
    <cellStyle name="Enter Units (2) 6" xfId="2398"/>
    <cellStyle name="Enter Units (2) 7" xfId="2399"/>
    <cellStyle name="Enter Units (2) 8" xfId="2400"/>
    <cellStyle name="Enter Units (2) 9" xfId="2401"/>
    <cellStyle name="Entered" xfId="2402"/>
    <cellStyle name="Euro" xfId="2403"/>
    <cellStyle name="Euro 10" xfId="2404"/>
    <cellStyle name="Euro 11" xfId="2405"/>
    <cellStyle name="Euro 12" xfId="2406"/>
    <cellStyle name="Euro 13" xfId="2407"/>
    <cellStyle name="Euro 14" xfId="2408"/>
    <cellStyle name="Euro 15" xfId="2409"/>
    <cellStyle name="Euro 16" xfId="2410"/>
    <cellStyle name="Euro 2" xfId="2411"/>
    <cellStyle name="Euro 3" xfId="2412"/>
    <cellStyle name="Euro 4" xfId="2413"/>
    <cellStyle name="Euro 5" xfId="2414"/>
    <cellStyle name="Euro 6" xfId="2415"/>
    <cellStyle name="Euro 7" xfId="2416"/>
    <cellStyle name="Euro 8" xfId="2417"/>
    <cellStyle name="Euro 9" xfId="2418"/>
    <cellStyle name="Excel Built-in Normal" xfId="2419"/>
    <cellStyle name="Explanatory Text 2" xfId="2420"/>
    <cellStyle name="f" xfId="2421"/>
    <cellStyle name="f_Danhmuc_Quyhoach2009" xfId="2422"/>
    <cellStyle name="f_Danhmuc_Quyhoach2009 2" xfId="2423"/>
    <cellStyle name="f_Danhmuc_Quyhoach2009 2 2" xfId="2424"/>
    <cellStyle name="Fixed" xfId="2425"/>
    <cellStyle name="Fixed 10" xfId="2426"/>
    <cellStyle name="Fixed 11" xfId="2427"/>
    <cellStyle name="Fixed 12" xfId="2428"/>
    <cellStyle name="Fixed 13" xfId="2429"/>
    <cellStyle name="Fixed 14" xfId="2430"/>
    <cellStyle name="Fixed 15" xfId="2431"/>
    <cellStyle name="Fixed 16" xfId="2432"/>
    <cellStyle name="Fixed 2" xfId="2433"/>
    <cellStyle name="Fixed 2 2" xfId="2434"/>
    <cellStyle name="Fixed 3" xfId="2435"/>
    <cellStyle name="Fixed 4" xfId="2436"/>
    <cellStyle name="Fixed 5" xfId="2437"/>
    <cellStyle name="Fixed 6" xfId="2438"/>
    <cellStyle name="Fixed 7" xfId="2439"/>
    <cellStyle name="Fixed 8" xfId="2440"/>
    <cellStyle name="Fixed 9" xfId="2441"/>
    <cellStyle name="Font Britannic16" xfId="2442"/>
    <cellStyle name="Font Britannic18" xfId="2443"/>
    <cellStyle name="Font CenturyCond 18" xfId="2444"/>
    <cellStyle name="Font Cond20" xfId="2445"/>
    <cellStyle name="Font LucidaSans16" xfId="2446"/>
    <cellStyle name="Font NewCenturyCond18" xfId="2447"/>
    <cellStyle name="Font Ottawa14" xfId="2448"/>
    <cellStyle name="Font Ottawa16" xfId="2449"/>
    <cellStyle name="Ghi chú" xfId="2450"/>
    <cellStyle name="Ghi chú 10" xfId="2451"/>
    <cellStyle name="Ghi chú 11" xfId="2452"/>
    <cellStyle name="Ghi chú 12" xfId="2453"/>
    <cellStyle name="Ghi chú 13" xfId="2454"/>
    <cellStyle name="Ghi chú 14" xfId="2455"/>
    <cellStyle name="Ghi chú 15" xfId="2456"/>
    <cellStyle name="Ghi chú 16" xfId="2457"/>
    <cellStyle name="Ghi chú 17" xfId="2458"/>
    <cellStyle name="Ghi chú 18" xfId="2459"/>
    <cellStyle name="Ghi chú 19" xfId="2460"/>
    <cellStyle name="Ghi chú 2" xfId="2461"/>
    <cellStyle name="Ghi chú 20" xfId="2462"/>
    <cellStyle name="Ghi chú 3" xfId="2463"/>
    <cellStyle name="Ghi chú 4" xfId="2464"/>
    <cellStyle name="Ghi chú 5" xfId="2465"/>
    <cellStyle name="Ghi chú 6" xfId="2466"/>
    <cellStyle name="Ghi chú 7" xfId="2467"/>
    <cellStyle name="Ghi chú 8" xfId="2468"/>
    <cellStyle name="Ghi chú 9" xfId="2469"/>
    <cellStyle name="gia" xfId="2470"/>
    <cellStyle name="Good 2" xfId="2471"/>
    <cellStyle name="Grey" xfId="2472"/>
    <cellStyle name="Grey 10" xfId="2473"/>
    <cellStyle name="Grey 11" xfId="2474"/>
    <cellStyle name="Grey 12" xfId="2475"/>
    <cellStyle name="Grey 13" xfId="2476"/>
    <cellStyle name="Grey 14" xfId="2477"/>
    <cellStyle name="Grey 15" xfId="2478"/>
    <cellStyle name="Grey 16" xfId="2479"/>
    <cellStyle name="Grey 2" xfId="2480"/>
    <cellStyle name="Grey 3" xfId="2481"/>
    <cellStyle name="Grey 4" xfId="2482"/>
    <cellStyle name="Grey 5" xfId="2483"/>
    <cellStyle name="Grey 6" xfId="2484"/>
    <cellStyle name="Grey 7" xfId="2485"/>
    <cellStyle name="Grey 8" xfId="2486"/>
    <cellStyle name="Grey 9" xfId="2487"/>
    <cellStyle name="Grey_KH TPCP 2016-2020 (tong hop)" xfId="2488"/>
    <cellStyle name="Group" xfId="2489"/>
    <cellStyle name="H" xfId="2490"/>
    <cellStyle name="ha" xfId="2491"/>
    <cellStyle name="HAI" xfId="2492"/>
    <cellStyle name="Head 1" xfId="2493"/>
    <cellStyle name="HEADER" xfId="2494"/>
    <cellStyle name="HEADER 2" xfId="2495"/>
    <cellStyle name="Header1" xfId="2496"/>
    <cellStyle name="Header1 2" xfId="2497"/>
    <cellStyle name="Header2" xfId="2498"/>
    <cellStyle name="Header2 10" xfId="2499"/>
    <cellStyle name="Header2 11" xfId="2500"/>
    <cellStyle name="Header2 12" xfId="2501"/>
    <cellStyle name="Header2 13" xfId="2502"/>
    <cellStyle name="Header2 14" xfId="2503"/>
    <cellStyle name="Header2 15" xfId="2504"/>
    <cellStyle name="Header2 2" xfId="2505"/>
    <cellStyle name="Header2 3" xfId="2506"/>
    <cellStyle name="Header2 4" xfId="2507"/>
    <cellStyle name="Header2 5" xfId="2508"/>
    <cellStyle name="Header2 6" xfId="2509"/>
    <cellStyle name="Header2 7" xfId="2510"/>
    <cellStyle name="Header2 8" xfId="2511"/>
    <cellStyle name="Header2 9" xfId="2512"/>
    <cellStyle name="Heading" xfId="2513"/>
    <cellStyle name="Heading 1 2" xfId="2514"/>
    <cellStyle name="Heading 2 2" xfId="2515"/>
    <cellStyle name="Heading 3 2" xfId="2516"/>
    <cellStyle name="Heading 4 2" xfId="2517"/>
    <cellStyle name="Heading No Underline" xfId="2518"/>
    <cellStyle name="Heading With Underline" xfId="2519"/>
    <cellStyle name="HEADING1" xfId="2520"/>
    <cellStyle name="HEADING2" xfId="2521"/>
    <cellStyle name="HEADINGS" xfId="2522"/>
    <cellStyle name="HEADINGSTOP" xfId="2523"/>
    <cellStyle name="headoption" xfId="2524"/>
    <cellStyle name="headoption 2" xfId="2525"/>
    <cellStyle name="headoption 3" xfId="2526"/>
    <cellStyle name="Hoa-Scholl" xfId="2527"/>
    <cellStyle name="Hoa-Scholl 2" xfId="2528"/>
    <cellStyle name="HUY" xfId="2529"/>
    <cellStyle name="i phÝ kh¸c_B¶ng 2" xfId="2530"/>
    <cellStyle name="I.3" xfId="2531"/>
    <cellStyle name="i·0" xfId="2532"/>
    <cellStyle name="i·0 2" xfId="2533"/>
    <cellStyle name="ï-¾È»ê_BiÓu TB" xfId="2534"/>
    <cellStyle name="Input [yellow]" xfId="2535"/>
    <cellStyle name="Input [yellow] 10" xfId="2536"/>
    <cellStyle name="Input [yellow] 11" xfId="2537"/>
    <cellStyle name="Input [yellow] 12" xfId="2538"/>
    <cellStyle name="Input [yellow] 13" xfId="2539"/>
    <cellStyle name="Input [yellow] 14" xfId="2540"/>
    <cellStyle name="Input [yellow] 15" xfId="2541"/>
    <cellStyle name="Input [yellow] 16" xfId="2542"/>
    <cellStyle name="Input [yellow] 2" xfId="2543"/>
    <cellStyle name="Input [yellow] 2 2" xfId="2544"/>
    <cellStyle name="Input [yellow] 3" xfId="2545"/>
    <cellStyle name="Input [yellow] 4" xfId="2546"/>
    <cellStyle name="Input [yellow] 5" xfId="2547"/>
    <cellStyle name="Input [yellow] 6" xfId="2548"/>
    <cellStyle name="Input [yellow] 7" xfId="2549"/>
    <cellStyle name="Input [yellow] 8" xfId="2550"/>
    <cellStyle name="Input [yellow] 9" xfId="2551"/>
    <cellStyle name="Input [yellow]_KH TPCP 2016-2020 (tong hop)" xfId="2552"/>
    <cellStyle name="Input 2" xfId="2553"/>
    <cellStyle name="Input 2 10" xfId="2554"/>
    <cellStyle name="Input 2 11" xfId="2555"/>
    <cellStyle name="Input 2 12" xfId="2556"/>
    <cellStyle name="Input 2 13" xfId="2557"/>
    <cellStyle name="Input 2 14" xfId="2558"/>
    <cellStyle name="Input 2 15" xfId="2559"/>
    <cellStyle name="Input 2 16" xfId="2560"/>
    <cellStyle name="Input 2 17" xfId="2561"/>
    <cellStyle name="Input 2 18" xfId="2562"/>
    <cellStyle name="Input 2 19" xfId="2563"/>
    <cellStyle name="Input 2 2" xfId="2564"/>
    <cellStyle name="Input 2 20" xfId="2565"/>
    <cellStyle name="Input 2 3" xfId="2566"/>
    <cellStyle name="Input 2 4" xfId="2567"/>
    <cellStyle name="Input 2 5" xfId="2568"/>
    <cellStyle name="Input 2 6" xfId="2569"/>
    <cellStyle name="Input 2 7" xfId="2570"/>
    <cellStyle name="Input 2 8" xfId="2571"/>
    <cellStyle name="Input 2 9" xfId="2572"/>
    <cellStyle name="Input 3" xfId="2573"/>
    <cellStyle name="Input 4" xfId="2574"/>
    <cellStyle name="Input 5" xfId="2575"/>
    <cellStyle name="Input 6" xfId="2576"/>
    <cellStyle name="Input 7" xfId="2577"/>
    <cellStyle name="k_TONG HOP KINH PHI" xfId="2578"/>
    <cellStyle name="k_TONG HOP KINH PHI_!1 1 bao cao giao KH ve HTCMT vung TNB   12-12-2011" xfId="2579"/>
    <cellStyle name="k_TONG HOP KINH PHI_Bieu4HTMT" xfId="2580"/>
    <cellStyle name="k_TONG HOP KINH PHI_Bieu4HTMT_!1 1 bao cao giao KH ve HTCMT vung TNB   12-12-2011" xfId="2581"/>
    <cellStyle name="k_TONG HOP KINH PHI_Bieu4HTMT_KH TPCP vung TNB (03-1-2012)" xfId="2582"/>
    <cellStyle name="k_TONG HOP KINH PHI_KH TPCP vung TNB (03-1-2012)" xfId="2583"/>
    <cellStyle name="k_ÿÿÿÿÿ" xfId="2584"/>
    <cellStyle name="k_ÿÿÿÿÿ_!1 1 bao cao giao KH ve HTCMT vung TNB   12-12-2011" xfId="2585"/>
    <cellStyle name="k_ÿÿÿÿÿ_1" xfId="2586"/>
    <cellStyle name="k_ÿÿÿÿÿ_2" xfId="2587"/>
    <cellStyle name="k_ÿÿÿÿÿ_2_!1 1 bao cao giao KH ve HTCMT vung TNB   12-12-2011" xfId="2588"/>
    <cellStyle name="k_ÿÿÿÿÿ_2_Bieu4HTMT" xfId="2589"/>
    <cellStyle name="k_ÿÿÿÿÿ_2_Bieu4HTMT_!1 1 bao cao giao KH ve HTCMT vung TNB   12-12-2011" xfId="2590"/>
    <cellStyle name="k_ÿÿÿÿÿ_2_Bieu4HTMT_KH TPCP vung TNB (03-1-2012)" xfId="2591"/>
    <cellStyle name="k_ÿÿÿÿÿ_2_KH TPCP vung TNB (03-1-2012)" xfId="2592"/>
    <cellStyle name="k_ÿÿÿÿÿ_Bieu4HTMT" xfId="2593"/>
    <cellStyle name="k_ÿÿÿÿÿ_Bieu4HTMT_!1 1 bao cao giao KH ve HTCMT vung TNB   12-12-2011" xfId="2594"/>
    <cellStyle name="k_ÿÿÿÿÿ_Bieu4HTMT_KH TPCP vung TNB (03-1-2012)" xfId="2595"/>
    <cellStyle name="k_ÿÿÿÿÿ_KH TPCP vung TNB (03-1-2012)" xfId="2596"/>
    <cellStyle name="kh¸c_Bang Chi tieu" xfId="2597"/>
    <cellStyle name="khanh" xfId="2598"/>
    <cellStyle name="khung" xfId="2599"/>
    <cellStyle name="Kiểm tra Ô" xfId="2600"/>
    <cellStyle name="Ledger 17 x 11 in" xfId="2601"/>
    <cellStyle name="Ledger 17 x 11 in 2" xfId="2602"/>
    <cellStyle name="Ledger 17 x 11 in 3" xfId="2603"/>
    <cellStyle name="left" xfId="2604"/>
    <cellStyle name="Line" xfId="2605"/>
    <cellStyle name="Link Currency (0)" xfId="2606"/>
    <cellStyle name="Link Currency (0) 10" xfId="2607"/>
    <cellStyle name="Link Currency (0) 11" xfId="2608"/>
    <cellStyle name="Link Currency (0) 12" xfId="2609"/>
    <cellStyle name="Link Currency (0) 13" xfId="2610"/>
    <cellStyle name="Link Currency (0) 14" xfId="2611"/>
    <cellStyle name="Link Currency (0) 15" xfId="2612"/>
    <cellStyle name="Link Currency (0) 16" xfId="2613"/>
    <cellStyle name="Link Currency (0) 2" xfId="2614"/>
    <cellStyle name="Link Currency (0) 3" xfId="2615"/>
    <cellStyle name="Link Currency (0) 4" xfId="2616"/>
    <cellStyle name="Link Currency (0) 5" xfId="2617"/>
    <cellStyle name="Link Currency (0) 6" xfId="2618"/>
    <cellStyle name="Link Currency (0) 7" xfId="2619"/>
    <cellStyle name="Link Currency (0) 8" xfId="2620"/>
    <cellStyle name="Link Currency (0) 9" xfId="2621"/>
    <cellStyle name="Link Currency (2)" xfId="2622"/>
    <cellStyle name="Link Currency (2) 10" xfId="2623"/>
    <cellStyle name="Link Currency (2) 11" xfId="2624"/>
    <cellStyle name="Link Currency (2) 12" xfId="2625"/>
    <cellStyle name="Link Currency (2) 13" xfId="2626"/>
    <cellStyle name="Link Currency (2) 14" xfId="2627"/>
    <cellStyle name="Link Currency (2) 15" xfId="2628"/>
    <cellStyle name="Link Currency (2) 16" xfId="2629"/>
    <cellStyle name="Link Currency (2) 2" xfId="2630"/>
    <cellStyle name="Link Currency (2) 3" xfId="2631"/>
    <cellStyle name="Link Currency (2) 4" xfId="2632"/>
    <cellStyle name="Link Currency (2) 5" xfId="2633"/>
    <cellStyle name="Link Currency (2) 6" xfId="2634"/>
    <cellStyle name="Link Currency (2) 7" xfId="2635"/>
    <cellStyle name="Link Currency (2) 8" xfId="2636"/>
    <cellStyle name="Link Currency (2) 9" xfId="2637"/>
    <cellStyle name="Link Units (0)" xfId="2638"/>
    <cellStyle name="Link Units (0) 10" xfId="2639"/>
    <cellStyle name="Link Units (0) 11" xfId="2640"/>
    <cellStyle name="Link Units (0) 12" xfId="2641"/>
    <cellStyle name="Link Units (0) 13" xfId="2642"/>
    <cellStyle name="Link Units (0) 14" xfId="2643"/>
    <cellStyle name="Link Units (0) 15" xfId="2644"/>
    <cellStyle name="Link Units (0) 16" xfId="2645"/>
    <cellStyle name="Link Units (0) 2" xfId="2646"/>
    <cellStyle name="Link Units (0) 3" xfId="2647"/>
    <cellStyle name="Link Units (0) 4" xfId="2648"/>
    <cellStyle name="Link Units (0) 5" xfId="2649"/>
    <cellStyle name="Link Units (0) 6" xfId="2650"/>
    <cellStyle name="Link Units (0) 7" xfId="2651"/>
    <cellStyle name="Link Units (0) 8" xfId="2652"/>
    <cellStyle name="Link Units (0) 9" xfId="2653"/>
    <cellStyle name="Link Units (1)" xfId="2654"/>
    <cellStyle name="Link Units (1) 10" xfId="2655"/>
    <cellStyle name="Link Units (1) 11" xfId="2656"/>
    <cellStyle name="Link Units (1) 12" xfId="2657"/>
    <cellStyle name="Link Units (1) 13" xfId="2658"/>
    <cellStyle name="Link Units (1) 14" xfId="2659"/>
    <cellStyle name="Link Units (1) 15" xfId="2660"/>
    <cellStyle name="Link Units (1) 16" xfId="2661"/>
    <cellStyle name="Link Units (1) 2" xfId="2662"/>
    <cellStyle name="Link Units (1) 3" xfId="2663"/>
    <cellStyle name="Link Units (1) 4" xfId="2664"/>
    <cellStyle name="Link Units (1) 5" xfId="2665"/>
    <cellStyle name="Link Units (1) 6" xfId="2666"/>
    <cellStyle name="Link Units (1) 7" xfId="2667"/>
    <cellStyle name="Link Units (1) 8" xfId="2668"/>
    <cellStyle name="Link Units (1) 9" xfId="2669"/>
    <cellStyle name="Link Units (2)" xfId="2670"/>
    <cellStyle name="Link Units (2) 10" xfId="2671"/>
    <cellStyle name="Link Units (2) 11" xfId="2672"/>
    <cellStyle name="Link Units (2) 12" xfId="2673"/>
    <cellStyle name="Link Units (2) 13" xfId="2674"/>
    <cellStyle name="Link Units (2) 14" xfId="2675"/>
    <cellStyle name="Link Units (2) 15" xfId="2676"/>
    <cellStyle name="Link Units (2) 16" xfId="2677"/>
    <cellStyle name="Link Units (2) 2" xfId="2678"/>
    <cellStyle name="Link Units (2) 3" xfId="2679"/>
    <cellStyle name="Link Units (2) 4" xfId="2680"/>
    <cellStyle name="Link Units (2) 5" xfId="2681"/>
    <cellStyle name="Link Units (2) 6" xfId="2682"/>
    <cellStyle name="Link Units (2) 7" xfId="2683"/>
    <cellStyle name="Link Units (2) 8" xfId="2684"/>
    <cellStyle name="Link Units (2) 9" xfId="2685"/>
    <cellStyle name="Linked Cell 2" xfId="2686"/>
    <cellStyle name="Loai CBDT" xfId="2687"/>
    <cellStyle name="Loai CT" xfId="2688"/>
    <cellStyle name="Loai GD" xfId="2689"/>
    <cellStyle name="MAU" xfId="2690"/>
    <cellStyle name="MAU 2" xfId="2691"/>
    <cellStyle name="Migliaia (0)_CALPREZZ" xfId="2692"/>
    <cellStyle name="Migliaia_ PESO ELETTR." xfId="2693"/>
    <cellStyle name="Millares [0]_Well Timing" xfId="2694"/>
    <cellStyle name="Millares_Well Timing" xfId="2695"/>
    <cellStyle name="Milliers [0]_      " xfId="2696"/>
    <cellStyle name="Milliers_      " xfId="2697"/>
    <cellStyle name="Model" xfId="2698"/>
    <cellStyle name="Model 2" xfId="2699"/>
    <cellStyle name="moi" xfId="2700"/>
    <cellStyle name="moi 2" xfId="2701"/>
    <cellStyle name="moi 3" xfId="2702"/>
    <cellStyle name="Moneda [0]_Well Timing" xfId="2703"/>
    <cellStyle name="Moneda_Well Timing" xfId="2704"/>
    <cellStyle name="Monétaire [0]_      " xfId="2705"/>
    <cellStyle name="Monétaire_      " xfId="2706"/>
    <cellStyle name="n" xfId="2707"/>
    <cellStyle name="Neutral 2" xfId="2708"/>
    <cellStyle name="New" xfId="2709"/>
    <cellStyle name="New Times Roman" xfId="2710"/>
    <cellStyle name="nga" xfId="2711"/>
    <cellStyle name="Nhấn1" xfId="2712"/>
    <cellStyle name="Nhấn2" xfId="2713"/>
    <cellStyle name="Nhấn3" xfId="2714"/>
    <cellStyle name="Nhấn4" xfId="2715"/>
    <cellStyle name="Nhấn5" xfId="2716"/>
    <cellStyle name="Nhấn6" xfId="2717"/>
    <cellStyle name="no dec" xfId="2718"/>
    <cellStyle name="no dec 2" xfId="2719"/>
    <cellStyle name="no dec 2 2" xfId="2720"/>
    <cellStyle name="ÑONVÒ" xfId="2721"/>
    <cellStyle name="ÑONVÒ 2" xfId="2722"/>
    <cellStyle name="Normal" xfId="0" builtinId="0"/>
    <cellStyle name="Normal - Style1" xfId="2723"/>
    <cellStyle name="Normal - Style1 2" xfId="2724"/>
    <cellStyle name="Normal - Style1 3" xfId="2725"/>
    <cellStyle name="Normal - Style1_KH TPCP 2016-2020 (tong hop)" xfId="2726"/>
    <cellStyle name="Normal - 유형1" xfId="2727"/>
    <cellStyle name="Normal 10" xfId="2728"/>
    <cellStyle name="Normal 10 2" xfId="2729"/>
    <cellStyle name="Normal 10 2 2" xfId="2730"/>
    <cellStyle name="Normal 10 3" xfId="2731"/>
    <cellStyle name="Normal 10 3 2" xfId="2732"/>
    <cellStyle name="Normal 10 4" xfId="2733"/>
    <cellStyle name="Normal 10 5" xfId="2734"/>
    <cellStyle name="Normal 10 6" xfId="2735"/>
    <cellStyle name="Normal 10_05-12  KH trung han 2016-2020 - Liem Thinh edited" xfId="2736"/>
    <cellStyle name="Normal 11" xfId="2737"/>
    <cellStyle name="Normal 11 2" xfId="2738"/>
    <cellStyle name="Normal 11 2 2" xfId="2739"/>
    <cellStyle name="Normal 11 3" xfId="2740"/>
    <cellStyle name="Normal 11 3 2" xfId="2741"/>
    <cellStyle name="Normal 11 3 3" xfId="2742"/>
    <cellStyle name="Normal 11 3 4" xfId="2743"/>
    <cellStyle name="Normal 11 3 5" xfId="2"/>
    <cellStyle name="Normal 11 4" xfId="2744"/>
    <cellStyle name="Normal 11 4 2" xfId="2745"/>
    <cellStyle name="Normal 11 5" xfId="2746"/>
    <cellStyle name="Normal 11_bieu mau 2" xfId="2747"/>
    <cellStyle name="Normal 12" xfId="2748"/>
    <cellStyle name="Normal 12 2" xfId="2749"/>
    <cellStyle name="Normal 12 2 2" xfId="2750"/>
    <cellStyle name="Normal 12 2_von dau tu tap trung" xfId="2751"/>
    <cellStyle name="Normal 12 3" xfId="2752"/>
    <cellStyle name="Normal 12 4" xfId="2753"/>
    <cellStyle name="Normal 12_bieu 21" xfId="2754"/>
    <cellStyle name="Normal 13" xfId="2755"/>
    <cellStyle name="Normal 13 2" xfId="2756"/>
    <cellStyle name="Normal 13 3" xfId="2757"/>
    <cellStyle name="Normal 13 3 2" xfId="2758"/>
    <cellStyle name="Normal 13 3 3" xfId="2759"/>
    <cellStyle name="Normal 13 4" xfId="2760"/>
    <cellStyle name="Normal 13_bieu 21" xfId="2761"/>
    <cellStyle name="Normal 14" xfId="2762"/>
    <cellStyle name="Normal 14 2" xfId="2763"/>
    <cellStyle name="Normal 14 2 2" xfId="2764"/>
    <cellStyle name="Normal 14 3" xfId="2765"/>
    <cellStyle name="Normal 15" xfId="2766"/>
    <cellStyle name="Normal 15 2" xfId="2767"/>
    <cellStyle name="Normal 15 3" xfId="2768"/>
    <cellStyle name="Normal 15 4" xfId="2769"/>
    <cellStyle name="Normal 16" xfId="2770"/>
    <cellStyle name="Normal 16 2" xfId="2771"/>
    <cellStyle name="Normal 16 2 2" xfId="2772"/>
    <cellStyle name="Normal 16 2 2 2" xfId="2773"/>
    <cellStyle name="Normal 16 2 3" xfId="2774"/>
    <cellStyle name="Normal 16 2 3 2" xfId="2775"/>
    <cellStyle name="Normal 16 2 4" xfId="2776"/>
    <cellStyle name="Normal 16 3" xfId="2777"/>
    <cellStyle name="Normal 16 4" xfId="2778"/>
    <cellStyle name="Normal 16 4 2" xfId="2779"/>
    <cellStyle name="Normal 16 5" xfId="2780"/>
    <cellStyle name="Normal 16 5 2" xfId="2781"/>
    <cellStyle name="Normal 17" xfId="2782"/>
    <cellStyle name="Normal 17 2" xfId="2783"/>
    <cellStyle name="Normal 17 3 2" xfId="2784"/>
    <cellStyle name="Normal 17 3 2 2" xfId="2785"/>
    <cellStyle name="Normal 17 3 2 2 2" xfId="2786"/>
    <cellStyle name="Normal 17 3 2 3" xfId="2787"/>
    <cellStyle name="Normal 17 3 2 3 2" xfId="2788"/>
    <cellStyle name="Normal 17 3 2 4" xfId="2789"/>
    <cellStyle name="Normal 172" xfId="2790"/>
    <cellStyle name="Normal 18" xfId="2791"/>
    <cellStyle name="Normal 18 2" xfId="2792"/>
    <cellStyle name="Normal 18 2 2" xfId="2793"/>
    <cellStyle name="Normal 18 3" xfId="2794"/>
    <cellStyle name="Normal 18_05-12  KH trung han 2016-2020 - Liem Thinh edited" xfId="2795"/>
    <cellStyle name="Normal 19" xfId="3"/>
    <cellStyle name="Normal 19 2" xfId="2796"/>
    <cellStyle name="Normal 19 3" xfId="2797"/>
    <cellStyle name="Normal 19 4" xfId="2798"/>
    <cellStyle name="Normal 190" xfId="2799"/>
    <cellStyle name="Normal 196" xfId="2800"/>
    <cellStyle name="Normal 197" xfId="2801"/>
    <cellStyle name="Normal 198" xfId="2802"/>
    <cellStyle name="Normal 199" xfId="2803"/>
    <cellStyle name="Normal 2" xfId="2804"/>
    <cellStyle name="Normal 2 10" xfId="2805"/>
    <cellStyle name="Normal 2 10 2" xfId="2806"/>
    <cellStyle name="Normal 2 11" xfId="2807"/>
    <cellStyle name="Normal 2 11 2" xfId="2808"/>
    <cellStyle name="Normal 2 12" xfId="2809"/>
    <cellStyle name="Normal 2 12 2" xfId="2810"/>
    <cellStyle name="Normal 2 13" xfId="2811"/>
    <cellStyle name="Normal 2 13 2" xfId="2812"/>
    <cellStyle name="Normal 2 14" xfId="2813"/>
    <cellStyle name="Normal 2 14 2" xfId="2814"/>
    <cellStyle name="Normal 2 14_Phuongangiao 1-giaoxulykythuat" xfId="2815"/>
    <cellStyle name="Normal 2 15" xfId="2816"/>
    <cellStyle name="Normal 2 16" xfId="2817"/>
    <cellStyle name="Normal 2 17" xfId="2818"/>
    <cellStyle name="Normal 2 18" xfId="2819"/>
    <cellStyle name="Normal 2 19" xfId="2820"/>
    <cellStyle name="Normal 2 2" xfId="2821"/>
    <cellStyle name="Normal 2 2 10" xfId="2822"/>
    <cellStyle name="Normal 2 2 10 2" xfId="2823"/>
    <cellStyle name="Normal 2 2 11" xfId="2824"/>
    <cellStyle name="Normal 2 2 12" xfId="2825"/>
    <cellStyle name="Normal 2 2 13" xfId="2826"/>
    <cellStyle name="Normal 2 2 14" xfId="2827"/>
    <cellStyle name="Normal 2 2 15" xfId="2828"/>
    <cellStyle name="Normal 2 2 2" xfId="2829"/>
    <cellStyle name="Normal 2 2 2 2" xfId="2830"/>
    <cellStyle name="Normal 2 2 2 3" xfId="2831"/>
    <cellStyle name="Normal 2 2 3" xfId="2832"/>
    <cellStyle name="Normal 2 2 4" xfId="2833"/>
    <cellStyle name="Normal 2 2 4 2" xfId="2834"/>
    <cellStyle name="Normal 2 2 4 3" xfId="2835"/>
    <cellStyle name="Normal 2 2 5" xfId="2836"/>
    <cellStyle name="Normal 2 2 6" xfId="2837"/>
    <cellStyle name="Normal 2 2 7" xfId="2838"/>
    <cellStyle name="Normal 2 2 8" xfId="2839"/>
    <cellStyle name="Normal 2 2 9" xfId="2840"/>
    <cellStyle name="Normal 2 2_Bieu chi tiet tang quy mo, dch ky thuat 4" xfId="2841"/>
    <cellStyle name="Normal 2 20" xfId="2842"/>
    <cellStyle name="Normal 2 21" xfId="2843"/>
    <cellStyle name="Normal 2 22" xfId="2844"/>
    <cellStyle name="Normal 2 23" xfId="2845"/>
    <cellStyle name="Normal 2 24" xfId="2846"/>
    <cellStyle name="Normal 2 25" xfId="2847"/>
    <cellStyle name="Normal 2 26" xfId="2848"/>
    <cellStyle name="Normal 2 26 2" xfId="2849"/>
    <cellStyle name="Normal 2 27" xfId="2850"/>
    <cellStyle name="Normal 2 3" xfId="2851"/>
    <cellStyle name="Normal 2 3 2" xfId="2852"/>
    <cellStyle name="Normal 2 3 2 2" xfId="2853"/>
    <cellStyle name="Normal 2 3 3" xfId="2854"/>
    <cellStyle name="Normal 2 3_12-09-2014 thinh (luat dau tu  cong) bao cao von CTMT  Bieu Mau THien KH 2011-2015 va XDung KH DTu Cong Trung han 2016-2020" xfId="2855"/>
    <cellStyle name="Normal 2 32" xfId="2856"/>
    <cellStyle name="Normal 2 4" xfId="2857"/>
    <cellStyle name="Normal 2 4 2" xfId="2858"/>
    <cellStyle name="Normal 2 4 2 2" xfId="2859"/>
    <cellStyle name="Normal 2 4 3" xfId="2860"/>
    <cellStyle name="Normal 2 4 3 2" xfId="2861"/>
    <cellStyle name="Normal 2 4_bieu 21" xfId="2862"/>
    <cellStyle name="Normal 2 5" xfId="2863"/>
    <cellStyle name="Normal 2 5 2" xfId="2864"/>
    <cellStyle name="Normal 2 6" xfId="2865"/>
    <cellStyle name="Normal 2 6 2" xfId="2866"/>
    <cellStyle name="Normal 2 7" xfId="2867"/>
    <cellStyle name="Normal 2 7 2" xfId="2868"/>
    <cellStyle name="Normal 2 8" xfId="2869"/>
    <cellStyle name="Normal 2 8 2" xfId="2870"/>
    <cellStyle name="Normal 2 9" xfId="2871"/>
    <cellStyle name="Normal 2 9 2" xfId="2872"/>
    <cellStyle name="Normal 2_05-12  KH trung han 2016-2020 - Liem Thinh edited" xfId="2873"/>
    <cellStyle name="Normal 20" xfId="2874"/>
    <cellStyle name="Normal 20 2" xfId="2875"/>
    <cellStyle name="Normal 200" xfId="2876"/>
    <cellStyle name="Normal 201" xfId="2877"/>
    <cellStyle name="Normal 203" xfId="2878"/>
    <cellStyle name="Normal 206" xfId="2879"/>
    <cellStyle name="Normal 208" xfId="2880"/>
    <cellStyle name="Normal 21" xfId="2881"/>
    <cellStyle name="Normal 21 2" xfId="2882"/>
    <cellStyle name="Normal 213" xfId="2883"/>
    <cellStyle name="Normal 217" xfId="2884"/>
    <cellStyle name="Normal 218" xfId="2885"/>
    <cellStyle name="Normal 22" xfId="2886"/>
    <cellStyle name="Normal 22 2" xfId="2887"/>
    <cellStyle name="Normal 220" xfId="2888"/>
    <cellStyle name="Normal 224" xfId="2889"/>
    <cellStyle name="Normal 229" xfId="2890"/>
    <cellStyle name="Normal 23" xfId="2891"/>
    <cellStyle name="Normal 23 2" xfId="2892"/>
    <cellStyle name="Normal 23 3" xfId="2893"/>
    <cellStyle name="Normal 231" xfId="2894"/>
    <cellStyle name="Normal 233" xfId="2895"/>
    <cellStyle name="Normal 24" xfId="2896"/>
    <cellStyle name="Normal 24 2" xfId="2897"/>
    <cellStyle name="Normal 24 2 2" xfId="2898"/>
    <cellStyle name="Normal 25" xfId="2899"/>
    <cellStyle name="Normal 25 2" xfId="2900"/>
    <cellStyle name="Normal 25 3" xfId="2901"/>
    <cellStyle name="Normal 26" xfId="2902"/>
    <cellStyle name="Normal 26 2" xfId="2903"/>
    <cellStyle name="Normal 27" xfId="2904"/>
    <cellStyle name="Normal 27 2" xfId="2905"/>
    <cellStyle name="Normal 28" xfId="2906"/>
    <cellStyle name="Normal 28 2" xfId="2907"/>
    <cellStyle name="Normal 29" xfId="2908"/>
    <cellStyle name="Normal 29 2" xfId="2909"/>
    <cellStyle name="Normal 3" xfId="2910"/>
    <cellStyle name="Normal 3 10" xfId="2911"/>
    <cellStyle name="Normal 3 11" xfId="2912"/>
    <cellStyle name="Normal 3 12" xfId="2913"/>
    <cellStyle name="Normal 3 13" xfId="2914"/>
    <cellStyle name="Normal 3 14" xfId="2915"/>
    <cellStyle name="Normal 3 15" xfId="2916"/>
    <cellStyle name="Normal 3 16" xfId="2917"/>
    <cellStyle name="Normal 3 17" xfId="2918"/>
    <cellStyle name="Normal 3 18" xfId="2919"/>
    <cellStyle name="Normal 3 2" xfId="2920"/>
    <cellStyle name="Normal 3 2 2" xfId="2921"/>
    <cellStyle name="Normal 3 2 2 2" xfId="2922"/>
    <cellStyle name="Normal 3 2 3" xfId="2923"/>
    <cellStyle name="Normal 3 2 3 2" xfId="2924"/>
    <cellStyle name="Normal 3 2 4" xfId="2925"/>
    <cellStyle name="Normal 3 2 5" xfId="2926"/>
    <cellStyle name="Normal 3 2 5 2" xfId="2927"/>
    <cellStyle name="Normal 3 2 6" xfId="2928"/>
    <cellStyle name="Normal 3 2 6 2" xfId="2929"/>
    <cellStyle name="Normal 3 2 7" xfId="2930"/>
    <cellStyle name="Normal 3 3" xfId="2931"/>
    <cellStyle name="Normal 3 3 2" xfId="2932"/>
    <cellStyle name="Normal 3 4" xfId="2933"/>
    <cellStyle name="Normal 3 4 2" xfId="2934"/>
    <cellStyle name="Normal 3 5" xfId="2935"/>
    <cellStyle name="Normal 3 6" xfId="2936"/>
    <cellStyle name="Normal 3 7" xfId="2937"/>
    <cellStyle name="Normal 3 8" xfId="2938"/>
    <cellStyle name="Normal 3 9" xfId="2939"/>
    <cellStyle name="Normal 3_Bieu TH TPCP Vung TNB ngay 4-1-2012" xfId="2940"/>
    <cellStyle name="Normal 30" xfId="2941"/>
    <cellStyle name="Normal 30 2" xfId="2942"/>
    <cellStyle name="Normal 30 2 2" xfId="2943"/>
    <cellStyle name="Normal 30 3" xfId="2944"/>
    <cellStyle name="Normal 30 3 2" xfId="2945"/>
    <cellStyle name="Normal 30 4" xfId="2946"/>
    <cellStyle name="Normal 31" xfId="2947"/>
    <cellStyle name="Normal 31 2" xfId="2948"/>
    <cellStyle name="Normal 31 2 2" xfId="2949"/>
    <cellStyle name="Normal 31 3" xfId="2950"/>
    <cellStyle name="Normal 31 3 2" xfId="2951"/>
    <cellStyle name="Normal 31 4" xfId="2952"/>
    <cellStyle name="Normal 32" xfId="2953"/>
    <cellStyle name="Normal 32 2" xfId="2954"/>
    <cellStyle name="Normal 32 2 2" xfId="2955"/>
    <cellStyle name="Normal 33" xfId="2956"/>
    <cellStyle name="Normal 33 2" xfId="2957"/>
    <cellStyle name="Normal 34" xfId="2958"/>
    <cellStyle name="Normal 35" xfId="2959"/>
    <cellStyle name="Normal 36" xfId="2960"/>
    <cellStyle name="Normal 37" xfId="2961"/>
    <cellStyle name="Normal 37 2" xfId="2962"/>
    <cellStyle name="Normal 37 2 2" xfId="2963"/>
    <cellStyle name="Normal 37 2 3" xfId="2964"/>
    <cellStyle name="Normal 37 3" xfId="2965"/>
    <cellStyle name="Normal 37 3 2" xfId="2966"/>
    <cellStyle name="Normal 37 4" xfId="2967"/>
    <cellStyle name="Normal 38" xfId="2968"/>
    <cellStyle name="Normal 38 2" xfId="2969"/>
    <cellStyle name="Normal 38 2 2" xfId="2970"/>
    <cellStyle name="Normal 39" xfId="2971"/>
    <cellStyle name="Normal 39 2" xfId="2972"/>
    <cellStyle name="Normal 39 2 2" xfId="2973"/>
    <cellStyle name="Normal 39 3" xfId="2974"/>
    <cellStyle name="Normal 39 3 2" xfId="2975"/>
    <cellStyle name="Normal 4" xfId="2976"/>
    <cellStyle name="Normal 4 10" xfId="2977"/>
    <cellStyle name="Normal 4 11" xfId="2978"/>
    <cellStyle name="Normal 4 12" xfId="2979"/>
    <cellStyle name="Normal 4 13" xfId="2980"/>
    <cellStyle name="Normal 4 14" xfId="2981"/>
    <cellStyle name="Normal 4 15" xfId="2982"/>
    <cellStyle name="Normal 4 16" xfId="2983"/>
    <cellStyle name="Normal 4 17" xfId="2984"/>
    <cellStyle name="Normal 4 2" xfId="2985"/>
    <cellStyle name="Normal 4 2 2" xfId="2986"/>
    <cellStyle name="Normal 4 3" xfId="2987"/>
    <cellStyle name="Normal 4 4" xfId="2988"/>
    <cellStyle name="Normal 4 5" xfId="2989"/>
    <cellStyle name="Normal 4 6" xfId="2990"/>
    <cellStyle name="Normal 4 7" xfId="2991"/>
    <cellStyle name="Normal 4 8" xfId="2992"/>
    <cellStyle name="Normal 4 9" xfId="2993"/>
    <cellStyle name="Normal 4_Bang bieu" xfId="2994"/>
    <cellStyle name="Normal 40" xfId="2995"/>
    <cellStyle name="Normal 41" xfId="2996"/>
    <cellStyle name="Normal 42" xfId="2997"/>
    <cellStyle name="Normal 43" xfId="2998"/>
    <cellStyle name="Normal 44" xfId="2999"/>
    <cellStyle name="Normal 45" xfId="3000"/>
    <cellStyle name="Normal 46" xfId="3001"/>
    <cellStyle name="Normal 46 2" xfId="3002"/>
    <cellStyle name="Normal 47" xfId="3003"/>
    <cellStyle name="Normal 48" xfId="3004"/>
    <cellStyle name="Normal 49" xfId="3005"/>
    <cellStyle name="Normal 5" xfId="3006"/>
    <cellStyle name="Normal 5 2" xfId="3007"/>
    <cellStyle name="Normal 5 2 2" xfId="3008"/>
    <cellStyle name="Normal 50" xfId="3009"/>
    <cellStyle name="Normal 51" xfId="3010"/>
    <cellStyle name="Normal 52" xfId="3011"/>
    <cellStyle name="Normal 53" xfId="3012"/>
    <cellStyle name="Normal 54" xfId="3013"/>
    <cellStyle name="Normal 55" xfId="3014"/>
    <cellStyle name="Normal 6" xfId="3015"/>
    <cellStyle name="Normal 6 10" xfId="3016"/>
    <cellStyle name="Normal 6 11" xfId="3017"/>
    <cellStyle name="Normal 6 12" xfId="3018"/>
    <cellStyle name="Normal 6 13" xfId="3019"/>
    <cellStyle name="Normal 6 14" xfId="3020"/>
    <cellStyle name="Normal 6 15" xfId="3021"/>
    <cellStyle name="Normal 6 16" xfId="3022"/>
    <cellStyle name="Normal 6 2" xfId="3023"/>
    <cellStyle name="Normal 6 2 2" xfId="3024"/>
    <cellStyle name="Normal 6 3" xfId="3025"/>
    <cellStyle name="Normal 6 4" xfId="3026"/>
    <cellStyle name="Normal 6 5" xfId="3027"/>
    <cellStyle name="Normal 6 6" xfId="3028"/>
    <cellStyle name="Normal 6 7" xfId="3029"/>
    <cellStyle name="Normal 6 8" xfId="3030"/>
    <cellStyle name="Normal 6 9" xfId="3031"/>
    <cellStyle name="Normal 6_TPCP trinh UBND ngay 27-12" xfId="3032"/>
    <cellStyle name="Normal 7" xfId="3033"/>
    <cellStyle name="Normal 7 2" xfId="3034"/>
    <cellStyle name="Normal 7 3" xfId="3035"/>
    <cellStyle name="Normal 7 3 2" xfId="3036"/>
    <cellStyle name="Normal 7 3 3" xfId="3037"/>
    <cellStyle name="Normal 7_!1 1 bao cao giao KH ve HTCMT vung TNB   12-12-2011" xfId="3038"/>
    <cellStyle name="Normal 70" xfId="3039"/>
    <cellStyle name="Normal 71" xfId="3040"/>
    <cellStyle name="Normal 72" xfId="3041"/>
    <cellStyle name="Normal 74" xfId="3042"/>
    <cellStyle name="Normal 76" xfId="3043"/>
    <cellStyle name="Normal 78" xfId="3044"/>
    <cellStyle name="Normal 79" xfId="3045"/>
    <cellStyle name="Normal 8" xfId="3046"/>
    <cellStyle name="Normal 8 2" xfId="3047"/>
    <cellStyle name="Normal 8 2 2" xfId="3048"/>
    <cellStyle name="Normal 8 2 2 2" xfId="3049"/>
    <cellStyle name="Normal 8 2 3" xfId="3050"/>
    <cellStyle name="Normal 8 2_Phuongangiao 1-giaoxulykythuat" xfId="3051"/>
    <cellStyle name="Normal 8 3" xfId="3052"/>
    <cellStyle name="Normal 8_bieu mau 2" xfId="3053"/>
    <cellStyle name="Normal 80" xfId="3054"/>
    <cellStyle name="Normal 81" xfId="3055"/>
    <cellStyle name="Normal 83" xfId="3056"/>
    <cellStyle name="Normal 9" xfId="3057"/>
    <cellStyle name="Normal 9 10" xfId="3058"/>
    <cellStyle name="Normal 9 12" xfId="3059"/>
    <cellStyle name="Normal 9 13" xfId="3060"/>
    <cellStyle name="Normal 9 17" xfId="3061"/>
    <cellStyle name="Normal 9 2" xfId="3062"/>
    <cellStyle name="Normal 9 21" xfId="3063"/>
    <cellStyle name="Normal 9 23" xfId="3064"/>
    <cellStyle name="Normal 9 3" xfId="3065"/>
    <cellStyle name="Normal 9 46" xfId="3066"/>
    <cellStyle name="Normal 9 47" xfId="3067"/>
    <cellStyle name="Normal 9 48" xfId="3068"/>
    <cellStyle name="Normal 9 49" xfId="3069"/>
    <cellStyle name="Normal 9 50" xfId="3070"/>
    <cellStyle name="Normal 9 51" xfId="3071"/>
    <cellStyle name="Normal 9 52" xfId="3072"/>
    <cellStyle name="Normal 9_12-09-2014 thinh (luat dau tu  cong) bao cao von CTMT  Bieu Mau THien KH 2011-2015 va XDung KH DTu Cong Trung han 2016-2020" xfId="3073"/>
    <cellStyle name="Normal_2001_1 2" xfId="4714"/>
    <cellStyle name="Normal_bieu 21" xfId="4715"/>
    <cellStyle name="Normal_Bieu mau (CV )" xfId="1"/>
    <cellStyle name="Normal_Bieu mau (CV ) 2 2" xfId="4721"/>
    <cellStyle name="Normal_De nghi KH DTXD nam 2011 NS TX cua Ban QLDA (18-11-2010)" xfId="5"/>
    <cellStyle name="Normal_Mau 2_XD KHV 2016" xfId="4717"/>
    <cellStyle name="Normal_phuluc" xfId="4726"/>
    <cellStyle name="Normal_Sheet1 2" xfId="7"/>
    <cellStyle name="Normal_Sheet2" xfId="4727"/>
    <cellStyle name="Normal1" xfId="3074"/>
    <cellStyle name="Normal8" xfId="3075"/>
    <cellStyle name="Normale_ PESO ELETTR." xfId="3076"/>
    <cellStyle name="Normalny_Cennik obowiazuje od 06-08-2001 r (1)" xfId="3077"/>
    <cellStyle name="Note 2" xfId="3078"/>
    <cellStyle name="Note 2 10" xfId="3079"/>
    <cellStyle name="Note 2 11" xfId="3080"/>
    <cellStyle name="Note 2 12" xfId="3081"/>
    <cellStyle name="Note 2 13" xfId="3082"/>
    <cellStyle name="Note 2 14" xfId="3083"/>
    <cellStyle name="Note 2 15" xfId="3084"/>
    <cellStyle name="Note 2 16" xfId="3085"/>
    <cellStyle name="Note 2 17" xfId="3086"/>
    <cellStyle name="Note 2 18" xfId="3087"/>
    <cellStyle name="Note 2 19" xfId="3088"/>
    <cellStyle name="Note 2 2" xfId="3089"/>
    <cellStyle name="Note 2 20" xfId="3090"/>
    <cellStyle name="Note 2 3" xfId="3091"/>
    <cellStyle name="Note 2 4" xfId="3092"/>
    <cellStyle name="Note 2 5" xfId="3093"/>
    <cellStyle name="Note 2 6" xfId="3094"/>
    <cellStyle name="Note 2 7" xfId="3095"/>
    <cellStyle name="Note 2 8" xfId="3096"/>
    <cellStyle name="Note 2 9" xfId="3097"/>
    <cellStyle name="Note 3" xfId="3098"/>
    <cellStyle name="Note 3 2" xfId="3099"/>
    <cellStyle name="Note 4" xfId="3100"/>
    <cellStyle name="Note 4 2" xfId="3101"/>
    <cellStyle name="Note 5" xfId="3102"/>
    <cellStyle name="NWM" xfId="3103"/>
    <cellStyle name="Ô Được nối kết" xfId="3104"/>
    <cellStyle name="Ò_x000a_Normal_123569" xfId="3105"/>
    <cellStyle name="Ò_x000d_Normal_123569" xfId="3106"/>
    <cellStyle name="Ò_x005f_x000d_Normal_123569" xfId="3107"/>
    <cellStyle name="Ò_x005f_x005f_x005f_x000d_Normal_123569" xfId="3108"/>
    <cellStyle name="Œ…‹æØ‚è [0.00]_ÆÂ¹²" xfId="3109"/>
    <cellStyle name="Œ…‹æØ‚è_laroux" xfId="3110"/>
    <cellStyle name="oft Excel]_x000a__x000a_Comment=open=/f ‚ðw’è‚·‚é‚ÆAƒ†[ƒU[’è‹`ŠÖ”‚ðŠÖ”“\‚è•t‚¯‚Ìˆê——‚É“o˜^‚·‚é‚±‚Æ‚ª‚Å‚«‚Ü‚·B_x000a__x000a_Maximized" xfId="3111"/>
    <cellStyle name="oft Excel]_x000a__x000a_Comment=open=/f ‚ðŽw’è‚·‚é‚ÆAƒ†[ƒU[’è‹`ŠÖ”‚ðŠÖ”“\‚è•t‚¯‚Ìˆê——‚É“o˜^‚·‚é‚±‚Æ‚ª‚Å‚«‚Ü‚·B_x000a__x000a_Maximized" xfId="3112"/>
    <cellStyle name="oft Excel]_x000a__x000a_Comment=The open=/f lines load custom functions into the Paste Function list._x000a__x000a_Maximized=2_x000a__x000a_Basics=1_x000a__x000a_A" xfId="3113"/>
    <cellStyle name="oft Excel]_x000a__x000a_Comment=The open=/f lines load custom functions into the Paste Function list._x000a__x000a_Maximized=3_x000a__x000a_Basics=1_x000a__x000a_A" xfId="3114"/>
    <cellStyle name="oft Excel]_x000d__x000a_Comment=open=/f ‚ðw’è‚·‚é‚ÆAƒ†[ƒU[’è‹`ŠÖ”‚ðŠÖ”“\‚è•t‚¯‚Ìˆê——‚É“o˜^‚·‚é‚±‚Æ‚ª‚Å‚«‚Ü‚·B_x000d__x000a_Maximized" xfId="3115"/>
    <cellStyle name="oft Excel]_x000d__x000a_Comment=open=/f ‚ðŽw’è‚·‚é‚ÆAƒ†[ƒU[’è‹`ŠÖ”‚ðŠÖ”“\‚è•t‚¯‚Ìˆê——‚É“o˜^‚·‚é‚±‚Æ‚ª‚Å‚«‚Ü‚·B_x000d__x000a_Maximized" xfId="3116"/>
    <cellStyle name="oft Excel]_x000d__x000a_Comment=The open=/f lines load custom functions into the Paste Function list._x000d__x000a_Maximized=2_x000d__x000a_Basics=1_x000d__x000a_A" xfId="3117"/>
    <cellStyle name="oft Excel]_x000d__x000a_Comment=The open=/f lines load custom functions into the Paste Function list._x000d__x000a_Maximized=3_x000d__x000a_Basics=1_x000d__x000a_A" xfId="3118"/>
    <cellStyle name="oft Excel]_x005f_x000d__x005f_x000a_Comment=open=/f ‚ðw’è‚·‚é‚ÆAƒ†[ƒU[’è‹`ŠÖ”‚ðŠÖ”“\‚è•t‚¯‚Ìˆê——‚É“o˜^‚·‚é‚±‚Æ‚ª‚Å‚«‚Ü‚·B_x005f_x000d__x005f_x000a_Maximized" xfId="3119"/>
    <cellStyle name="omma [0]_Mktg Prog" xfId="3120"/>
    <cellStyle name="ormal_Sheet1_1" xfId="3121"/>
    <cellStyle name="Output 2" xfId="3122"/>
    <cellStyle name="Output 2 10" xfId="3123"/>
    <cellStyle name="Output 2 11" xfId="3124"/>
    <cellStyle name="Output 2 12" xfId="3125"/>
    <cellStyle name="Output 2 13" xfId="3126"/>
    <cellStyle name="Output 2 14" xfId="3127"/>
    <cellStyle name="Output 2 15" xfId="3128"/>
    <cellStyle name="Output 2 16" xfId="3129"/>
    <cellStyle name="Output 2 17" xfId="3130"/>
    <cellStyle name="Output 2 18" xfId="3131"/>
    <cellStyle name="Output 2 19" xfId="3132"/>
    <cellStyle name="Output 2 2" xfId="3133"/>
    <cellStyle name="Output 2 20" xfId="3134"/>
    <cellStyle name="Output 2 21" xfId="3135"/>
    <cellStyle name="Output 2 22" xfId="3136"/>
    <cellStyle name="Output 2 23" xfId="3137"/>
    <cellStyle name="Output 2 24" xfId="3138"/>
    <cellStyle name="Output 2 25" xfId="3139"/>
    <cellStyle name="Output 2 26" xfId="3140"/>
    <cellStyle name="Output 2 27" xfId="3141"/>
    <cellStyle name="Output 2 28" xfId="3142"/>
    <cellStyle name="Output 2 29" xfId="3143"/>
    <cellStyle name="Output 2 3" xfId="3144"/>
    <cellStyle name="Output 2 4" xfId="3145"/>
    <cellStyle name="Output 2 5" xfId="3146"/>
    <cellStyle name="Output 2 6" xfId="3147"/>
    <cellStyle name="Output 2 7" xfId="3148"/>
    <cellStyle name="Output 2 8" xfId="3149"/>
    <cellStyle name="Output 2 9" xfId="3150"/>
    <cellStyle name="p" xfId="3151"/>
    <cellStyle name="paint" xfId="3152"/>
    <cellStyle name="paint 2" xfId="3153"/>
    <cellStyle name="paint_05-12  KH trung han 2016-2020 - Liem Thinh edited" xfId="3154"/>
    <cellStyle name="Pattern" xfId="3155"/>
    <cellStyle name="Pattern 10" xfId="3156"/>
    <cellStyle name="Pattern 11" xfId="3157"/>
    <cellStyle name="Pattern 12" xfId="3158"/>
    <cellStyle name="Pattern 13" xfId="3159"/>
    <cellStyle name="Pattern 14" xfId="3160"/>
    <cellStyle name="Pattern 15" xfId="3161"/>
    <cellStyle name="Pattern 16" xfId="3162"/>
    <cellStyle name="Pattern 2" xfId="3163"/>
    <cellStyle name="Pattern 3" xfId="3164"/>
    <cellStyle name="Pattern 4" xfId="3165"/>
    <cellStyle name="Pattern 5" xfId="3166"/>
    <cellStyle name="Pattern 6" xfId="3167"/>
    <cellStyle name="Pattern 7" xfId="3168"/>
    <cellStyle name="Pattern 8" xfId="3169"/>
    <cellStyle name="Pattern 9" xfId="3170"/>
    <cellStyle name="per.style" xfId="3171"/>
    <cellStyle name="per.style 2" xfId="3172"/>
    <cellStyle name="Percent %" xfId="3173"/>
    <cellStyle name="Percent % Long Underline" xfId="3174"/>
    <cellStyle name="Percent %_Worksheet in  US Financial Statements Ref. Workbook - Single Co" xfId="3175"/>
    <cellStyle name="Percent (0)" xfId="3176"/>
    <cellStyle name="Percent (0) 10" xfId="3177"/>
    <cellStyle name="Percent (0) 11" xfId="3178"/>
    <cellStyle name="Percent (0) 12" xfId="3179"/>
    <cellStyle name="Percent (0) 13" xfId="3180"/>
    <cellStyle name="Percent (0) 14" xfId="3181"/>
    <cellStyle name="Percent (0) 15" xfId="3182"/>
    <cellStyle name="Percent (0) 2" xfId="3183"/>
    <cellStyle name="Percent (0) 3" xfId="3184"/>
    <cellStyle name="Percent (0) 4" xfId="3185"/>
    <cellStyle name="Percent (0) 5" xfId="3186"/>
    <cellStyle name="Percent (0) 6" xfId="3187"/>
    <cellStyle name="Percent (0) 7" xfId="3188"/>
    <cellStyle name="Percent (0) 8" xfId="3189"/>
    <cellStyle name="Percent (0) 9" xfId="3190"/>
    <cellStyle name="Percent [0]" xfId="3191"/>
    <cellStyle name="Percent [0] 10" xfId="3192"/>
    <cellStyle name="Percent [0] 11" xfId="3193"/>
    <cellStyle name="Percent [0] 12" xfId="3194"/>
    <cellStyle name="Percent [0] 13" xfId="3195"/>
    <cellStyle name="Percent [0] 14" xfId="3196"/>
    <cellStyle name="Percent [0] 15" xfId="3197"/>
    <cellStyle name="Percent [0] 16" xfId="3198"/>
    <cellStyle name="Percent [0] 2" xfId="3199"/>
    <cellStyle name="Percent [0] 3" xfId="3200"/>
    <cellStyle name="Percent [0] 4" xfId="3201"/>
    <cellStyle name="Percent [0] 5" xfId="3202"/>
    <cellStyle name="Percent [0] 6" xfId="3203"/>
    <cellStyle name="Percent [0] 7" xfId="3204"/>
    <cellStyle name="Percent [0] 8" xfId="3205"/>
    <cellStyle name="Percent [0] 9" xfId="3206"/>
    <cellStyle name="Percent [00]" xfId="3207"/>
    <cellStyle name="Percent [00] 10" xfId="3208"/>
    <cellStyle name="Percent [00] 11" xfId="3209"/>
    <cellStyle name="Percent [00] 12" xfId="3210"/>
    <cellStyle name="Percent [00] 13" xfId="3211"/>
    <cellStyle name="Percent [00] 14" xfId="3212"/>
    <cellStyle name="Percent [00] 15" xfId="3213"/>
    <cellStyle name="Percent [00] 16" xfId="3214"/>
    <cellStyle name="Percent [00] 2" xfId="3215"/>
    <cellStyle name="Percent [00] 3" xfId="3216"/>
    <cellStyle name="Percent [00] 4" xfId="3217"/>
    <cellStyle name="Percent [00] 5" xfId="3218"/>
    <cellStyle name="Percent [00] 6" xfId="3219"/>
    <cellStyle name="Percent [00] 7" xfId="3220"/>
    <cellStyle name="Percent [00] 8" xfId="3221"/>
    <cellStyle name="Percent [00] 9" xfId="3222"/>
    <cellStyle name="Percent [2]" xfId="3223"/>
    <cellStyle name="Percent [2] 10" xfId="3224"/>
    <cellStyle name="Percent [2] 11" xfId="3225"/>
    <cellStyle name="Percent [2] 12" xfId="3226"/>
    <cellStyle name="Percent [2] 13" xfId="3227"/>
    <cellStyle name="Percent [2] 14" xfId="3228"/>
    <cellStyle name="Percent [2] 15" xfId="3229"/>
    <cellStyle name="Percent [2] 16" xfId="3230"/>
    <cellStyle name="Percent [2] 2" xfId="3231"/>
    <cellStyle name="Percent [2] 2 2" xfId="3232"/>
    <cellStyle name="Percent [2] 3" xfId="3233"/>
    <cellStyle name="Percent [2] 4" xfId="3234"/>
    <cellStyle name="Percent [2] 5" xfId="3235"/>
    <cellStyle name="Percent [2] 6" xfId="3236"/>
    <cellStyle name="Percent [2] 7" xfId="3237"/>
    <cellStyle name="Percent [2] 8" xfId="3238"/>
    <cellStyle name="Percent [2] 9" xfId="3239"/>
    <cellStyle name="Percent 0.0%" xfId="3240"/>
    <cellStyle name="Percent 0.0% Long Underline" xfId="3241"/>
    <cellStyle name="Percent 0.00%" xfId="3242"/>
    <cellStyle name="Percent 0.00% Long Underline" xfId="3243"/>
    <cellStyle name="Percent 0.000%" xfId="3244"/>
    <cellStyle name="Percent 0.000% Long Underline" xfId="3245"/>
    <cellStyle name="Percent 10" xfId="3246"/>
    <cellStyle name="Percent 10 2" xfId="3247"/>
    <cellStyle name="Percent 11" xfId="3248"/>
    <cellStyle name="Percent 11 2" xfId="3249"/>
    <cellStyle name="Percent 12" xfId="3250"/>
    <cellStyle name="Percent 12 2" xfId="3251"/>
    <cellStyle name="Percent 13" xfId="3252"/>
    <cellStyle name="Percent 13 2" xfId="3253"/>
    <cellStyle name="Percent 14" xfId="3254"/>
    <cellStyle name="Percent 14 2" xfId="3255"/>
    <cellStyle name="Percent 15" xfId="3256"/>
    <cellStyle name="Percent 16" xfId="3257"/>
    <cellStyle name="Percent 17" xfId="3258"/>
    <cellStyle name="Percent 18" xfId="3259"/>
    <cellStyle name="Percent 19" xfId="3260"/>
    <cellStyle name="Percent 19 2" xfId="3261"/>
    <cellStyle name="Percent 2" xfId="3262"/>
    <cellStyle name="Percent 2 2" xfId="3263"/>
    <cellStyle name="Percent 2 2 2" xfId="3264"/>
    <cellStyle name="Percent 2 2 3" xfId="3265"/>
    <cellStyle name="Percent 2 3" xfId="3266"/>
    <cellStyle name="Percent 2 4" xfId="3267"/>
    <cellStyle name="Percent 20" xfId="3268"/>
    <cellStyle name="Percent 20 2" xfId="3269"/>
    <cellStyle name="Percent 21" xfId="3270"/>
    <cellStyle name="Percent 22" xfId="3271"/>
    <cellStyle name="Percent 23" xfId="3272"/>
    <cellStyle name="Percent 3" xfId="3273"/>
    <cellStyle name="Percent 3 2" xfId="3274"/>
    <cellStyle name="Percent 3 3" xfId="3275"/>
    <cellStyle name="Percent 4" xfId="3276"/>
    <cellStyle name="Percent 4 2" xfId="3277"/>
    <cellStyle name="Percent 5" xfId="3278"/>
    <cellStyle name="Percent 5 2" xfId="3279"/>
    <cellStyle name="Percent 6" xfId="3280"/>
    <cellStyle name="Percent 6 2" xfId="3281"/>
    <cellStyle name="Percent 7" xfId="3282"/>
    <cellStyle name="Percent 7 2" xfId="3283"/>
    <cellStyle name="Percent 8" xfId="3284"/>
    <cellStyle name="Percent 8 2" xfId="3285"/>
    <cellStyle name="Percent 9" xfId="3286"/>
    <cellStyle name="Percent 9 2" xfId="3287"/>
    <cellStyle name="PERCENTAGE" xfId="3288"/>
    <cellStyle name="PERCENTAGE 2" xfId="3289"/>
    <cellStyle name="PrePop Currency (0)" xfId="3290"/>
    <cellStyle name="PrePop Currency (0) 10" xfId="3291"/>
    <cellStyle name="PrePop Currency (0) 11" xfId="3292"/>
    <cellStyle name="PrePop Currency (0) 12" xfId="3293"/>
    <cellStyle name="PrePop Currency (0) 13" xfId="3294"/>
    <cellStyle name="PrePop Currency (0) 14" xfId="3295"/>
    <cellStyle name="PrePop Currency (0) 15" xfId="3296"/>
    <cellStyle name="PrePop Currency (0) 16" xfId="3297"/>
    <cellStyle name="PrePop Currency (0) 2" xfId="3298"/>
    <cellStyle name="PrePop Currency (0) 3" xfId="3299"/>
    <cellStyle name="PrePop Currency (0) 4" xfId="3300"/>
    <cellStyle name="PrePop Currency (0) 5" xfId="3301"/>
    <cellStyle name="PrePop Currency (0) 6" xfId="3302"/>
    <cellStyle name="PrePop Currency (0) 7" xfId="3303"/>
    <cellStyle name="PrePop Currency (0) 8" xfId="3304"/>
    <cellStyle name="PrePop Currency (0) 9" xfId="3305"/>
    <cellStyle name="PrePop Currency (2)" xfId="3306"/>
    <cellStyle name="PrePop Currency (2) 10" xfId="3307"/>
    <cellStyle name="PrePop Currency (2) 11" xfId="3308"/>
    <cellStyle name="PrePop Currency (2) 12" xfId="3309"/>
    <cellStyle name="PrePop Currency (2) 13" xfId="3310"/>
    <cellStyle name="PrePop Currency (2) 14" xfId="3311"/>
    <cellStyle name="PrePop Currency (2) 15" xfId="3312"/>
    <cellStyle name="PrePop Currency (2) 16" xfId="3313"/>
    <cellStyle name="PrePop Currency (2) 2" xfId="3314"/>
    <cellStyle name="PrePop Currency (2) 3" xfId="3315"/>
    <cellStyle name="PrePop Currency (2) 4" xfId="3316"/>
    <cellStyle name="PrePop Currency (2) 5" xfId="3317"/>
    <cellStyle name="PrePop Currency (2) 6" xfId="3318"/>
    <cellStyle name="PrePop Currency (2) 7" xfId="3319"/>
    <cellStyle name="PrePop Currency (2) 8" xfId="3320"/>
    <cellStyle name="PrePop Currency (2) 9" xfId="3321"/>
    <cellStyle name="PrePop Units (0)" xfId="3322"/>
    <cellStyle name="PrePop Units (0) 10" xfId="3323"/>
    <cellStyle name="PrePop Units (0) 11" xfId="3324"/>
    <cellStyle name="PrePop Units (0) 12" xfId="3325"/>
    <cellStyle name="PrePop Units (0) 13" xfId="3326"/>
    <cellStyle name="PrePop Units (0) 14" xfId="3327"/>
    <cellStyle name="PrePop Units (0) 15" xfId="3328"/>
    <cellStyle name="PrePop Units (0) 16" xfId="3329"/>
    <cellStyle name="PrePop Units (0) 2" xfId="3330"/>
    <cellStyle name="PrePop Units (0) 3" xfId="3331"/>
    <cellStyle name="PrePop Units (0) 4" xfId="3332"/>
    <cellStyle name="PrePop Units (0) 5" xfId="3333"/>
    <cellStyle name="PrePop Units (0) 6" xfId="3334"/>
    <cellStyle name="PrePop Units (0) 7" xfId="3335"/>
    <cellStyle name="PrePop Units (0) 8" xfId="3336"/>
    <cellStyle name="PrePop Units (0) 9" xfId="3337"/>
    <cellStyle name="PrePop Units (1)" xfId="3338"/>
    <cellStyle name="PrePop Units (1) 10" xfId="3339"/>
    <cellStyle name="PrePop Units (1) 11" xfId="3340"/>
    <cellStyle name="PrePop Units (1) 12" xfId="3341"/>
    <cellStyle name="PrePop Units (1) 13" xfId="3342"/>
    <cellStyle name="PrePop Units (1) 14" xfId="3343"/>
    <cellStyle name="PrePop Units (1) 15" xfId="3344"/>
    <cellStyle name="PrePop Units (1) 16" xfId="3345"/>
    <cellStyle name="PrePop Units (1) 2" xfId="3346"/>
    <cellStyle name="PrePop Units (1) 3" xfId="3347"/>
    <cellStyle name="PrePop Units (1) 4" xfId="3348"/>
    <cellStyle name="PrePop Units (1) 5" xfId="3349"/>
    <cellStyle name="PrePop Units (1) 6" xfId="3350"/>
    <cellStyle name="PrePop Units (1) 7" xfId="3351"/>
    <cellStyle name="PrePop Units (1) 8" xfId="3352"/>
    <cellStyle name="PrePop Units (1) 9" xfId="3353"/>
    <cellStyle name="PrePop Units (2)" xfId="3354"/>
    <cellStyle name="PrePop Units (2) 10" xfId="3355"/>
    <cellStyle name="PrePop Units (2) 11" xfId="3356"/>
    <cellStyle name="PrePop Units (2) 12" xfId="3357"/>
    <cellStyle name="PrePop Units (2) 13" xfId="3358"/>
    <cellStyle name="PrePop Units (2) 14" xfId="3359"/>
    <cellStyle name="PrePop Units (2) 15" xfId="3360"/>
    <cellStyle name="PrePop Units (2) 16" xfId="3361"/>
    <cellStyle name="PrePop Units (2) 2" xfId="3362"/>
    <cellStyle name="PrePop Units (2) 3" xfId="3363"/>
    <cellStyle name="PrePop Units (2) 4" xfId="3364"/>
    <cellStyle name="PrePop Units (2) 5" xfId="3365"/>
    <cellStyle name="PrePop Units (2) 6" xfId="3366"/>
    <cellStyle name="PrePop Units (2) 7" xfId="3367"/>
    <cellStyle name="PrePop Units (2) 8" xfId="3368"/>
    <cellStyle name="PrePop Units (2) 9" xfId="3369"/>
    <cellStyle name="pricing" xfId="3370"/>
    <cellStyle name="pricing 2" xfId="3371"/>
    <cellStyle name="PSChar" xfId="3372"/>
    <cellStyle name="PSHeading" xfId="3373"/>
    <cellStyle name="Quantity" xfId="3374"/>
    <cellStyle name="regstoresfromspecstores" xfId="3375"/>
    <cellStyle name="regstoresfromspecstores 2" xfId="3376"/>
    <cellStyle name="RevList" xfId="3377"/>
    <cellStyle name="rlink_tiªn l­în_x005f_x001b_Hyperlink_TONG HOP KINH PHI" xfId="3378"/>
    <cellStyle name="rmal_ADAdot" xfId="3379"/>
    <cellStyle name="S—_x0008_" xfId="3380"/>
    <cellStyle name="S—_x0008_ 2" xfId="3381"/>
    <cellStyle name="s]_x000a__x000a_spooler=yes_x000a__x000a_load=_x000a__x000a_Beep=yes_x000a__x000a_NullPort=None_x000a__x000a_BorderWidth=3_x000a__x000a_CursorBlinkRate=1200_x000a__x000a_DoubleClickSpeed=452_x000a__x000a_Programs=co" xfId="3382"/>
    <cellStyle name="s]_x000d__x000a_spooler=yes_x000d__x000a_load=_x000d__x000a_Beep=yes_x000d__x000a_NullPort=None_x000d__x000a_BorderWidth=3_x000d__x000a_CursorBlinkRate=1200_x000d__x000a_DoubleClickSpeed=452_x000d__x000a_Programs=co" xfId="3383"/>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384"/>
    <cellStyle name="S—_x0008__KH TPCP vung TNB (03-1-2012)" xfId="3385"/>
    <cellStyle name="S—_x005f_x0008_" xfId="3386"/>
    <cellStyle name="SAPBEXaggData" xfId="3387"/>
    <cellStyle name="SAPBEXaggData 2" xfId="3388"/>
    <cellStyle name="SAPBEXaggDataEmph" xfId="3389"/>
    <cellStyle name="SAPBEXaggDataEmph 2" xfId="3390"/>
    <cellStyle name="SAPBEXaggItem" xfId="3391"/>
    <cellStyle name="SAPBEXaggItem 2" xfId="3392"/>
    <cellStyle name="SAPBEXchaText" xfId="3393"/>
    <cellStyle name="SAPBEXchaText 2" xfId="3394"/>
    <cellStyle name="SAPBEXexcBad7" xfId="3395"/>
    <cellStyle name="SAPBEXexcBad7 2" xfId="3396"/>
    <cellStyle name="SAPBEXexcBad8" xfId="3397"/>
    <cellStyle name="SAPBEXexcBad8 2" xfId="3398"/>
    <cellStyle name="SAPBEXexcBad9" xfId="3399"/>
    <cellStyle name="SAPBEXexcBad9 2" xfId="3400"/>
    <cellStyle name="SAPBEXexcCritical4" xfId="3401"/>
    <cellStyle name="SAPBEXexcCritical4 2" xfId="3402"/>
    <cellStyle name="SAPBEXexcCritical5" xfId="3403"/>
    <cellStyle name="SAPBEXexcCritical5 2" xfId="3404"/>
    <cellStyle name="SAPBEXexcCritical6" xfId="3405"/>
    <cellStyle name="SAPBEXexcCritical6 2" xfId="3406"/>
    <cellStyle name="SAPBEXexcGood1" xfId="3407"/>
    <cellStyle name="SAPBEXexcGood1 2" xfId="3408"/>
    <cellStyle name="SAPBEXexcGood2" xfId="3409"/>
    <cellStyle name="SAPBEXexcGood2 2" xfId="3410"/>
    <cellStyle name="SAPBEXexcGood3" xfId="3411"/>
    <cellStyle name="SAPBEXexcGood3 2" xfId="3412"/>
    <cellStyle name="SAPBEXfilterDrill" xfId="3413"/>
    <cellStyle name="SAPBEXfilterDrill 2" xfId="3414"/>
    <cellStyle name="SAPBEXfilterItem" xfId="3415"/>
    <cellStyle name="SAPBEXfilterItem 2" xfId="3416"/>
    <cellStyle name="SAPBEXfilterText" xfId="3417"/>
    <cellStyle name="SAPBEXfilterText 2" xfId="3418"/>
    <cellStyle name="SAPBEXformats" xfId="3419"/>
    <cellStyle name="SAPBEXformats 2" xfId="3420"/>
    <cellStyle name="SAPBEXheaderItem" xfId="3421"/>
    <cellStyle name="SAPBEXheaderItem 2" xfId="3422"/>
    <cellStyle name="SAPBEXheaderText" xfId="3423"/>
    <cellStyle name="SAPBEXheaderText 2" xfId="3424"/>
    <cellStyle name="SAPBEXresData" xfId="3425"/>
    <cellStyle name="SAPBEXresData 2" xfId="3426"/>
    <cellStyle name="SAPBEXresDataEmph" xfId="3427"/>
    <cellStyle name="SAPBEXresDataEmph 2" xfId="3428"/>
    <cellStyle name="SAPBEXresItem" xfId="3429"/>
    <cellStyle name="SAPBEXresItem 2" xfId="3430"/>
    <cellStyle name="SAPBEXstdData" xfId="3431"/>
    <cellStyle name="SAPBEXstdData 2" xfId="3432"/>
    <cellStyle name="SAPBEXstdDataEmph" xfId="3433"/>
    <cellStyle name="SAPBEXstdDataEmph 2" xfId="3434"/>
    <cellStyle name="SAPBEXstdItem" xfId="3435"/>
    <cellStyle name="SAPBEXstdItem 2" xfId="3436"/>
    <cellStyle name="SAPBEXtitle" xfId="3437"/>
    <cellStyle name="SAPBEXtitle 2" xfId="3438"/>
    <cellStyle name="SAPBEXundefined" xfId="3439"/>
    <cellStyle name="SAPBEXundefined 2" xfId="3440"/>
    <cellStyle name="serJet 1200 Series PCL 6" xfId="3441"/>
    <cellStyle name="SHADEDSTORES" xfId="3442"/>
    <cellStyle name="SHADEDSTORES 2" xfId="3443"/>
    <cellStyle name="songuyen" xfId="3444"/>
    <cellStyle name="specstores" xfId="3445"/>
    <cellStyle name="Standard_AAbgleich" xfId="3446"/>
    <cellStyle name="STTDG" xfId="3447"/>
    <cellStyle name="style" xfId="3448"/>
    <cellStyle name="Style 1" xfId="3449"/>
    <cellStyle name="Style 1 2" xfId="3450"/>
    <cellStyle name="Style 1 2 2" xfId="3451"/>
    <cellStyle name="Style 1 2 2 2" xfId="3452"/>
    <cellStyle name="Style 1 2 2 3" xfId="3453"/>
    <cellStyle name="Style 1 2 2 4" xfId="4724"/>
    <cellStyle name="Style 1 3" xfId="3454"/>
    <cellStyle name="Style 1 4" xfId="3455"/>
    <cellStyle name="Style 10" xfId="3456"/>
    <cellStyle name="Style 10 2" xfId="3457"/>
    <cellStyle name="Style 100" xfId="3458"/>
    <cellStyle name="Style 101" xfId="3459"/>
    <cellStyle name="Style 102" xfId="3460"/>
    <cellStyle name="Style 103" xfId="3461"/>
    <cellStyle name="Style 104" xfId="3462"/>
    <cellStyle name="Style 105" xfId="3463"/>
    <cellStyle name="Style 106" xfId="3464"/>
    <cellStyle name="Style 107" xfId="3465"/>
    <cellStyle name="Style 108" xfId="3466"/>
    <cellStyle name="Style 109" xfId="3467"/>
    <cellStyle name="Style 11" xfId="3468"/>
    <cellStyle name="Style 11 2" xfId="3469"/>
    <cellStyle name="Style 110" xfId="3470"/>
    <cellStyle name="Style 111" xfId="3471"/>
    <cellStyle name="Style 112" xfId="3472"/>
    <cellStyle name="Style 113" xfId="3473"/>
    <cellStyle name="Style 114" xfId="3474"/>
    <cellStyle name="Style 115" xfId="3475"/>
    <cellStyle name="Style 116" xfId="3476"/>
    <cellStyle name="Style 117" xfId="3477"/>
    <cellStyle name="Style 118" xfId="3478"/>
    <cellStyle name="Style 119" xfId="3479"/>
    <cellStyle name="Style 12" xfId="3480"/>
    <cellStyle name="Style 12 2" xfId="3481"/>
    <cellStyle name="Style 120" xfId="3482"/>
    <cellStyle name="Style 121" xfId="3483"/>
    <cellStyle name="Style 122" xfId="3484"/>
    <cellStyle name="Style 123" xfId="3485"/>
    <cellStyle name="Style 124" xfId="3486"/>
    <cellStyle name="Style 125" xfId="3487"/>
    <cellStyle name="Style 126" xfId="3488"/>
    <cellStyle name="Style 127" xfId="3489"/>
    <cellStyle name="Style 128" xfId="3490"/>
    <cellStyle name="Style 129" xfId="3491"/>
    <cellStyle name="Style 13" xfId="3492"/>
    <cellStyle name="Style 13 2" xfId="3493"/>
    <cellStyle name="Style 130" xfId="3494"/>
    <cellStyle name="Style 131" xfId="3495"/>
    <cellStyle name="Style 132" xfId="3496"/>
    <cellStyle name="Style 133" xfId="3497"/>
    <cellStyle name="Style 134" xfId="3498"/>
    <cellStyle name="Style 135" xfId="3499"/>
    <cellStyle name="Style 136" xfId="3500"/>
    <cellStyle name="Style 137" xfId="3501"/>
    <cellStyle name="Style 138" xfId="3502"/>
    <cellStyle name="Style 139" xfId="3503"/>
    <cellStyle name="Style 14" xfId="3504"/>
    <cellStyle name="Style 14 2" xfId="3505"/>
    <cellStyle name="Style 140" xfId="3506"/>
    <cellStyle name="Style 141" xfId="3507"/>
    <cellStyle name="Style 142" xfId="3508"/>
    <cellStyle name="Style 143" xfId="3509"/>
    <cellStyle name="Style 144" xfId="3510"/>
    <cellStyle name="Style 145" xfId="3511"/>
    <cellStyle name="Style 146" xfId="3512"/>
    <cellStyle name="Style 147" xfId="3513"/>
    <cellStyle name="Style 148" xfId="3514"/>
    <cellStyle name="Style 149" xfId="3515"/>
    <cellStyle name="Style 15" xfId="3516"/>
    <cellStyle name="Style 15 2" xfId="3517"/>
    <cellStyle name="Style 150" xfId="3518"/>
    <cellStyle name="Style 151" xfId="3519"/>
    <cellStyle name="Style 152" xfId="3520"/>
    <cellStyle name="Style 153" xfId="3521"/>
    <cellStyle name="Style 154" xfId="3522"/>
    <cellStyle name="Style 155" xfId="3523"/>
    <cellStyle name="Style 16" xfId="3524"/>
    <cellStyle name="Style 16 2" xfId="3525"/>
    <cellStyle name="Style 17" xfId="3526"/>
    <cellStyle name="Style 17 2" xfId="3527"/>
    <cellStyle name="Style 18" xfId="3528"/>
    <cellStyle name="Style 18 2" xfId="3529"/>
    <cellStyle name="Style 19" xfId="3530"/>
    <cellStyle name="Style 19 2" xfId="3531"/>
    <cellStyle name="Style 2" xfId="3532"/>
    <cellStyle name="Style 2 2" xfId="3533"/>
    <cellStyle name="Style 20" xfId="3534"/>
    <cellStyle name="Style 20 2" xfId="3535"/>
    <cellStyle name="Style 21" xfId="3536"/>
    <cellStyle name="Style 21 2" xfId="3537"/>
    <cellStyle name="Style 22" xfId="3538"/>
    <cellStyle name="Style 22 2" xfId="3539"/>
    <cellStyle name="Style 23" xfId="3540"/>
    <cellStyle name="Style 23 2" xfId="3541"/>
    <cellStyle name="Style 24" xfId="3542"/>
    <cellStyle name="Style 24 2" xfId="3543"/>
    <cellStyle name="Style 25" xfId="3544"/>
    <cellStyle name="Style 25 2" xfId="3545"/>
    <cellStyle name="Style 26" xfId="3546"/>
    <cellStyle name="Style 26 2" xfId="3547"/>
    <cellStyle name="Style 27" xfId="3548"/>
    <cellStyle name="Style 27 2" xfId="3549"/>
    <cellStyle name="Style 28" xfId="3550"/>
    <cellStyle name="Style 28 2" xfId="3551"/>
    <cellStyle name="Style 29" xfId="3552"/>
    <cellStyle name="Style 29 2" xfId="3553"/>
    <cellStyle name="Style 3" xfId="3554"/>
    <cellStyle name="Style 3 2" xfId="3555"/>
    <cellStyle name="Style 30" xfId="3556"/>
    <cellStyle name="Style 30 2" xfId="3557"/>
    <cellStyle name="Style 31" xfId="3558"/>
    <cellStyle name="Style 31 2" xfId="3559"/>
    <cellStyle name="Style 32" xfId="3560"/>
    <cellStyle name="Style 32 2" xfId="3561"/>
    <cellStyle name="Style 33" xfId="3562"/>
    <cellStyle name="Style 33 2" xfId="3563"/>
    <cellStyle name="Style 34" xfId="3564"/>
    <cellStyle name="Style 34 2" xfId="3565"/>
    <cellStyle name="Style 35" xfId="3566"/>
    <cellStyle name="Style 35 2" xfId="3567"/>
    <cellStyle name="Style 36" xfId="3568"/>
    <cellStyle name="Style 37" xfId="3569"/>
    <cellStyle name="Style 37 2" xfId="3570"/>
    <cellStyle name="Style 38" xfId="3571"/>
    <cellStyle name="Style 38 2" xfId="3572"/>
    <cellStyle name="Style 39" xfId="3573"/>
    <cellStyle name="Style 39 2" xfId="3574"/>
    <cellStyle name="Style 4" xfId="3575"/>
    <cellStyle name="Style 4 2" xfId="3576"/>
    <cellStyle name="Style 40" xfId="3577"/>
    <cellStyle name="Style 40 2" xfId="3578"/>
    <cellStyle name="Style 41" xfId="3579"/>
    <cellStyle name="Style 41 2" xfId="3580"/>
    <cellStyle name="Style 42" xfId="3581"/>
    <cellStyle name="Style 42 2" xfId="3582"/>
    <cellStyle name="Style 43" xfId="3583"/>
    <cellStyle name="Style 43 2" xfId="3584"/>
    <cellStyle name="Style 44" xfId="3585"/>
    <cellStyle name="Style 44 2" xfId="3586"/>
    <cellStyle name="Style 45" xfId="3587"/>
    <cellStyle name="Style 45 2" xfId="3588"/>
    <cellStyle name="Style 46" xfId="3589"/>
    <cellStyle name="Style 46 2" xfId="3590"/>
    <cellStyle name="Style 47" xfId="3591"/>
    <cellStyle name="Style 47 2" xfId="3592"/>
    <cellStyle name="Style 48" xfId="3593"/>
    <cellStyle name="Style 48 2" xfId="3594"/>
    <cellStyle name="Style 49" xfId="3595"/>
    <cellStyle name="Style 49 2" xfId="3596"/>
    <cellStyle name="Style 5" xfId="3597"/>
    <cellStyle name="Style 50" xfId="3598"/>
    <cellStyle name="Style 50 2" xfId="3599"/>
    <cellStyle name="Style 51" xfId="3600"/>
    <cellStyle name="Style 51 2" xfId="3601"/>
    <cellStyle name="Style 52" xfId="3602"/>
    <cellStyle name="Style 52 2" xfId="3603"/>
    <cellStyle name="Style 53" xfId="3604"/>
    <cellStyle name="Style 53 2" xfId="3605"/>
    <cellStyle name="Style 54" xfId="3606"/>
    <cellStyle name="Style 54 2" xfId="3607"/>
    <cellStyle name="Style 55" xfId="3608"/>
    <cellStyle name="Style 55 2" xfId="3609"/>
    <cellStyle name="Style 56" xfId="3610"/>
    <cellStyle name="Style 57" xfId="3611"/>
    <cellStyle name="Style 58" xfId="3612"/>
    <cellStyle name="Style 59" xfId="3613"/>
    <cellStyle name="Style 6" xfId="3614"/>
    <cellStyle name="Style 6 2" xfId="3615"/>
    <cellStyle name="Style 60" xfId="3616"/>
    <cellStyle name="Style 61" xfId="3617"/>
    <cellStyle name="Style 62" xfId="3618"/>
    <cellStyle name="Style 63" xfId="3619"/>
    <cellStyle name="Style 64" xfId="3620"/>
    <cellStyle name="Style 65" xfId="3621"/>
    <cellStyle name="Style 66" xfId="3622"/>
    <cellStyle name="Style 67" xfId="3623"/>
    <cellStyle name="Style 68" xfId="3624"/>
    <cellStyle name="Style 69" xfId="3625"/>
    <cellStyle name="Style 7" xfId="3626"/>
    <cellStyle name="Style 7 2" xfId="3627"/>
    <cellStyle name="Style 70" xfId="3628"/>
    <cellStyle name="Style 71" xfId="3629"/>
    <cellStyle name="Style 72" xfId="3630"/>
    <cellStyle name="Style 73" xfId="3631"/>
    <cellStyle name="Style 74" xfId="3632"/>
    <cellStyle name="Style 75" xfId="3633"/>
    <cellStyle name="Style 76" xfId="3634"/>
    <cellStyle name="Style 77" xfId="3635"/>
    <cellStyle name="Style 78" xfId="3636"/>
    <cellStyle name="Style 79" xfId="3637"/>
    <cellStyle name="Style 8" xfId="3638"/>
    <cellStyle name="Style 8 2" xfId="3639"/>
    <cellStyle name="Style 80" xfId="3640"/>
    <cellStyle name="Style 81" xfId="3641"/>
    <cellStyle name="Style 82" xfId="3642"/>
    <cellStyle name="Style 83" xfId="3643"/>
    <cellStyle name="Style 84" xfId="3644"/>
    <cellStyle name="Style 85" xfId="3645"/>
    <cellStyle name="Style 86" xfId="3646"/>
    <cellStyle name="Style 87" xfId="3647"/>
    <cellStyle name="Style 88" xfId="3648"/>
    <cellStyle name="Style 89" xfId="3649"/>
    <cellStyle name="Style 9" xfId="3650"/>
    <cellStyle name="Style 9 2" xfId="3651"/>
    <cellStyle name="Style 90" xfId="3652"/>
    <cellStyle name="Style 91" xfId="3653"/>
    <cellStyle name="Style 92" xfId="3654"/>
    <cellStyle name="Style 93" xfId="3655"/>
    <cellStyle name="Style 94" xfId="3656"/>
    <cellStyle name="Style 95" xfId="3657"/>
    <cellStyle name="Style 96" xfId="3658"/>
    <cellStyle name="Style 97" xfId="3659"/>
    <cellStyle name="Style 98" xfId="3660"/>
    <cellStyle name="Style 99" xfId="3661"/>
    <cellStyle name="Style Date" xfId="3662"/>
    <cellStyle name="style_1" xfId="3663"/>
    <cellStyle name="subhead" xfId="3664"/>
    <cellStyle name="subhead 2" xfId="3665"/>
    <cellStyle name="Subtotal" xfId="3666"/>
    <cellStyle name="symbol" xfId="3667"/>
    <cellStyle name="T" xfId="3668"/>
    <cellStyle name="T 10" xfId="3669"/>
    <cellStyle name="T 11" xfId="3670"/>
    <cellStyle name="T 12" xfId="3671"/>
    <cellStyle name="T 13" xfId="3672"/>
    <cellStyle name="T 14" xfId="3673"/>
    <cellStyle name="T 15" xfId="3674"/>
    <cellStyle name="T 2" xfId="3675"/>
    <cellStyle name="T 3" xfId="3676"/>
    <cellStyle name="T 4" xfId="3677"/>
    <cellStyle name="T 5" xfId="3678"/>
    <cellStyle name="T 6" xfId="3679"/>
    <cellStyle name="T 7" xfId="3680"/>
    <cellStyle name="T 8" xfId="3681"/>
    <cellStyle name="T 9" xfId="3682"/>
    <cellStyle name="T_15_10_2013 BC nhu cau von doi ung ODA (2014-2016) ngay 15102013 Sua" xfId="3683"/>
    <cellStyle name="T_bao cao" xfId="3684"/>
    <cellStyle name="T_bao cao 2" xfId="3685"/>
    <cellStyle name="T_bao cao phan bo KHDT 2011(final)" xfId="3686"/>
    <cellStyle name="T_Bao cao so lieu kiem toan nam 2007 sua" xfId="3687"/>
    <cellStyle name="T_Bao cao so lieu kiem toan nam 2007 sua 2" xfId="3688"/>
    <cellStyle name="T_Bao cao so lieu kiem toan nam 2007 sua_!1 1 bao cao giao KH ve HTCMT vung TNB   12-12-2011" xfId="3689"/>
    <cellStyle name="T_Bao cao so lieu kiem toan nam 2007 sua_!1 1 bao cao giao KH ve HTCMT vung TNB   12-12-2011 2" xfId="3690"/>
    <cellStyle name="T_Bao cao so lieu kiem toan nam 2007 sua_KH TPCP vung TNB (03-1-2012)" xfId="3691"/>
    <cellStyle name="T_Bao cao so lieu kiem toan nam 2007 sua_KH TPCP vung TNB (03-1-2012) 2" xfId="3692"/>
    <cellStyle name="T_bao cao_!1 1 bao cao giao KH ve HTCMT vung TNB   12-12-2011" xfId="3693"/>
    <cellStyle name="T_bao cao_!1 1 bao cao giao KH ve HTCMT vung TNB   12-12-2011 2" xfId="3694"/>
    <cellStyle name="T_bao cao_Bieu4HTMT" xfId="3695"/>
    <cellStyle name="T_bao cao_Bieu4HTMT 2" xfId="3696"/>
    <cellStyle name="T_bao cao_Bieu4HTMT_!1 1 bao cao giao KH ve HTCMT vung TNB   12-12-2011" xfId="3697"/>
    <cellStyle name="T_bao cao_Bieu4HTMT_!1 1 bao cao giao KH ve HTCMT vung TNB   12-12-2011 2" xfId="3698"/>
    <cellStyle name="T_bao cao_Bieu4HTMT_KH TPCP vung TNB (03-1-2012)" xfId="3699"/>
    <cellStyle name="T_bao cao_Bieu4HTMT_KH TPCP vung TNB (03-1-2012) 2" xfId="3700"/>
    <cellStyle name="T_bao cao_KH TPCP vung TNB (03-1-2012)" xfId="3701"/>
    <cellStyle name="T_bao cao_KH TPCP vung TNB (03-1-2012) 2" xfId="3702"/>
    <cellStyle name="T_BBTNG-06" xfId="3703"/>
    <cellStyle name="T_BBTNG-06 2" xfId="3704"/>
    <cellStyle name="T_BBTNG-06_!1 1 bao cao giao KH ve HTCMT vung TNB   12-12-2011" xfId="3705"/>
    <cellStyle name="T_BBTNG-06_!1 1 bao cao giao KH ve HTCMT vung TNB   12-12-2011 2" xfId="3706"/>
    <cellStyle name="T_BBTNG-06_Bieu4HTMT" xfId="3707"/>
    <cellStyle name="T_BBTNG-06_Bieu4HTMT 2" xfId="3708"/>
    <cellStyle name="T_BBTNG-06_Bieu4HTMT_!1 1 bao cao giao KH ve HTCMT vung TNB   12-12-2011" xfId="3709"/>
    <cellStyle name="T_BBTNG-06_Bieu4HTMT_!1 1 bao cao giao KH ve HTCMT vung TNB   12-12-2011 2" xfId="3710"/>
    <cellStyle name="T_BBTNG-06_Bieu4HTMT_KH TPCP vung TNB (03-1-2012)" xfId="3711"/>
    <cellStyle name="T_BBTNG-06_Bieu4HTMT_KH TPCP vung TNB (03-1-2012) 2" xfId="3712"/>
    <cellStyle name="T_BBTNG-06_KH TPCP vung TNB (03-1-2012)" xfId="3713"/>
    <cellStyle name="T_BBTNG-06_KH TPCP vung TNB (03-1-2012) 2" xfId="3714"/>
    <cellStyle name="T_BC  NAM 2007" xfId="3715"/>
    <cellStyle name="T_BC  NAM 2007 2" xfId="3716"/>
    <cellStyle name="T_BC CTMT-2008 Ttinh" xfId="3717"/>
    <cellStyle name="T_BC CTMT-2008 Ttinh 2" xfId="3718"/>
    <cellStyle name="T_BC CTMT-2008 Ttinh_!1 1 bao cao giao KH ve HTCMT vung TNB   12-12-2011" xfId="3719"/>
    <cellStyle name="T_BC CTMT-2008 Ttinh_!1 1 bao cao giao KH ve HTCMT vung TNB   12-12-2011 2" xfId="3720"/>
    <cellStyle name="T_BC CTMT-2008 Ttinh_KH TPCP vung TNB (03-1-2012)" xfId="3721"/>
    <cellStyle name="T_BC CTMT-2008 Ttinh_KH TPCP vung TNB (03-1-2012) 2" xfId="3722"/>
    <cellStyle name="T_BC nhu cau von doi ung ODA nganh NN (BKH)" xfId="3723"/>
    <cellStyle name="T_BC nhu cau von doi ung ODA nganh NN (BKH)_05-12  KH trung han 2016-2020 - Liem Thinh edited" xfId="3724"/>
    <cellStyle name="T_BC nhu cau von doi ung ODA nganh NN (BKH)_Copy of 05-12  KH trung han 2016-2020 - Liem Thinh edited (1)" xfId="3725"/>
    <cellStyle name="T_BC Tai co cau (bieu TH)" xfId="3726"/>
    <cellStyle name="T_BC Tai co cau (bieu TH)_05-12  KH trung han 2016-2020 - Liem Thinh edited" xfId="3727"/>
    <cellStyle name="T_BC Tai co cau (bieu TH)_Copy of 05-12  KH trung han 2016-2020 - Liem Thinh edited (1)" xfId="3728"/>
    <cellStyle name="T_Bieu 4.2 A, B KHCTgiong 2011" xfId="3729"/>
    <cellStyle name="T_Bieu 4.2 A, B KHCTgiong 2011 10" xfId="3730"/>
    <cellStyle name="T_Bieu 4.2 A, B KHCTgiong 2011 11" xfId="3731"/>
    <cellStyle name="T_Bieu 4.2 A, B KHCTgiong 2011 12" xfId="3732"/>
    <cellStyle name="T_Bieu 4.2 A, B KHCTgiong 2011 13" xfId="3733"/>
    <cellStyle name="T_Bieu 4.2 A, B KHCTgiong 2011 14" xfId="3734"/>
    <cellStyle name="T_Bieu 4.2 A, B KHCTgiong 2011 15" xfId="3735"/>
    <cellStyle name="T_Bieu 4.2 A, B KHCTgiong 2011 2" xfId="3736"/>
    <cellStyle name="T_Bieu 4.2 A, B KHCTgiong 2011 3" xfId="3737"/>
    <cellStyle name="T_Bieu 4.2 A, B KHCTgiong 2011 4" xfId="3738"/>
    <cellStyle name="T_Bieu 4.2 A, B KHCTgiong 2011 5" xfId="3739"/>
    <cellStyle name="T_Bieu 4.2 A, B KHCTgiong 2011 6" xfId="3740"/>
    <cellStyle name="T_Bieu 4.2 A, B KHCTgiong 2011 7" xfId="3741"/>
    <cellStyle name="T_Bieu 4.2 A, B KHCTgiong 2011 8" xfId="3742"/>
    <cellStyle name="T_Bieu 4.2 A, B KHCTgiong 2011 9" xfId="3743"/>
    <cellStyle name="T_Bieu mau cong trinh khoi cong moi 3-4" xfId="3744"/>
    <cellStyle name="T_Bieu mau cong trinh khoi cong moi 3-4 2" xfId="3745"/>
    <cellStyle name="T_Bieu mau cong trinh khoi cong moi 3-4_!1 1 bao cao giao KH ve HTCMT vung TNB   12-12-2011" xfId="3746"/>
    <cellStyle name="T_Bieu mau cong trinh khoi cong moi 3-4_!1 1 bao cao giao KH ve HTCMT vung TNB   12-12-2011 2" xfId="3747"/>
    <cellStyle name="T_Bieu mau cong trinh khoi cong moi 3-4_KH TPCP vung TNB (03-1-2012)" xfId="3748"/>
    <cellStyle name="T_Bieu mau cong trinh khoi cong moi 3-4_KH TPCP vung TNB (03-1-2012) 2" xfId="3749"/>
    <cellStyle name="T_Bieu mau danh muc du an thuoc CTMTQG nam 2008" xfId="3750"/>
    <cellStyle name="T_Bieu mau danh muc du an thuoc CTMTQG nam 2008 2" xfId="3751"/>
    <cellStyle name="T_Bieu mau danh muc du an thuoc CTMTQG nam 2008_!1 1 bao cao giao KH ve HTCMT vung TNB   12-12-2011" xfId="3752"/>
    <cellStyle name="T_Bieu mau danh muc du an thuoc CTMTQG nam 2008_!1 1 bao cao giao KH ve HTCMT vung TNB   12-12-2011 2" xfId="3753"/>
    <cellStyle name="T_Bieu mau danh muc du an thuoc CTMTQG nam 2008_KH TPCP vung TNB (03-1-2012)" xfId="3754"/>
    <cellStyle name="T_Bieu mau danh muc du an thuoc CTMTQG nam 2008_KH TPCP vung TNB (03-1-2012) 2" xfId="3755"/>
    <cellStyle name="T_Bieu tong hop nhu cau ung 2011 da chon loc -Mien nui" xfId="3756"/>
    <cellStyle name="T_Bieu tong hop nhu cau ung 2011 da chon loc -Mien nui 2" xfId="3757"/>
    <cellStyle name="T_Bieu tong hop nhu cau ung 2011 da chon loc -Mien nui_!1 1 bao cao giao KH ve HTCMT vung TNB   12-12-2011" xfId="3758"/>
    <cellStyle name="T_Bieu tong hop nhu cau ung 2011 da chon loc -Mien nui_!1 1 bao cao giao KH ve HTCMT vung TNB   12-12-2011 2" xfId="3759"/>
    <cellStyle name="T_Bieu tong hop nhu cau ung 2011 da chon loc -Mien nui_KH TPCP vung TNB (03-1-2012)" xfId="3760"/>
    <cellStyle name="T_Bieu tong hop nhu cau ung 2011 da chon loc -Mien nui_KH TPCP vung TNB (03-1-2012) 2" xfId="3761"/>
    <cellStyle name="T_Bieu3ODA" xfId="3762"/>
    <cellStyle name="T_Bieu3ODA 2" xfId="3763"/>
    <cellStyle name="T_Bieu3ODA_!1 1 bao cao giao KH ve HTCMT vung TNB   12-12-2011" xfId="3764"/>
    <cellStyle name="T_Bieu3ODA_!1 1 bao cao giao KH ve HTCMT vung TNB   12-12-2011 2" xfId="3765"/>
    <cellStyle name="T_Bieu3ODA_1" xfId="3766"/>
    <cellStyle name="T_Bieu3ODA_1 2" xfId="3767"/>
    <cellStyle name="T_Bieu3ODA_1_!1 1 bao cao giao KH ve HTCMT vung TNB   12-12-2011" xfId="3768"/>
    <cellStyle name="T_Bieu3ODA_1_!1 1 bao cao giao KH ve HTCMT vung TNB   12-12-2011 2" xfId="3769"/>
    <cellStyle name="T_Bieu3ODA_1_KH TPCP vung TNB (03-1-2012)" xfId="3770"/>
    <cellStyle name="T_Bieu3ODA_1_KH TPCP vung TNB (03-1-2012) 2" xfId="3771"/>
    <cellStyle name="T_Bieu3ODA_KH TPCP vung TNB (03-1-2012)" xfId="3772"/>
    <cellStyle name="T_Bieu3ODA_KH TPCP vung TNB (03-1-2012) 2" xfId="3773"/>
    <cellStyle name="T_Bieu4HTMT" xfId="3774"/>
    <cellStyle name="T_Bieu4HTMT 2" xfId="3775"/>
    <cellStyle name="T_Bieu4HTMT_!1 1 bao cao giao KH ve HTCMT vung TNB   12-12-2011" xfId="3776"/>
    <cellStyle name="T_Bieu4HTMT_!1 1 bao cao giao KH ve HTCMT vung TNB   12-12-2011 2" xfId="3777"/>
    <cellStyle name="T_Bieu4HTMT_KH TPCP vung TNB (03-1-2012)" xfId="3778"/>
    <cellStyle name="T_Bieu4HTMT_KH TPCP vung TNB (03-1-2012) 2" xfId="3779"/>
    <cellStyle name="T_bo sung von KCH nam 2010 va Du an tre kho khan" xfId="3780"/>
    <cellStyle name="T_bo sung von KCH nam 2010 va Du an tre kho khan 2" xfId="3781"/>
    <cellStyle name="T_bo sung von KCH nam 2010 va Du an tre kho khan_!1 1 bao cao giao KH ve HTCMT vung TNB   12-12-2011" xfId="3782"/>
    <cellStyle name="T_bo sung von KCH nam 2010 va Du an tre kho khan_!1 1 bao cao giao KH ve HTCMT vung TNB   12-12-2011 2" xfId="3783"/>
    <cellStyle name="T_bo sung von KCH nam 2010 va Du an tre kho khan_KH TPCP vung TNB (03-1-2012)" xfId="3784"/>
    <cellStyle name="T_bo sung von KCH nam 2010 va Du an tre kho khan_KH TPCP vung TNB (03-1-2012) 2" xfId="3785"/>
    <cellStyle name="T_Book1" xfId="3786"/>
    <cellStyle name="T_Book1 2" xfId="3787"/>
    <cellStyle name="T_Book1 3" xfId="3788"/>
    <cellStyle name="T_Book1_!1 1 bao cao giao KH ve HTCMT vung TNB   12-12-2011" xfId="3789"/>
    <cellStyle name="T_Book1_!1 1 bao cao giao KH ve HTCMT vung TNB   12-12-2011 2" xfId="3790"/>
    <cellStyle name="T_Book1_1" xfId="3791"/>
    <cellStyle name="T_Book1_1 2" xfId="3792"/>
    <cellStyle name="T_Book1_1_Bieu tong hop nhu cau ung 2011 da chon loc -Mien nui" xfId="3793"/>
    <cellStyle name="T_Book1_1_Bieu tong hop nhu cau ung 2011 da chon loc -Mien nui 2" xfId="3794"/>
    <cellStyle name="T_Book1_1_Bieu tong hop nhu cau ung 2011 da chon loc -Mien nui_!1 1 bao cao giao KH ve HTCMT vung TNB   12-12-2011" xfId="3795"/>
    <cellStyle name="T_Book1_1_Bieu tong hop nhu cau ung 2011 da chon loc -Mien nui_!1 1 bao cao giao KH ve HTCMT vung TNB   12-12-2011 2" xfId="3796"/>
    <cellStyle name="T_Book1_1_Bieu tong hop nhu cau ung 2011 da chon loc -Mien nui_KH TPCP vung TNB (03-1-2012)" xfId="3797"/>
    <cellStyle name="T_Book1_1_Bieu tong hop nhu cau ung 2011 da chon loc -Mien nui_KH TPCP vung TNB (03-1-2012) 2" xfId="3798"/>
    <cellStyle name="T_Book1_1_Bieu3ODA" xfId="3799"/>
    <cellStyle name="T_Book1_1_Bieu3ODA 2" xfId="3800"/>
    <cellStyle name="T_Book1_1_Bieu3ODA_!1 1 bao cao giao KH ve HTCMT vung TNB   12-12-2011" xfId="3801"/>
    <cellStyle name="T_Book1_1_Bieu3ODA_!1 1 bao cao giao KH ve HTCMT vung TNB   12-12-2011 2" xfId="3802"/>
    <cellStyle name="T_Book1_1_Bieu3ODA_KH TPCP vung TNB (03-1-2012)" xfId="3803"/>
    <cellStyle name="T_Book1_1_Bieu3ODA_KH TPCP vung TNB (03-1-2012) 2" xfId="3804"/>
    <cellStyle name="T_Book1_1_CPK" xfId="3805"/>
    <cellStyle name="T_Book1_1_CPK 2" xfId="3806"/>
    <cellStyle name="T_Book1_1_CPK_!1 1 bao cao giao KH ve HTCMT vung TNB   12-12-2011" xfId="3807"/>
    <cellStyle name="T_Book1_1_CPK_!1 1 bao cao giao KH ve HTCMT vung TNB   12-12-2011 2" xfId="3808"/>
    <cellStyle name="T_Book1_1_CPK_Bieu4HTMT" xfId="3809"/>
    <cellStyle name="T_Book1_1_CPK_Bieu4HTMT 2" xfId="3810"/>
    <cellStyle name="T_Book1_1_CPK_Bieu4HTMT_!1 1 bao cao giao KH ve HTCMT vung TNB   12-12-2011" xfId="3811"/>
    <cellStyle name="T_Book1_1_CPK_Bieu4HTMT_!1 1 bao cao giao KH ve HTCMT vung TNB   12-12-2011 2" xfId="3812"/>
    <cellStyle name="T_Book1_1_CPK_Bieu4HTMT_KH TPCP vung TNB (03-1-2012)" xfId="3813"/>
    <cellStyle name="T_Book1_1_CPK_Bieu4HTMT_KH TPCP vung TNB (03-1-2012) 2" xfId="3814"/>
    <cellStyle name="T_Book1_1_CPK_KH TPCP vung TNB (03-1-2012)" xfId="3815"/>
    <cellStyle name="T_Book1_1_CPK_KH TPCP vung TNB (03-1-2012) 2" xfId="3816"/>
    <cellStyle name="T_Book1_1_KH TPCP vung TNB (03-1-2012)" xfId="3817"/>
    <cellStyle name="T_Book1_1_KH TPCP vung TNB (03-1-2012) 2" xfId="3818"/>
    <cellStyle name="T_Book1_1_kien giang 2" xfId="3819"/>
    <cellStyle name="T_Book1_1_kien giang 2 2" xfId="3820"/>
    <cellStyle name="T_Book1_1_Luy ke von ung nam 2011 -Thoa gui ngay 12-8-2012" xfId="3821"/>
    <cellStyle name="T_Book1_1_Luy ke von ung nam 2011 -Thoa gui ngay 12-8-2012 2" xfId="3822"/>
    <cellStyle name="T_Book1_1_Luy ke von ung nam 2011 -Thoa gui ngay 12-8-2012_!1 1 bao cao giao KH ve HTCMT vung TNB   12-12-2011" xfId="3823"/>
    <cellStyle name="T_Book1_1_Luy ke von ung nam 2011 -Thoa gui ngay 12-8-2012_!1 1 bao cao giao KH ve HTCMT vung TNB   12-12-2011 2" xfId="3824"/>
    <cellStyle name="T_Book1_1_Luy ke von ung nam 2011 -Thoa gui ngay 12-8-2012_KH TPCP vung TNB (03-1-2012)" xfId="3825"/>
    <cellStyle name="T_Book1_1_Luy ke von ung nam 2011 -Thoa gui ngay 12-8-2012_KH TPCP vung TNB (03-1-2012) 2" xfId="3826"/>
    <cellStyle name="T_Book1_1_Thiet bi" xfId="3827"/>
    <cellStyle name="T_Book1_1_Thiet bi 2" xfId="3828"/>
    <cellStyle name="T_Book1_1_Thiet bi_!1 1 bao cao giao KH ve HTCMT vung TNB   12-12-2011" xfId="3829"/>
    <cellStyle name="T_Book1_1_Thiet bi_!1 1 bao cao giao KH ve HTCMT vung TNB   12-12-2011 2" xfId="3830"/>
    <cellStyle name="T_Book1_1_Thiet bi_Bieu4HTMT" xfId="3831"/>
    <cellStyle name="T_Book1_1_Thiet bi_Bieu4HTMT 2" xfId="3832"/>
    <cellStyle name="T_Book1_1_Thiet bi_Bieu4HTMT_!1 1 bao cao giao KH ve HTCMT vung TNB   12-12-2011" xfId="3833"/>
    <cellStyle name="T_Book1_1_Thiet bi_Bieu4HTMT_!1 1 bao cao giao KH ve HTCMT vung TNB   12-12-2011 2" xfId="3834"/>
    <cellStyle name="T_Book1_1_Thiet bi_Bieu4HTMT_KH TPCP vung TNB (03-1-2012)" xfId="3835"/>
    <cellStyle name="T_Book1_1_Thiet bi_Bieu4HTMT_KH TPCP vung TNB (03-1-2012) 2" xfId="3836"/>
    <cellStyle name="T_Book1_1_Thiet bi_KH TPCP vung TNB (03-1-2012)" xfId="3837"/>
    <cellStyle name="T_Book1_1_Thiet bi_KH TPCP vung TNB (03-1-2012) 2" xfId="3838"/>
    <cellStyle name="T_Book1_15_10_2013 BC nhu cau von doi ung ODA (2014-2016) ngay 15102013 Sua" xfId="3839"/>
    <cellStyle name="T_Book1_bao cao phan bo KHDT 2011(final)" xfId="3840"/>
    <cellStyle name="T_Book1_bao cao phan bo KHDT 2011(final)_BC nhu cau von doi ung ODA nganh NN (BKH)" xfId="3841"/>
    <cellStyle name="T_Book1_bao cao phan bo KHDT 2011(final)_BC Tai co cau (bieu TH)" xfId="3842"/>
    <cellStyle name="T_Book1_bao cao phan bo KHDT 2011(final)_DK 2014-2015 final" xfId="3843"/>
    <cellStyle name="T_Book1_bao cao phan bo KHDT 2011(final)_DK 2014-2015 new" xfId="3844"/>
    <cellStyle name="T_Book1_bao cao phan bo KHDT 2011(final)_DK KH CBDT 2014 11-11-2013" xfId="3845"/>
    <cellStyle name="T_Book1_bao cao phan bo KHDT 2011(final)_DK KH CBDT 2014 11-11-2013(1)" xfId="3846"/>
    <cellStyle name="T_Book1_bao cao phan bo KHDT 2011(final)_KH 2011-2015" xfId="3847"/>
    <cellStyle name="T_Book1_bao cao phan bo KHDT 2011(final)_tai co cau dau tu (tong hop)1" xfId="3848"/>
    <cellStyle name="T_Book1_BC nhu cau von doi ung ODA nganh NN (BKH)" xfId="3849"/>
    <cellStyle name="T_Book1_BC nhu cau von doi ung ODA nganh NN (BKH)_05-12  KH trung han 2016-2020 - Liem Thinh edited" xfId="3850"/>
    <cellStyle name="T_Book1_BC nhu cau von doi ung ODA nganh NN (BKH)_Copy of 05-12  KH trung han 2016-2020 - Liem Thinh edited (1)" xfId="3851"/>
    <cellStyle name="T_Book1_BC NQ11-CP - chinh sua lai" xfId="3852"/>
    <cellStyle name="T_Book1_BC NQ11-CP - chinh sua lai 2" xfId="3853"/>
    <cellStyle name="T_Book1_BC NQ11-CP-Quynh sau bieu so3" xfId="3854"/>
    <cellStyle name="T_Book1_BC NQ11-CP-Quynh sau bieu so3 2" xfId="3855"/>
    <cellStyle name="T_Book1_BC Tai co cau (bieu TH)" xfId="3856"/>
    <cellStyle name="T_Book1_BC Tai co cau (bieu TH)_05-12  KH trung han 2016-2020 - Liem Thinh edited" xfId="3857"/>
    <cellStyle name="T_Book1_BC Tai co cau (bieu TH)_Copy of 05-12  KH trung han 2016-2020 - Liem Thinh edited (1)" xfId="3858"/>
    <cellStyle name="T_Book1_BC_NQ11-CP_-_Thao_sua_lai" xfId="3859"/>
    <cellStyle name="T_Book1_BC_NQ11-CP_-_Thao_sua_lai 2" xfId="3860"/>
    <cellStyle name="T_Book1_Bieu mau cong trinh khoi cong moi 3-4" xfId="3861"/>
    <cellStyle name="T_Book1_Bieu mau cong trinh khoi cong moi 3-4 2" xfId="3862"/>
    <cellStyle name="T_Book1_Bieu mau cong trinh khoi cong moi 3-4_!1 1 bao cao giao KH ve HTCMT vung TNB   12-12-2011" xfId="3863"/>
    <cellStyle name="T_Book1_Bieu mau cong trinh khoi cong moi 3-4_!1 1 bao cao giao KH ve HTCMT vung TNB   12-12-2011 2" xfId="3864"/>
    <cellStyle name="T_Book1_Bieu mau cong trinh khoi cong moi 3-4_KH TPCP vung TNB (03-1-2012)" xfId="3865"/>
    <cellStyle name="T_Book1_Bieu mau cong trinh khoi cong moi 3-4_KH TPCP vung TNB (03-1-2012) 2" xfId="3866"/>
    <cellStyle name="T_Book1_Bieu mau danh muc du an thuoc CTMTQG nam 2008" xfId="3867"/>
    <cellStyle name="T_Book1_Bieu mau danh muc du an thuoc CTMTQG nam 2008 2" xfId="3868"/>
    <cellStyle name="T_Book1_Bieu mau danh muc du an thuoc CTMTQG nam 2008_!1 1 bao cao giao KH ve HTCMT vung TNB   12-12-2011" xfId="3869"/>
    <cellStyle name="T_Book1_Bieu mau danh muc du an thuoc CTMTQG nam 2008_!1 1 bao cao giao KH ve HTCMT vung TNB   12-12-2011 2" xfId="3870"/>
    <cellStyle name="T_Book1_Bieu mau danh muc du an thuoc CTMTQG nam 2008_KH TPCP vung TNB (03-1-2012)" xfId="3871"/>
    <cellStyle name="T_Book1_Bieu mau danh muc du an thuoc CTMTQG nam 2008_KH TPCP vung TNB (03-1-2012) 2" xfId="3872"/>
    <cellStyle name="T_Book1_Bieu tong hop nhu cau ung 2011 da chon loc -Mien nui" xfId="3873"/>
    <cellStyle name="T_Book1_Bieu tong hop nhu cau ung 2011 da chon loc -Mien nui 2" xfId="3874"/>
    <cellStyle name="T_Book1_Bieu tong hop nhu cau ung 2011 da chon loc -Mien nui_!1 1 bao cao giao KH ve HTCMT vung TNB   12-12-2011" xfId="3875"/>
    <cellStyle name="T_Book1_Bieu tong hop nhu cau ung 2011 da chon loc -Mien nui_!1 1 bao cao giao KH ve HTCMT vung TNB   12-12-2011 2" xfId="3876"/>
    <cellStyle name="T_Book1_Bieu tong hop nhu cau ung 2011 da chon loc -Mien nui_KH TPCP vung TNB (03-1-2012)" xfId="3877"/>
    <cellStyle name="T_Book1_Bieu tong hop nhu cau ung 2011 da chon loc -Mien nui_KH TPCP vung TNB (03-1-2012) 2" xfId="3878"/>
    <cellStyle name="T_Book1_Bieu3ODA" xfId="3879"/>
    <cellStyle name="T_Book1_Bieu3ODA 2" xfId="3880"/>
    <cellStyle name="T_Book1_Bieu3ODA_!1 1 bao cao giao KH ve HTCMT vung TNB   12-12-2011" xfId="3881"/>
    <cellStyle name="T_Book1_Bieu3ODA_!1 1 bao cao giao KH ve HTCMT vung TNB   12-12-2011 2" xfId="3882"/>
    <cellStyle name="T_Book1_Bieu3ODA_1" xfId="3883"/>
    <cellStyle name="T_Book1_Bieu3ODA_1 2" xfId="3884"/>
    <cellStyle name="T_Book1_Bieu3ODA_1_!1 1 bao cao giao KH ve HTCMT vung TNB   12-12-2011" xfId="3885"/>
    <cellStyle name="T_Book1_Bieu3ODA_1_!1 1 bao cao giao KH ve HTCMT vung TNB   12-12-2011 2" xfId="3886"/>
    <cellStyle name="T_Book1_Bieu3ODA_1_KH TPCP vung TNB (03-1-2012)" xfId="3887"/>
    <cellStyle name="T_Book1_Bieu3ODA_1_KH TPCP vung TNB (03-1-2012) 2" xfId="3888"/>
    <cellStyle name="T_Book1_Bieu3ODA_KH TPCP vung TNB (03-1-2012)" xfId="3889"/>
    <cellStyle name="T_Book1_Bieu3ODA_KH TPCP vung TNB (03-1-2012) 2" xfId="3890"/>
    <cellStyle name="T_Book1_Bieu4HTMT" xfId="3891"/>
    <cellStyle name="T_Book1_Bieu4HTMT 2" xfId="3892"/>
    <cellStyle name="T_Book1_Bieu4HTMT_!1 1 bao cao giao KH ve HTCMT vung TNB   12-12-2011" xfId="3893"/>
    <cellStyle name="T_Book1_Bieu4HTMT_!1 1 bao cao giao KH ve HTCMT vung TNB   12-12-2011 2" xfId="3894"/>
    <cellStyle name="T_Book1_Bieu4HTMT_KH TPCP vung TNB (03-1-2012)" xfId="3895"/>
    <cellStyle name="T_Book1_Bieu4HTMT_KH TPCP vung TNB (03-1-2012) 2" xfId="3896"/>
    <cellStyle name="T_Book1_Book1" xfId="3897"/>
    <cellStyle name="T_Book1_Book1 2" xfId="3898"/>
    <cellStyle name="T_Book1_Cong trinh co y kien LD_Dang_NN_2011-Tay nguyen-9-10" xfId="3899"/>
    <cellStyle name="T_Book1_Cong trinh co y kien LD_Dang_NN_2011-Tay nguyen-9-10 2" xfId="3900"/>
    <cellStyle name="T_Book1_Cong trinh co y kien LD_Dang_NN_2011-Tay nguyen-9-10_!1 1 bao cao giao KH ve HTCMT vung TNB   12-12-2011" xfId="3901"/>
    <cellStyle name="T_Book1_Cong trinh co y kien LD_Dang_NN_2011-Tay nguyen-9-10_!1 1 bao cao giao KH ve HTCMT vung TNB   12-12-2011 2" xfId="3902"/>
    <cellStyle name="T_Book1_Cong trinh co y kien LD_Dang_NN_2011-Tay nguyen-9-10_Bieu4HTMT" xfId="3903"/>
    <cellStyle name="T_Book1_Cong trinh co y kien LD_Dang_NN_2011-Tay nguyen-9-10_Bieu4HTMT 2" xfId="3904"/>
    <cellStyle name="T_Book1_Cong trinh co y kien LD_Dang_NN_2011-Tay nguyen-9-10_KH TPCP vung TNB (03-1-2012)" xfId="3905"/>
    <cellStyle name="T_Book1_Cong trinh co y kien LD_Dang_NN_2011-Tay nguyen-9-10_KH TPCP vung TNB (03-1-2012) 2" xfId="3906"/>
    <cellStyle name="T_Book1_CPK" xfId="3907"/>
    <cellStyle name="T_Book1_CPK 2" xfId="3908"/>
    <cellStyle name="T_Book1_danh muc chuan bi dau tu 2011 ngay 07-6-2011" xfId="3909"/>
    <cellStyle name="T_Book1_danh muc chuan bi dau tu 2011 ngay 07-6-2011 2" xfId="3910"/>
    <cellStyle name="T_Book1_dieu chinh KH 2011 ngay 26-5-2011111" xfId="3911"/>
    <cellStyle name="T_Book1_dieu chinh KH 2011 ngay 26-5-2011111 2" xfId="3912"/>
    <cellStyle name="T_Book1_DK 2014-2015 final" xfId="3913"/>
    <cellStyle name="T_Book1_DK 2014-2015 final_05-12  KH trung han 2016-2020 - Liem Thinh edited" xfId="3914"/>
    <cellStyle name="T_Book1_DK 2014-2015 final_Copy of 05-12  KH trung han 2016-2020 - Liem Thinh edited (1)" xfId="3915"/>
    <cellStyle name="T_Book1_DK 2014-2015 new" xfId="3916"/>
    <cellStyle name="T_Book1_DK 2014-2015 new_05-12  KH trung han 2016-2020 - Liem Thinh edited" xfId="3917"/>
    <cellStyle name="T_Book1_DK 2014-2015 new_Copy of 05-12  KH trung han 2016-2020 - Liem Thinh edited (1)" xfId="3918"/>
    <cellStyle name="T_Book1_DK KH CBDT 2014 11-11-2013" xfId="3919"/>
    <cellStyle name="T_Book1_DK KH CBDT 2014 11-11-2013(1)" xfId="3920"/>
    <cellStyle name="T_Book1_DK KH CBDT 2014 11-11-2013(1)_05-12  KH trung han 2016-2020 - Liem Thinh edited" xfId="3921"/>
    <cellStyle name="T_Book1_DK KH CBDT 2014 11-11-2013(1)_Copy of 05-12  KH trung han 2016-2020 - Liem Thinh edited (1)" xfId="3922"/>
    <cellStyle name="T_Book1_DK KH CBDT 2014 11-11-2013_05-12  KH trung han 2016-2020 - Liem Thinh edited" xfId="3923"/>
    <cellStyle name="T_Book1_DK KH CBDT 2014 11-11-2013_Copy of 05-12  KH trung han 2016-2020 - Liem Thinh edited (1)" xfId="3924"/>
    <cellStyle name="T_Book1_Du an khoi cong moi nam 2010" xfId="3925"/>
    <cellStyle name="T_Book1_Du an khoi cong moi nam 2010 2" xfId="3926"/>
    <cellStyle name="T_Book1_Du an khoi cong moi nam 2010_!1 1 bao cao giao KH ve HTCMT vung TNB   12-12-2011" xfId="3927"/>
    <cellStyle name="T_Book1_Du an khoi cong moi nam 2010_!1 1 bao cao giao KH ve HTCMT vung TNB   12-12-2011 2" xfId="3928"/>
    <cellStyle name="T_Book1_Du an khoi cong moi nam 2010_KH TPCP vung TNB (03-1-2012)" xfId="3929"/>
    <cellStyle name="T_Book1_Du an khoi cong moi nam 2010_KH TPCP vung TNB (03-1-2012) 2" xfId="3930"/>
    <cellStyle name="T_Book1_giao KH 2011 ngay 10-12-2010" xfId="3931"/>
    <cellStyle name="T_Book1_giao KH 2011 ngay 10-12-2010 2" xfId="3932"/>
    <cellStyle name="T_Book1_Hang Tom goi9 9-07(Cau 12 sua)" xfId="3933"/>
    <cellStyle name="T_Book1_Hang Tom goi9 9-07(Cau 12 sua) 2" xfId="3934"/>
    <cellStyle name="T_Book1_Ket qua phan bo von nam 2008" xfId="3935"/>
    <cellStyle name="T_Book1_Ket qua phan bo von nam 2008 2" xfId="3936"/>
    <cellStyle name="T_Book1_Ket qua phan bo von nam 2008_!1 1 bao cao giao KH ve HTCMT vung TNB   12-12-2011" xfId="3937"/>
    <cellStyle name="T_Book1_Ket qua phan bo von nam 2008_!1 1 bao cao giao KH ve HTCMT vung TNB   12-12-2011 2" xfId="3938"/>
    <cellStyle name="T_Book1_Ket qua phan bo von nam 2008_KH TPCP vung TNB (03-1-2012)" xfId="3939"/>
    <cellStyle name="T_Book1_Ket qua phan bo von nam 2008_KH TPCP vung TNB (03-1-2012) 2" xfId="3940"/>
    <cellStyle name="T_Book1_KH TPCP vung TNB (03-1-2012)" xfId="3941"/>
    <cellStyle name="T_Book1_KH TPCP vung TNB (03-1-2012) 2" xfId="3942"/>
    <cellStyle name="T_Book1_KH XDCB_2008 lan 2 sua ngay 10-11" xfId="3943"/>
    <cellStyle name="T_Book1_KH XDCB_2008 lan 2 sua ngay 10-11 2" xfId="3944"/>
    <cellStyle name="T_Book1_KH XDCB_2008 lan 2 sua ngay 10-11_!1 1 bao cao giao KH ve HTCMT vung TNB   12-12-2011" xfId="3945"/>
    <cellStyle name="T_Book1_KH XDCB_2008 lan 2 sua ngay 10-11_!1 1 bao cao giao KH ve HTCMT vung TNB   12-12-2011 2" xfId="3946"/>
    <cellStyle name="T_Book1_KH XDCB_2008 lan 2 sua ngay 10-11_KH TPCP vung TNB (03-1-2012)" xfId="3947"/>
    <cellStyle name="T_Book1_KH XDCB_2008 lan 2 sua ngay 10-11_KH TPCP vung TNB (03-1-2012) 2" xfId="3948"/>
    <cellStyle name="T_Book1_Khoi luong chinh Hang Tom" xfId="3949"/>
    <cellStyle name="T_Book1_Khoi luong chinh Hang Tom 2" xfId="3950"/>
    <cellStyle name="T_Book1_kien giang 2" xfId="3951"/>
    <cellStyle name="T_Book1_kien giang 2 2" xfId="3952"/>
    <cellStyle name="T_Book1_Luy ke von ung nam 2011 -Thoa gui ngay 12-8-2012" xfId="3953"/>
    <cellStyle name="T_Book1_Luy ke von ung nam 2011 -Thoa gui ngay 12-8-2012 2" xfId="3954"/>
    <cellStyle name="T_Book1_Luy ke von ung nam 2011 -Thoa gui ngay 12-8-2012_!1 1 bao cao giao KH ve HTCMT vung TNB   12-12-2011" xfId="3955"/>
    <cellStyle name="T_Book1_Luy ke von ung nam 2011 -Thoa gui ngay 12-8-2012_!1 1 bao cao giao KH ve HTCMT vung TNB   12-12-2011 2" xfId="3956"/>
    <cellStyle name="T_Book1_Luy ke von ung nam 2011 -Thoa gui ngay 12-8-2012_KH TPCP vung TNB (03-1-2012)" xfId="3957"/>
    <cellStyle name="T_Book1_Luy ke von ung nam 2011 -Thoa gui ngay 12-8-2012_KH TPCP vung TNB (03-1-2012) 2" xfId="3958"/>
    <cellStyle name="T_Book1_Nhu cau von ung truoc 2011 Tha h Hoa + Nge An gui TW" xfId="3959"/>
    <cellStyle name="T_Book1_Nhu cau von ung truoc 2011 Tha h Hoa + Nge An gui TW 2" xfId="3960"/>
    <cellStyle name="T_Book1_Nhu cau von ung truoc 2011 Tha h Hoa + Nge An gui TW_!1 1 bao cao giao KH ve HTCMT vung TNB   12-12-2011" xfId="3961"/>
    <cellStyle name="T_Book1_Nhu cau von ung truoc 2011 Tha h Hoa + Nge An gui TW_!1 1 bao cao giao KH ve HTCMT vung TNB   12-12-2011 2" xfId="3962"/>
    <cellStyle name="T_Book1_Nhu cau von ung truoc 2011 Tha h Hoa + Nge An gui TW_Bieu4HTMT" xfId="3963"/>
    <cellStyle name="T_Book1_Nhu cau von ung truoc 2011 Tha h Hoa + Nge An gui TW_Bieu4HTMT 2" xfId="3964"/>
    <cellStyle name="T_Book1_Nhu cau von ung truoc 2011 Tha h Hoa + Nge An gui TW_Bieu4HTMT_!1 1 bao cao giao KH ve HTCMT vung TNB   12-12-2011" xfId="3965"/>
    <cellStyle name="T_Book1_Nhu cau von ung truoc 2011 Tha h Hoa + Nge An gui TW_Bieu4HTMT_!1 1 bao cao giao KH ve HTCMT vung TNB   12-12-2011 2" xfId="3966"/>
    <cellStyle name="T_Book1_Nhu cau von ung truoc 2011 Tha h Hoa + Nge An gui TW_Bieu4HTMT_KH TPCP vung TNB (03-1-2012)" xfId="3967"/>
    <cellStyle name="T_Book1_Nhu cau von ung truoc 2011 Tha h Hoa + Nge An gui TW_Bieu4HTMT_KH TPCP vung TNB (03-1-2012) 2" xfId="3968"/>
    <cellStyle name="T_Book1_Nhu cau von ung truoc 2011 Tha h Hoa + Nge An gui TW_KH TPCP vung TNB (03-1-2012)" xfId="3969"/>
    <cellStyle name="T_Book1_Nhu cau von ung truoc 2011 Tha h Hoa + Nge An gui TW_KH TPCP vung TNB (03-1-2012) 2" xfId="3970"/>
    <cellStyle name="T_Book1_phu luc tong ket tinh hinh TH giai doan 03-10 (ngay 30)" xfId="3971"/>
    <cellStyle name="T_Book1_phu luc tong ket tinh hinh TH giai doan 03-10 (ngay 30) 2" xfId="3972"/>
    <cellStyle name="T_Book1_phu luc tong ket tinh hinh TH giai doan 03-10 (ngay 30)_!1 1 bao cao giao KH ve HTCMT vung TNB   12-12-2011" xfId="3973"/>
    <cellStyle name="T_Book1_phu luc tong ket tinh hinh TH giai doan 03-10 (ngay 30)_!1 1 bao cao giao KH ve HTCMT vung TNB   12-12-2011 2" xfId="3974"/>
    <cellStyle name="T_Book1_phu luc tong ket tinh hinh TH giai doan 03-10 (ngay 30)_KH TPCP vung TNB (03-1-2012)" xfId="3975"/>
    <cellStyle name="T_Book1_phu luc tong ket tinh hinh TH giai doan 03-10 (ngay 30)_KH TPCP vung TNB (03-1-2012) 2" xfId="3976"/>
    <cellStyle name="T_Book1_TH ung tren 70%-Ra soat phap ly-8-6 (dung de chuyen vao vu TH)" xfId="3977"/>
    <cellStyle name="T_Book1_TH ung tren 70%-Ra soat phap ly-8-6 (dung de chuyen vao vu TH) 2" xfId="3978"/>
    <cellStyle name="T_Book1_TH ung tren 70%-Ra soat phap ly-8-6 (dung de chuyen vao vu TH)_!1 1 bao cao giao KH ve HTCMT vung TNB   12-12-2011" xfId="3979"/>
    <cellStyle name="T_Book1_TH ung tren 70%-Ra soat phap ly-8-6 (dung de chuyen vao vu TH)_!1 1 bao cao giao KH ve HTCMT vung TNB   12-12-2011 2" xfId="3980"/>
    <cellStyle name="T_Book1_TH ung tren 70%-Ra soat phap ly-8-6 (dung de chuyen vao vu TH)_Bieu4HTMT" xfId="3981"/>
    <cellStyle name="T_Book1_TH ung tren 70%-Ra soat phap ly-8-6 (dung de chuyen vao vu TH)_Bieu4HTMT 2" xfId="3982"/>
    <cellStyle name="T_Book1_TH ung tren 70%-Ra soat phap ly-8-6 (dung de chuyen vao vu TH)_KH TPCP vung TNB (03-1-2012)" xfId="3983"/>
    <cellStyle name="T_Book1_TH ung tren 70%-Ra soat phap ly-8-6 (dung de chuyen vao vu TH)_KH TPCP vung TNB (03-1-2012) 2" xfId="3984"/>
    <cellStyle name="T_Book1_TH y kien LD_KH 2010 Ca Nuoc 22-9-2011-Gui ca Vu" xfId="3985"/>
    <cellStyle name="T_Book1_TH y kien LD_KH 2010 Ca Nuoc 22-9-2011-Gui ca Vu 2" xfId="3986"/>
    <cellStyle name="T_Book1_TH y kien LD_KH 2010 Ca Nuoc 22-9-2011-Gui ca Vu_!1 1 bao cao giao KH ve HTCMT vung TNB   12-12-2011" xfId="3987"/>
    <cellStyle name="T_Book1_TH y kien LD_KH 2010 Ca Nuoc 22-9-2011-Gui ca Vu_!1 1 bao cao giao KH ve HTCMT vung TNB   12-12-2011 2" xfId="3988"/>
    <cellStyle name="T_Book1_TH y kien LD_KH 2010 Ca Nuoc 22-9-2011-Gui ca Vu_Bieu4HTMT" xfId="3989"/>
    <cellStyle name="T_Book1_TH y kien LD_KH 2010 Ca Nuoc 22-9-2011-Gui ca Vu_Bieu4HTMT 2" xfId="3990"/>
    <cellStyle name="T_Book1_TH y kien LD_KH 2010 Ca Nuoc 22-9-2011-Gui ca Vu_KH TPCP vung TNB (03-1-2012)" xfId="3991"/>
    <cellStyle name="T_Book1_TH y kien LD_KH 2010 Ca Nuoc 22-9-2011-Gui ca Vu_KH TPCP vung TNB (03-1-2012) 2" xfId="3992"/>
    <cellStyle name="T_Book1_Thiet bi" xfId="3993"/>
    <cellStyle name="T_Book1_Thiet bi 2" xfId="3994"/>
    <cellStyle name="T_Book1_TN - Ho tro khac 2011" xfId="3995"/>
    <cellStyle name="T_Book1_TN - Ho tro khac 2011 2" xfId="3996"/>
    <cellStyle name="T_Book1_TN - Ho tro khac 2011_!1 1 bao cao giao KH ve HTCMT vung TNB   12-12-2011" xfId="3997"/>
    <cellStyle name="T_Book1_TN - Ho tro khac 2011_!1 1 bao cao giao KH ve HTCMT vung TNB   12-12-2011 2" xfId="3998"/>
    <cellStyle name="T_Book1_TN - Ho tro khac 2011_Bieu4HTMT" xfId="3999"/>
    <cellStyle name="T_Book1_TN - Ho tro khac 2011_Bieu4HTMT 2" xfId="4000"/>
    <cellStyle name="T_Book1_TN - Ho tro khac 2011_KH TPCP vung TNB (03-1-2012)" xfId="4001"/>
    <cellStyle name="T_Book1_TN - Ho tro khac 2011_KH TPCP vung TNB (03-1-2012) 2" xfId="4002"/>
    <cellStyle name="T_Book1_ung truoc 2011 NSTW Thanh Hoa + Nge An gui Thu 12-5" xfId="4003"/>
    <cellStyle name="T_Book1_ung truoc 2011 NSTW Thanh Hoa + Nge An gui Thu 12-5 2" xfId="4004"/>
    <cellStyle name="T_Book1_ung truoc 2011 NSTW Thanh Hoa + Nge An gui Thu 12-5_!1 1 bao cao giao KH ve HTCMT vung TNB   12-12-2011" xfId="4005"/>
    <cellStyle name="T_Book1_ung truoc 2011 NSTW Thanh Hoa + Nge An gui Thu 12-5_!1 1 bao cao giao KH ve HTCMT vung TNB   12-12-2011 2" xfId="4006"/>
    <cellStyle name="T_Book1_ung truoc 2011 NSTW Thanh Hoa + Nge An gui Thu 12-5_Bieu4HTMT" xfId="4007"/>
    <cellStyle name="T_Book1_ung truoc 2011 NSTW Thanh Hoa + Nge An gui Thu 12-5_Bieu4HTMT 2" xfId="4008"/>
    <cellStyle name="T_Book1_ung truoc 2011 NSTW Thanh Hoa + Nge An gui Thu 12-5_Bieu4HTMT_!1 1 bao cao giao KH ve HTCMT vung TNB   12-12-2011" xfId="4009"/>
    <cellStyle name="T_Book1_ung truoc 2011 NSTW Thanh Hoa + Nge An gui Thu 12-5_Bieu4HTMT_!1 1 bao cao giao KH ve HTCMT vung TNB   12-12-2011 2" xfId="4010"/>
    <cellStyle name="T_Book1_ung truoc 2011 NSTW Thanh Hoa + Nge An gui Thu 12-5_Bieu4HTMT_KH TPCP vung TNB (03-1-2012)" xfId="4011"/>
    <cellStyle name="T_Book1_ung truoc 2011 NSTW Thanh Hoa + Nge An gui Thu 12-5_Bieu4HTMT_KH TPCP vung TNB (03-1-2012) 2" xfId="4012"/>
    <cellStyle name="T_Book1_ung truoc 2011 NSTW Thanh Hoa + Nge An gui Thu 12-5_KH TPCP vung TNB (03-1-2012)" xfId="4013"/>
    <cellStyle name="T_Book1_ung truoc 2011 NSTW Thanh Hoa + Nge An gui Thu 12-5_KH TPCP vung TNB (03-1-2012) 2" xfId="4014"/>
    <cellStyle name="T_Book1_ÿÿÿÿÿ" xfId="4015"/>
    <cellStyle name="T_Book1_ÿÿÿÿÿ 2" xfId="4016"/>
    <cellStyle name="T_Chuan bi dau tu nam 2008" xfId="4017"/>
    <cellStyle name="T_Chuan bi dau tu nam 2008 2" xfId="4018"/>
    <cellStyle name="T_Chuan bi dau tu nam 2008_!1 1 bao cao giao KH ve HTCMT vung TNB   12-12-2011" xfId="4019"/>
    <cellStyle name="T_Chuan bi dau tu nam 2008_!1 1 bao cao giao KH ve HTCMT vung TNB   12-12-2011 2" xfId="4020"/>
    <cellStyle name="T_Chuan bi dau tu nam 2008_KH TPCP vung TNB (03-1-2012)" xfId="4021"/>
    <cellStyle name="T_Chuan bi dau tu nam 2008_KH TPCP vung TNB (03-1-2012) 2" xfId="4022"/>
    <cellStyle name="T_Copy of Bao cao  XDCB 7 thang nam 2008_So KH&amp;DT SUA" xfId="4023"/>
    <cellStyle name="T_Copy of Bao cao  XDCB 7 thang nam 2008_So KH&amp;DT SUA 2" xfId="4024"/>
    <cellStyle name="T_Copy of Bao cao  XDCB 7 thang nam 2008_So KH&amp;DT SUA_!1 1 bao cao giao KH ve HTCMT vung TNB   12-12-2011" xfId="4025"/>
    <cellStyle name="T_Copy of Bao cao  XDCB 7 thang nam 2008_So KH&amp;DT SUA_!1 1 bao cao giao KH ve HTCMT vung TNB   12-12-2011 2" xfId="4026"/>
    <cellStyle name="T_Copy of Bao cao  XDCB 7 thang nam 2008_So KH&amp;DT SUA_KH TPCP vung TNB (03-1-2012)" xfId="4027"/>
    <cellStyle name="T_Copy of Bao cao  XDCB 7 thang nam 2008_So KH&amp;DT SUA_KH TPCP vung TNB (03-1-2012) 2" xfId="4028"/>
    <cellStyle name="T_CPK" xfId="4029"/>
    <cellStyle name="T_CPK 2" xfId="4030"/>
    <cellStyle name="T_CPK_!1 1 bao cao giao KH ve HTCMT vung TNB   12-12-2011" xfId="4031"/>
    <cellStyle name="T_CPK_!1 1 bao cao giao KH ve HTCMT vung TNB   12-12-2011 2" xfId="4032"/>
    <cellStyle name="T_CPK_Bieu4HTMT" xfId="4033"/>
    <cellStyle name="T_CPK_Bieu4HTMT 2" xfId="4034"/>
    <cellStyle name="T_CPK_Bieu4HTMT_!1 1 bao cao giao KH ve HTCMT vung TNB   12-12-2011" xfId="4035"/>
    <cellStyle name="T_CPK_Bieu4HTMT_!1 1 bao cao giao KH ve HTCMT vung TNB   12-12-2011 2" xfId="4036"/>
    <cellStyle name="T_CPK_Bieu4HTMT_KH TPCP vung TNB (03-1-2012)" xfId="4037"/>
    <cellStyle name="T_CPK_Bieu4HTMT_KH TPCP vung TNB (03-1-2012) 2" xfId="4038"/>
    <cellStyle name="T_CPK_KH TPCP vung TNB (03-1-2012)" xfId="4039"/>
    <cellStyle name="T_CPK_KH TPCP vung TNB (03-1-2012) 2" xfId="4040"/>
    <cellStyle name="T_CTMTQG 2008" xfId="4041"/>
    <cellStyle name="T_CTMTQG 2008 2" xfId="4042"/>
    <cellStyle name="T_CTMTQG 2008_!1 1 bao cao giao KH ve HTCMT vung TNB   12-12-2011" xfId="4043"/>
    <cellStyle name="T_CTMTQG 2008_!1 1 bao cao giao KH ve HTCMT vung TNB   12-12-2011 2" xfId="4044"/>
    <cellStyle name="T_CTMTQG 2008_Bieu mau danh muc du an thuoc CTMTQG nam 2008" xfId="4045"/>
    <cellStyle name="T_CTMTQG 2008_Bieu mau danh muc du an thuoc CTMTQG nam 2008 2" xfId="4046"/>
    <cellStyle name="T_CTMTQG 2008_Bieu mau danh muc du an thuoc CTMTQG nam 2008_!1 1 bao cao giao KH ve HTCMT vung TNB   12-12-2011" xfId="4047"/>
    <cellStyle name="T_CTMTQG 2008_Bieu mau danh muc du an thuoc CTMTQG nam 2008_!1 1 bao cao giao KH ve HTCMT vung TNB   12-12-2011 2" xfId="4048"/>
    <cellStyle name="T_CTMTQG 2008_Bieu mau danh muc du an thuoc CTMTQG nam 2008_KH TPCP vung TNB (03-1-2012)" xfId="4049"/>
    <cellStyle name="T_CTMTQG 2008_Bieu mau danh muc du an thuoc CTMTQG nam 2008_KH TPCP vung TNB (03-1-2012) 2" xfId="4050"/>
    <cellStyle name="T_CTMTQG 2008_Hi-Tong hop KQ phan bo KH nam 08- LD fong giao 15-11-08" xfId="4051"/>
    <cellStyle name="T_CTMTQG 2008_Hi-Tong hop KQ phan bo KH nam 08- LD fong giao 15-11-08 2" xfId="4052"/>
    <cellStyle name="T_CTMTQG 2008_Hi-Tong hop KQ phan bo KH nam 08- LD fong giao 15-11-08_!1 1 bao cao giao KH ve HTCMT vung TNB   12-12-2011" xfId="4053"/>
    <cellStyle name="T_CTMTQG 2008_Hi-Tong hop KQ phan bo KH nam 08- LD fong giao 15-11-08_!1 1 bao cao giao KH ve HTCMT vung TNB   12-12-2011 2" xfId="4054"/>
    <cellStyle name="T_CTMTQG 2008_Hi-Tong hop KQ phan bo KH nam 08- LD fong giao 15-11-08_KH TPCP vung TNB (03-1-2012)" xfId="4055"/>
    <cellStyle name="T_CTMTQG 2008_Hi-Tong hop KQ phan bo KH nam 08- LD fong giao 15-11-08_KH TPCP vung TNB (03-1-2012) 2" xfId="4056"/>
    <cellStyle name="T_CTMTQG 2008_Ket qua thuc hien nam 2008" xfId="4057"/>
    <cellStyle name="T_CTMTQG 2008_Ket qua thuc hien nam 2008 2" xfId="4058"/>
    <cellStyle name="T_CTMTQG 2008_Ket qua thuc hien nam 2008_!1 1 bao cao giao KH ve HTCMT vung TNB   12-12-2011" xfId="4059"/>
    <cellStyle name="T_CTMTQG 2008_Ket qua thuc hien nam 2008_!1 1 bao cao giao KH ve HTCMT vung TNB   12-12-2011 2" xfId="4060"/>
    <cellStyle name="T_CTMTQG 2008_Ket qua thuc hien nam 2008_KH TPCP vung TNB (03-1-2012)" xfId="4061"/>
    <cellStyle name="T_CTMTQG 2008_Ket qua thuc hien nam 2008_KH TPCP vung TNB (03-1-2012) 2" xfId="4062"/>
    <cellStyle name="T_CTMTQG 2008_KH TPCP vung TNB (03-1-2012)" xfId="4063"/>
    <cellStyle name="T_CTMTQG 2008_KH TPCP vung TNB (03-1-2012) 2" xfId="4064"/>
    <cellStyle name="T_CTMTQG 2008_KH XDCB_2008 lan 1" xfId="4065"/>
    <cellStyle name="T_CTMTQG 2008_KH XDCB_2008 lan 1 2" xfId="4066"/>
    <cellStyle name="T_CTMTQG 2008_KH XDCB_2008 lan 1 sua ngay 27-10" xfId="4067"/>
    <cellStyle name="T_CTMTQG 2008_KH XDCB_2008 lan 1 sua ngay 27-10 2" xfId="4068"/>
    <cellStyle name="T_CTMTQG 2008_KH XDCB_2008 lan 1 sua ngay 27-10_!1 1 bao cao giao KH ve HTCMT vung TNB   12-12-2011" xfId="4069"/>
    <cellStyle name="T_CTMTQG 2008_KH XDCB_2008 lan 1 sua ngay 27-10_!1 1 bao cao giao KH ve HTCMT vung TNB   12-12-2011 2" xfId="4070"/>
    <cellStyle name="T_CTMTQG 2008_KH XDCB_2008 lan 1 sua ngay 27-10_KH TPCP vung TNB (03-1-2012)" xfId="4071"/>
    <cellStyle name="T_CTMTQG 2008_KH XDCB_2008 lan 1 sua ngay 27-10_KH TPCP vung TNB (03-1-2012) 2" xfId="4072"/>
    <cellStyle name="T_CTMTQG 2008_KH XDCB_2008 lan 1_!1 1 bao cao giao KH ve HTCMT vung TNB   12-12-2011" xfId="4073"/>
    <cellStyle name="T_CTMTQG 2008_KH XDCB_2008 lan 1_!1 1 bao cao giao KH ve HTCMT vung TNB   12-12-2011 2" xfId="4074"/>
    <cellStyle name="T_CTMTQG 2008_KH XDCB_2008 lan 1_KH TPCP vung TNB (03-1-2012)" xfId="4075"/>
    <cellStyle name="T_CTMTQG 2008_KH XDCB_2008 lan 1_KH TPCP vung TNB (03-1-2012) 2" xfId="4076"/>
    <cellStyle name="T_CTMTQG 2008_KH XDCB_2008 lan 2 sua ngay 10-11" xfId="4077"/>
    <cellStyle name="T_CTMTQG 2008_KH XDCB_2008 lan 2 sua ngay 10-11 2" xfId="4078"/>
    <cellStyle name="T_CTMTQG 2008_KH XDCB_2008 lan 2 sua ngay 10-11_!1 1 bao cao giao KH ve HTCMT vung TNB   12-12-2011" xfId="4079"/>
    <cellStyle name="T_CTMTQG 2008_KH XDCB_2008 lan 2 sua ngay 10-11_!1 1 bao cao giao KH ve HTCMT vung TNB   12-12-2011 2" xfId="4080"/>
    <cellStyle name="T_CTMTQG 2008_KH XDCB_2008 lan 2 sua ngay 10-11_KH TPCP vung TNB (03-1-2012)" xfId="4081"/>
    <cellStyle name="T_CTMTQG 2008_KH XDCB_2008 lan 2 sua ngay 10-11_KH TPCP vung TNB (03-1-2012) 2" xfId="4082"/>
    <cellStyle name="T_danh muc chuan bi dau tu 2011 ngay 07-6-2011" xfId="4083"/>
    <cellStyle name="T_danh muc chuan bi dau tu 2011 ngay 07-6-2011 2" xfId="4084"/>
    <cellStyle name="T_danh muc chuan bi dau tu 2011 ngay 07-6-2011_!1 1 bao cao giao KH ve HTCMT vung TNB   12-12-2011" xfId="4085"/>
    <cellStyle name="T_danh muc chuan bi dau tu 2011 ngay 07-6-2011_!1 1 bao cao giao KH ve HTCMT vung TNB   12-12-2011 2" xfId="4086"/>
    <cellStyle name="T_danh muc chuan bi dau tu 2011 ngay 07-6-2011_KH TPCP vung TNB (03-1-2012)" xfId="4087"/>
    <cellStyle name="T_danh muc chuan bi dau tu 2011 ngay 07-6-2011_KH TPCP vung TNB (03-1-2012) 2" xfId="4088"/>
    <cellStyle name="T_Danh muc pbo nguon von XSKT, XDCB nam 2009 chuyen qua nam 2010" xfId="4089"/>
    <cellStyle name="T_Danh muc pbo nguon von XSKT, XDCB nam 2009 chuyen qua nam 2010 2" xfId="4090"/>
    <cellStyle name="T_Danh muc pbo nguon von XSKT, XDCB nam 2009 chuyen qua nam 2010_!1 1 bao cao giao KH ve HTCMT vung TNB   12-12-2011" xfId="4091"/>
    <cellStyle name="T_Danh muc pbo nguon von XSKT, XDCB nam 2009 chuyen qua nam 2010_!1 1 bao cao giao KH ve HTCMT vung TNB   12-12-2011 2" xfId="4092"/>
    <cellStyle name="T_Danh muc pbo nguon von XSKT, XDCB nam 2009 chuyen qua nam 2010_KH TPCP vung TNB (03-1-2012)" xfId="4093"/>
    <cellStyle name="T_Danh muc pbo nguon von XSKT, XDCB nam 2009 chuyen qua nam 2010_KH TPCP vung TNB (03-1-2012) 2" xfId="4094"/>
    <cellStyle name="T_dieu chinh KH 2011 ngay 26-5-2011111" xfId="4095"/>
    <cellStyle name="T_dieu chinh KH 2011 ngay 26-5-2011111 2" xfId="4096"/>
    <cellStyle name="T_dieu chinh KH 2011 ngay 26-5-2011111_!1 1 bao cao giao KH ve HTCMT vung TNB   12-12-2011" xfId="4097"/>
    <cellStyle name="T_dieu chinh KH 2011 ngay 26-5-2011111_!1 1 bao cao giao KH ve HTCMT vung TNB   12-12-2011 2" xfId="4098"/>
    <cellStyle name="T_dieu chinh KH 2011 ngay 26-5-2011111_KH TPCP vung TNB (03-1-2012)" xfId="4099"/>
    <cellStyle name="T_dieu chinh KH 2011 ngay 26-5-2011111_KH TPCP vung TNB (03-1-2012) 2" xfId="4100"/>
    <cellStyle name="T_DK 2014-2015 final" xfId="4101"/>
    <cellStyle name="T_DK 2014-2015 final_05-12  KH trung han 2016-2020 - Liem Thinh edited" xfId="4102"/>
    <cellStyle name="T_DK 2014-2015 final_Copy of 05-12  KH trung han 2016-2020 - Liem Thinh edited (1)" xfId="4103"/>
    <cellStyle name="T_DK 2014-2015 new" xfId="4104"/>
    <cellStyle name="T_DK 2014-2015 new_05-12  KH trung han 2016-2020 - Liem Thinh edited" xfId="4105"/>
    <cellStyle name="T_DK 2014-2015 new_Copy of 05-12  KH trung han 2016-2020 - Liem Thinh edited (1)" xfId="4106"/>
    <cellStyle name="T_DK KH CBDT 2014 11-11-2013" xfId="4107"/>
    <cellStyle name="T_DK KH CBDT 2014 11-11-2013(1)" xfId="4108"/>
    <cellStyle name="T_DK KH CBDT 2014 11-11-2013(1)_05-12  KH trung han 2016-2020 - Liem Thinh edited" xfId="4109"/>
    <cellStyle name="T_DK KH CBDT 2014 11-11-2013(1)_Copy of 05-12  KH trung han 2016-2020 - Liem Thinh edited (1)" xfId="4110"/>
    <cellStyle name="T_DK KH CBDT 2014 11-11-2013_05-12  KH trung han 2016-2020 - Liem Thinh edited" xfId="4111"/>
    <cellStyle name="T_DK KH CBDT 2014 11-11-2013_Copy of 05-12  KH trung han 2016-2020 - Liem Thinh edited (1)" xfId="4112"/>
    <cellStyle name="T_DM Bo dau tu và von SN, Vay KCH" xfId="4113"/>
    <cellStyle name="T_DM Bo dau tu và von SN, Vay KCH 10" xfId="4114"/>
    <cellStyle name="T_DM Bo dau tu và von SN, Vay KCH 11" xfId="4115"/>
    <cellStyle name="T_DM Bo dau tu và von SN, Vay KCH 12" xfId="4116"/>
    <cellStyle name="T_DM Bo dau tu và von SN, Vay KCH 13" xfId="4117"/>
    <cellStyle name="T_DM Bo dau tu và von SN, Vay KCH 14" xfId="4118"/>
    <cellStyle name="T_DM Bo dau tu và von SN, Vay KCH 15" xfId="4119"/>
    <cellStyle name="T_DM Bo dau tu và von SN, Vay KCH 2" xfId="4120"/>
    <cellStyle name="T_DM Bo dau tu và von SN, Vay KCH 3" xfId="4121"/>
    <cellStyle name="T_DM Bo dau tu và von SN, Vay KCH 4" xfId="4122"/>
    <cellStyle name="T_DM Bo dau tu và von SN, Vay KCH 5" xfId="4123"/>
    <cellStyle name="T_DM Bo dau tu và von SN, Vay KCH 6" xfId="4124"/>
    <cellStyle name="T_DM Bo dau tu và von SN, Vay KCH 7" xfId="4125"/>
    <cellStyle name="T_DM Bo dau tu và von SN, Vay KCH 8" xfId="4126"/>
    <cellStyle name="T_DM Bo dau tu và von SN, Vay KCH 9" xfId="4127"/>
    <cellStyle name="T_DS KCH PHAN BO VON NSDP NAM 2010" xfId="4128"/>
    <cellStyle name="T_DS KCH PHAN BO VON NSDP NAM 2010 2" xfId="4129"/>
    <cellStyle name="T_DS KCH PHAN BO VON NSDP NAM 2010_!1 1 bao cao giao KH ve HTCMT vung TNB   12-12-2011" xfId="4130"/>
    <cellStyle name="T_DS KCH PHAN BO VON NSDP NAM 2010_!1 1 bao cao giao KH ve HTCMT vung TNB   12-12-2011 2" xfId="4131"/>
    <cellStyle name="T_DS KCH PHAN BO VON NSDP NAM 2010_KH TPCP vung TNB (03-1-2012)" xfId="4132"/>
    <cellStyle name="T_DS KCH PHAN BO VON NSDP NAM 2010_KH TPCP vung TNB (03-1-2012) 2" xfId="4133"/>
    <cellStyle name="T_Du an khoi cong moi nam 2010" xfId="4134"/>
    <cellStyle name="T_Du an khoi cong moi nam 2010 2" xfId="4135"/>
    <cellStyle name="T_Du an khoi cong moi nam 2010_!1 1 bao cao giao KH ve HTCMT vung TNB   12-12-2011" xfId="4136"/>
    <cellStyle name="T_Du an khoi cong moi nam 2010_!1 1 bao cao giao KH ve HTCMT vung TNB   12-12-2011 2" xfId="4137"/>
    <cellStyle name="T_Du an khoi cong moi nam 2010_KH TPCP vung TNB (03-1-2012)" xfId="4138"/>
    <cellStyle name="T_Du an khoi cong moi nam 2010_KH TPCP vung TNB (03-1-2012) 2" xfId="4139"/>
    <cellStyle name="T_DU AN TKQH VA CHUAN BI DAU TU NAM 2007 sua ngay 9-11" xfId="4140"/>
    <cellStyle name="T_DU AN TKQH VA CHUAN BI DAU TU NAM 2007 sua ngay 9-11 2" xfId="4141"/>
    <cellStyle name="T_DU AN TKQH VA CHUAN BI DAU TU NAM 2007 sua ngay 9-11_!1 1 bao cao giao KH ve HTCMT vung TNB   12-12-2011" xfId="4142"/>
    <cellStyle name="T_DU AN TKQH VA CHUAN BI DAU TU NAM 2007 sua ngay 9-11_!1 1 bao cao giao KH ve HTCMT vung TNB   12-12-2011 2" xfId="4143"/>
    <cellStyle name="T_DU AN TKQH VA CHUAN BI DAU TU NAM 2007 sua ngay 9-11_Bieu mau danh muc du an thuoc CTMTQG nam 2008" xfId="4144"/>
    <cellStyle name="T_DU AN TKQH VA CHUAN BI DAU TU NAM 2007 sua ngay 9-11_Bieu mau danh muc du an thuoc CTMTQG nam 2008 2" xfId="4145"/>
    <cellStyle name="T_DU AN TKQH VA CHUAN BI DAU TU NAM 2007 sua ngay 9-11_Bieu mau danh muc du an thuoc CTMTQG nam 2008_!1 1 bao cao giao KH ve HTCMT vung TNB   12-12-2011" xfId="4146"/>
    <cellStyle name="T_DU AN TKQH VA CHUAN BI DAU TU NAM 2007 sua ngay 9-11_Bieu mau danh muc du an thuoc CTMTQG nam 2008_!1 1 bao cao giao KH ve HTCMT vung TNB   12-12-2011 2" xfId="4147"/>
    <cellStyle name="T_DU AN TKQH VA CHUAN BI DAU TU NAM 2007 sua ngay 9-11_Bieu mau danh muc du an thuoc CTMTQG nam 2008_KH TPCP vung TNB (03-1-2012)" xfId="4148"/>
    <cellStyle name="T_DU AN TKQH VA CHUAN BI DAU TU NAM 2007 sua ngay 9-11_Bieu mau danh muc du an thuoc CTMTQG nam 2008_KH TPCP vung TNB (03-1-2012) 2" xfId="4149"/>
    <cellStyle name="T_DU AN TKQH VA CHUAN BI DAU TU NAM 2007 sua ngay 9-11_Du an khoi cong moi nam 2010" xfId="4150"/>
    <cellStyle name="T_DU AN TKQH VA CHUAN BI DAU TU NAM 2007 sua ngay 9-11_Du an khoi cong moi nam 2010 2" xfId="4151"/>
    <cellStyle name="T_DU AN TKQH VA CHUAN BI DAU TU NAM 2007 sua ngay 9-11_Du an khoi cong moi nam 2010_!1 1 bao cao giao KH ve HTCMT vung TNB   12-12-2011" xfId="4152"/>
    <cellStyle name="T_DU AN TKQH VA CHUAN BI DAU TU NAM 2007 sua ngay 9-11_Du an khoi cong moi nam 2010_!1 1 bao cao giao KH ve HTCMT vung TNB   12-12-2011 2" xfId="4153"/>
    <cellStyle name="T_DU AN TKQH VA CHUAN BI DAU TU NAM 2007 sua ngay 9-11_Du an khoi cong moi nam 2010_KH TPCP vung TNB (03-1-2012)" xfId="4154"/>
    <cellStyle name="T_DU AN TKQH VA CHUAN BI DAU TU NAM 2007 sua ngay 9-11_Du an khoi cong moi nam 2010_KH TPCP vung TNB (03-1-2012) 2" xfId="4155"/>
    <cellStyle name="T_DU AN TKQH VA CHUAN BI DAU TU NAM 2007 sua ngay 9-11_Ket qua phan bo von nam 2008" xfId="4156"/>
    <cellStyle name="T_DU AN TKQH VA CHUAN BI DAU TU NAM 2007 sua ngay 9-11_Ket qua phan bo von nam 2008 2" xfId="4157"/>
    <cellStyle name="T_DU AN TKQH VA CHUAN BI DAU TU NAM 2007 sua ngay 9-11_Ket qua phan bo von nam 2008_!1 1 bao cao giao KH ve HTCMT vung TNB   12-12-2011" xfId="4158"/>
    <cellStyle name="T_DU AN TKQH VA CHUAN BI DAU TU NAM 2007 sua ngay 9-11_Ket qua phan bo von nam 2008_!1 1 bao cao giao KH ve HTCMT vung TNB   12-12-2011 2" xfId="4159"/>
    <cellStyle name="T_DU AN TKQH VA CHUAN BI DAU TU NAM 2007 sua ngay 9-11_Ket qua phan bo von nam 2008_KH TPCP vung TNB (03-1-2012)" xfId="4160"/>
    <cellStyle name="T_DU AN TKQH VA CHUAN BI DAU TU NAM 2007 sua ngay 9-11_Ket qua phan bo von nam 2008_KH TPCP vung TNB (03-1-2012) 2" xfId="4161"/>
    <cellStyle name="T_DU AN TKQH VA CHUAN BI DAU TU NAM 2007 sua ngay 9-11_KH TPCP vung TNB (03-1-2012)" xfId="4162"/>
    <cellStyle name="T_DU AN TKQH VA CHUAN BI DAU TU NAM 2007 sua ngay 9-11_KH TPCP vung TNB (03-1-2012) 2" xfId="4163"/>
    <cellStyle name="T_DU AN TKQH VA CHUAN BI DAU TU NAM 2007 sua ngay 9-11_KH XDCB_2008 lan 2 sua ngay 10-11" xfId="4164"/>
    <cellStyle name="T_DU AN TKQH VA CHUAN BI DAU TU NAM 2007 sua ngay 9-11_KH XDCB_2008 lan 2 sua ngay 10-11 2" xfId="4165"/>
    <cellStyle name="T_DU AN TKQH VA CHUAN BI DAU TU NAM 2007 sua ngay 9-11_KH XDCB_2008 lan 2 sua ngay 10-11_!1 1 bao cao giao KH ve HTCMT vung TNB   12-12-2011" xfId="4166"/>
    <cellStyle name="T_DU AN TKQH VA CHUAN BI DAU TU NAM 2007 sua ngay 9-11_KH XDCB_2008 lan 2 sua ngay 10-11_!1 1 bao cao giao KH ve HTCMT vung TNB   12-12-2011 2" xfId="4167"/>
    <cellStyle name="T_DU AN TKQH VA CHUAN BI DAU TU NAM 2007 sua ngay 9-11_KH XDCB_2008 lan 2 sua ngay 10-11_KH TPCP vung TNB (03-1-2012)" xfId="4168"/>
    <cellStyle name="T_DU AN TKQH VA CHUAN BI DAU TU NAM 2007 sua ngay 9-11_KH XDCB_2008 lan 2 sua ngay 10-11_KH TPCP vung TNB (03-1-2012) 2" xfId="4169"/>
    <cellStyle name="T_du toan dieu chinh  20-8-2006" xfId="4170"/>
    <cellStyle name="T_du toan dieu chinh  20-8-2006 2" xfId="4171"/>
    <cellStyle name="T_du toan dieu chinh  20-8-2006_!1 1 bao cao giao KH ve HTCMT vung TNB   12-12-2011" xfId="4172"/>
    <cellStyle name="T_du toan dieu chinh  20-8-2006_!1 1 bao cao giao KH ve HTCMT vung TNB   12-12-2011 2" xfId="4173"/>
    <cellStyle name="T_du toan dieu chinh  20-8-2006_Bieu4HTMT" xfId="4174"/>
    <cellStyle name="T_du toan dieu chinh  20-8-2006_Bieu4HTMT 2" xfId="4175"/>
    <cellStyle name="T_du toan dieu chinh  20-8-2006_Bieu4HTMT_!1 1 bao cao giao KH ve HTCMT vung TNB   12-12-2011" xfId="4176"/>
    <cellStyle name="T_du toan dieu chinh  20-8-2006_Bieu4HTMT_!1 1 bao cao giao KH ve HTCMT vung TNB   12-12-2011 2" xfId="4177"/>
    <cellStyle name="T_du toan dieu chinh  20-8-2006_Bieu4HTMT_KH TPCP vung TNB (03-1-2012)" xfId="4178"/>
    <cellStyle name="T_du toan dieu chinh  20-8-2006_Bieu4HTMT_KH TPCP vung TNB (03-1-2012) 2" xfId="4179"/>
    <cellStyle name="T_du toan dieu chinh  20-8-2006_KH TPCP vung TNB (03-1-2012)" xfId="4180"/>
    <cellStyle name="T_du toan dieu chinh  20-8-2006_KH TPCP vung TNB (03-1-2012) 2" xfId="4181"/>
    <cellStyle name="T_giao KH 2011 ngay 10-12-2010" xfId="4182"/>
    <cellStyle name="T_giao KH 2011 ngay 10-12-2010 2" xfId="4183"/>
    <cellStyle name="T_giao KH 2011 ngay 10-12-2010_!1 1 bao cao giao KH ve HTCMT vung TNB   12-12-2011" xfId="4184"/>
    <cellStyle name="T_giao KH 2011 ngay 10-12-2010_!1 1 bao cao giao KH ve HTCMT vung TNB   12-12-2011 2" xfId="4185"/>
    <cellStyle name="T_giao KH 2011 ngay 10-12-2010_KH TPCP vung TNB (03-1-2012)" xfId="4186"/>
    <cellStyle name="T_giao KH 2011 ngay 10-12-2010_KH TPCP vung TNB (03-1-2012) 2" xfId="4187"/>
    <cellStyle name="T_Ht-PTq1-03" xfId="4188"/>
    <cellStyle name="T_Ht-PTq1-03 2" xfId="4189"/>
    <cellStyle name="T_Ht-PTq1-03_!1 1 bao cao giao KH ve HTCMT vung TNB   12-12-2011" xfId="4190"/>
    <cellStyle name="T_Ht-PTq1-03_!1 1 bao cao giao KH ve HTCMT vung TNB   12-12-2011 2" xfId="4191"/>
    <cellStyle name="T_Ht-PTq1-03_kien giang 2" xfId="4192"/>
    <cellStyle name="T_Ht-PTq1-03_kien giang 2 2" xfId="4193"/>
    <cellStyle name="T_Ke hoach KTXH  nam 2009_PKT thang 11 nam 2008" xfId="4194"/>
    <cellStyle name="T_Ke hoach KTXH  nam 2009_PKT thang 11 nam 2008 2" xfId="4195"/>
    <cellStyle name="T_Ke hoach KTXH  nam 2009_PKT thang 11 nam 2008_!1 1 bao cao giao KH ve HTCMT vung TNB   12-12-2011" xfId="4196"/>
    <cellStyle name="T_Ke hoach KTXH  nam 2009_PKT thang 11 nam 2008_!1 1 bao cao giao KH ve HTCMT vung TNB   12-12-2011 2" xfId="4197"/>
    <cellStyle name="T_Ke hoach KTXH  nam 2009_PKT thang 11 nam 2008_KH TPCP vung TNB (03-1-2012)" xfId="4198"/>
    <cellStyle name="T_Ke hoach KTXH  nam 2009_PKT thang 11 nam 2008_KH TPCP vung TNB (03-1-2012) 2" xfId="4199"/>
    <cellStyle name="T_Ket qua dau thau" xfId="4200"/>
    <cellStyle name="T_Ket qua dau thau 2" xfId="4201"/>
    <cellStyle name="T_Ket qua dau thau_!1 1 bao cao giao KH ve HTCMT vung TNB   12-12-2011" xfId="4202"/>
    <cellStyle name="T_Ket qua dau thau_!1 1 bao cao giao KH ve HTCMT vung TNB   12-12-2011 2" xfId="4203"/>
    <cellStyle name="T_Ket qua dau thau_KH TPCP vung TNB (03-1-2012)" xfId="4204"/>
    <cellStyle name="T_Ket qua dau thau_KH TPCP vung TNB (03-1-2012) 2" xfId="4205"/>
    <cellStyle name="T_Ket qua phan bo von nam 2008" xfId="4206"/>
    <cellStyle name="T_Ket qua phan bo von nam 2008 2" xfId="4207"/>
    <cellStyle name="T_Ket qua phan bo von nam 2008_!1 1 bao cao giao KH ve HTCMT vung TNB   12-12-2011" xfId="4208"/>
    <cellStyle name="T_Ket qua phan bo von nam 2008_!1 1 bao cao giao KH ve HTCMT vung TNB   12-12-2011 2" xfId="4209"/>
    <cellStyle name="T_Ket qua phan bo von nam 2008_KH TPCP vung TNB (03-1-2012)" xfId="4210"/>
    <cellStyle name="T_Ket qua phan bo von nam 2008_KH TPCP vung TNB (03-1-2012) 2" xfId="4211"/>
    <cellStyle name="T_KH 2011-2015" xfId="4212"/>
    <cellStyle name="T_KH TPCP vung TNB (03-1-2012)" xfId="4213"/>
    <cellStyle name="T_KH TPCP vung TNB (03-1-2012) 2" xfId="4214"/>
    <cellStyle name="T_KH XDCB_2008 lan 2 sua ngay 10-11" xfId="4215"/>
    <cellStyle name="T_KH XDCB_2008 lan 2 sua ngay 10-11 2" xfId="4216"/>
    <cellStyle name="T_KH XDCB_2008 lan 2 sua ngay 10-11_!1 1 bao cao giao KH ve HTCMT vung TNB   12-12-2011" xfId="4217"/>
    <cellStyle name="T_KH XDCB_2008 lan 2 sua ngay 10-11_!1 1 bao cao giao KH ve HTCMT vung TNB   12-12-2011 2" xfId="4218"/>
    <cellStyle name="T_KH XDCB_2008 lan 2 sua ngay 10-11_KH TPCP vung TNB (03-1-2012)" xfId="4219"/>
    <cellStyle name="T_KH XDCB_2008 lan 2 sua ngay 10-11_KH TPCP vung TNB (03-1-2012) 2" xfId="4220"/>
    <cellStyle name="T_kien giang 2" xfId="4221"/>
    <cellStyle name="T_kien giang 2 2" xfId="4222"/>
    <cellStyle name="T_Me_Tri_6_07" xfId="4223"/>
    <cellStyle name="T_Me_Tri_6_07 2" xfId="4224"/>
    <cellStyle name="T_Me_Tri_6_07_!1 1 bao cao giao KH ve HTCMT vung TNB   12-12-2011" xfId="4225"/>
    <cellStyle name="T_Me_Tri_6_07_!1 1 bao cao giao KH ve HTCMT vung TNB   12-12-2011 2" xfId="4226"/>
    <cellStyle name="T_Me_Tri_6_07_Bieu4HTMT" xfId="4227"/>
    <cellStyle name="T_Me_Tri_6_07_Bieu4HTMT 2" xfId="4228"/>
    <cellStyle name="T_Me_Tri_6_07_Bieu4HTMT_!1 1 bao cao giao KH ve HTCMT vung TNB   12-12-2011" xfId="4229"/>
    <cellStyle name="T_Me_Tri_6_07_Bieu4HTMT_!1 1 bao cao giao KH ve HTCMT vung TNB   12-12-2011 2" xfId="4230"/>
    <cellStyle name="T_Me_Tri_6_07_Bieu4HTMT_KH TPCP vung TNB (03-1-2012)" xfId="4231"/>
    <cellStyle name="T_Me_Tri_6_07_Bieu4HTMT_KH TPCP vung TNB (03-1-2012) 2" xfId="4232"/>
    <cellStyle name="T_Me_Tri_6_07_KH TPCP vung TNB (03-1-2012)" xfId="4233"/>
    <cellStyle name="T_Me_Tri_6_07_KH TPCP vung TNB (03-1-2012) 2" xfId="4234"/>
    <cellStyle name="T_N2 thay dat (N1-1)" xfId="4235"/>
    <cellStyle name="T_N2 thay dat (N1-1) 2" xfId="4236"/>
    <cellStyle name="T_N2 thay dat (N1-1)_!1 1 bao cao giao KH ve HTCMT vung TNB   12-12-2011" xfId="4237"/>
    <cellStyle name="T_N2 thay dat (N1-1)_!1 1 bao cao giao KH ve HTCMT vung TNB   12-12-2011 2" xfId="4238"/>
    <cellStyle name="T_N2 thay dat (N1-1)_Bieu4HTMT" xfId="4239"/>
    <cellStyle name="T_N2 thay dat (N1-1)_Bieu4HTMT 2" xfId="4240"/>
    <cellStyle name="T_N2 thay dat (N1-1)_Bieu4HTMT_!1 1 bao cao giao KH ve HTCMT vung TNB   12-12-2011" xfId="4241"/>
    <cellStyle name="T_N2 thay dat (N1-1)_Bieu4HTMT_!1 1 bao cao giao KH ve HTCMT vung TNB   12-12-2011 2" xfId="4242"/>
    <cellStyle name="T_N2 thay dat (N1-1)_Bieu4HTMT_KH TPCP vung TNB (03-1-2012)" xfId="4243"/>
    <cellStyle name="T_N2 thay dat (N1-1)_Bieu4HTMT_KH TPCP vung TNB (03-1-2012) 2" xfId="4244"/>
    <cellStyle name="T_N2 thay dat (N1-1)_KH TPCP vung TNB (03-1-2012)" xfId="4245"/>
    <cellStyle name="T_N2 thay dat (N1-1)_KH TPCP vung TNB (03-1-2012) 2" xfId="4246"/>
    <cellStyle name="T_Phuong an can doi nam 2008" xfId="4247"/>
    <cellStyle name="T_Phuong an can doi nam 2008 2" xfId="4248"/>
    <cellStyle name="T_Phuong an can doi nam 2008_!1 1 bao cao giao KH ve HTCMT vung TNB   12-12-2011" xfId="4249"/>
    <cellStyle name="T_Phuong an can doi nam 2008_!1 1 bao cao giao KH ve HTCMT vung TNB   12-12-2011 2" xfId="4250"/>
    <cellStyle name="T_Phuong an can doi nam 2008_KH TPCP vung TNB (03-1-2012)" xfId="4251"/>
    <cellStyle name="T_Phuong an can doi nam 2008_KH TPCP vung TNB (03-1-2012) 2" xfId="4252"/>
    <cellStyle name="T_Seagame(BTL)" xfId="4253"/>
    <cellStyle name="T_Seagame(BTL) 2" xfId="4254"/>
    <cellStyle name="T_So GTVT" xfId="4255"/>
    <cellStyle name="T_So GTVT 2" xfId="4256"/>
    <cellStyle name="T_So GTVT_!1 1 bao cao giao KH ve HTCMT vung TNB   12-12-2011" xfId="4257"/>
    <cellStyle name="T_So GTVT_!1 1 bao cao giao KH ve HTCMT vung TNB   12-12-2011 2" xfId="4258"/>
    <cellStyle name="T_So GTVT_KH TPCP vung TNB (03-1-2012)" xfId="4259"/>
    <cellStyle name="T_So GTVT_KH TPCP vung TNB (03-1-2012) 2" xfId="4260"/>
    <cellStyle name="T_tai co cau dau tu (tong hop)1" xfId="4261"/>
    <cellStyle name="T_TDT + duong(8-5-07)" xfId="4262"/>
    <cellStyle name="T_TDT + duong(8-5-07) 2" xfId="4263"/>
    <cellStyle name="T_TDT + duong(8-5-07)_!1 1 bao cao giao KH ve HTCMT vung TNB   12-12-2011" xfId="4264"/>
    <cellStyle name="T_TDT + duong(8-5-07)_!1 1 bao cao giao KH ve HTCMT vung TNB   12-12-2011 2" xfId="4265"/>
    <cellStyle name="T_TDT + duong(8-5-07)_Bieu4HTMT" xfId="4266"/>
    <cellStyle name="T_TDT + duong(8-5-07)_Bieu4HTMT 2" xfId="4267"/>
    <cellStyle name="T_TDT + duong(8-5-07)_Bieu4HTMT_!1 1 bao cao giao KH ve HTCMT vung TNB   12-12-2011" xfId="4268"/>
    <cellStyle name="T_TDT + duong(8-5-07)_Bieu4HTMT_!1 1 bao cao giao KH ve HTCMT vung TNB   12-12-2011 2" xfId="4269"/>
    <cellStyle name="T_TDT + duong(8-5-07)_Bieu4HTMT_KH TPCP vung TNB (03-1-2012)" xfId="4270"/>
    <cellStyle name="T_TDT + duong(8-5-07)_Bieu4HTMT_KH TPCP vung TNB (03-1-2012) 2" xfId="4271"/>
    <cellStyle name="T_TDT + duong(8-5-07)_KH TPCP vung TNB (03-1-2012)" xfId="4272"/>
    <cellStyle name="T_TDT + duong(8-5-07)_KH TPCP vung TNB (03-1-2012) 2" xfId="4273"/>
    <cellStyle name="T_tham_tra_du_toan" xfId="4274"/>
    <cellStyle name="T_tham_tra_du_toan 2" xfId="4275"/>
    <cellStyle name="T_tham_tra_du_toan_!1 1 bao cao giao KH ve HTCMT vung TNB   12-12-2011" xfId="4276"/>
    <cellStyle name="T_tham_tra_du_toan_!1 1 bao cao giao KH ve HTCMT vung TNB   12-12-2011 2" xfId="4277"/>
    <cellStyle name="T_tham_tra_du_toan_Bieu4HTMT" xfId="4278"/>
    <cellStyle name="T_tham_tra_du_toan_Bieu4HTMT 2" xfId="4279"/>
    <cellStyle name="T_tham_tra_du_toan_Bieu4HTMT_!1 1 bao cao giao KH ve HTCMT vung TNB   12-12-2011" xfId="4280"/>
    <cellStyle name="T_tham_tra_du_toan_Bieu4HTMT_!1 1 bao cao giao KH ve HTCMT vung TNB   12-12-2011 2" xfId="4281"/>
    <cellStyle name="T_tham_tra_du_toan_Bieu4HTMT_KH TPCP vung TNB (03-1-2012)" xfId="4282"/>
    <cellStyle name="T_tham_tra_du_toan_Bieu4HTMT_KH TPCP vung TNB (03-1-2012) 2" xfId="4283"/>
    <cellStyle name="T_tham_tra_du_toan_KH TPCP vung TNB (03-1-2012)" xfId="4284"/>
    <cellStyle name="T_tham_tra_du_toan_KH TPCP vung TNB (03-1-2012) 2" xfId="4285"/>
    <cellStyle name="T_Thiet bi" xfId="4286"/>
    <cellStyle name="T_Thiet bi 2" xfId="4287"/>
    <cellStyle name="T_Thiet bi_!1 1 bao cao giao KH ve HTCMT vung TNB   12-12-2011" xfId="4288"/>
    <cellStyle name="T_Thiet bi_!1 1 bao cao giao KH ve HTCMT vung TNB   12-12-2011 2" xfId="4289"/>
    <cellStyle name="T_Thiet bi_Bieu4HTMT" xfId="4290"/>
    <cellStyle name="T_Thiet bi_Bieu4HTMT 2" xfId="4291"/>
    <cellStyle name="T_Thiet bi_Bieu4HTMT_!1 1 bao cao giao KH ve HTCMT vung TNB   12-12-2011" xfId="4292"/>
    <cellStyle name="T_Thiet bi_Bieu4HTMT_!1 1 bao cao giao KH ve HTCMT vung TNB   12-12-2011 2" xfId="4293"/>
    <cellStyle name="T_Thiet bi_Bieu4HTMT_KH TPCP vung TNB (03-1-2012)" xfId="4294"/>
    <cellStyle name="T_Thiet bi_Bieu4HTMT_KH TPCP vung TNB (03-1-2012) 2" xfId="4295"/>
    <cellStyle name="T_Thiet bi_KH TPCP vung TNB (03-1-2012)" xfId="4296"/>
    <cellStyle name="T_Thiet bi_KH TPCP vung TNB (03-1-2012) 2" xfId="4297"/>
    <cellStyle name="T_TK_HT" xfId="4298"/>
    <cellStyle name="T_TK_HT 2" xfId="4299"/>
    <cellStyle name="T_Van Ban 2007" xfId="4300"/>
    <cellStyle name="T_Van Ban 2007_15_10_2013 BC nhu cau von doi ung ODA (2014-2016) ngay 15102013 Sua" xfId="4301"/>
    <cellStyle name="T_Van Ban 2007_bao cao phan bo KHDT 2011(final)" xfId="4302"/>
    <cellStyle name="T_Van Ban 2007_bao cao phan bo KHDT 2011(final)_BC nhu cau von doi ung ODA nganh NN (BKH)" xfId="4303"/>
    <cellStyle name="T_Van Ban 2007_bao cao phan bo KHDT 2011(final)_BC Tai co cau (bieu TH)" xfId="4304"/>
    <cellStyle name="T_Van Ban 2007_bao cao phan bo KHDT 2011(final)_DK 2014-2015 final" xfId="4305"/>
    <cellStyle name="T_Van Ban 2007_bao cao phan bo KHDT 2011(final)_DK 2014-2015 new" xfId="4306"/>
    <cellStyle name="T_Van Ban 2007_bao cao phan bo KHDT 2011(final)_DK KH CBDT 2014 11-11-2013" xfId="4307"/>
    <cellStyle name="T_Van Ban 2007_bao cao phan bo KHDT 2011(final)_DK KH CBDT 2014 11-11-2013(1)" xfId="4308"/>
    <cellStyle name="T_Van Ban 2007_bao cao phan bo KHDT 2011(final)_KH 2011-2015" xfId="4309"/>
    <cellStyle name="T_Van Ban 2007_bao cao phan bo KHDT 2011(final)_tai co cau dau tu (tong hop)1" xfId="4310"/>
    <cellStyle name="T_Van Ban 2007_BC nhu cau von doi ung ODA nganh NN (BKH)" xfId="4311"/>
    <cellStyle name="T_Van Ban 2007_BC nhu cau von doi ung ODA nganh NN (BKH)_05-12  KH trung han 2016-2020 - Liem Thinh edited" xfId="4312"/>
    <cellStyle name="T_Van Ban 2007_BC nhu cau von doi ung ODA nganh NN (BKH)_Copy of 05-12  KH trung han 2016-2020 - Liem Thinh edited (1)" xfId="4313"/>
    <cellStyle name="T_Van Ban 2007_BC Tai co cau (bieu TH)" xfId="4314"/>
    <cellStyle name="T_Van Ban 2007_BC Tai co cau (bieu TH)_05-12  KH trung han 2016-2020 - Liem Thinh edited" xfId="4315"/>
    <cellStyle name="T_Van Ban 2007_BC Tai co cau (bieu TH)_Copy of 05-12  KH trung han 2016-2020 - Liem Thinh edited (1)" xfId="4316"/>
    <cellStyle name="T_Van Ban 2007_DK 2014-2015 final" xfId="4317"/>
    <cellStyle name="T_Van Ban 2007_DK 2014-2015 final_05-12  KH trung han 2016-2020 - Liem Thinh edited" xfId="4318"/>
    <cellStyle name="T_Van Ban 2007_DK 2014-2015 final_Copy of 05-12  KH trung han 2016-2020 - Liem Thinh edited (1)" xfId="4319"/>
    <cellStyle name="T_Van Ban 2007_DK 2014-2015 new" xfId="4320"/>
    <cellStyle name="T_Van Ban 2007_DK 2014-2015 new_05-12  KH trung han 2016-2020 - Liem Thinh edited" xfId="4321"/>
    <cellStyle name="T_Van Ban 2007_DK 2014-2015 new_Copy of 05-12  KH trung han 2016-2020 - Liem Thinh edited (1)" xfId="4322"/>
    <cellStyle name="T_Van Ban 2007_DK KH CBDT 2014 11-11-2013" xfId="4323"/>
    <cellStyle name="T_Van Ban 2007_DK KH CBDT 2014 11-11-2013(1)" xfId="4324"/>
    <cellStyle name="T_Van Ban 2007_DK KH CBDT 2014 11-11-2013(1)_05-12  KH trung han 2016-2020 - Liem Thinh edited" xfId="4325"/>
    <cellStyle name="T_Van Ban 2007_DK KH CBDT 2014 11-11-2013(1)_Copy of 05-12  KH trung han 2016-2020 - Liem Thinh edited (1)" xfId="4326"/>
    <cellStyle name="T_Van Ban 2007_DK KH CBDT 2014 11-11-2013_05-12  KH trung han 2016-2020 - Liem Thinh edited" xfId="4327"/>
    <cellStyle name="T_Van Ban 2007_DK KH CBDT 2014 11-11-2013_Copy of 05-12  KH trung han 2016-2020 - Liem Thinh edited (1)" xfId="4328"/>
    <cellStyle name="T_Van Ban 2008" xfId="4329"/>
    <cellStyle name="T_Van Ban 2008_15_10_2013 BC nhu cau von doi ung ODA (2014-2016) ngay 15102013 Sua" xfId="4330"/>
    <cellStyle name="T_Van Ban 2008_bao cao phan bo KHDT 2011(final)" xfId="4331"/>
    <cellStyle name="T_Van Ban 2008_bao cao phan bo KHDT 2011(final)_BC nhu cau von doi ung ODA nganh NN (BKH)" xfId="4332"/>
    <cellStyle name="T_Van Ban 2008_bao cao phan bo KHDT 2011(final)_BC Tai co cau (bieu TH)" xfId="4333"/>
    <cellStyle name="T_Van Ban 2008_bao cao phan bo KHDT 2011(final)_DK 2014-2015 final" xfId="4334"/>
    <cellStyle name="T_Van Ban 2008_bao cao phan bo KHDT 2011(final)_DK 2014-2015 new" xfId="4335"/>
    <cellStyle name="T_Van Ban 2008_bao cao phan bo KHDT 2011(final)_DK KH CBDT 2014 11-11-2013" xfId="4336"/>
    <cellStyle name="T_Van Ban 2008_bao cao phan bo KHDT 2011(final)_DK KH CBDT 2014 11-11-2013(1)" xfId="4337"/>
    <cellStyle name="T_Van Ban 2008_bao cao phan bo KHDT 2011(final)_KH 2011-2015" xfId="4338"/>
    <cellStyle name="T_Van Ban 2008_bao cao phan bo KHDT 2011(final)_tai co cau dau tu (tong hop)1" xfId="4339"/>
    <cellStyle name="T_Van Ban 2008_BC nhu cau von doi ung ODA nganh NN (BKH)" xfId="4340"/>
    <cellStyle name="T_Van Ban 2008_BC nhu cau von doi ung ODA nganh NN (BKH)_05-12  KH trung han 2016-2020 - Liem Thinh edited" xfId="4341"/>
    <cellStyle name="T_Van Ban 2008_BC nhu cau von doi ung ODA nganh NN (BKH)_Copy of 05-12  KH trung han 2016-2020 - Liem Thinh edited (1)" xfId="4342"/>
    <cellStyle name="T_Van Ban 2008_BC Tai co cau (bieu TH)" xfId="4343"/>
    <cellStyle name="T_Van Ban 2008_BC Tai co cau (bieu TH)_05-12  KH trung han 2016-2020 - Liem Thinh edited" xfId="4344"/>
    <cellStyle name="T_Van Ban 2008_BC Tai co cau (bieu TH)_Copy of 05-12  KH trung han 2016-2020 - Liem Thinh edited (1)" xfId="4345"/>
    <cellStyle name="T_Van Ban 2008_DK 2014-2015 final" xfId="4346"/>
    <cellStyle name="T_Van Ban 2008_DK 2014-2015 final_05-12  KH trung han 2016-2020 - Liem Thinh edited" xfId="4347"/>
    <cellStyle name="T_Van Ban 2008_DK 2014-2015 final_Copy of 05-12  KH trung han 2016-2020 - Liem Thinh edited (1)" xfId="4348"/>
    <cellStyle name="T_Van Ban 2008_DK 2014-2015 new" xfId="4349"/>
    <cellStyle name="T_Van Ban 2008_DK 2014-2015 new_05-12  KH trung han 2016-2020 - Liem Thinh edited" xfId="4350"/>
    <cellStyle name="T_Van Ban 2008_DK 2014-2015 new_Copy of 05-12  KH trung han 2016-2020 - Liem Thinh edited (1)" xfId="4351"/>
    <cellStyle name="T_Van Ban 2008_DK KH CBDT 2014 11-11-2013" xfId="4352"/>
    <cellStyle name="T_Van Ban 2008_DK KH CBDT 2014 11-11-2013(1)" xfId="4353"/>
    <cellStyle name="T_Van Ban 2008_DK KH CBDT 2014 11-11-2013(1)_05-12  KH trung han 2016-2020 - Liem Thinh edited" xfId="4354"/>
    <cellStyle name="T_Van Ban 2008_DK KH CBDT 2014 11-11-2013(1)_Copy of 05-12  KH trung han 2016-2020 - Liem Thinh edited (1)" xfId="4355"/>
    <cellStyle name="T_Van Ban 2008_DK KH CBDT 2014 11-11-2013_05-12  KH trung han 2016-2020 - Liem Thinh edited" xfId="4356"/>
    <cellStyle name="T_Van Ban 2008_DK KH CBDT 2014 11-11-2013_Copy of 05-12  KH trung han 2016-2020 - Liem Thinh edited (1)" xfId="4357"/>
    <cellStyle name="T_von dau tu tap trung" xfId="4358"/>
    <cellStyle name="T_von dau tu tap trung 10" xfId="4359"/>
    <cellStyle name="T_von dau tu tap trung 11" xfId="4360"/>
    <cellStyle name="T_von dau tu tap trung 12" xfId="4361"/>
    <cellStyle name="T_von dau tu tap trung 13" xfId="4362"/>
    <cellStyle name="T_von dau tu tap trung 14" xfId="4363"/>
    <cellStyle name="T_von dau tu tap trung 15" xfId="4364"/>
    <cellStyle name="T_von dau tu tap trung 2" xfId="4365"/>
    <cellStyle name="T_von dau tu tap trung 3" xfId="4366"/>
    <cellStyle name="T_von dau tu tap trung 4" xfId="4367"/>
    <cellStyle name="T_von dau tu tap trung 5" xfId="4368"/>
    <cellStyle name="T_von dau tu tap trung 6" xfId="4369"/>
    <cellStyle name="T_von dau tu tap trung 7" xfId="4370"/>
    <cellStyle name="T_von dau tu tap trung 8" xfId="4371"/>
    <cellStyle name="T_von dau tu tap trung 9" xfId="4372"/>
    <cellStyle name="T_von dau tu tap trung_1" xfId="4373"/>
    <cellStyle name="T_von dau tu tap trung_1 10" xfId="4374"/>
    <cellStyle name="T_von dau tu tap trung_1 11" xfId="4375"/>
    <cellStyle name="T_von dau tu tap trung_1 12" xfId="4376"/>
    <cellStyle name="T_von dau tu tap trung_1 13" xfId="4377"/>
    <cellStyle name="T_von dau tu tap trung_1 14" xfId="4378"/>
    <cellStyle name="T_von dau tu tap trung_1 15" xfId="4379"/>
    <cellStyle name="T_von dau tu tap trung_1 2" xfId="4380"/>
    <cellStyle name="T_von dau tu tap trung_1 3" xfId="4381"/>
    <cellStyle name="T_von dau tu tap trung_1 4" xfId="4382"/>
    <cellStyle name="T_von dau tu tap trung_1 5" xfId="4383"/>
    <cellStyle name="T_von dau tu tap trung_1 6" xfId="4384"/>
    <cellStyle name="T_von dau tu tap trung_1 7" xfId="4385"/>
    <cellStyle name="T_von dau tu tap trung_1 8" xfId="4386"/>
    <cellStyle name="T_von dau tu tap trung_1 9" xfId="4387"/>
    <cellStyle name="T_XDCB thang 12.2010" xfId="4388"/>
    <cellStyle name="T_XDCB thang 12.2010 2" xfId="4389"/>
    <cellStyle name="T_XDCB thang 12.2010_!1 1 bao cao giao KH ve HTCMT vung TNB   12-12-2011" xfId="4390"/>
    <cellStyle name="T_XDCB thang 12.2010_!1 1 bao cao giao KH ve HTCMT vung TNB   12-12-2011 2" xfId="4391"/>
    <cellStyle name="T_XDCB thang 12.2010_KH TPCP vung TNB (03-1-2012)" xfId="4392"/>
    <cellStyle name="T_XDCB thang 12.2010_KH TPCP vung TNB (03-1-2012) 2" xfId="4393"/>
    <cellStyle name="T_ÿÿÿÿÿ" xfId="4394"/>
    <cellStyle name="T_ÿÿÿÿÿ 2" xfId="4395"/>
    <cellStyle name="T_ÿÿÿÿÿ_!1 1 bao cao giao KH ve HTCMT vung TNB   12-12-2011" xfId="4396"/>
    <cellStyle name="T_ÿÿÿÿÿ_!1 1 bao cao giao KH ve HTCMT vung TNB   12-12-2011 2" xfId="4397"/>
    <cellStyle name="T_ÿÿÿÿÿ_Bieu mau cong trinh khoi cong moi 3-4" xfId="4398"/>
    <cellStyle name="T_ÿÿÿÿÿ_Bieu mau cong trinh khoi cong moi 3-4 2" xfId="4399"/>
    <cellStyle name="T_ÿÿÿÿÿ_Bieu mau cong trinh khoi cong moi 3-4_!1 1 bao cao giao KH ve HTCMT vung TNB   12-12-2011" xfId="4400"/>
    <cellStyle name="T_ÿÿÿÿÿ_Bieu mau cong trinh khoi cong moi 3-4_!1 1 bao cao giao KH ve HTCMT vung TNB   12-12-2011 2" xfId="4401"/>
    <cellStyle name="T_ÿÿÿÿÿ_Bieu mau cong trinh khoi cong moi 3-4_KH TPCP vung TNB (03-1-2012)" xfId="4402"/>
    <cellStyle name="T_ÿÿÿÿÿ_Bieu mau cong trinh khoi cong moi 3-4_KH TPCP vung TNB (03-1-2012) 2" xfId="4403"/>
    <cellStyle name="T_ÿÿÿÿÿ_Bieu3ODA" xfId="4404"/>
    <cellStyle name="T_ÿÿÿÿÿ_Bieu3ODA 2" xfId="4405"/>
    <cellStyle name="T_ÿÿÿÿÿ_Bieu3ODA_!1 1 bao cao giao KH ve HTCMT vung TNB   12-12-2011" xfId="4406"/>
    <cellStyle name="T_ÿÿÿÿÿ_Bieu3ODA_!1 1 bao cao giao KH ve HTCMT vung TNB   12-12-2011 2" xfId="4407"/>
    <cellStyle name="T_ÿÿÿÿÿ_Bieu3ODA_KH TPCP vung TNB (03-1-2012)" xfId="4408"/>
    <cellStyle name="T_ÿÿÿÿÿ_Bieu3ODA_KH TPCP vung TNB (03-1-2012) 2" xfId="4409"/>
    <cellStyle name="T_ÿÿÿÿÿ_Bieu4HTMT" xfId="4410"/>
    <cellStyle name="T_ÿÿÿÿÿ_Bieu4HTMT 2" xfId="4411"/>
    <cellStyle name="T_ÿÿÿÿÿ_Bieu4HTMT_!1 1 bao cao giao KH ve HTCMT vung TNB   12-12-2011" xfId="4412"/>
    <cellStyle name="T_ÿÿÿÿÿ_Bieu4HTMT_!1 1 bao cao giao KH ve HTCMT vung TNB   12-12-2011 2" xfId="4413"/>
    <cellStyle name="T_ÿÿÿÿÿ_Bieu4HTMT_KH TPCP vung TNB (03-1-2012)" xfId="4414"/>
    <cellStyle name="T_ÿÿÿÿÿ_Bieu4HTMT_KH TPCP vung TNB (03-1-2012) 2" xfId="4415"/>
    <cellStyle name="T_ÿÿÿÿÿ_KH TPCP vung TNB (03-1-2012)" xfId="4416"/>
    <cellStyle name="T_ÿÿÿÿÿ_KH TPCP vung TNB (03-1-2012) 2" xfId="4417"/>
    <cellStyle name="T_ÿÿÿÿÿ_kien giang 2" xfId="4418"/>
    <cellStyle name="T_ÿÿÿÿÿ_kien giang 2 2" xfId="4419"/>
    <cellStyle name="Text Indent A" xfId="4420"/>
    <cellStyle name="Text Indent B" xfId="4421"/>
    <cellStyle name="Text Indent B 10" xfId="4422"/>
    <cellStyle name="Text Indent B 11" xfId="4423"/>
    <cellStyle name="Text Indent B 12" xfId="4424"/>
    <cellStyle name="Text Indent B 13" xfId="4425"/>
    <cellStyle name="Text Indent B 14" xfId="4426"/>
    <cellStyle name="Text Indent B 15" xfId="4427"/>
    <cellStyle name="Text Indent B 16" xfId="4428"/>
    <cellStyle name="Text Indent B 2" xfId="4429"/>
    <cellStyle name="Text Indent B 3" xfId="4430"/>
    <cellStyle name="Text Indent B 4" xfId="4431"/>
    <cellStyle name="Text Indent B 5" xfId="4432"/>
    <cellStyle name="Text Indent B 6" xfId="4433"/>
    <cellStyle name="Text Indent B 7" xfId="4434"/>
    <cellStyle name="Text Indent B 8" xfId="4435"/>
    <cellStyle name="Text Indent B 9" xfId="4436"/>
    <cellStyle name="Text Indent C" xfId="4437"/>
    <cellStyle name="Text Indent C 10" xfId="4438"/>
    <cellStyle name="Text Indent C 11" xfId="4439"/>
    <cellStyle name="Text Indent C 12" xfId="4440"/>
    <cellStyle name="Text Indent C 13" xfId="4441"/>
    <cellStyle name="Text Indent C 14" xfId="4442"/>
    <cellStyle name="Text Indent C 15" xfId="4443"/>
    <cellStyle name="Text Indent C 16" xfId="4444"/>
    <cellStyle name="Text Indent C 2" xfId="4445"/>
    <cellStyle name="Text Indent C 3" xfId="4446"/>
    <cellStyle name="Text Indent C 4" xfId="4447"/>
    <cellStyle name="Text Indent C 5" xfId="4448"/>
    <cellStyle name="Text Indent C 6" xfId="4449"/>
    <cellStyle name="Text Indent C 7" xfId="4450"/>
    <cellStyle name="Text Indent C 8" xfId="4451"/>
    <cellStyle name="Text Indent C 9" xfId="4452"/>
    <cellStyle name="th" xfId="4453"/>
    <cellStyle name="th 10" xfId="4454"/>
    <cellStyle name="th 11" xfId="4455"/>
    <cellStyle name="th 12" xfId="4456"/>
    <cellStyle name="th 13" xfId="4457"/>
    <cellStyle name="th 14" xfId="4458"/>
    <cellStyle name="th 15" xfId="4459"/>
    <cellStyle name="th 2" xfId="4460"/>
    <cellStyle name="th 3" xfId="4461"/>
    <cellStyle name="th 4" xfId="4462"/>
    <cellStyle name="th 5" xfId="4463"/>
    <cellStyle name="th 6" xfId="4464"/>
    <cellStyle name="th 7" xfId="4465"/>
    <cellStyle name="th 8" xfId="4466"/>
    <cellStyle name="th 9" xfId="4467"/>
    <cellStyle name="þ_x005f_x001d_ð¤_x005f_x000c_¯þ_x005f_x0014__x005f_x000d_¨þU_x005f_x0001_À_x005f_x0004_ _x005f_x0015__x005f_x000f__x005f_x0001__x005f_x0001_" xfId="4468"/>
    <cellStyle name="þ_x005f_x001d_ð·_x005f_x000c_æþ'_x005f_x000d_ßþU_x005f_x0001_Ø_x005f_x0005_ü_x005f_x0014__x005f_x0007__x005f_x0001__x005f_x0001_" xfId="4469"/>
    <cellStyle name="þ_x005f_x001d_ðÇ%Uý—&amp;Hý9_x005f_x0008_Ÿ s_x005f_x000a__x005f_x0007__x005f_x0001__x005f_x0001_" xfId="4470"/>
    <cellStyle name="þ_x005f_x001d_ðK_x005f_x000c_Fý_x005f_x001b__x005f_x000d_9ýU_x005f_x0001_Ð_x005f_x0008_¦)_x005f_x0007__x005f_x0001__x005f_x0001_" xfId="4471"/>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472"/>
    <cellStyle name="þ_x005f_x005f_x005f_x001d_ð·_x005f_x005f_x005f_x000c_æþ'_x005f_x005f_x005f_x000d_ßþU_x005f_x005f_x005f_x0001_Ø_x005f_x005f_x005f_x0005_ü_x005f_x005f_x005f_x0014__x005f_x005f_x005f_x0007__x005f_x005f_x005f_x0001__x005f_x005f_x005f_x0001_" xfId="4473"/>
    <cellStyle name="þ_x005f_x005f_x005f_x001d_ðÇ%Uý—&amp;Hý9_x005f_x005f_x005f_x0008_Ÿ s_x005f_x005f_x005f_x000a__x005f_x005f_x005f_x0007__x005f_x005f_x005f_x0001__x005f_x005f_x005f_x0001_" xfId="4474"/>
    <cellStyle name="þ_x005f_x005f_x005f_x001d_ðK_x005f_x005f_x005f_x000c_Fý_x005f_x005f_x005f_x001b__x005f_x005f_x005f_x000d_9ýU_x005f_x005f_x005f_x0001_Ð_x005f_x005f_x005f_x0008_¦)_x005f_x005f_x005f_x0007__x005f_x005f_x005f_x0001__x005f_x005f_x005f_x0001_" xfId="4475"/>
    <cellStyle name="than" xfId="4476"/>
    <cellStyle name="Thanh" xfId="4477"/>
    <cellStyle name="þ_x001d_ð¤_x000c_¯þ_x0014__x000a_¨þU_x0001_À_x0004_ _x0015__x000f__x0001__x0001_" xfId="4478"/>
    <cellStyle name="þ_x001d_ð¤_x000c_¯þ_x0014__x000d_¨þU_x0001_À_x0004_ _x0015__x000f__x0001__x0001_" xfId="4479"/>
    <cellStyle name="þ_x001d_ð·_x000c_æþ'_x000a_ßþU_x0001_Ø_x0005_ü_x0014__x0007__x0001__x0001_" xfId="4480"/>
    <cellStyle name="þ_x001d_ð·_x000c_æþ'_x000d_ßþU_x0001_Ø_x0005_ü_x0014__x0007__x0001__x0001_" xfId="4481"/>
    <cellStyle name="þ_x001d_ðÇ%Uý—&amp;Hý9_x0008_Ÿ s_x000a__x0007__x0001__x0001_" xfId="4482"/>
    <cellStyle name="þ_x001d_ðK_x000c_Fý_x001b__x000a_9ýU_x0001_Ð_x0008_¦)_x0007__x0001__x0001_" xfId="4483"/>
    <cellStyle name="þ_x001d_ðK_x000c_Fý_x001b__x000d_9ýU_x0001_Ð_x0008_¦)_x0007__x0001__x0001_" xfId="4484"/>
    <cellStyle name="thuong-10" xfId="4485"/>
    <cellStyle name="thuong-11" xfId="4486"/>
    <cellStyle name="thuong-11 2" xfId="4487"/>
    <cellStyle name="Thuyet minh" xfId="4488"/>
    <cellStyle name="Tickmark" xfId="4489"/>
    <cellStyle name="Tien1" xfId="4490"/>
    <cellStyle name="Tiêu đề" xfId="4491"/>
    <cellStyle name="Tieu_de_2" xfId="4492"/>
    <cellStyle name="Times New Roman" xfId="4493"/>
    <cellStyle name="Tính toán" xfId="4494"/>
    <cellStyle name="Tính toán 10" xfId="4495"/>
    <cellStyle name="Tính toán 11" xfId="4496"/>
    <cellStyle name="Tính toán 12" xfId="4497"/>
    <cellStyle name="Tính toán 13" xfId="4498"/>
    <cellStyle name="Tính toán 14" xfId="4499"/>
    <cellStyle name="Tính toán 15" xfId="4500"/>
    <cellStyle name="Tính toán 16" xfId="4501"/>
    <cellStyle name="Tính toán 17" xfId="4502"/>
    <cellStyle name="Tính toán 18" xfId="4503"/>
    <cellStyle name="Tính toán 19" xfId="4504"/>
    <cellStyle name="Tính toán 2" xfId="4505"/>
    <cellStyle name="Tính toán 20" xfId="4506"/>
    <cellStyle name="Tính toán 3" xfId="4507"/>
    <cellStyle name="Tính toán 4" xfId="4508"/>
    <cellStyle name="Tính toán 5" xfId="4509"/>
    <cellStyle name="Tính toán 6" xfId="4510"/>
    <cellStyle name="Tính toán 7" xfId="4511"/>
    <cellStyle name="Tính toán 8" xfId="4512"/>
    <cellStyle name="Tính toán 9" xfId="4513"/>
    <cellStyle name="tit1" xfId="4514"/>
    <cellStyle name="tit2" xfId="4515"/>
    <cellStyle name="tit2 2" xfId="4516"/>
    <cellStyle name="tit3" xfId="4517"/>
    <cellStyle name="tit4" xfId="4518"/>
    <cellStyle name="Title 2" xfId="4519"/>
    <cellStyle name="Tổng" xfId="4520"/>
    <cellStyle name="Tổng 10" xfId="4521"/>
    <cellStyle name="Tổng 11" xfId="4522"/>
    <cellStyle name="Tổng 12" xfId="4523"/>
    <cellStyle name="Tổng 13" xfId="4524"/>
    <cellStyle name="Tổng 14" xfId="4525"/>
    <cellStyle name="Tổng 15" xfId="4526"/>
    <cellStyle name="Tổng 16" xfId="4527"/>
    <cellStyle name="Tổng 17" xfId="4528"/>
    <cellStyle name="Tổng 18" xfId="4529"/>
    <cellStyle name="Tổng 19" xfId="4530"/>
    <cellStyle name="Tổng 2" xfId="4531"/>
    <cellStyle name="Tổng 20" xfId="4532"/>
    <cellStyle name="Tổng 21" xfId="4533"/>
    <cellStyle name="Tổng 22" xfId="4534"/>
    <cellStyle name="Tổng 23" xfId="4535"/>
    <cellStyle name="Tổng 24" xfId="4536"/>
    <cellStyle name="Tổng 25" xfId="4537"/>
    <cellStyle name="Tổng 26" xfId="4538"/>
    <cellStyle name="Tổng 27" xfId="4539"/>
    <cellStyle name="Tổng 28" xfId="4540"/>
    <cellStyle name="Tổng 29" xfId="4541"/>
    <cellStyle name="Tổng 3" xfId="4542"/>
    <cellStyle name="Tổng 4" xfId="4543"/>
    <cellStyle name="Tổng 5" xfId="4544"/>
    <cellStyle name="Tổng 6" xfId="4545"/>
    <cellStyle name="Tổng 7" xfId="4546"/>
    <cellStyle name="Tổng 8" xfId="4547"/>
    <cellStyle name="Tổng 9" xfId="4548"/>
    <cellStyle name="Tong so" xfId="4549"/>
    <cellStyle name="tong so 1" xfId="4550"/>
    <cellStyle name="Tong so_Bieu KHPTLN 2016-2020" xfId="4551"/>
    <cellStyle name="Tongcong" xfId="4552"/>
    <cellStyle name="Tốt" xfId="4553"/>
    <cellStyle name="Total 2" xfId="4554"/>
    <cellStyle name="Total 2 10" xfId="4555"/>
    <cellStyle name="Total 2 11" xfId="4556"/>
    <cellStyle name="Total 2 12" xfId="4557"/>
    <cellStyle name="Total 2 13" xfId="4558"/>
    <cellStyle name="Total 2 14" xfId="4559"/>
    <cellStyle name="Total 2 15" xfId="4560"/>
    <cellStyle name="Total 2 16" xfId="4561"/>
    <cellStyle name="Total 2 17" xfId="4562"/>
    <cellStyle name="Total 2 18" xfId="4563"/>
    <cellStyle name="Total 2 19" xfId="4564"/>
    <cellStyle name="Total 2 2" xfId="4565"/>
    <cellStyle name="Total 2 20" xfId="4566"/>
    <cellStyle name="Total 2 21" xfId="4567"/>
    <cellStyle name="Total 2 22" xfId="4568"/>
    <cellStyle name="Total 2 23" xfId="4569"/>
    <cellStyle name="Total 2 24" xfId="4570"/>
    <cellStyle name="Total 2 25" xfId="4571"/>
    <cellStyle name="Total 2 26" xfId="4572"/>
    <cellStyle name="Total 2 27" xfId="4573"/>
    <cellStyle name="Total 2 28" xfId="4574"/>
    <cellStyle name="Total 2 29" xfId="4575"/>
    <cellStyle name="Total 2 3" xfId="4576"/>
    <cellStyle name="Total 2 4" xfId="4577"/>
    <cellStyle name="Total 2 5" xfId="4578"/>
    <cellStyle name="Total 2 6" xfId="4579"/>
    <cellStyle name="Total 2 7" xfId="4580"/>
    <cellStyle name="Total 2 8" xfId="4581"/>
    <cellStyle name="Total 2 9" xfId="4582"/>
    <cellStyle name="trang" xfId="4583"/>
    <cellStyle name="Trung tính" xfId="4584"/>
    <cellStyle name="tt1" xfId="4585"/>
    <cellStyle name="Tusental (0)_pldt" xfId="4586"/>
    <cellStyle name="Tusental_pldt" xfId="4587"/>
    <cellStyle name="ux_3_¼­¿ï-¾È»ê" xfId="4588"/>
    <cellStyle name="Valuta (0)_CALPREZZ" xfId="4589"/>
    <cellStyle name="Valuta_ PESO ELETTR." xfId="4590"/>
    <cellStyle name="Văn bản Cảnh báo" xfId="4591"/>
    <cellStyle name="Văn bản Giải thích" xfId="4592"/>
    <cellStyle name="VANG1" xfId="4593"/>
    <cellStyle name="VANG1 2" xfId="4594"/>
    <cellStyle name="viet" xfId="4595"/>
    <cellStyle name="viet2" xfId="4596"/>
    <cellStyle name="viet2 10" xfId="4597"/>
    <cellStyle name="viet2 11" xfId="4598"/>
    <cellStyle name="viet2 12" xfId="4599"/>
    <cellStyle name="viet2 13" xfId="4600"/>
    <cellStyle name="viet2 14" xfId="4601"/>
    <cellStyle name="viet2 15" xfId="4602"/>
    <cellStyle name="viet2 2" xfId="4603"/>
    <cellStyle name="viet2 3" xfId="4604"/>
    <cellStyle name="viet2 4" xfId="4605"/>
    <cellStyle name="viet2 5" xfId="4606"/>
    <cellStyle name="viet2 6" xfId="4607"/>
    <cellStyle name="viet2 7" xfId="4608"/>
    <cellStyle name="viet2 8" xfId="4609"/>
    <cellStyle name="viet2 9" xfId="4610"/>
    <cellStyle name="VN new romanNormal" xfId="4611"/>
    <cellStyle name="VN new romanNormal 2" xfId="4612"/>
    <cellStyle name="VN new romanNormal 2 2" xfId="4613"/>
    <cellStyle name="VN new romanNormal 3" xfId="4614"/>
    <cellStyle name="VN new romanNormal_05-12  KH trung han 2016-2020 - Liem Thinh edited" xfId="4615"/>
    <cellStyle name="Vn Time 13" xfId="4616"/>
    <cellStyle name="Vn Time 14" xfId="4617"/>
    <cellStyle name="Vn Time 14 2" xfId="4618"/>
    <cellStyle name="Vn Time 14 3" xfId="4619"/>
    <cellStyle name="VN time new roman" xfId="4620"/>
    <cellStyle name="VN time new roman 2" xfId="4621"/>
    <cellStyle name="VN time new roman 2 2" xfId="4622"/>
    <cellStyle name="VN time new roman 3" xfId="4623"/>
    <cellStyle name="VN time new roman_05-12  KH trung han 2016-2020 - Liem Thinh edited" xfId="4624"/>
    <cellStyle name="vn_time" xfId="4625"/>
    <cellStyle name="vnbo" xfId="4626"/>
    <cellStyle name="vnbo 2" xfId="4627"/>
    <cellStyle name="vnbo 3" xfId="4628"/>
    <cellStyle name="vnhead1" xfId="4629"/>
    <cellStyle name="vnhead1 2" xfId="4630"/>
    <cellStyle name="vnhead2" xfId="4631"/>
    <cellStyle name="vnhead2 2" xfId="4632"/>
    <cellStyle name="vnhead2 3" xfId="4633"/>
    <cellStyle name="vnhead3" xfId="4634"/>
    <cellStyle name="vnhead3 2" xfId="4635"/>
    <cellStyle name="vnhead3 3" xfId="4636"/>
    <cellStyle name="vnhead4" xfId="4637"/>
    <cellStyle name="vntxt1" xfId="4638"/>
    <cellStyle name="vntxt1 10" xfId="4639"/>
    <cellStyle name="vntxt1 11" xfId="4640"/>
    <cellStyle name="vntxt1 12" xfId="4641"/>
    <cellStyle name="vntxt1 13" xfId="4642"/>
    <cellStyle name="vntxt1 14" xfId="4643"/>
    <cellStyle name="vntxt1 15" xfId="4644"/>
    <cellStyle name="vntxt1 16" xfId="4645"/>
    <cellStyle name="vntxt1 2" xfId="4646"/>
    <cellStyle name="vntxt1 3" xfId="4647"/>
    <cellStyle name="vntxt1 4" xfId="4648"/>
    <cellStyle name="vntxt1 5" xfId="4649"/>
    <cellStyle name="vntxt1 6" xfId="4650"/>
    <cellStyle name="vntxt1 7" xfId="4651"/>
    <cellStyle name="vntxt1 8" xfId="4652"/>
    <cellStyle name="vntxt1 9" xfId="4653"/>
    <cellStyle name="vntxt1_05-12  KH trung han 2016-2020 - Liem Thinh edited" xfId="4654"/>
    <cellStyle name="vntxt2" xfId="4655"/>
    <cellStyle name="W?hrung [0]_35ERI8T2gbIEMixb4v26icuOo" xfId="4656"/>
    <cellStyle name="W?hrung_35ERI8T2gbIEMixb4v26icuOo" xfId="4657"/>
    <cellStyle name="Währung [0]_68574_Materialbedarfsliste" xfId="4658"/>
    <cellStyle name="Währung_68574_Materialbedarfsliste" xfId="4659"/>
    <cellStyle name="Walutowy [0]_Invoices2001Slovakia" xfId="4660"/>
    <cellStyle name="Walutowy_Invoices2001Slovakia" xfId="4661"/>
    <cellStyle name="Warning Text 2" xfId="4662"/>
    <cellStyle name="wrap" xfId="4663"/>
    <cellStyle name="Wไhrung [0]_35ERI8T2gbIEMixb4v26icuOo" xfId="4664"/>
    <cellStyle name="Wไhrung_35ERI8T2gbIEMixb4v26icuOo" xfId="4665"/>
    <cellStyle name="xan1" xfId="4666"/>
    <cellStyle name="Xấu" xfId="4667"/>
    <cellStyle name="xuan" xfId="4668"/>
    <cellStyle name="y" xfId="4669"/>
    <cellStyle name="y 2" xfId="4670"/>
    <cellStyle name="Ý kh¸c_B¶ng 1 (2)" xfId="4671"/>
    <cellStyle name="เครื่องหมายสกุลเงิน [0]_FTC_OFFER" xfId="4672"/>
    <cellStyle name="เครื่องหมายสกุลเงิน_FTC_OFFER" xfId="4673"/>
    <cellStyle name="ปกติ_FTC_OFFER" xfId="4674"/>
    <cellStyle name=" [0.00]_ Att. 1- Cover" xfId="4675"/>
    <cellStyle name="_ Att. 1- Cover" xfId="4676"/>
    <cellStyle name="?_ Att. 1- Cover" xfId="4677"/>
    <cellStyle name="똿뗦먛귟 [0.00]_PRODUCT DETAIL Q1" xfId="4678"/>
    <cellStyle name="똿뗦먛귟_PRODUCT DETAIL Q1" xfId="4679"/>
    <cellStyle name="믅됞 [0.00]_PRODUCT DETAIL Q1" xfId="4680"/>
    <cellStyle name="믅됞_PRODUCT DETAIL Q1" xfId="4681"/>
    <cellStyle name="백분율_††††† " xfId="4682"/>
    <cellStyle name="뷭?_BOOKSHIP" xfId="4683"/>
    <cellStyle name="안건회계법인" xfId="4684"/>
    <cellStyle name="콤맀_Sheet1_총괄표 (수출입) (2)" xfId="4685"/>
    <cellStyle name="콤마 [ - 유형1" xfId="4686"/>
    <cellStyle name="콤마 [ - 유형2" xfId="4687"/>
    <cellStyle name="콤마 [ - 유형3" xfId="4688"/>
    <cellStyle name="콤마 [ - 유형4" xfId="4689"/>
    <cellStyle name="콤마 [ - 유형5" xfId="4690"/>
    <cellStyle name="콤마 [ - 유형6" xfId="4691"/>
    <cellStyle name="콤마 [ - 유형7" xfId="4692"/>
    <cellStyle name="콤마 [ - 유형8" xfId="4693"/>
    <cellStyle name="콤마 [0]_ 비목별 월별기술 " xfId="4694"/>
    <cellStyle name="콤마_ 비목별 월별기술 " xfId="4695"/>
    <cellStyle name="통화 [0]_††††† " xfId="4696"/>
    <cellStyle name="통화_††††† " xfId="4697"/>
    <cellStyle name="표섀_변경(최종)" xfId="4698"/>
    <cellStyle name="표준_ 97년 경영분석(안)" xfId="4699"/>
    <cellStyle name="표줠_Sheet1_1_총괄표 (수출입) (2)" xfId="4700"/>
    <cellStyle name="一般_00Q3902REV.1" xfId="4701"/>
    <cellStyle name="千分位[0]_00Q3902REV.1" xfId="4702"/>
    <cellStyle name="千分位_00Q3902REV.1" xfId="4703"/>
    <cellStyle name="桁区切り [0.00]_BE-BQ" xfId="4704"/>
    <cellStyle name="桁区切り_BE-BQ" xfId="4705"/>
    <cellStyle name="標準_(A1)BOQ " xfId="4706"/>
    <cellStyle name="貨幣 [0]_00Q3902REV.1" xfId="4707"/>
    <cellStyle name="貨幣[0]_BRE" xfId="4708"/>
    <cellStyle name="貨幣_00Q3902REV.1" xfId="4709"/>
    <cellStyle name="通貨 [0.00]_BE-BQ" xfId="4710"/>
    <cellStyle name="通貨_BE-BQ" xfId="47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376</xdr:row>
      <xdr:rowOff>0</xdr:rowOff>
    </xdr:from>
    <xdr:to>
      <xdr:col>3</xdr:col>
      <xdr:colOff>76200</xdr:colOff>
      <xdr:row>376</xdr:row>
      <xdr:rowOff>122301</xdr:rowOff>
    </xdr:to>
    <xdr:sp macro="" textlink="">
      <xdr:nvSpPr>
        <xdr:cNvPr id="2" name="Text Box 31"/>
        <xdr:cNvSpPr txBox="1">
          <a:spLocks noChangeArrowheads="1"/>
        </xdr:cNvSpPr>
      </xdr:nvSpPr>
      <xdr:spPr bwMode="auto">
        <a:xfrm>
          <a:off x="3057525" y="21021675"/>
          <a:ext cx="76200" cy="122301"/>
        </a:xfrm>
        <a:prstGeom prst="rect">
          <a:avLst/>
        </a:prstGeom>
        <a:noFill/>
        <a:ln w="9525">
          <a:noFill/>
          <a:miter lim="800000"/>
          <a:headEnd/>
          <a:tailEnd/>
        </a:ln>
      </xdr:spPr>
    </xdr:sp>
    <xdr:clientData/>
  </xdr:twoCellAnchor>
  <xdr:twoCellAnchor editAs="oneCell">
    <xdr:from>
      <xdr:col>3</xdr:col>
      <xdr:colOff>0</xdr:colOff>
      <xdr:row>376</xdr:row>
      <xdr:rowOff>0</xdr:rowOff>
    </xdr:from>
    <xdr:to>
      <xdr:col>3</xdr:col>
      <xdr:colOff>76200</xdr:colOff>
      <xdr:row>376</xdr:row>
      <xdr:rowOff>122301</xdr:rowOff>
    </xdr:to>
    <xdr:sp macro="" textlink="">
      <xdr:nvSpPr>
        <xdr:cNvPr id="3" name="Text Box 32"/>
        <xdr:cNvSpPr txBox="1">
          <a:spLocks noChangeArrowheads="1"/>
        </xdr:cNvSpPr>
      </xdr:nvSpPr>
      <xdr:spPr bwMode="auto">
        <a:xfrm>
          <a:off x="3057525" y="21021675"/>
          <a:ext cx="76200" cy="122301"/>
        </a:xfrm>
        <a:prstGeom prst="rect">
          <a:avLst/>
        </a:prstGeom>
        <a:noFill/>
        <a:ln w="9525">
          <a:noFill/>
          <a:miter lim="800000"/>
          <a:headEnd/>
          <a:tailEnd/>
        </a:ln>
      </xdr:spPr>
    </xdr:sp>
    <xdr:clientData/>
  </xdr:twoCellAnchor>
  <xdr:twoCellAnchor editAs="oneCell">
    <xdr:from>
      <xdr:col>3</xdr:col>
      <xdr:colOff>0</xdr:colOff>
      <xdr:row>376</xdr:row>
      <xdr:rowOff>0</xdr:rowOff>
    </xdr:from>
    <xdr:to>
      <xdr:col>3</xdr:col>
      <xdr:colOff>76200</xdr:colOff>
      <xdr:row>376</xdr:row>
      <xdr:rowOff>122301</xdr:rowOff>
    </xdr:to>
    <xdr:sp macro="" textlink="">
      <xdr:nvSpPr>
        <xdr:cNvPr id="4" name="Text Box 33"/>
        <xdr:cNvSpPr txBox="1">
          <a:spLocks noChangeArrowheads="1"/>
        </xdr:cNvSpPr>
      </xdr:nvSpPr>
      <xdr:spPr bwMode="auto">
        <a:xfrm>
          <a:off x="3057525" y="21021675"/>
          <a:ext cx="76200" cy="122301"/>
        </a:xfrm>
        <a:prstGeom prst="rect">
          <a:avLst/>
        </a:prstGeom>
        <a:noFill/>
        <a:ln w="9525">
          <a:noFill/>
          <a:miter lim="800000"/>
          <a:headEnd/>
          <a:tailEnd/>
        </a:ln>
      </xdr:spPr>
    </xdr:sp>
    <xdr:clientData/>
  </xdr:twoCellAnchor>
  <xdr:twoCellAnchor editAs="oneCell">
    <xdr:from>
      <xdr:col>3</xdr:col>
      <xdr:colOff>0</xdr:colOff>
      <xdr:row>376</xdr:row>
      <xdr:rowOff>0</xdr:rowOff>
    </xdr:from>
    <xdr:to>
      <xdr:col>3</xdr:col>
      <xdr:colOff>76200</xdr:colOff>
      <xdr:row>376</xdr:row>
      <xdr:rowOff>122301</xdr:rowOff>
    </xdr:to>
    <xdr:sp macro="" textlink="">
      <xdr:nvSpPr>
        <xdr:cNvPr id="5" name="Text Box 34"/>
        <xdr:cNvSpPr txBox="1">
          <a:spLocks noChangeArrowheads="1"/>
        </xdr:cNvSpPr>
      </xdr:nvSpPr>
      <xdr:spPr bwMode="auto">
        <a:xfrm>
          <a:off x="3057525" y="21021675"/>
          <a:ext cx="76200" cy="122301"/>
        </a:xfrm>
        <a:prstGeom prst="rect">
          <a:avLst/>
        </a:prstGeom>
        <a:noFill/>
        <a:ln w="9525">
          <a:noFill/>
          <a:miter lim="800000"/>
          <a:headEnd/>
          <a:tailEnd/>
        </a:ln>
      </xdr:spPr>
    </xdr:sp>
    <xdr:clientData/>
  </xdr:twoCellAnchor>
  <xdr:twoCellAnchor editAs="oneCell">
    <xdr:from>
      <xdr:col>3</xdr:col>
      <xdr:colOff>0</xdr:colOff>
      <xdr:row>376</xdr:row>
      <xdr:rowOff>0</xdr:rowOff>
    </xdr:from>
    <xdr:to>
      <xdr:col>3</xdr:col>
      <xdr:colOff>76200</xdr:colOff>
      <xdr:row>376</xdr:row>
      <xdr:rowOff>122301</xdr:rowOff>
    </xdr:to>
    <xdr:sp macro="" textlink="">
      <xdr:nvSpPr>
        <xdr:cNvPr id="6" name="Text Box 35"/>
        <xdr:cNvSpPr txBox="1">
          <a:spLocks noChangeArrowheads="1"/>
        </xdr:cNvSpPr>
      </xdr:nvSpPr>
      <xdr:spPr bwMode="auto">
        <a:xfrm>
          <a:off x="3057525" y="21021675"/>
          <a:ext cx="76200" cy="122301"/>
        </a:xfrm>
        <a:prstGeom prst="rect">
          <a:avLst/>
        </a:prstGeom>
        <a:noFill/>
        <a:ln w="9525">
          <a:noFill/>
          <a:miter lim="800000"/>
          <a:headEnd/>
          <a:tailEnd/>
        </a:ln>
      </xdr:spPr>
    </xdr:sp>
    <xdr:clientData/>
  </xdr:twoCellAnchor>
  <xdr:twoCellAnchor editAs="oneCell">
    <xdr:from>
      <xdr:col>3</xdr:col>
      <xdr:colOff>0</xdr:colOff>
      <xdr:row>376</xdr:row>
      <xdr:rowOff>0</xdr:rowOff>
    </xdr:from>
    <xdr:to>
      <xdr:col>3</xdr:col>
      <xdr:colOff>76200</xdr:colOff>
      <xdr:row>376</xdr:row>
      <xdr:rowOff>122301</xdr:rowOff>
    </xdr:to>
    <xdr:sp macro="" textlink="">
      <xdr:nvSpPr>
        <xdr:cNvPr id="7" name="Text Box 36"/>
        <xdr:cNvSpPr txBox="1">
          <a:spLocks noChangeArrowheads="1"/>
        </xdr:cNvSpPr>
      </xdr:nvSpPr>
      <xdr:spPr bwMode="auto">
        <a:xfrm>
          <a:off x="3057525" y="21021675"/>
          <a:ext cx="76200" cy="122301"/>
        </a:xfrm>
        <a:prstGeom prst="rect">
          <a:avLst/>
        </a:prstGeom>
        <a:noFill/>
        <a:ln w="9525">
          <a:noFill/>
          <a:miter lim="800000"/>
          <a:headEnd/>
          <a:tailEnd/>
        </a:ln>
      </xdr:spPr>
    </xdr:sp>
    <xdr:clientData/>
  </xdr:twoCellAnchor>
  <xdr:twoCellAnchor editAs="oneCell">
    <xdr:from>
      <xdr:col>3</xdr:col>
      <xdr:colOff>0</xdr:colOff>
      <xdr:row>376</xdr:row>
      <xdr:rowOff>0</xdr:rowOff>
    </xdr:from>
    <xdr:to>
      <xdr:col>3</xdr:col>
      <xdr:colOff>76200</xdr:colOff>
      <xdr:row>376</xdr:row>
      <xdr:rowOff>122301</xdr:rowOff>
    </xdr:to>
    <xdr:sp macro="" textlink="">
      <xdr:nvSpPr>
        <xdr:cNvPr id="8" name="Text Box 31"/>
        <xdr:cNvSpPr txBox="1">
          <a:spLocks noChangeArrowheads="1"/>
        </xdr:cNvSpPr>
      </xdr:nvSpPr>
      <xdr:spPr bwMode="auto">
        <a:xfrm>
          <a:off x="3057525" y="21021675"/>
          <a:ext cx="76200" cy="200025"/>
        </a:xfrm>
        <a:prstGeom prst="rect">
          <a:avLst/>
        </a:prstGeom>
        <a:noFill/>
        <a:ln w="9525">
          <a:noFill/>
          <a:miter lim="800000"/>
          <a:headEnd/>
          <a:tailEnd/>
        </a:ln>
      </xdr:spPr>
    </xdr:sp>
    <xdr:clientData/>
  </xdr:twoCellAnchor>
  <xdr:twoCellAnchor editAs="oneCell">
    <xdr:from>
      <xdr:col>3</xdr:col>
      <xdr:colOff>0</xdr:colOff>
      <xdr:row>376</xdr:row>
      <xdr:rowOff>0</xdr:rowOff>
    </xdr:from>
    <xdr:to>
      <xdr:col>3</xdr:col>
      <xdr:colOff>76200</xdr:colOff>
      <xdr:row>376</xdr:row>
      <xdr:rowOff>122301</xdr:rowOff>
    </xdr:to>
    <xdr:sp macro="" textlink="">
      <xdr:nvSpPr>
        <xdr:cNvPr id="9" name="Text Box 32"/>
        <xdr:cNvSpPr txBox="1">
          <a:spLocks noChangeArrowheads="1"/>
        </xdr:cNvSpPr>
      </xdr:nvSpPr>
      <xdr:spPr bwMode="auto">
        <a:xfrm>
          <a:off x="3057525" y="21021675"/>
          <a:ext cx="76200" cy="200025"/>
        </a:xfrm>
        <a:prstGeom prst="rect">
          <a:avLst/>
        </a:prstGeom>
        <a:noFill/>
        <a:ln w="9525">
          <a:noFill/>
          <a:miter lim="800000"/>
          <a:headEnd/>
          <a:tailEnd/>
        </a:ln>
      </xdr:spPr>
    </xdr:sp>
    <xdr:clientData/>
  </xdr:twoCellAnchor>
  <xdr:twoCellAnchor editAs="oneCell">
    <xdr:from>
      <xdr:col>3</xdr:col>
      <xdr:colOff>0</xdr:colOff>
      <xdr:row>376</xdr:row>
      <xdr:rowOff>0</xdr:rowOff>
    </xdr:from>
    <xdr:to>
      <xdr:col>3</xdr:col>
      <xdr:colOff>76200</xdr:colOff>
      <xdr:row>376</xdr:row>
      <xdr:rowOff>122301</xdr:rowOff>
    </xdr:to>
    <xdr:sp macro="" textlink="">
      <xdr:nvSpPr>
        <xdr:cNvPr id="10" name="Text Box 33"/>
        <xdr:cNvSpPr txBox="1">
          <a:spLocks noChangeArrowheads="1"/>
        </xdr:cNvSpPr>
      </xdr:nvSpPr>
      <xdr:spPr bwMode="auto">
        <a:xfrm>
          <a:off x="3057525" y="21021675"/>
          <a:ext cx="76200" cy="200025"/>
        </a:xfrm>
        <a:prstGeom prst="rect">
          <a:avLst/>
        </a:prstGeom>
        <a:noFill/>
        <a:ln w="9525">
          <a:noFill/>
          <a:miter lim="800000"/>
          <a:headEnd/>
          <a:tailEnd/>
        </a:ln>
      </xdr:spPr>
    </xdr:sp>
    <xdr:clientData/>
  </xdr:twoCellAnchor>
  <xdr:twoCellAnchor editAs="oneCell">
    <xdr:from>
      <xdr:col>3</xdr:col>
      <xdr:colOff>0</xdr:colOff>
      <xdr:row>376</xdr:row>
      <xdr:rowOff>0</xdr:rowOff>
    </xdr:from>
    <xdr:to>
      <xdr:col>3</xdr:col>
      <xdr:colOff>76200</xdr:colOff>
      <xdr:row>376</xdr:row>
      <xdr:rowOff>122301</xdr:rowOff>
    </xdr:to>
    <xdr:sp macro="" textlink="">
      <xdr:nvSpPr>
        <xdr:cNvPr id="11" name="Text Box 34"/>
        <xdr:cNvSpPr txBox="1">
          <a:spLocks noChangeArrowheads="1"/>
        </xdr:cNvSpPr>
      </xdr:nvSpPr>
      <xdr:spPr bwMode="auto">
        <a:xfrm>
          <a:off x="3057525" y="21021675"/>
          <a:ext cx="76200" cy="200025"/>
        </a:xfrm>
        <a:prstGeom prst="rect">
          <a:avLst/>
        </a:prstGeom>
        <a:noFill/>
        <a:ln w="9525">
          <a:noFill/>
          <a:miter lim="800000"/>
          <a:headEnd/>
          <a:tailEnd/>
        </a:ln>
      </xdr:spPr>
    </xdr:sp>
    <xdr:clientData/>
  </xdr:twoCellAnchor>
  <xdr:twoCellAnchor editAs="oneCell">
    <xdr:from>
      <xdr:col>3</xdr:col>
      <xdr:colOff>0</xdr:colOff>
      <xdr:row>376</xdr:row>
      <xdr:rowOff>0</xdr:rowOff>
    </xdr:from>
    <xdr:to>
      <xdr:col>3</xdr:col>
      <xdr:colOff>76200</xdr:colOff>
      <xdr:row>376</xdr:row>
      <xdr:rowOff>122301</xdr:rowOff>
    </xdr:to>
    <xdr:sp macro="" textlink="">
      <xdr:nvSpPr>
        <xdr:cNvPr id="12" name="Text Box 35"/>
        <xdr:cNvSpPr txBox="1">
          <a:spLocks noChangeArrowheads="1"/>
        </xdr:cNvSpPr>
      </xdr:nvSpPr>
      <xdr:spPr bwMode="auto">
        <a:xfrm>
          <a:off x="3057525" y="21021675"/>
          <a:ext cx="76200" cy="200025"/>
        </a:xfrm>
        <a:prstGeom prst="rect">
          <a:avLst/>
        </a:prstGeom>
        <a:noFill/>
        <a:ln w="9525">
          <a:noFill/>
          <a:miter lim="800000"/>
          <a:headEnd/>
          <a:tailEnd/>
        </a:ln>
      </xdr:spPr>
    </xdr:sp>
    <xdr:clientData/>
  </xdr:twoCellAnchor>
  <xdr:twoCellAnchor editAs="oneCell">
    <xdr:from>
      <xdr:col>3</xdr:col>
      <xdr:colOff>0</xdr:colOff>
      <xdr:row>376</xdr:row>
      <xdr:rowOff>0</xdr:rowOff>
    </xdr:from>
    <xdr:to>
      <xdr:col>3</xdr:col>
      <xdr:colOff>76200</xdr:colOff>
      <xdr:row>376</xdr:row>
      <xdr:rowOff>122301</xdr:rowOff>
    </xdr:to>
    <xdr:sp macro="" textlink="">
      <xdr:nvSpPr>
        <xdr:cNvPr id="13" name="Text Box 36"/>
        <xdr:cNvSpPr txBox="1">
          <a:spLocks noChangeArrowheads="1"/>
        </xdr:cNvSpPr>
      </xdr:nvSpPr>
      <xdr:spPr bwMode="auto">
        <a:xfrm>
          <a:off x="3057525" y="21021675"/>
          <a:ext cx="76200" cy="2000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387</xdr:row>
      <xdr:rowOff>0</xdr:rowOff>
    </xdr:from>
    <xdr:to>
      <xdr:col>3</xdr:col>
      <xdr:colOff>76200</xdr:colOff>
      <xdr:row>387</xdr:row>
      <xdr:rowOff>122301</xdr:rowOff>
    </xdr:to>
    <xdr:sp macro="" textlink="">
      <xdr:nvSpPr>
        <xdr:cNvPr id="2" name="Text Box 31"/>
        <xdr:cNvSpPr txBox="1">
          <a:spLocks noChangeArrowheads="1"/>
        </xdr:cNvSpPr>
      </xdr:nvSpPr>
      <xdr:spPr bwMode="auto">
        <a:xfrm>
          <a:off x="4067175" y="164372925"/>
          <a:ext cx="76200" cy="122301"/>
        </a:xfrm>
        <a:prstGeom prst="rect">
          <a:avLst/>
        </a:prstGeom>
        <a:noFill/>
        <a:ln w="9525">
          <a:noFill/>
          <a:miter lim="800000"/>
          <a:headEnd/>
          <a:tailEnd/>
        </a:ln>
      </xdr:spPr>
    </xdr:sp>
    <xdr:clientData/>
  </xdr:twoCellAnchor>
  <xdr:twoCellAnchor editAs="oneCell">
    <xdr:from>
      <xdr:col>3</xdr:col>
      <xdr:colOff>0</xdr:colOff>
      <xdr:row>387</xdr:row>
      <xdr:rowOff>0</xdr:rowOff>
    </xdr:from>
    <xdr:to>
      <xdr:col>3</xdr:col>
      <xdr:colOff>76200</xdr:colOff>
      <xdr:row>387</xdr:row>
      <xdr:rowOff>122301</xdr:rowOff>
    </xdr:to>
    <xdr:sp macro="" textlink="">
      <xdr:nvSpPr>
        <xdr:cNvPr id="3" name="Text Box 32"/>
        <xdr:cNvSpPr txBox="1">
          <a:spLocks noChangeArrowheads="1"/>
        </xdr:cNvSpPr>
      </xdr:nvSpPr>
      <xdr:spPr bwMode="auto">
        <a:xfrm>
          <a:off x="4067175" y="164372925"/>
          <a:ext cx="76200" cy="122301"/>
        </a:xfrm>
        <a:prstGeom prst="rect">
          <a:avLst/>
        </a:prstGeom>
        <a:noFill/>
        <a:ln w="9525">
          <a:noFill/>
          <a:miter lim="800000"/>
          <a:headEnd/>
          <a:tailEnd/>
        </a:ln>
      </xdr:spPr>
    </xdr:sp>
    <xdr:clientData/>
  </xdr:twoCellAnchor>
  <xdr:twoCellAnchor editAs="oneCell">
    <xdr:from>
      <xdr:col>3</xdr:col>
      <xdr:colOff>0</xdr:colOff>
      <xdr:row>387</xdr:row>
      <xdr:rowOff>0</xdr:rowOff>
    </xdr:from>
    <xdr:to>
      <xdr:col>3</xdr:col>
      <xdr:colOff>76200</xdr:colOff>
      <xdr:row>387</xdr:row>
      <xdr:rowOff>122301</xdr:rowOff>
    </xdr:to>
    <xdr:sp macro="" textlink="">
      <xdr:nvSpPr>
        <xdr:cNvPr id="4" name="Text Box 33"/>
        <xdr:cNvSpPr txBox="1">
          <a:spLocks noChangeArrowheads="1"/>
        </xdr:cNvSpPr>
      </xdr:nvSpPr>
      <xdr:spPr bwMode="auto">
        <a:xfrm>
          <a:off x="4067175" y="164372925"/>
          <a:ext cx="76200" cy="122301"/>
        </a:xfrm>
        <a:prstGeom prst="rect">
          <a:avLst/>
        </a:prstGeom>
        <a:noFill/>
        <a:ln w="9525">
          <a:noFill/>
          <a:miter lim="800000"/>
          <a:headEnd/>
          <a:tailEnd/>
        </a:ln>
      </xdr:spPr>
    </xdr:sp>
    <xdr:clientData/>
  </xdr:twoCellAnchor>
  <xdr:twoCellAnchor editAs="oneCell">
    <xdr:from>
      <xdr:col>3</xdr:col>
      <xdr:colOff>0</xdr:colOff>
      <xdr:row>387</xdr:row>
      <xdr:rowOff>0</xdr:rowOff>
    </xdr:from>
    <xdr:to>
      <xdr:col>3</xdr:col>
      <xdr:colOff>76200</xdr:colOff>
      <xdr:row>387</xdr:row>
      <xdr:rowOff>122301</xdr:rowOff>
    </xdr:to>
    <xdr:sp macro="" textlink="">
      <xdr:nvSpPr>
        <xdr:cNvPr id="5" name="Text Box 34"/>
        <xdr:cNvSpPr txBox="1">
          <a:spLocks noChangeArrowheads="1"/>
        </xdr:cNvSpPr>
      </xdr:nvSpPr>
      <xdr:spPr bwMode="auto">
        <a:xfrm>
          <a:off x="4067175" y="164372925"/>
          <a:ext cx="76200" cy="122301"/>
        </a:xfrm>
        <a:prstGeom prst="rect">
          <a:avLst/>
        </a:prstGeom>
        <a:noFill/>
        <a:ln w="9525">
          <a:noFill/>
          <a:miter lim="800000"/>
          <a:headEnd/>
          <a:tailEnd/>
        </a:ln>
      </xdr:spPr>
    </xdr:sp>
    <xdr:clientData/>
  </xdr:twoCellAnchor>
  <xdr:twoCellAnchor editAs="oneCell">
    <xdr:from>
      <xdr:col>3</xdr:col>
      <xdr:colOff>0</xdr:colOff>
      <xdr:row>387</xdr:row>
      <xdr:rowOff>0</xdr:rowOff>
    </xdr:from>
    <xdr:to>
      <xdr:col>3</xdr:col>
      <xdr:colOff>76200</xdr:colOff>
      <xdr:row>387</xdr:row>
      <xdr:rowOff>122301</xdr:rowOff>
    </xdr:to>
    <xdr:sp macro="" textlink="">
      <xdr:nvSpPr>
        <xdr:cNvPr id="6" name="Text Box 35"/>
        <xdr:cNvSpPr txBox="1">
          <a:spLocks noChangeArrowheads="1"/>
        </xdr:cNvSpPr>
      </xdr:nvSpPr>
      <xdr:spPr bwMode="auto">
        <a:xfrm>
          <a:off x="4067175" y="164372925"/>
          <a:ext cx="76200" cy="122301"/>
        </a:xfrm>
        <a:prstGeom prst="rect">
          <a:avLst/>
        </a:prstGeom>
        <a:noFill/>
        <a:ln w="9525">
          <a:noFill/>
          <a:miter lim="800000"/>
          <a:headEnd/>
          <a:tailEnd/>
        </a:ln>
      </xdr:spPr>
    </xdr:sp>
    <xdr:clientData/>
  </xdr:twoCellAnchor>
  <xdr:twoCellAnchor editAs="oneCell">
    <xdr:from>
      <xdr:col>3</xdr:col>
      <xdr:colOff>0</xdr:colOff>
      <xdr:row>387</xdr:row>
      <xdr:rowOff>0</xdr:rowOff>
    </xdr:from>
    <xdr:to>
      <xdr:col>3</xdr:col>
      <xdr:colOff>76200</xdr:colOff>
      <xdr:row>387</xdr:row>
      <xdr:rowOff>122301</xdr:rowOff>
    </xdr:to>
    <xdr:sp macro="" textlink="">
      <xdr:nvSpPr>
        <xdr:cNvPr id="7" name="Text Box 36"/>
        <xdr:cNvSpPr txBox="1">
          <a:spLocks noChangeArrowheads="1"/>
        </xdr:cNvSpPr>
      </xdr:nvSpPr>
      <xdr:spPr bwMode="auto">
        <a:xfrm>
          <a:off x="4067175" y="164372925"/>
          <a:ext cx="76200" cy="122301"/>
        </a:xfrm>
        <a:prstGeom prst="rect">
          <a:avLst/>
        </a:prstGeom>
        <a:noFill/>
        <a:ln w="9525">
          <a:noFill/>
          <a:miter lim="800000"/>
          <a:headEnd/>
          <a:tailEnd/>
        </a:ln>
      </xdr:spPr>
    </xdr:sp>
    <xdr:clientData/>
  </xdr:twoCellAnchor>
  <xdr:twoCellAnchor editAs="oneCell">
    <xdr:from>
      <xdr:col>3</xdr:col>
      <xdr:colOff>0</xdr:colOff>
      <xdr:row>387</xdr:row>
      <xdr:rowOff>0</xdr:rowOff>
    </xdr:from>
    <xdr:to>
      <xdr:col>3</xdr:col>
      <xdr:colOff>76200</xdr:colOff>
      <xdr:row>387</xdr:row>
      <xdr:rowOff>122301</xdr:rowOff>
    </xdr:to>
    <xdr:sp macro="" textlink="">
      <xdr:nvSpPr>
        <xdr:cNvPr id="8" name="Text Box 31"/>
        <xdr:cNvSpPr txBox="1">
          <a:spLocks noChangeArrowheads="1"/>
        </xdr:cNvSpPr>
      </xdr:nvSpPr>
      <xdr:spPr bwMode="auto">
        <a:xfrm>
          <a:off x="4067175" y="164372925"/>
          <a:ext cx="76200" cy="122301"/>
        </a:xfrm>
        <a:prstGeom prst="rect">
          <a:avLst/>
        </a:prstGeom>
        <a:noFill/>
        <a:ln w="9525">
          <a:noFill/>
          <a:miter lim="800000"/>
          <a:headEnd/>
          <a:tailEnd/>
        </a:ln>
      </xdr:spPr>
    </xdr:sp>
    <xdr:clientData/>
  </xdr:twoCellAnchor>
  <xdr:twoCellAnchor editAs="oneCell">
    <xdr:from>
      <xdr:col>3</xdr:col>
      <xdr:colOff>0</xdr:colOff>
      <xdr:row>387</xdr:row>
      <xdr:rowOff>0</xdr:rowOff>
    </xdr:from>
    <xdr:to>
      <xdr:col>3</xdr:col>
      <xdr:colOff>76200</xdr:colOff>
      <xdr:row>387</xdr:row>
      <xdr:rowOff>122301</xdr:rowOff>
    </xdr:to>
    <xdr:sp macro="" textlink="">
      <xdr:nvSpPr>
        <xdr:cNvPr id="9" name="Text Box 32"/>
        <xdr:cNvSpPr txBox="1">
          <a:spLocks noChangeArrowheads="1"/>
        </xdr:cNvSpPr>
      </xdr:nvSpPr>
      <xdr:spPr bwMode="auto">
        <a:xfrm>
          <a:off x="4067175" y="164372925"/>
          <a:ext cx="76200" cy="122301"/>
        </a:xfrm>
        <a:prstGeom prst="rect">
          <a:avLst/>
        </a:prstGeom>
        <a:noFill/>
        <a:ln w="9525">
          <a:noFill/>
          <a:miter lim="800000"/>
          <a:headEnd/>
          <a:tailEnd/>
        </a:ln>
      </xdr:spPr>
    </xdr:sp>
    <xdr:clientData/>
  </xdr:twoCellAnchor>
  <xdr:twoCellAnchor editAs="oneCell">
    <xdr:from>
      <xdr:col>3</xdr:col>
      <xdr:colOff>0</xdr:colOff>
      <xdr:row>387</xdr:row>
      <xdr:rowOff>0</xdr:rowOff>
    </xdr:from>
    <xdr:to>
      <xdr:col>3</xdr:col>
      <xdr:colOff>76200</xdr:colOff>
      <xdr:row>387</xdr:row>
      <xdr:rowOff>122301</xdr:rowOff>
    </xdr:to>
    <xdr:sp macro="" textlink="">
      <xdr:nvSpPr>
        <xdr:cNvPr id="10" name="Text Box 33"/>
        <xdr:cNvSpPr txBox="1">
          <a:spLocks noChangeArrowheads="1"/>
        </xdr:cNvSpPr>
      </xdr:nvSpPr>
      <xdr:spPr bwMode="auto">
        <a:xfrm>
          <a:off x="4067175" y="164372925"/>
          <a:ext cx="76200" cy="122301"/>
        </a:xfrm>
        <a:prstGeom prst="rect">
          <a:avLst/>
        </a:prstGeom>
        <a:noFill/>
        <a:ln w="9525">
          <a:noFill/>
          <a:miter lim="800000"/>
          <a:headEnd/>
          <a:tailEnd/>
        </a:ln>
      </xdr:spPr>
    </xdr:sp>
    <xdr:clientData/>
  </xdr:twoCellAnchor>
  <xdr:twoCellAnchor editAs="oneCell">
    <xdr:from>
      <xdr:col>3</xdr:col>
      <xdr:colOff>0</xdr:colOff>
      <xdr:row>387</xdr:row>
      <xdr:rowOff>0</xdr:rowOff>
    </xdr:from>
    <xdr:to>
      <xdr:col>3</xdr:col>
      <xdr:colOff>76200</xdr:colOff>
      <xdr:row>387</xdr:row>
      <xdr:rowOff>122301</xdr:rowOff>
    </xdr:to>
    <xdr:sp macro="" textlink="">
      <xdr:nvSpPr>
        <xdr:cNvPr id="11" name="Text Box 34"/>
        <xdr:cNvSpPr txBox="1">
          <a:spLocks noChangeArrowheads="1"/>
        </xdr:cNvSpPr>
      </xdr:nvSpPr>
      <xdr:spPr bwMode="auto">
        <a:xfrm>
          <a:off x="4067175" y="164372925"/>
          <a:ext cx="76200" cy="122301"/>
        </a:xfrm>
        <a:prstGeom prst="rect">
          <a:avLst/>
        </a:prstGeom>
        <a:noFill/>
        <a:ln w="9525">
          <a:noFill/>
          <a:miter lim="800000"/>
          <a:headEnd/>
          <a:tailEnd/>
        </a:ln>
      </xdr:spPr>
    </xdr:sp>
    <xdr:clientData/>
  </xdr:twoCellAnchor>
  <xdr:twoCellAnchor editAs="oneCell">
    <xdr:from>
      <xdr:col>3</xdr:col>
      <xdr:colOff>0</xdr:colOff>
      <xdr:row>387</xdr:row>
      <xdr:rowOff>0</xdr:rowOff>
    </xdr:from>
    <xdr:to>
      <xdr:col>3</xdr:col>
      <xdr:colOff>76200</xdr:colOff>
      <xdr:row>387</xdr:row>
      <xdr:rowOff>122301</xdr:rowOff>
    </xdr:to>
    <xdr:sp macro="" textlink="">
      <xdr:nvSpPr>
        <xdr:cNvPr id="12" name="Text Box 35"/>
        <xdr:cNvSpPr txBox="1">
          <a:spLocks noChangeArrowheads="1"/>
        </xdr:cNvSpPr>
      </xdr:nvSpPr>
      <xdr:spPr bwMode="auto">
        <a:xfrm>
          <a:off x="4067175" y="164372925"/>
          <a:ext cx="76200" cy="122301"/>
        </a:xfrm>
        <a:prstGeom prst="rect">
          <a:avLst/>
        </a:prstGeom>
        <a:noFill/>
        <a:ln w="9525">
          <a:noFill/>
          <a:miter lim="800000"/>
          <a:headEnd/>
          <a:tailEnd/>
        </a:ln>
      </xdr:spPr>
    </xdr:sp>
    <xdr:clientData/>
  </xdr:twoCellAnchor>
  <xdr:twoCellAnchor editAs="oneCell">
    <xdr:from>
      <xdr:col>3</xdr:col>
      <xdr:colOff>0</xdr:colOff>
      <xdr:row>387</xdr:row>
      <xdr:rowOff>0</xdr:rowOff>
    </xdr:from>
    <xdr:to>
      <xdr:col>3</xdr:col>
      <xdr:colOff>76200</xdr:colOff>
      <xdr:row>387</xdr:row>
      <xdr:rowOff>122301</xdr:rowOff>
    </xdr:to>
    <xdr:sp macro="" textlink="">
      <xdr:nvSpPr>
        <xdr:cNvPr id="13" name="Text Box 36"/>
        <xdr:cNvSpPr txBox="1">
          <a:spLocks noChangeArrowheads="1"/>
        </xdr:cNvSpPr>
      </xdr:nvSpPr>
      <xdr:spPr bwMode="auto">
        <a:xfrm>
          <a:off x="4067175" y="164372925"/>
          <a:ext cx="76200" cy="122301"/>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174</xdr:row>
      <xdr:rowOff>0</xdr:rowOff>
    </xdr:from>
    <xdr:to>
      <xdr:col>3</xdr:col>
      <xdr:colOff>76200</xdr:colOff>
      <xdr:row>174</xdr:row>
      <xdr:rowOff>122301</xdr:rowOff>
    </xdr:to>
    <xdr:sp macro="" textlink="">
      <xdr:nvSpPr>
        <xdr:cNvPr id="2" name="Text Box 31"/>
        <xdr:cNvSpPr txBox="1">
          <a:spLocks noChangeArrowheads="1"/>
        </xdr:cNvSpPr>
      </xdr:nvSpPr>
      <xdr:spPr bwMode="auto">
        <a:xfrm>
          <a:off x="4067175" y="164372925"/>
          <a:ext cx="76200" cy="122301"/>
        </a:xfrm>
        <a:prstGeom prst="rect">
          <a:avLst/>
        </a:prstGeom>
        <a:noFill/>
        <a:ln w="9525">
          <a:noFill/>
          <a:miter lim="800000"/>
          <a:headEnd/>
          <a:tailEnd/>
        </a:ln>
      </xdr:spPr>
    </xdr:sp>
    <xdr:clientData/>
  </xdr:twoCellAnchor>
  <xdr:twoCellAnchor editAs="oneCell">
    <xdr:from>
      <xdr:col>3</xdr:col>
      <xdr:colOff>0</xdr:colOff>
      <xdr:row>174</xdr:row>
      <xdr:rowOff>0</xdr:rowOff>
    </xdr:from>
    <xdr:to>
      <xdr:col>3</xdr:col>
      <xdr:colOff>76200</xdr:colOff>
      <xdr:row>174</xdr:row>
      <xdr:rowOff>122301</xdr:rowOff>
    </xdr:to>
    <xdr:sp macro="" textlink="">
      <xdr:nvSpPr>
        <xdr:cNvPr id="3" name="Text Box 32"/>
        <xdr:cNvSpPr txBox="1">
          <a:spLocks noChangeArrowheads="1"/>
        </xdr:cNvSpPr>
      </xdr:nvSpPr>
      <xdr:spPr bwMode="auto">
        <a:xfrm>
          <a:off x="4067175" y="164372925"/>
          <a:ext cx="76200" cy="122301"/>
        </a:xfrm>
        <a:prstGeom prst="rect">
          <a:avLst/>
        </a:prstGeom>
        <a:noFill/>
        <a:ln w="9525">
          <a:noFill/>
          <a:miter lim="800000"/>
          <a:headEnd/>
          <a:tailEnd/>
        </a:ln>
      </xdr:spPr>
    </xdr:sp>
    <xdr:clientData/>
  </xdr:twoCellAnchor>
  <xdr:twoCellAnchor editAs="oneCell">
    <xdr:from>
      <xdr:col>3</xdr:col>
      <xdr:colOff>0</xdr:colOff>
      <xdr:row>174</xdr:row>
      <xdr:rowOff>0</xdr:rowOff>
    </xdr:from>
    <xdr:to>
      <xdr:col>3</xdr:col>
      <xdr:colOff>76200</xdr:colOff>
      <xdr:row>174</xdr:row>
      <xdr:rowOff>122301</xdr:rowOff>
    </xdr:to>
    <xdr:sp macro="" textlink="">
      <xdr:nvSpPr>
        <xdr:cNvPr id="4" name="Text Box 33"/>
        <xdr:cNvSpPr txBox="1">
          <a:spLocks noChangeArrowheads="1"/>
        </xdr:cNvSpPr>
      </xdr:nvSpPr>
      <xdr:spPr bwMode="auto">
        <a:xfrm>
          <a:off x="4067175" y="164372925"/>
          <a:ext cx="76200" cy="122301"/>
        </a:xfrm>
        <a:prstGeom prst="rect">
          <a:avLst/>
        </a:prstGeom>
        <a:noFill/>
        <a:ln w="9525">
          <a:noFill/>
          <a:miter lim="800000"/>
          <a:headEnd/>
          <a:tailEnd/>
        </a:ln>
      </xdr:spPr>
    </xdr:sp>
    <xdr:clientData/>
  </xdr:twoCellAnchor>
  <xdr:twoCellAnchor editAs="oneCell">
    <xdr:from>
      <xdr:col>3</xdr:col>
      <xdr:colOff>0</xdr:colOff>
      <xdr:row>174</xdr:row>
      <xdr:rowOff>0</xdr:rowOff>
    </xdr:from>
    <xdr:to>
      <xdr:col>3</xdr:col>
      <xdr:colOff>76200</xdr:colOff>
      <xdr:row>174</xdr:row>
      <xdr:rowOff>122301</xdr:rowOff>
    </xdr:to>
    <xdr:sp macro="" textlink="">
      <xdr:nvSpPr>
        <xdr:cNvPr id="5" name="Text Box 34"/>
        <xdr:cNvSpPr txBox="1">
          <a:spLocks noChangeArrowheads="1"/>
        </xdr:cNvSpPr>
      </xdr:nvSpPr>
      <xdr:spPr bwMode="auto">
        <a:xfrm>
          <a:off x="4067175" y="164372925"/>
          <a:ext cx="76200" cy="122301"/>
        </a:xfrm>
        <a:prstGeom prst="rect">
          <a:avLst/>
        </a:prstGeom>
        <a:noFill/>
        <a:ln w="9525">
          <a:noFill/>
          <a:miter lim="800000"/>
          <a:headEnd/>
          <a:tailEnd/>
        </a:ln>
      </xdr:spPr>
    </xdr:sp>
    <xdr:clientData/>
  </xdr:twoCellAnchor>
  <xdr:twoCellAnchor editAs="oneCell">
    <xdr:from>
      <xdr:col>3</xdr:col>
      <xdr:colOff>0</xdr:colOff>
      <xdr:row>174</xdr:row>
      <xdr:rowOff>0</xdr:rowOff>
    </xdr:from>
    <xdr:to>
      <xdr:col>3</xdr:col>
      <xdr:colOff>76200</xdr:colOff>
      <xdr:row>174</xdr:row>
      <xdr:rowOff>122301</xdr:rowOff>
    </xdr:to>
    <xdr:sp macro="" textlink="">
      <xdr:nvSpPr>
        <xdr:cNvPr id="6" name="Text Box 35"/>
        <xdr:cNvSpPr txBox="1">
          <a:spLocks noChangeArrowheads="1"/>
        </xdr:cNvSpPr>
      </xdr:nvSpPr>
      <xdr:spPr bwMode="auto">
        <a:xfrm>
          <a:off x="4067175" y="164372925"/>
          <a:ext cx="76200" cy="122301"/>
        </a:xfrm>
        <a:prstGeom prst="rect">
          <a:avLst/>
        </a:prstGeom>
        <a:noFill/>
        <a:ln w="9525">
          <a:noFill/>
          <a:miter lim="800000"/>
          <a:headEnd/>
          <a:tailEnd/>
        </a:ln>
      </xdr:spPr>
    </xdr:sp>
    <xdr:clientData/>
  </xdr:twoCellAnchor>
  <xdr:twoCellAnchor editAs="oneCell">
    <xdr:from>
      <xdr:col>3</xdr:col>
      <xdr:colOff>0</xdr:colOff>
      <xdr:row>174</xdr:row>
      <xdr:rowOff>0</xdr:rowOff>
    </xdr:from>
    <xdr:to>
      <xdr:col>3</xdr:col>
      <xdr:colOff>76200</xdr:colOff>
      <xdr:row>174</xdr:row>
      <xdr:rowOff>122301</xdr:rowOff>
    </xdr:to>
    <xdr:sp macro="" textlink="">
      <xdr:nvSpPr>
        <xdr:cNvPr id="7" name="Text Box 36"/>
        <xdr:cNvSpPr txBox="1">
          <a:spLocks noChangeArrowheads="1"/>
        </xdr:cNvSpPr>
      </xdr:nvSpPr>
      <xdr:spPr bwMode="auto">
        <a:xfrm>
          <a:off x="4067175" y="164372925"/>
          <a:ext cx="76200" cy="122301"/>
        </a:xfrm>
        <a:prstGeom prst="rect">
          <a:avLst/>
        </a:prstGeom>
        <a:noFill/>
        <a:ln w="9525">
          <a:noFill/>
          <a:miter lim="800000"/>
          <a:headEnd/>
          <a:tailEnd/>
        </a:ln>
      </xdr:spPr>
    </xdr:sp>
    <xdr:clientData/>
  </xdr:twoCellAnchor>
  <xdr:twoCellAnchor editAs="oneCell">
    <xdr:from>
      <xdr:col>3</xdr:col>
      <xdr:colOff>0</xdr:colOff>
      <xdr:row>174</xdr:row>
      <xdr:rowOff>0</xdr:rowOff>
    </xdr:from>
    <xdr:to>
      <xdr:col>3</xdr:col>
      <xdr:colOff>76200</xdr:colOff>
      <xdr:row>174</xdr:row>
      <xdr:rowOff>122301</xdr:rowOff>
    </xdr:to>
    <xdr:sp macro="" textlink="">
      <xdr:nvSpPr>
        <xdr:cNvPr id="8" name="Text Box 31"/>
        <xdr:cNvSpPr txBox="1">
          <a:spLocks noChangeArrowheads="1"/>
        </xdr:cNvSpPr>
      </xdr:nvSpPr>
      <xdr:spPr bwMode="auto">
        <a:xfrm>
          <a:off x="4067175" y="164372925"/>
          <a:ext cx="76200" cy="122301"/>
        </a:xfrm>
        <a:prstGeom prst="rect">
          <a:avLst/>
        </a:prstGeom>
        <a:noFill/>
        <a:ln w="9525">
          <a:noFill/>
          <a:miter lim="800000"/>
          <a:headEnd/>
          <a:tailEnd/>
        </a:ln>
      </xdr:spPr>
    </xdr:sp>
    <xdr:clientData/>
  </xdr:twoCellAnchor>
  <xdr:twoCellAnchor editAs="oneCell">
    <xdr:from>
      <xdr:col>3</xdr:col>
      <xdr:colOff>0</xdr:colOff>
      <xdr:row>174</xdr:row>
      <xdr:rowOff>0</xdr:rowOff>
    </xdr:from>
    <xdr:to>
      <xdr:col>3</xdr:col>
      <xdr:colOff>76200</xdr:colOff>
      <xdr:row>174</xdr:row>
      <xdr:rowOff>122301</xdr:rowOff>
    </xdr:to>
    <xdr:sp macro="" textlink="">
      <xdr:nvSpPr>
        <xdr:cNvPr id="9" name="Text Box 32"/>
        <xdr:cNvSpPr txBox="1">
          <a:spLocks noChangeArrowheads="1"/>
        </xdr:cNvSpPr>
      </xdr:nvSpPr>
      <xdr:spPr bwMode="auto">
        <a:xfrm>
          <a:off x="4067175" y="164372925"/>
          <a:ext cx="76200" cy="122301"/>
        </a:xfrm>
        <a:prstGeom prst="rect">
          <a:avLst/>
        </a:prstGeom>
        <a:noFill/>
        <a:ln w="9525">
          <a:noFill/>
          <a:miter lim="800000"/>
          <a:headEnd/>
          <a:tailEnd/>
        </a:ln>
      </xdr:spPr>
    </xdr:sp>
    <xdr:clientData/>
  </xdr:twoCellAnchor>
  <xdr:twoCellAnchor editAs="oneCell">
    <xdr:from>
      <xdr:col>3</xdr:col>
      <xdr:colOff>0</xdr:colOff>
      <xdr:row>174</xdr:row>
      <xdr:rowOff>0</xdr:rowOff>
    </xdr:from>
    <xdr:to>
      <xdr:col>3</xdr:col>
      <xdr:colOff>76200</xdr:colOff>
      <xdr:row>174</xdr:row>
      <xdr:rowOff>122301</xdr:rowOff>
    </xdr:to>
    <xdr:sp macro="" textlink="">
      <xdr:nvSpPr>
        <xdr:cNvPr id="10" name="Text Box 33"/>
        <xdr:cNvSpPr txBox="1">
          <a:spLocks noChangeArrowheads="1"/>
        </xdr:cNvSpPr>
      </xdr:nvSpPr>
      <xdr:spPr bwMode="auto">
        <a:xfrm>
          <a:off x="4067175" y="164372925"/>
          <a:ext cx="76200" cy="122301"/>
        </a:xfrm>
        <a:prstGeom prst="rect">
          <a:avLst/>
        </a:prstGeom>
        <a:noFill/>
        <a:ln w="9525">
          <a:noFill/>
          <a:miter lim="800000"/>
          <a:headEnd/>
          <a:tailEnd/>
        </a:ln>
      </xdr:spPr>
    </xdr:sp>
    <xdr:clientData/>
  </xdr:twoCellAnchor>
  <xdr:twoCellAnchor editAs="oneCell">
    <xdr:from>
      <xdr:col>3</xdr:col>
      <xdr:colOff>0</xdr:colOff>
      <xdr:row>174</xdr:row>
      <xdr:rowOff>0</xdr:rowOff>
    </xdr:from>
    <xdr:to>
      <xdr:col>3</xdr:col>
      <xdr:colOff>76200</xdr:colOff>
      <xdr:row>174</xdr:row>
      <xdr:rowOff>122301</xdr:rowOff>
    </xdr:to>
    <xdr:sp macro="" textlink="">
      <xdr:nvSpPr>
        <xdr:cNvPr id="11" name="Text Box 34"/>
        <xdr:cNvSpPr txBox="1">
          <a:spLocks noChangeArrowheads="1"/>
        </xdr:cNvSpPr>
      </xdr:nvSpPr>
      <xdr:spPr bwMode="auto">
        <a:xfrm>
          <a:off x="4067175" y="164372925"/>
          <a:ext cx="76200" cy="122301"/>
        </a:xfrm>
        <a:prstGeom prst="rect">
          <a:avLst/>
        </a:prstGeom>
        <a:noFill/>
        <a:ln w="9525">
          <a:noFill/>
          <a:miter lim="800000"/>
          <a:headEnd/>
          <a:tailEnd/>
        </a:ln>
      </xdr:spPr>
    </xdr:sp>
    <xdr:clientData/>
  </xdr:twoCellAnchor>
  <xdr:twoCellAnchor editAs="oneCell">
    <xdr:from>
      <xdr:col>3</xdr:col>
      <xdr:colOff>0</xdr:colOff>
      <xdr:row>174</xdr:row>
      <xdr:rowOff>0</xdr:rowOff>
    </xdr:from>
    <xdr:to>
      <xdr:col>3</xdr:col>
      <xdr:colOff>76200</xdr:colOff>
      <xdr:row>174</xdr:row>
      <xdr:rowOff>122301</xdr:rowOff>
    </xdr:to>
    <xdr:sp macro="" textlink="">
      <xdr:nvSpPr>
        <xdr:cNvPr id="12" name="Text Box 35"/>
        <xdr:cNvSpPr txBox="1">
          <a:spLocks noChangeArrowheads="1"/>
        </xdr:cNvSpPr>
      </xdr:nvSpPr>
      <xdr:spPr bwMode="auto">
        <a:xfrm>
          <a:off x="4067175" y="164372925"/>
          <a:ext cx="76200" cy="122301"/>
        </a:xfrm>
        <a:prstGeom prst="rect">
          <a:avLst/>
        </a:prstGeom>
        <a:noFill/>
        <a:ln w="9525">
          <a:noFill/>
          <a:miter lim="800000"/>
          <a:headEnd/>
          <a:tailEnd/>
        </a:ln>
      </xdr:spPr>
    </xdr:sp>
    <xdr:clientData/>
  </xdr:twoCellAnchor>
  <xdr:twoCellAnchor editAs="oneCell">
    <xdr:from>
      <xdr:col>3</xdr:col>
      <xdr:colOff>0</xdr:colOff>
      <xdr:row>174</xdr:row>
      <xdr:rowOff>0</xdr:rowOff>
    </xdr:from>
    <xdr:to>
      <xdr:col>3</xdr:col>
      <xdr:colOff>76200</xdr:colOff>
      <xdr:row>174</xdr:row>
      <xdr:rowOff>122301</xdr:rowOff>
    </xdr:to>
    <xdr:sp macro="" textlink="">
      <xdr:nvSpPr>
        <xdr:cNvPr id="13" name="Text Box 36"/>
        <xdr:cNvSpPr txBox="1">
          <a:spLocks noChangeArrowheads="1"/>
        </xdr:cNvSpPr>
      </xdr:nvSpPr>
      <xdr:spPr bwMode="auto">
        <a:xfrm>
          <a:off x="4067175" y="164372925"/>
          <a:ext cx="76200" cy="122301"/>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535</xdr:row>
      <xdr:rowOff>0</xdr:rowOff>
    </xdr:from>
    <xdr:to>
      <xdr:col>3</xdr:col>
      <xdr:colOff>76200</xdr:colOff>
      <xdr:row>535</xdr:row>
      <xdr:rowOff>122301</xdr:rowOff>
    </xdr:to>
    <xdr:sp macro="" textlink="">
      <xdr:nvSpPr>
        <xdr:cNvPr id="2" name="Text Box 31"/>
        <xdr:cNvSpPr txBox="1">
          <a:spLocks noChangeArrowheads="1"/>
        </xdr:cNvSpPr>
      </xdr:nvSpPr>
      <xdr:spPr bwMode="auto">
        <a:xfrm>
          <a:off x="3352800" y="225428175"/>
          <a:ext cx="76200" cy="122301"/>
        </a:xfrm>
        <a:prstGeom prst="rect">
          <a:avLst/>
        </a:prstGeom>
        <a:noFill/>
        <a:ln w="9525">
          <a:noFill/>
          <a:miter lim="800000"/>
          <a:headEnd/>
          <a:tailEnd/>
        </a:ln>
      </xdr:spPr>
    </xdr:sp>
    <xdr:clientData/>
  </xdr:twoCellAnchor>
  <xdr:twoCellAnchor editAs="oneCell">
    <xdr:from>
      <xdr:col>3</xdr:col>
      <xdr:colOff>0</xdr:colOff>
      <xdr:row>535</xdr:row>
      <xdr:rowOff>0</xdr:rowOff>
    </xdr:from>
    <xdr:to>
      <xdr:col>3</xdr:col>
      <xdr:colOff>76200</xdr:colOff>
      <xdr:row>535</xdr:row>
      <xdr:rowOff>122301</xdr:rowOff>
    </xdr:to>
    <xdr:sp macro="" textlink="">
      <xdr:nvSpPr>
        <xdr:cNvPr id="3" name="Text Box 32"/>
        <xdr:cNvSpPr txBox="1">
          <a:spLocks noChangeArrowheads="1"/>
        </xdr:cNvSpPr>
      </xdr:nvSpPr>
      <xdr:spPr bwMode="auto">
        <a:xfrm>
          <a:off x="3352800" y="225428175"/>
          <a:ext cx="76200" cy="122301"/>
        </a:xfrm>
        <a:prstGeom prst="rect">
          <a:avLst/>
        </a:prstGeom>
        <a:noFill/>
        <a:ln w="9525">
          <a:noFill/>
          <a:miter lim="800000"/>
          <a:headEnd/>
          <a:tailEnd/>
        </a:ln>
      </xdr:spPr>
    </xdr:sp>
    <xdr:clientData/>
  </xdr:twoCellAnchor>
  <xdr:twoCellAnchor editAs="oneCell">
    <xdr:from>
      <xdr:col>3</xdr:col>
      <xdr:colOff>0</xdr:colOff>
      <xdr:row>535</xdr:row>
      <xdr:rowOff>0</xdr:rowOff>
    </xdr:from>
    <xdr:to>
      <xdr:col>3</xdr:col>
      <xdr:colOff>76200</xdr:colOff>
      <xdr:row>535</xdr:row>
      <xdr:rowOff>122301</xdr:rowOff>
    </xdr:to>
    <xdr:sp macro="" textlink="">
      <xdr:nvSpPr>
        <xdr:cNvPr id="4" name="Text Box 33"/>
        <xdr:cNvSpPr txBox="1">
          <a:spLocks noChangeArrowheads="1"/>
        </xdr:cNvSpPr>
      </xdr:nvSpPr>
      <xdr:spPr bwMode="auto">
        <a:xfrm>
          <a:off x="3352800" y="225428175"/>
          <a:ext cx="76200" cy="122301"/>
        </a:xfrm>
        <a:prstGeom prst="rect">
          <a:avLst/>
        </a:prstGeom>
        <a:noFill/>
        <a:ln w="9525">
          <a:noFill/>
          <a:miter lim="800000"/>
          <a:headEnd/>
          <a:tailEnd/>
        </a:ln>
      </xdr:spPr>
    </xdr:sp>
    <xdr:clientData/>
  </xdr:twoCellAnchor>
  <xdr:twoCellAnchor editAs="oneCell">
    <xdr:from>
      <xdr:col>3</xdr:col>
      <xdr:colOff>0</xdr:colOff>
      <xdr:row>535</xdr:row>
      <xdr:rowOff>0</xdr:rowOff>
    </xdr:from>
    <xdr:to>
      <xdr:col>3</xdr:col>
      <xdr:colOff>76200</xdr:colOff>
      <xdr:row>535</xdr:row>
      <xdr:rowOff>122301</xdr:rowOff>
    </xdr:to>
    <xdr:sp macro="" textlink="">
      <xdr:nvSpPr>
        <xdr:cNvPr id="5" name="Text Box 34"/>
        <xdr:cNvSpPr txBox="1">
          <a:spLocks noChangeArrowheads="1"/>
        </xdr:cNvSpPr>
      </xdr:nvSpPr>
      <xdr:spPr bwMode="auto">
        <a:xfrm>
          <a:off x="3352800" y="225428175"/>
          <a:ext cx="76200" cy="122301"/>
        </a:xfrm>
        <a:prstGeom prst="rect">
          <a:avLst/>
        </a:prstGeom>
        <a:noFill/>
        <a:ln w="9525">
          <a:noFill/>
          <a:miter lim="800000"/>
          <a:headEnd/>
          <a:tailEnd/>
        </a:ln>
      </xdr:spPr>
    </xdr:sp>
    <xdr:clientData/>
  </xdr:twoCellAnchor>
  <xdr:twoCellAnchor editAs="oneCell">
    <xdr:from>
      <xdr:col>3</xdr:col>
      <xdr:colOff>0</xdr:colOff>
      <xdr:row>535</xdr:row>
      <xdr:rowOff>0</xdr:rowOff>
    </xdr:from>
    <xdr:to>
      <xdr:col>3</xdr:col>
      <xdr:colOff>76200</xdr:colOff>
      <xdr:row>535</xdr:row>
      <xdr:rowOff>122301</xdr:rowOff>
    </xdr:to>
    <xdr:sp macro="" textlink="">
      <xdr:nvSpPr>
        <xdr:cNvPr id="6" name="Text Box 35"/>
        <xdr:cNvSpPr txBox="1">
          <a:spLocks noChangeArrowheads="1"/>
        </xdr:cNvSpPr>
      </xdr:nvSpPr>
      <xdr:spPr bwMode="auto">
        <a:xfrm>
          <a:off x="3352800" y="225428175"/>
          <a:ext cx="76200" cy="122301"/>
        </a:xfrm>
        <a:prstGeom prst="rect">
          <a:avLst/>
        </a:prstGeom>
        <a:noFill/>
        <a:ln w="9525">
          <a:noFill/>
          <a:miter lim="800000"/>
          <a:headEnd/>
          <a:tailEnd/>
        </a:ln>
      </xdr:spPr>
    </xdr:sp>
    <xdr:clientData/>
  </xdr:twoCellAnchor>
  <xdr:twoCellAnchor editAs="oneCell">
    <xdr:from>
      <xdr:col>3</xdr:col>
      <xdr:colOff>0</xdr:colOff>
      <xdr:row>535</xdr:row>
      <xdr:rowOff>0</xdr:rowOff>
    </xdr:from>
    <xdr:to>
      <xdr:col>3</xdr:col>
      <xdr:colOff>76200</xdr:colOff>
      <xdr:row>535</xdr:row>
      <xdr:rowOff>122301</xdr:rowOff>
    </xdr:to>
    <xdr:sp macro="" textlink="">
      <xdr:nvSpPr>
        <xdr:cNvPr id="7" name="Text Box 36"/>
        <xdr:cNvSpPr txBox="1">
          <a:spLocks noChangeArrowheads="1"/>
        </xdr:cNvSpPr>
      </xdr:nvSpPr>
      <xdr:spPr bwMode="auto">
        <a:xfrm>
          <a:off x="3352800" y="225428175"/>
          <a:ext cx="76200" cy="122301"/>
        </a:xfrm>
        <a:prstGeom prst="rect">
          <a:avLst/>
        </a:prstGeom>
        <a:noFill/>
        <a:ln w="9525">
          <a:noFill/>
          <a:miter lim="800000"/>
          <a:headEnd/>
          <a:tailEnd/>
        </a:ln>
      </xdr:spPr>
    </xdr:sp>
    <xdr:clientData/>
  </xdr:twoCellAnchor>
  <xdr:twoCellAnchor editAs="oneCell">
    <xdr:from>
      <xdr:col>3</xdr:col>
      <xdr:colOff>0</xdr:colOff>
      <xdr:row>535</xdr:row>
      <xdr:rowOff>0</xdr:rowOff>
    </xdr:from>
    <xdr:to>
      <xdr:col>3</xdr:col>
      <xdr:colOff>76200</xdr:colOff>
      <xdr:row>535</xdr:row>
      <xdr:rowOff>200025</xdr:rowOff>
    </xdr:to>
    <xdr:sp macro="" textlink="">
      <xdr:nvSpPr>
        <xdr:cNvPr id="8" name="Text Box 31"/>
        <xdr:cNvSpPr txBox="1">
          <a:spLocks noChangeArrowheads="1"/>
        </xdr:cNvSpPr>
      </xdr:nvSpPr>
      <xdr:spPr bwMode="auto">
        <a:xfrm>
          <a:off x="3352800" y="225428175"/>
          <a:ext cx="76200" cy="200025"/>
        </a:xfrm>
        <a:prstGeom prst="rect">
          <a:avLst/>
        </a:prstGeom>
        <a:noFill/>
        <a:ln w="9525">
          <a:noFill/>
          <a:miter lim="800000"/>
          <a:headEnd/>
          <a:tailEnd/>
        </a:ln>
      </xdr:spPr>
    </xdr:sp>
    <xdr:clientData/>
  </xdr:twoCellAnchor>
  <xdr:twoCellAnchor editAs="oneCell">
    <xdr:from>
      <xdr:col>3</xdr:col>
      <xdr:colOff>0</xdr:colOff>
      <xdr:row>535</xdr:row>
      <xdr:rowOff>0</xdr:rowOff>
    </xdr:from>
    <xdr:to>
      <xdr:col>3</xdr:col>
      <xdr:colOff>76200</xdr:colOff>
      <xdr:row>535</xdr:row>
      <xdr:rowOff>200025</xdr:rowOff>
    </xdr:to>
    <xdr:sp macro="" textlink="">
      <xdr:nvSpPr>
        <xdr:cNvPr id="9" name="Text Box 32"/>
        <xdr:cNvSpPr txBox="1">
          <a:spLocks noChangeArrowheads="1"/>
        </xdr:cNvSpPr>
      </xdr:nvSpPr>
      <xdr:spPr bwMode="auto">
        <a:xfrm>
          <a:off x="3352800" y="225428175"/>
          <a:ext cx="76200" cy="200025"/>
        </a:xfrm>
        <a:prstGeom prst="rect">
          <a:avLst/>
        </a:prstGeom>
        <a:noFill/>
        <a:ln w="9525">
          <a:noFill/>
          <a:miter lim="800000"/>
          <a:headEnd/>
          <a:tailEnd/>
        </a:ln>
      </xdr:spPr>
    </xdr:sp>
    <xdr:clientData/>
  </xdr:twoCellAnchor>
  <xdr:twoCellAnchor editAs="oneCell">
    <xdr:from>
      <xdr:col>3</xdr:col>
      <xdr:colOff>0</xdr:colOff>
      <xdr:row>535</xdr:row>
      <xdr:rowOff>0</xdr:rowOff>
    </xdr:from>
    <xdr:to>
      <xdr:col>3</xdr:col>
      <xdr:colOff>76200</xdr:colOff>
      <xdr:row>535</xdr:row>
      <xdr:rowOff>200025</xdr:rowOff>
    </xdr:to>
    <xdr:sp macro="" textlink="">
      <xdr:nvSpPr>
        <xdr:cNvPr id="10" name="Text Box 33"/>
        <xdr:cNvSpPr txBox="1">
          <a:spLocks noChangeArrowheads="1"/>
        </xdr:cNvSpPr>
      </xdr:nvSpPr>
      <xdr:spPr bwMode="auto">
        <a:xfrm>
          <a:off x="3352800" y="225428175"/>
          <a:ext cx="76200" cy="200025"/>
        </a:xfrm>
        <a:prstGeom prst="rect">
          <a:avLst/>
        </a:prstGeom>
        <a:noFill/>
        <a:ln w="9525">
          <a:noFill/>
          <a:miter lim="800000"/>
          <a:headEnd/>
          <a:tailEnd/>
        </a:ln>
      </xdr:spPr>
    </xdr:sp>
    <xdr:clientData/>
  </xdr:twoCellAnchor>
  <xdr:twoCellAnchor editAs="oneCell">
    <xdr:from>
      <xdr:col>3</xdr:col>
      <xdr:colOff>0</xdr:colOff>
      <xdr:row>535</xdr:row>
      <xdr:rowOff>0</xdr:rowOff>
    </xdr:from>
    <xdr:to>
      <xdr:col>3</xdr:col>
      <xdr:colOff>76200</xdr:colOff>
      <xdr:row>535</xdr:row>
      <xdr:rowOff>200025</xdr:rowOff>
    </xdr:to>
    <xdr:sp macro="" textlink="">
      <xdr:nvSpPr>
        <xdr:cNvPr id="11" name="Text Box 34"/>
        <xdr:cNvSpPr txBox="1">
          <a:spLocks noChangeArrowheads="1"/>
        </xdr:cNvSpPr>
      </xdr:nvSpPr>
      <xdr:spPr bwMode="auto">
        <a:xfrm>
          <a:off x="3352800" y="225428175"/>
          <a:ext cx="76200" cy="200025"/>
        </a:xfrm>
        <a:prstGeom prst="rect">
          <a:avLst/>
        </a:prstGeom>
        <a:noFill/>
        <a:ln w="9525">
          <a:noFill/>
          <a:miter lim="800000"/>
          <a:headEnd/>
          <a:tailEnd/>
        </a:ln>
      </xdr:spPr>
    </xdr:sp>
    <xdr:clientData/>
  </xdr:twoCellAnchor>
  <xdr:twoCellAnchor editAs="oneCell">
    <xdr:from>
      <xdr:col>3</xdr:col>
      <xdr:colOff>0</xdr:colOff>
      <xdr:row>535</xdr:row>
      <xdr:rowOff>0</xdr:rowOff>
    </xdr:from>
    <xdr:to>
      <xdr:col>3</xdr:col>
      <xdr:colOff>76200</xdr:colOff>
      <xdr:row>535</xdr:row>
      <xdr:rowOff>200025</xdr:rowOff>
    </xdr:to>
    <xdr:sp macro="" textlink="">
      <xdr:nvSpPr>
        <xdr:cNvPr id="12" name="Text Box 35"/>
        <xdr:cNvSpPr txBox="1">
          <a:spLocks noChangeArrowheads="1"/>
        </xdr:cNvSpPr>
      </xdr:nvSpPr>
      <xdr:spPr bwMode="auto">
        <a:xfrm>
          <a:off x="3352800" y="225428175"/>
          <a:ext cx="76200" cy="200025"/>
        </a:xfrm>
        <a:prstGeom prst="rect">
          <a:avLst/>
        </a:prstGeom>
        <a:noFill/>
        <a:ln w="9525">
          <a:noFill/>
          <a:miter lim="800000"/>
          <a:headEnd/>
          <a:tailEnd/>
        </a:ln>
      </xdr:spPr>
    </xdr:sp>
    <xdr:clientData/>
  </xdr:twoCellAnchor>
  <xdr:twoCellAnchor editAs="oneCell">
    <xdr:from>
      <xdr:col>3</xdr:col>
      <xdr:colOff>0</xdr:colOff>
      <xdr:row>535</xdr:row>
      <xdr:rowOff>0</xdr:rowOff>
    </xdr:from>
    <xdr:to>
      <xdr:col>3</xdr:col>
      <xdr:colOff>76200</xdr:colOff>
      <xdr:row>535</xdr:row>
      <xdr:rowOff>200025</xdr:rowOff>
    </xdr:to>
    <xdr:sp macro="" textlink="">
      <xdr:nvSpPr>
        <xdr:cNvPr id="13" name="Text Box 36"/>
        <xdr:cNvSpPr txBox="1">
          <a:spLocks noChangeArrowheads="1"/>
        </xdr:cNvSpPr>
      </xdr:nvSpPr>
      <xdr:spPr bwMode="auto">
        <a:xfrm>
          <a:off x="3352800" y="225428175"/>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6" workbookViewId="0">
      <pane xSplit="2" ySplit="7" topLeftCell="C13" activePane="bottomRight" state="frozen"/>
      <selection activeCell="A6" sqref="A6"/>
      <selection pane="topRight" activeCell="C6" sqref="C6"/>
      <selection pane="bottomLeft" activeCell="A13" sqref="A13"/>
      <selection pane="bottomRight" activeCell="C4" sqref="C4"/>
    </sheetView>
  </sheetViews>
  <sheetFormatPr defaultRowHeight="15"/>
  <cols>
    <col min="1" max="1" width="4.140625" customWidth="1"/>
    <col min="2" max="2" width="39" customWidth="1"/>
    <col min="3" max="3" width="10.140625" customWidth="1"/>
    <col min="4" max="4" width="8.7109375" customWidth="1"/>
    <col min="5" max="5" width="10" customWidth="1"/>
    <col min="6" max="6" width="7.28515625" customWidth="1"/>
    <col min="7" max="7" width="8.28515625" customWidth="1"/>
    <col min="8" max="8" width="5.7109375" style="240" customWidth="1"/>
    <col min="9" max="9" width="6" customWidth="1"/>
  </cols>
  <sheetData>
    <row r="1" spans="1:10" s="759" customFormat="1" ht="24" customHeight="1">
      <c r="A1" s="1203" t="s">
        <v>1588</v>
      </c>
      <c r="B1" s="1203"/>
      <c r="C1" s="1203"/>
      <c r="D1" s="1203"/>
      <c r="E1" s="1203"/>
      <c r="F1" s="1203"/>
      <c r="G1" s="1203"/>
      <c r="H1" s="1203"/>
      <c r="I1" s="1203"/>
    </row>
    <row r="2" spans="1:10" s="759" customFormat="1" ht="19.5" customHeight="1">
      <c r="A2" s="1203" t="s">
        <v>1205</v>
      </c>
      <c r="B2" s="1203"/>
      <c r="C2" s="1203"/>
      <c r="D2" s="1203"/>
      <c r="E2" s="1203"/>
      <c r="F2" s="1203"/>
      <c r="G2" s="1203"/>
      <c r="H2" s="1203"/>
      <c r="I2" s="1203"/>
    </row>
    <row r="3" spans="1:10" s="758" customFormat="1" ht="19.5" customHeight="1">
      <c r="A3" s="1204" t="s">
        <v>1762</v>
      </c>
      <c r="B3" s="1204"/>
      <c r="C3" s="1204"/>
      <c r="D3" s="1204"/>
      <c r="E3" s="1204"/>
      <c r="F3" s="1204"/>
      <c r="G3" s="1204"/>
      <c r="H3" s="1204"/>
      <c r="I3" s="1204"/>
    </row>
    <row r="4" spans="1:10" s="758" customFormat="1" ht="15.75">
      <c r="A4" s="760"/>
      <c r="B4" s="760"/>
      <c r="C4" s="760"/>
      <c r="D4" s="760"/>
      <c r="E4" s="760"/>
      <c r="F4" s="760"/>
      <c r="G4" s="760"/>
      <c r="H4" s="760"/>
      <c r="I4" s="760"/>
    </row>
    <row r="5" spans="1:10" ht="15.75">
      <c r="A5" s="236"/>
      <c r="D5" s="237"/>
      <c r="E5" s="237"/>
      <c r="F5" s="238"/>
      <c r="G5" s="239"/>
      <c r="I5" s="241" t="s">
        <v>1121</v>
      </c>
    </row>
    <row r="6" spans="1:10" ht="20.25" customHeight="1">
      <c r="A6" s="1209" t="s">
        <v>1122</v>
      </c>
      <c r="B6" s="1209" t="s">
        <v>1123</v>
      </c>
      <c r="C6" s="1209" t="s">
        <v>1138</v>
      </c>
      <c r="D6" s="1209"/>
      <c r="E6" s="1209"/>
      <c r="F6" s="1209"/>
      <c r="G6" s="1209"/>
      <c r="H6" s="1209"/>
      <c r="I6" s="1205" t="s">
        <v>15</v>
      </c>
    </row>
    <row r="7" spans="1:10" ht="15" customHeight="1">
      <c r="A7" s="1209"/>
      <c r="B7" s="1209"/>
      <c r="C7" s="1209" t="s">
        <v>22</v>
      </c>
      <c r="D7" s="1212" t="s">
        <v>199</v>
      </c>
      <c r="E7" s="1213"/>
      <c r="F7" s="1209" t="s">
        <v>1124</v>
      </c>
      <c r="G7" s="1208" t="s">
        <v>1125</v>
      </c>
      <c r="H7" s="1208" t="s">
        <v>1126</v>
      </c>
      <c r="I7" s="1206"/>
    </row>
    <row r="8" spans="1:10" ht="15" customHeight="1">
      <c r="A8" s="1209"/>
      <c r="B8" s="1209"/>
      <c r="C8" s="1209"/>
      <c r="D8" s="1210" t="s">
        <v>1127</v>
      </c>
      <c r="E8" s="1210" t="s">
        <v>1128</v>
      </c>
      <c r="F8" s="1209"/>
      <c r="G8" s="1208"/>
      <c r="H8" s="1208"/>
      <c r="I8" s="1206"/>
    </row>
    <row r="9" spans="1:10" ht="29.25" customHeight="1">
      <c r="A9" s="1209"/>
      <c r="B9" s="1209"/>
      <c r="C9" s="1209"/>
      <c r="D9" s="1211"/>
      <c r="E9" s="1211"/>
      <c r="F9" s="1209"/>
      <c r="G9" s="1208"/>
      <c r="H9" s="1208"/>
      <c r="I9" s="1207"/>
    </row>
    <row r="10" spans="1:10">
      <c r="A10" s="242">
        <v>1</v>
      </c>
      <c r="B10" s="242">
        <v>2</v>
      </c>
      <c r="C10" s="242">
        <v>3</v>
      </c>
      <c r="D10" s="242">
        <v>4</v>
      </c>
      <c r="E10" s="242">
        <v>5</v>
      </c>
      <c r="F10" s="242">
        <v>6</v>
      </c>
      <c r="G10" s="242">
        <v>7</v>
      </c>
      <c r="H10" s="242">
        <v>8</v>
      </c>
      <c r="I10" s="242">
        <v>9</v>
      </c>
    </row>
    <row r="11" spans="1:10">
      <c r="A11" s="243"/>
      <c r="B11" s="244"/>
      <c r="C11" s="245"/>
      <c r="D11" s="245"/>
      <c r="E11" s="245"/>
      <c r="F11" s="246"/>
      <c r="G11" s="246"/>
      <c r="H11" s="246"/>
      <c r="I11" s="244"/>
    </row>
    <row r="12" spans="1:10" ht="15.75">
      <c r="A12" s="247"/>
      <c r="B12" s="247" t="s">
        <v>1129</v>
      </c>
      <c r="C12" s="248">
        <f>C13+C14+C20</f>
        <v>2145968</v>
      </c>
      <c r="D12" s="248">
        <f t="shared" ref="D12:E12" si="0">D13+D14+D20</f>
        <v>968968</v>
      </c>
      <c r="E12" s="248">
        <f t="shared" si="0"/>
        <v>1177000</v>
      </c>
      <c r="F12" s="249">
        <f>E12/$E$12*100</f>
        <v>100</v>
      </c>
      <c r="G12" s="249">
        <f>C12/$C$12*100</f>
        <v>100</v>
      </c>
      <c r="H12" s="250">
        <f t="shared" ref="H12" si="1">H13+H14</f>
        <v>266</v>
      </c>
      <c r="I12" s="251"/>
    </row>
    <row r="13" spans="1:10" ht="15.75">
      <c r="A13" s="247"/>
      <c r="B13" s="252" t="s">
        <v>1730</v>
      </c>
      <c r="C13" s="248">
        <f>'DM 2017 (UBND)'!T14</f>
        <v>20558</v>
      </c>
      <c r="D13" s="248">
        <f>'DM 2017 (UBND)'!U14</f>
        <v>12872</v>
      </c>
      <c r="E13" s="248">
        <f>'DM 2017 (UBND)'!V14</f>
        <v>7686</v>
      </c>
      <c r="F13" s="249">
        <f t="shared" ref="F13:F39" si="2">E13/$E$12*100</f>
        <v>0.65301614273576891</v>
      </c>
      <c r="G13" s="249">
        <f t="shared" ref="G13:G39" si="3">C13/$C$12*100</f>
        <v>0.95798259806297204</v>
      </c>
      <c r="H13" s="250">
        <f>'DM 2017 (UBND)'!Y14</f>
        <v>53</v>
      </c>
      <c r="I13" s="251"/>
      <c r="J13" s="273"/>
    </row>
    <row r="14" spans="1:10" ht="15.75">
      <c r="A14" s="247"/>
      <c r="B14" s="252" t="s">
        <v>1731</v>
      </c>
      <c r="C14" s="248">
        <f>'DM 2017 (UBND)'!T15</f>
        <v>2048699</v>
      </c>
      <c r="D14" s="248">
        <f>'DM 2017 (UBND)'!U15</f>
        <v>915377</v>
      </c>
      <c r="E14" s="248">
        <f>'DM 2017 (UBND)'!V15</f>
        <v>1133322</v>
      </c>
      <c r="F14" s="249">
        <f t="shared" si="2"/>
        <v>96.28903993203059</v>
      </c>
      <c r="G14" s="249">
        <f t="shared" si="3"/>
        <v>95.467360184308433</v>
      </c>
      <c r="H14" s="250">
        <f>'DM 2017 (UBND)'!Y15</f>
        <v>213</v>
      </c>
      <c r="I14" s="251"/>
      <c r="J14" s="273"/>
    </row>
    <row r="15" spans="1:10" s="753" customFormat="1" ht="15.75">
      <c r="A15" s="253"/>
      <c r="B15" s="1024" t="s">
        <v>1746</v>
      </c>
      <c r="C15" s="254">
        <f>SUM(C16:C18)</f>
        <v>1188828</v>
      </c>
      <c r="D15" s="254">
        <f t="shared" ref="D15:E15" si="4">SUM(D16:D18)</f>
        <v>618714</v>
      </c>
      <c r="E15" s="254">
        <f t="shared" si="4"/>
        <v>570114</v>
      </c>
      <c r="F15" s="1025">
        <f t="shared" si="2"/>
        <v>48.437892948173321</v>
      </c>
      <c r="G15" s="1025">
        <f t="shared" si="3"/>
        <v>55.398216562409132</v>
      </c>
      <c r="H15" s="255">
        <f t="shared" ref="H15" si="5">SUM(H16:H18)</f>
        <v>104</v>
      </c>
      <c r="I15" s="256"/>
      <c r="J15" s="1026"/>
    </row>
    <row r="16" spans="1:10" s="1022" customFormat="1" ht="31.5">
      <c r="A16" s="1016"/>
      <c r="B16" s="1017" t="s">
        <v>1742</v>
      </c>
      <c r="C16" s="1018">
        <f>'DM 2017 (UBND)'!T16</f>
        <v>2250</v>
      </c>
      <c r="D16" s="1018">
        <f>'DM 2017 (UBND)'!U16</f>
        <v>0</v>
      </c>
      <c r="E16" s="1018">
        <f>'DM 2017 (UBND)'!V16</f>
        <v>2250</v>
      </c>
      <c r="F16" s="1019">
        <f t="shared" si="2"/>
        <v>0.19116397621070519</v>
      </c>
      <c r="G16" s="1019">
        <f t="shared" si="3"/>
        <v>0.1048477889698262</v>
      </c>
      <c r="H16" s="1020">
        <f>'DM 2017 (UBND)'!Y16</f>
        <v>1</v>
      </c>
      <c r="I16" s="1021"/>
    </row>
    <row r="17" spans="1:10" s="1022" customFormat="1" ht="15.75">
      <c r="A17" s="1016"/>
      <c r="B17" s="1017" t="s">
        <v>1743</v>
      </c>
      <c r="C17" s="1018">
        <f>'DM 2017 (UBND)'!T17</f>
        <v>506137</v>
      </c>
      <c r="D17" s="1018">
        <f>'DM 2017 (UBND)'!U17</f>
        <v>220414</v>
      </c>
      <c r="E17" s="1018">
        <f>'DM 2017 (UBND)'!V17</f>
        <v>285723</v>
      </c>
      <c r="F17" s="1019">
        <f t="shared" si="2"/>
        <v>24.275531011045029</v>
      </c>
      <c r="G17" s="1019">
        <f t="shared" si="3"/>
        <v>23.585486829253743</v>
      </c>
      <c r="H17" s="1020">
        <f>'DM 2017 (UBND)'!Y17</f>
        <v>59</v>
      </c>
      <c r="I17" s="1021"/>
    </row>
    <row r="18" spans="1:10" s="1022" customFormat="1" ht="15.75">
      <c r="A18" s="1016"/>
      <c r="B18" s="1017" t="s">
        <v>1744</v>
      </c>
      <c r="C18" s="1018">
        <f>'DM 2017 (UBND)'!T18</f>
        <v>680441</v>
      </c>
      <c r="D18" s="1018">
        <f>'DM 2017 (UBND)'!U18</f>
        <v>398300</v>
      </c>
      <c r="E18" s="1018">
        <f>'DM 2017 (UBND)'!V18</f>
        <v>282141</v>
      </c>
      <c r="F18" s="1019">
        <f t="shared" si="2"/>
        <v>23.971197960917586</v>
      </c>
      <c r="G18" s="1019">
        <f t="shared" si="3"/>
        <v>31.707881944185562</v>
      </c>
      <c r="H18" s="1020">
        <f>'DM 2017 (UBND)'!Y18</f>
        <v>44</v>
      </c>
      <c r="I18" s="1021"/>
    </row>
    <row r="19" spans="1:10" ht="15.75">
      <c r="A19" s="253"/>
      <c r="B19" s="1023" t="s">
        <v>1745</v>
      </c>
      <c r="C19" s="254">
        <f>'DM 2017 (UBND)'!T19</f>
        <v>859871</v>
      </c>
      <c r="D19" s="254">
        <f>'DM 2017 (UBND)'!U19</f>
        <v>296663</v>
      </c>
      <c r="E19" s="254">
        <f>'DM 2017 (UBND)'!V19</f>
        <v>563208</v>
      </c>
      <c r="F19" s="754">
        <f t="shared" si="2"/>
        <v>47.851146983857262</v>
      </c>
      <c r="G19" s="754">
        <f t="shared" si="3"/>
        <v>40.0691436218993</v>
      </c>
      <c r="H19" s="255">
        <f>'DM 2017 (UBND)'!Y19</f>
        <v>109</v>
      </c>
      <c r="I19" s="256"/>
    </row>
    <row r="20" spans="1:10" s="1004" customFormat="1" ht="31.5">
      <c r="A20" s="247"/>
      <c r="B20" s="1001" t="s">
        <v>1732</v>
      </c>
      <c r="C20" s="248">
        <f>+'DM 2017 (UBND)'!T20</f>
        <v>76711</v>
      </c>
      <c r="D20" s="248">
        <f>+'DM 2017 (UBND)'!U20</f>
        <v>40719</v>
      </c>
      <c r="E20" s="248">
        <f>+'DM 2017 (UBND)'!V20</f>
        <v>35992</v>
      </c>
      <c r="F20" s="1002">
        <f t="shared" ref="F20" si="6">E20/$E$12*100</f>
        <v>3.0579439252336451</v>
      </c>
      <c r="G20" s="1002">
        <f t="shared" ref="G20" si="7">C20/$C$12*100</f>
        <v>3.5746572176285949</v>
      </c>
      <c r="H20" s="250"/>
      <c r="I20" s="251"/>
      <c r="J20" s="1003"/>
    </row>
    <row r="21" spans="1:10" s="1004" customFormat="1" ht="15.75">
      <c r="A21" s="247"/>
      <c r="B21" s="1001"/>
      <c r="C21" s="248"/>
      <c r="D21" s="248"/>
      <c r="E21" s="248"/>
      <c r="F21" s="248"/>
      <c r="G21" s="248"/>
      <c r="H21" s="248"/>
      <c r="I21" s="251"/>
      <c r="J21" s="1003"/>
    </row>
    <row r="22" spans="1:10" s="1004" customFormat="1" ht="15.75">
      <c r="A22" s="247" t="s">
        <v>25</v>
      </c>
      <c r="B22" s="1001" t="s">
        <v>1735</v>
      </c>
      <c r="C22" s="248">
        <f>SUM(C23:C37)</f>
        <v>2065757</v>
      </c>
      <c r="D22" s="248">
        <f t="shared" ref="D22:H22" si="8">SUM(D23:D37)</f>
        <v>926749</v>
      </c>
      <c r="E22" s="248">
        <f t="shared" si="8"/>
        <v>1139008</v>
      </c>
      <c r="F22" s="1002">
        <f t="shared" ref="F22" si="9">E22/$E$12*100</f>
        <v>96.772132540356836</v>
      </c>
      <c r="G22" s="1002">
        <f t="shared" ref="G22" si="10">C22/$C$12*100</f>
        <v>96.262246221751681</v>
      </c>
      <c r="H22" s="250">
        <f t="shared" si="8"/>
        <v>266</v>
      </c>
      <c r="I22" s="251"/>
    </row>
    <row r="23" spans="1:10" s="753" customFormat="1" ht="15.75">
      <c r="A23" s="253">
        <v>1</v>
      </c>
      <c r="B23" s="257" t="s">
        <v>1736</v>
      </c>
      <c r="C23" s="254">
        <f>'DM 2017 (UBND)'!T22</f>
        <v>203945</v>
      </c>
      <c r="D23" s="254">
        <f>'DM 2017 (UBND)'!U22</f>
        <v>26469</v>
      </c>
      <c r="E23" s="254">
        <f>'DM 2017 (UBND)'!V22</f>
        <v>177476</v>
      </c>
      <c r="F23" s="754">
        <f t="shared" si="2"/>
        <v>15.078674596431608</v>
      </c>
      <c r="G23" s="754">
        <f t="shared" si="3"/>
        <v>9.5036365873116466</v>
      </c>
      <c r="H23" s="255">
        <f>'DM 2017 (UBND)'!Y22</f>
        <v>19</v>
      </c>
      <c r="I23" s="256"/>
    </row>
    <row r="24" spans="1:10" s="753" customFormat="1" ht="15.75">
      <c r="A24" s="253">
        <v>2</v>
      </c>
      <c r="B24" s="257" t="s">
        <v>1130</v>
      </c>
      <c r="C24" s="254">
        <f>'DM 2017 (UBND)'!T52</f>
        <v>29200</v>
      </c>
      <c r="D24" s="254">
        <f>'DM 2017 (UBND)'!U52</f>
        <v>29200</v>
      </c>
      <c r="E24" s="254">
        <f>'DM 2017 (UBND)'!V52</f>
        <v>0</v>
      </c>
      <c r="F24" s="754">
        <f t="shared" si="2"/>
        <v>0</v>
      </c>
      <c r="G24" s="754">
        <f t="shared" si="3"/>
        <v>1.3606913057417447</v>
      </c>
      <c r="H24" s="255">
        <f>'DM 2017 (UBND)'!Y52</f>
        <v>5</v>
      </c>
      <c r="I24" s="256"/>
    </row>
    <row r="25" spans="1:10" s="753" customFormat="1" ht="15.75">
      <c r="A25" s="253">
        <v>3</v>
      </c>
      <c r="B25" s="257" t="s">
        <v>1131</v>
      </c>
      <c r="C25" s="254">
        <f>'DM 2017 (UBND)'!T62</f>
        <v>15411</v>
      </c>
      <c r="D25" s="254">
        <f>'DM 2017 (UBND)'!U62</f>
        <v>15411</v>
      </c>
      <c r="E25" s="254">
        <f>'DM 2017 (UBND)'!V62</f>
        <v>0</v>
      </c>
      <c r="F25" s="754">
        <f t="shared" si="2"/>
        <v>0</v>
      </c>
      <c r="G25" s="754">
        <f t="shared" si="3"/>
        <v>0.71813745591732958</v>
      </c>
      <c r="H25" s="255">
        <f>'DM 2017 (UBND)'!Y62</f>
        <v>3</v>
      </c>
      <c r="I25" s="256"/>
    </row>
    <row r="26" spans="1:10" s="753" customFormat="1" ht="15.75">
      <c r="A26" s="253">
        <v>4</v>
      </c>
      <c r="B26" s="257" t="s">
        <v>1132</v>
      </c>
      <c r="C26" s="254">
        <f>'DM 2017 (UBND)'!T70</f>
        <v>387096</v>
      </c>
      <c r="D26" s="254">
        <f>'DM 2017 (UBND)'!U70</f>
        <v>266000</v>
      </c>
      <c r="E26" s="254">
        <f>'DM 2017 (UBND)'!V70</f>
        <v>121096</v>
      </c>
      <c r="F26" s="754">
        <f t="shared" si="2"/>
        <v>10.288530161427358</v>
      </c>
      <c r="G26" s="754">
        <f t="shared" si="3"/>
        <v>18.038293208472819</v>
      </c>
      <c r="H26" s="255">
        <f>'DM 2017 (UBND)'!Y70</f>
        <v>30</v>
      </c>
      <c r="I26" s="256"/>
    </row>
    <row r="27" spans="1:10" s="753" customFormat="1" ht="15.75">
      <c r="A27" s="253">
        <v>5</v>
      </c>
      <c r="B27" s="257" t="s">
        <v>1134</v>
      </c>
      <c r="C27" s="254">
        <f>'DM 2017 (UBND)'!T108</f>
        <v>33300</v>
      </c>
      <c r="D27" s="254">
        <f>'DM 2017 (UBND)'!U108</f>
        <v>33300</v>
      </c>
      <c r="E27" s="254">
        <f>'DM 2017 (UBND)'!V108</f>
        <v>0</v>
      </c>
      <c r="F27" s="754">
        <f t="shared" si="2"/>
        <v>0</v>
      </c>
      <c r="G27" s="754">
        <f t="shared" si="3"/>
        <v>1.5517472767534279</v>
      </c>
      <c r="H27" s="255">
        <f>'DM 2017 (UBND)'!Y108</f>
        <v>4</v>
      </c>
      <c r="I27" s="256"/>
    </row>
    <row r="28" spans="1:10" s="753" customFormat="1" ht="15.75">
      <c r="A28" s="253">
        <v>6</v>
      </c>
      <c r="B28" s="257" t="s">
        <v>1133</v>
      </c>
      <c r="C28" s="258">
        <f>'DM 2017 (UBND)'!T118</f>
        <v>85200</v>
      </c>
      <c r="D28" s="258">
        <f>'DM 2017 (UBND)'!U118</f>
        <v>85200</v>
      </c>
      <c r="E28" s="258">
        <f>'DM 2017 (UBND)'!V118</f>
        <v>0</v>
      </c>
      <c r="F28" s="754">
        <f t="shared" si="2"/>
        <v>0</v>
      </c>
      <c r="G28" s="754">
        <f t="shared" si="3"/>
        <v>3.970236275657419</v>
      </c>
      <c r="H28" s="755">
        <f>'DM 2017 (UBND)'!Y118</f>
        <v>4</v>
      </c>
      <c r="I28" s="256"/>
    </row>
    <row r="29" spans="1:10" s="753" customFormat="1" ht="15.75">
      <c r="A29" s="253">
        <v>7</v>
      </c>
      <c r="B29" s="257" t="s">
        <v>1577</v>
      </c>
      <c r="C29" s="254">
        <f>'DM 2017 (UBND)'!T127</f>
        <v>59375</v>
      </c>
      <c r="D29" s="254">
        <f>'DM 2017 (UBND)'!U127</f>
        <v>59375</v>
      </c>
      <c r="E29" s="254">
        <f>'DM 2017 (UBND)'!V127</f>
        <v>0</v>
      </c>
      <c r="F29" s="754">
        <f t="shared" si="2"/>
        <v>0</v>
      </c>
      <c r="G29" s="754">
        <f t="shared" si="3"/>
        <v>2.7668166533704137</v>
      </c>
      <c r="H29" s="255">
        <f>'DM 2017 (UBND)'!Y127</f>
        <v>16</v>
      </c>
      <c r="I29" s="256"/>
    </row>
    <row r="30" spans="1:10" s="753" customFormat="1" ht="15.75">
      <c r="A30" s="253">
        <v>8</v>
      </c>
      <c r="B30" s="257" t="s">
        <v>1135</v>
      </c>
      <c r="C30" s="258">
        <f>'DM 2017 (UBND)'!T149</f>
        <v>580667</v>
      </c>
      <c r="D30" s="258">
        <f>'DM 2017 (UBND)'!U149</f>
        <v>193794</v>
      </c>
      <c r="E30" s="258">
        <f>'DM 2017 (UBND)'!V149</f>
        <v>386873</v>
      </c>
      <c r="F30" s="754">
        <f t="shared" si="2"/>
        <v>32.869413763806286</v>
      </c>
      <c r="G30" s="754">
        <f t="shared" si="3"/>
        <v>27.058511590107585</v>
      </c>
      <c r="H30" s="755">
        <f>'DM 2017 (UBND)'!Y149</f>
        <v>23</v>
      </c>
      <c r="I30" s="259"/>
    </row>
    <row r="31" spans="1:10" s="753" customFormat="1" ht="15.75">
      <c r="A31" s="253">
        <v>9</v>
      </c>
      <c r="B31" s="257" t="s">
        <v>1136</v>
      </c>
      <c r="C31" s="254">
        <f>'DM 2017 (UBND)'!T178</f>
        <v>202505</v>
      </c>
      <c r="D31" s="254">
        <f>'DM 2017 (UBND)'!U178</f>
        <v>0</v>
      </c>
      <c r="E31" s="254">
        <f>'DM 2017 (UBND)'!V178</f>
        <v>202505</v>
      </c>
      <c r="F31" s="754">
        <f t="shared" si="2"/>
        <v>17.205182667799491</v>
      </c>
      <c r="G31" s="754">
        <f t="shared" si="3"/>
        <v>9.4365340023709585</v>
      </c>
      <c r="H31" s="255">
        <f>'DM 2017 (UBND)'!Y178</f>
        <v>56</v>
      </c>
      <c r="I31" s="256"/>
    </row>
    <row r="32" spans="1:10" s="753" customFormat="1" ht="31.5">
      <c r="A32" s="253">
        <v>10</v>
      </c>
      <c r="B32" s="257" t="s">
        <v>1578</v>
      </c>
      <c r="C32" s="254">
        <f>'DM 2017 (UBND)'!T240</f>
        <v>83500</v>
      </c>
      <c r="D32" s="254">
        <f>'DM 2017 (UBND)'!U240</f>
        <v>33500</v>
      </c>
      <c r="E32" s="254">
        <f>'DM 2017 (UBND)'!V240</f>
        <v>50000</v>
      </c>
      <c r="F32" s="754">
        <f t="shared" si="2"/>
        <v>4.2480883602378929</v>
      </c>
      <c r="G32" s="754">
        <f t="shared" si="3"/>
        <v>3.8910179462135499</v>
      </c>
      <c r="H32" s="255">
        <f>'DM 2017 (UBND)'!Y240</f>
        <v>6</v>
      </c>
      <c r="I32" s="256"/>
    </row>
    <row r="33" spans="1:9" s="753" customFormat="1" ht="15.75">
      <c r="A33" s="253">
        <v>11</v>
      </c>
      <c r="B33" s="257" t="s">
        <v>1579</v>
      </c>
      <c r="C33" s="254">
        <f>'DM 2017 (UBND)'!T251</f>
        <v>52568</v>
      </c>
      <c r="D33" s="254">
        <f>'DM 2017 (UBND)'!U251</f>
        <v>0</v>
      </c>
      <c r="E33" s="254">
        <f>'DM 2017 (UBND)'!V251</f>
        <v>52568</v>
      </c>
      <c r="F33" s="754">
        <f t="shared" si="2"/>
        <v>4.4662701784197107</v>
      </c>
      <c r="G33" s="754">
        <f t="shared" si="3"/>
        <v>2.4496171424736994</v>
      </c>
      <c r="H33" s="255">
        <f>'DM 2017 (UBND)'!Y251</f>
        <v>17</v>
      </c>
      <c r="I33" s="256"/>
    </row>
    <row r="34" spans="1:9" s="753" customFormat="1" ht="15.75">
      <c r="A34" s="253">
        <v>12</v>
      </c>
      <c r="B34" s="257" t="s">
        <v>1580</v>
      </c>
      <c r="C34" s="260">
        <f>'DM 2017 (UBND)'!T283</f>
        <v>67500</v>
      </c>
      <c r="D34" s="260">
        <f>'DM 2017 (UBND)'!U283</f>
        <v>0</v>
      </c>
      <c r="E34" s="260">
        <f>'DM 2017 (UBND)'!V283</f>
        <v>67500</v>
      </c>
      <c r="F34" s="754">
        <f t="shared" si="2"/>
        <v>5.7349192863211558</v>
      </c>
      <c r="G34" s="754">
        <f t="shared" si="3"/>
        <v>3.1454336690947859</v>
      </c>
      <c r="H34" s="756">
        <f>'DM 2017 (UBND)'!Y283</f>
        <v>16</v>
      </c>
      <c r="I34" s="256"/>
    </row>
    <row r="35" spans="1:9" s="753" customFormat="1" ht="15.75">
      <c r="A35" s="253">
        <v>13</v>
      </c>
      <c r="B35" s="257" t="s">
        <v>1581</v>
      </c>
      <c r="C35" s="254">
        <f>'DM 2017 (UBND)'!T304</f>
        <v>66028</v>
      </c>
      <c r="D35" s="254">
        <f>'DM 2017 (UBND)'!U304</f>
        <v>16908</v>
      </c>
      <c r="E35" s="254">
        <f>'DM 2017 (UBND)'!V304</f>
        <v>49120</v>
      </c>
      <c r="F35" s="754">
        <f t="shared" si="2"/>
        <v>4.173322005097706</v>
      </c>
      <c r="G35" s="754">
        <f t="shared" si="3"/>
        <v>3.0768399155998596</v>
      </c>
      <c r="H35" s="255">
        <f>'DM 2017 (UBND)'!Y304</f>
        <v>18</v>
      </c>
      <c r="I35" s="256"/>
    </row>
    <row r="36" spans="1:9" s="753" customFormat="1" ht="15.75">
      <c r="A36" s="253">
        <v>14</v>
      </c>
      <c r="B36" s="257" t="s">
        <v>1583</v>
      </c>
      <c r="C36" s="254">
        <f>'DM 2017 (UBND)'!T352</f>
        <v>145642</v>
      </c>
      <c r="D36" s="254">
        <f>'DM 2017 (UBND)'!U352</f>
        <v>113772</v>
      </c>
      <c r="E36" s="254">
        <f>'DM 2017 (UBND)'!V352</f>
        <v>31870</v>
      </c>
      <c r="F36" s="754">
        <f t="shared" si="2"/>
        <v>2.7077315208156332</v>
      </c>
      <c r="G36" s="754">
        <f t="shared" si="3"/>
        <v>6.7867740805081898</v>
      </c>
      <c r="H36" s="255">
        <f>'DM 2017 (UBND)'!Y352</f>
        <v>39</v>
      </c>
      <c r="I36" s="256"/>
    </row>
    <row r="37" spans="1:9" s="753" customFormat="1" ht="15.75">
      <c r="A37" s="253">
        <v>15</v>
      </c>
      <c r="B37" s="257" t="s">
        <v>1584</v>
      </c>
      <c r="C37" s="254">
        <f>'DM 2017 (UBND)'!T398</f>
        <v>53820</v>
      </c>
      <c r="D37" s="254">
        <f>'DM 2017 (UBND)'!U398</f>
        <v>53820</v>
      </c>
      <c r="E37" s="254">
        <f>'DM 2017 (UBND)'!V398</f>
        <v>0</v>
      </c>
      <c r="F37" s="754">
        <f t="shared" si="2"/>
        <v>0</v>
      </c>
      <c r="G37" s="754">
        <f t="shared" si="3"/>
        <v>2.5079591121582427</v>
      </c>
      <c r="H37" s="255">
        <f>'DM 2017 (UBND)'!Y398</f>
        <v>10</v>
      </c>
      <c r="I37" s="256"/>
    </row>
    <row r="38" spans="1:9" s="1004" customFormat="1" ht="15.75">
      <c r="A38" s="247" t="s">
        <v>281</v>
      </c>
      <c r="B38" s="1001" t="s">
        <v>1489</v>
      </c>
      <c r="C38" s="248">
        <f>'DM 2017 (UBND)'!T415</f>
        <v>3500</v>
      </c>
      <c r="D38" s="248">
        <f>'DM 2017 (UBND)'!U415</f>
        <v>1500</v>
      </c>
      <c r="E38" s="248">
        <f>'DM 2017 (UBND)'!V415</f>
        <v>2000</v>
      </c>
      <c r="F38" s="1002">
        <f t="shared" ref="F38" si="11">E38/$E$12*100</f>
        <v>0.16992353440951571</v>
      </c>
      <c r="G38" s="1002">
        <f t="shared" ref="G38" si="12">C38/$C$12*100</f>
        <v>0.16309656061972963</v>
      </c>
      <c r="H38" s="250"/>
      <c r="I38" s="251"/>
    </row>
    <row r="39" spans="1:9" s="1004" customFormat="1" ht="31.5">
      <c r="A39" s="247" t="s">
        <v>315</v>
      </c>
      <c r="B39" s="1001" t="s">
        <v>1734</v>
      </c>
      <c r="C39" s="248">
        <f>'DM 2017 (UBND)'!T416</f>
        <v>76711</v>
      </c>
      <c r="D39" s="248">
        <f>'DM 2017 (UBND)'!U416</f>
        <v>40719</v>
      </c>
      <c r="E39" s="248">
        <f>'DM 2017 (UBND)'!V416</f>
        <v>35992</v>
      </c>
      <c r="F39" s="1002">
        <f t="shared" si="2"/>
        <v>3.0579439252336451</v>
      </c>
      <c r="G39" s="1002">
        <f t="shared" si="3"/>
        <v>3.5746572176285949</v>
      </c>
      <c r="H39" s="250"/>
      <c r="I39" s="251"/>
    </row>
    <row r="40" spans="1:9" ht="9.75" customHeight="1">
      <c r="A40" s="261"/>
      <c r="B40" s="262"/>
      <c r="C40" s="263"/>
      <c r="D40" s="263"/>
      <c r="E40" s="263"/>
      <c r="F40" s="264"/>
      <c r="G40" s="264"/>
      <c r="H40" s="264"/>
      <c r="I40" s="262"/>
    </row>
    <row r="42" spans="1:9">
      <c r="E42" s="1008"/>
      <c r="F42" s="1009">
        <f>(E30+E31)/1177000*100</f>
        <v>50.074596431605777</v>
      </c>
    </row>
    <row r="43" spans="1:9">
      <c r="E43" s="1008" t="s">
        <v>1723</v>
      </c>
      <c r="F43" s="1009">
        <f>F42-50</f>
        <v>7.4596431605776559E-2</v>
      </c>
    </row>
    <row r="44" spans="1:9">
      <c r="E44" s="1010" t="s">
        <v>1722</v>
      </c>
      <c r="F44" s="1008">
        <f>F43%*1177000</f>
        <v>877.99999999999011</v>
      </c>
    </row>
  </sheetData>
  <mergeCells count="14">
    <mergeCell ref="A1:I1"/>
    <mergeCell ref="A2:I2"/>
    <mergeCell ref="A3:I3"/>
    <mergeCell ref="I6:I9"/>
    <mergeCell ref="G7:G9"/>
    <mergeCell ref="H7:H9"/>
    <mergeCell ref="A6:A9"/>
    <mergeCell ref="B6:B9"/>
    <mergeCell ref="C6:H6"/>
    <mergeCell ref="D8:D9"/>
    <mergeCell ref="E8:E9"/>
    <mergeCell ref="C7:C9"/>
    <mergeCell ref="D7:E7"/>
    <mergeCell ref="F7:F9"/>
  </mergeCells>
  <printOptions horizontalCentered="1"/>
  <pageMargins left="0.5" right="0" top="0.75" bottom="0.5" header="0.3" footer="0.3"/>
  <pageSetup paperSize="9" scale="95"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W417"/>
  <sheetViews>
    <sheetView tabSelected="1" topLeftCell="A6" zoomScale="85" zoomScaleNormal="85" zoomScalePageLayoutView="85" workbookViewId="0">
      <pane xSplit="2" ySplit="8" topLeftCell="C261" activePane="bottomRight" state="frozen"/>
      <selection activeCell="A6" sqref="A6"/>
      <selection pane="topRight" activeCell="C6" sqref="C6"/>
      <selection pane="bottomLeft" activeCell="A14" sqref="A14"/>
      <selection pane="bottomRight" activeCell="W272" sqref="W272"/>
    </sheetView>
  </sheetViews>
  <sheetFormatPr defaultColWidth="9.140625" defaultRowHeight="18.75"/>
  <cols>
    <col min="1" max="1" width="6" style="279" customWidth="1"/>
    <col min="2" max="2" width="41.7109375" style="294" customWidth="1"/>
    <col min="3" max="3" width="5.5703125" style="54" customWidth="1"/>
    <col min="4" max="4" width="14.140625" style="55" customWidth="1"/>
    <col min="5" max="5" width="10.28515625" style="55" customWidth="1"/>
    <col min="6" max="6" width="15" style="54" customWidth="1"/>
    <col min="7" max="7" width="11.85546875" style="317" customWidth="1"/>
    <col min="8" max="8" width="11.7109375" style="317" customWidth="1"/>
    <col min="9" max="9" width="10.7109375" style="317" customWidth="1"/>
    <col min="10" max="10" width="10.5703125" style="317" customWidth="1"/>
    <col min="11" max="11" width="11.5703125" style="317" customWidth="1"/>
    <col min="12" max="12" width="10.42578125" style="317" customWidth="1"/>
    <col min="13" max="13" width="6.140625" style="317" customWidth="1"/>
    <col min="14" max="14" width="11.140625" style="1079" hidden="1" customWidth="1"/>
    <col min="15" max="15" width="11" style="1079" hidden="1" customWidth="1"/>
    <col min="16" max="16" width="7.140625" style="1079" hidden="1" customWidth="1"/>
    <col min="17" max="17" width="11.140625" style="1079" hidden="1" customWidth="1"/>
    <col min="18" max="18" width="10.42578125" style="1079" hidden="1" customWidth="1"/>
    <col min="19" max="19" width="9.42578125" style="1079" hidden="1" customWidth="1"/>
    <col min="20" max="20" width="10.42578125" style="317" customWidth="1"/>
    <col min="21" max="21" width="8.5703125" style="25" customWidth="1"/>
    <col min="22" max="22" width="10.85546875" style="317" customWidth="1"/>
    <col min="23" max="23" width="11" style="54" customWidth="1"/>
    <col min="24" max="24" width="13.140625" style="54" customWidth="1"/>
    <col min="25" max="25" width="5.42578125" style="317" customWidth="1"/>
    <col min="26" max="26" width="10.7109375" style="1079" customWidth="1"/>
    <col min="27" max="27" width="8.7109375" style="1079" customWidth="1"/>
    <col min="28" max="29" width="10.85546875" style="1079" customWidth="1"/>
    <col min="30" max="30" width="20.140625" style="657" customWidth="1"/>
    <col min="31" max="31" width="9.42578125" style="990" customWidth="1"/>
    <col min="32" max="32" width="6.28515625" style="811" customWidth="1"/>
    <col min="33" max="35" width="9.140625" style="551"/>
    <col min="36" max="16384" width="9.140625" style="2"/>
  </cols>
  <sheetData>
    <row r="1" spans="1:35" s="1" customFormat="1" ht="20.25">
      <c r="A1" s="1225"/>
      <c r="B1" s="1225"/>
      <c r="C1" s="1225"/>
      <c r="D1" s="1225"/>
      <c r="E1" s="1225"/>
      <c r="F1" s="1225"/>
      <c r="G1" s="1225"/>
      <c r="H1" s="1225"/>
      <c r="I1" s="1225"/>
      <c r="J1" s="1225"/>
      <c r="K1" s="1225"/>
      <c r="L1" s="1225"/>
      <c r="M1" s="1225"/>
      <c r="N1" s="1225"/>
      <c r="O1" s="1225"/>
      <c r="P1" s="1225"/>
      <c r="Q1" s="1225"/>
      <c r="R1" s="1225"/>
      <c r="S1" s="1225"/>
      <c r="T1" s="1225"/>
      <c r="U1" s="1225"/>
      <c r="V1" s="1225"/>
      <c r="W1" s="1225"/>
      <c r="X1" s="1225"/>
      <c r="Y1" s="902"/>
      <c r="Z1" s="902"/>
      <c r="AA1" s="902"/>
      <c r="AB1" s="902"/>
      <c r="AC1" s="902"/>
      <c r="AD1" s="657"/>
      <c r="AE1" s="991"/>
      <c r="AF1" s="970"/>
      <c r="AG1" s="550"/>
      <c r="AH1" s="550"/>
      <c r="AI1" s="550"/>
    </row>
    <row r="2" spans="1:35" ht="26.45" customHeight="1">
      <c r="A2" s="1226" t="s">
        <v>1206</v>
      </c>
      <c r="B2" s="1226"/>
      <c r="C2" s="1226"/>
      <c r="D2" s="1226"/>
      <c r="E2" s="1226"/>
      <c r="F2" s="1226"/>
      <c r="G2" s="1226"/>
      <c r="H2" s="1226"/>
      <c r="I2" s="1226"/>
      <c r="J2" s="1226"/>
      <c r="K2" s="1226"/>
      <c r="L2" s="1226"/>
      <c r="M2" s="1226"/>
      <c r="N2" s="1226"/>
      <c r="O2" s="1226"/>
      <c r="P2" s="1226"/>
      <c r="Q2" s="1226"/>
      <c r="R2" s="1226"/>
      <c r="S2" s="1226"/>
      <c r="T2" s="1226"/>
      <c r="U2" s="1226"/>
      <c r="V2" s="1226"/>
      <c r="W2" s="1226"/>
      <c r="X2" s="1226"/>
      <c r="Y2" s="903"/>
      <c r="Z2" s="903"/>
      <c r="AA2" s="903"/>
      <c r="AB2" s="903"/>
      <c r="AC2" s="903"/>
    </row>
    <row r="3" spans="1:35" ht="26.45" customHeight="1">
      <c r="A3" s="1225" t="s">
        <v>1205</v>
      </c>
      <c r="B3" s="1225"/>
      <c r="C3" s="1225"/>
      <c r="D3" s="1225"/>
      <c r="E3" s="1225"/>
      <c r="F3" s="1225"/>
      <c r="G3" s="1225"/>
      <c r="H3" s="1225"/>
      <c r="I3" s="1225"/>
      <c r="J3" s="1225"/>
      <c r="K3" s="1225"/>
      <c r="L3" s="1225"/>
      <c r="M3" s="1225"/>
      <c r="N3" s="1225"/>
      <c r="O3" s="1225"/>
      <c r="P3" s="1225"/>
      <c r="Q3" s="1225"/>
      <c r="R3" s="1225"/>
      <c r="S3" s="1225"/>
      <c r="T3" s="1225"/>
      <c r="U3" s="1225"/>
      <c r="V3" s="1225"/>
      <c r="W3" s="1225"/>
      <c r="X3" s="1225"/>
      <c r="Y3" s="902"/>
      <c r="Z3" s="902"/>
      <c r="AA3" s="902"/>
      <c r="AB3" s="902"/>
      <c r="AC3" s="902"/>
    </row>
    <row r="4" spans="1:35" ht="30" customHeight="1">
      <c r="A4" s="1227" t="s">
        <v>1762</v>
      </c>
      <c r="B4" s="1227"/>
      <c r="C4" s="1227"/>
      <c r="D4" s="1227"/>
      <c r="E4" s="1227"/>
      <c r="F4" s="1227"/>
      <c r="G4" s="1227"/>
      <c r="H4" s="1227"/>
      <c r="I4" s="1227"/>
      <c r="J4" s="1227"/>
      <c r="K4" s="1227"/>
      <c r="L4" s="1227"/>
      <c r="M4" s="1227"/>
      <c r="N4" s="1227"/>
      <c r="O4" s="1227"/>
      <c r="P4" s="1227"/>
      <c r="Q4" s="1227"/>
      <c r="R4" s="1227"/>
      <c r="S4" s="1227"/>
      <c r="T4" s="1227"/>
      <c r="U4" s="1227"/>
      <c r="V4" s="1227"/>
      <c r="W4" s="1227"/>
      <c r="X4" s="1227"/>
      <c r="Y4" s="904"/>
      <c r="Z4" s="904"/>
      <c r="AA4" s="904"/>
      <c r="AB4" s="904"/>
      <c r="AC4" s="904"/>
    </row>
    <row r="5" spans="1:35" ht="20.25">
      <c r="A5" s="1228" t="s">
        <v>4</v>
      </c>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877"/>
      <c r="Z5" s="1030"/>
      <c r="AA5" s="1030"/>
      <c r="AB5" s="1030"/>
      <c r="AC5" s="1030"/>
    </row>
    <row r="6" spans="1:35" s="3" customFormat="1" ht="33" customHeight="1">
      <c r="A6" s="1223" t="s">
        <v>5</v>
      </c>
      <c r="B6" s="1223" t="s">
        <v>6</v>
      </c>
      <c r="C6" s="1223" t="s">
        <v>7</v>
      </c>
      <c r="D6" s="1223" t="s">
        <v>8</v>
      </c>
      <c r="E6" s="1224" t="s">
        <v>9</v>
      </c>
      <c r="F6" s="1220" t="s">
        <v>10</v>
      </c>
      <c r="G6" s="1220"/>
      <c r="H6" s="1220"/>
      <c r="I6" s="1220" t="s">
        <v>12</v>
      </c>
      <c r="J6" s="1220"/>
      <c r="K6" s="1223" t="s">
        <v>13</v>
      </c>
      <c r="L6" s="1223"/>
      <c r="M6" s="1223"/>
      <c r="N6" s="1214" t="s">
        <v>1595</v>
      </c>
      <c r="O6" s="1214"/>
      <c r="P6" s="1214"/>
      <c r="Q6" s="1214" t="s">
        <v>202</v>
      </c>
      <c r="R6" s="1214"/>
      <c r="S6" s="1214"/>
      <c r="T6" s="1220" t="s">
        <v>1593</v>
      </c>
      <c r="U6" s="1220"/>
      <c r="V6" s="1220"/>
      <c r="W6" s="1222" t="s">
        <v>1487</v>
      </c>
      <c r="X6" s="1229" t="s">
        <v>15</v>
      </c>
      <c r="Y6" s="1217" t="s">
        <v>1126</v>
      </c>
      <c r="Z6" s="1214" t="s">
        <v>1748</v>
      </c>
      <c r="AA6" s="1214"/>
      <c r="AB6" s="1214"/>
      <c r="AC6" s="1080"/>
      <c r="AD6" s="657"/>
      <c r="AE6" s="992"/>
      <c r="AF6" s="971"/>
      <c r="AG6" s="549"/>
      <c r="AH6" s="549"/>
      <c r="AI6" s="549"/>
    </row>
    <row r="7" spans="1:35" s="3" customFormat="1" ht="24.75" customHeight="1">
      <c r="A7" s="1223"/>
      <c r="B7" s="1223"/>
      <c r="C7" s="1223"/>
      <c r="D7" s="1223"/>
      <c r="E7" s="1224"/>
      <c r="F7" s="1220" t="s">
        <v>16</v>
      </c>
      <c r="G7" s="1220" t="s">
        <v>17</v>
      </c>
      <c r="H7" s="1220"/>
      <c r="I7" s="1220"/>
      <c r="J7" s="1220"/>
      <c r="K7" s="1223"/>
      <c r="L7" s="1223"/>
      <c r="M7" s="1223"/>
      <c r="N7" s="1214"/>
      <c r="O7" s="1214"/>
      <c r="P7" s="1214"/>
      <c r="Q7" s="1214"/>
      <c r="R7" s="1214"/>
      <c r="S7" s="1214"/>
      <c r="T7" s="1220"/>
      <c r="U7" s="1220"/>
      <c r="V7" s="1220"/>
      <c r="W7" s="1222"/>
      <c r="X7" s="1229"/>
      <c r="Y7" s="1218"/>
      <c r="Z7" s="1214"/>
      <c r="AA7" s="1214"/>
      <c r="AB7" s="1214"/>
      <c r="AC7" s="1080"/>
      <c r="AD7" s="657"/>
      <c r="AE7" s="992"/>
      <c r="AF7" s="971"/>
      <c r="AG7" s="549"/>
      <c r="AH7" s="549"/>
      <c r="AI7" s="549"/>
    </row>
    <row r="8" spans="1:35" s="3" customFormat="1" ht="15.75" customHeight="1">
      <c r="A8" s="1223"/>
      <c r="B8" s="1223"/>
      <c r="C8" s="1223"/>
      <c r="D8" s="1223"/>
      <c r="E8" s="1224"/>
      <c r="F8" s="1220"/>
      <c r="G8" s="1220" t="s">
        <v>20</v>
      </c>
      <c r="H8" s="1220" t="s">
        <v>21</v>
      </c>
      <c r="I8" s="1220"/>
      <c r="J8" s="1220"/>
      <c r="K8" s="1220" t="s">
        <v>20</v>
      </c>
      <c r="L8" s="1220" t="s">
        <v>21</v>
      </c>
      <c r="M8" s="1220"/>
      <c r="N8" s="1214" t="s">
        <v>20</v>
      </c>
      <c r="O8" s="1214" t="s">
        <v>21</v>
      </c>
      <c r="P8" s="1214"/>
      <c r="Q8" s="1214" t="s">
        <v>22</v>
      </c>
      <c r="R8" s="1214" t="s">
        <v>199</v>
      </c>
      <c r="S8" s="1214"/>
      <c r="T8" s="1220" t="s">
        <v>22</v>
      </c>
      <c r="U8" s="1220" t="s">
        <v>199</v>
      </c>
      <c r="V8" s="1220"/>
      <c r="W8" s="1222"/>
      <c r="X8" s="1229"/>
      <c r="Y8" s="1218"/>
      <c r="Z8" s="1214" t="s">
        <v>22</v>
      </c>
      <c r="AA8" s="1214" t="s">
        <v>199</v>
      </c>
      <c r="AB8" s="1214"/>
      <c r="AC8" s="1080"/>
      <c r="AD8" s="657"/>
      <c r="AE8" s="992"/>
      <c r="AF8" s="971"/>
      <c r="AG8" s="549"/>
      <c r="AH8" s="549"/>
      <c r="AI8" s="549"/>
    </row>
    <row r="9" spans="1:35" s="3" customFormat="1" ht="24.75" customHeight="1">
      <c r="A9" s="1223"/>
      <c r="B9" s="1223"/>
      <c r="C9" s="1223"/>
      <c r="D9" s="1223"/>
      <c r="E9" s="1224"/>
      <c r="F9" s="1220"/>
      <c r="G9" s="1220"/>
      <c r="H9" s="1221"/>
      <c r="I9" s="1220" t="s">
        <v>20</v>
      </c>
      <c r="J9" s="1220" t="s">
        <v>21</v>
      </c>
      <c r="K9" s="1220"/>
      <c r="L9" s="1220" t="s">
        <v>22</v>
      </c>
      <c r="M9" s="1230" t="s">
        <v>1482</v>
      </c>
      <c r="N9" s="1214"/>
      <c r="O9" s="1214" t="s">
        <v>22</v>
      </c>
      <c r="P9" s="1231" t="s">
        <v>1482</v>
      </c>
      <c r="Q9" s="1214"/>
      <c r="R9" s="1214" t="s">
        <v>200</v>
      </c>
      <c r="S9" s="1214" t="s">
        <v>201</v>
      </c>
      <c r="T9" s="1220"/>
      <c r="U9" s="1217" t="s">
        <v>200</v>
      </c>
      <c r="V9" s="1220" t="s">
        <v>201</v>
      </c>
      <c r="W9" s="1222"/>
      <c r="X9" s="1229"/>
      <c r="Y9" s="1218"/>
      <c r="Z9" s="1214"/>
      <c r="AA9" s="1214" t="s">
        <v>200</v>
      </c>
      <c r="AB9" s="1214" t="s">
        <v>201</v>
      </c>
      <c r="AC9" s="1080"/>
      <c r="AD9" s="657"/>
      <c r="AE9" s="992"/>
      <c r="AF9" s="971"/>
      <c r="AG9" s="549"/>
      <c r="AH9" s="549"/>
      <c r="AI9" s="549"/>
    </row>
    <row r="10" spans="1:35" s="3" customFormat="1" ht="39" customHeight="1">
      <c r="A10" s="1223"/>
      <c r="B10" s="1223"/>
      <c r="C10" s="1223"/>
      <c r="D10" s="1223"/>
      <c r="E10" s="1224"/>
      <c r="F10" s="1220"/>
      <c r="G10" s="1220"/>
      <c r="H10" s="1221"/>
      <c r="I10" s="1220"/>
      <c r="J10" s="1220"/>
      <c r="K10" s="1220"/>
      <c r="L10" s="1220"/>
      <c r="M10" s="1230"/>
      <c r="N10" s="1214"/>
      <c r="O10" s="1214"/>
      <c r="P10" s="1231"/>
      <c r="Q10" s="1214"/>
      <c r="R10" s="1214"/>
      <c r="S10" s="1214"/>
      <c r="T10" s="1220"/>
      <c r="U10" s="1219"/>
      <c r="V10" s="1220"/>
      <c r="W10" s="1222"/>
      <c r="X10" s="1229"/>
      <c r="Y10" s="1219"/>
      <c r="Z10" s="1214"/>
      <c r="AA10" s="1214"/>
      <c r="AB10" s="1214"/>
      <c r="AC10" s="1080"/>
      <c r="AD10" s="657"/>
      <c r="AE10" s="992" t="s">
        <v>1513</v>
      </c>
      <c r="AF10" s="971" t="s">
        <v>1724</v>
      </c>
      <c r="AG10" s="549"/>
      <c r="AH10" s="549"/>
      <c r="AI10" s="549"/>
    </row>
    <row r="11" spans="1:35" s="714" customFormat="1" ht="15">
      <c r="A11" s="319">
        <v>1</v>
      </c>
      <c r="B11" s="319">
        <v>2</v>
      </c>
      <c r="C11" s="242">
        <v>3</v>
      </c>
      <c r="D11" s="319">
        <v>4</v>
      </c>
      <c r="E11" s="757">
        <v>5</v>
      </c>
      <c r="F11" s="242">
        <v>6</v>
      </c>
      <c r="G11" s="319">
        <v>7</v>
      </c>
      <c r="H11" s="319">
        <v>8</v>
      </c>
      <c r="I11" s="319">
        <v>9</v>
      </c>
      <c r="J11" s="319">
        <v>10</v>
      </c>
      <c r="K11" s="319">
        <v>11</v>
      </c>
      <c r="L11" s="319">
        <v>12</v>
      </c>
      <c r="M11" s="319">
        <v>13</v>
      </c>
      <c r="N11" s="1032">
        <v>14</v>
      </c>
      <c r="O11" s="1032">
        <v>15</v>
      </c>
      <c r="P11" s="1032">
        <v>16</v>
      </c>
      <c r="Q11" s="1032"/>
      <c r="R11" s="1032"/>
      <c r="S11" s="1032"/>
      <c r="T11" s="319">
        <v>14</v>
      </c>
      <c r="U11" s="319">
        <v>15</v>
      </c>
      <c r="V11" s="319">
        <v>16</v>
      </c>
      <c r="W11" s="319">
        <v>17</v>
      </c>
      <c r="X11" s="319">
        <v>18</v>
      </c>
      <c r="Y11" s="319">
        <v>22</v>
      </c>
      <c r="Z11" s="1032">
        <v>14</v>
      </c>
      <c r="AA11" s="1032">
        <v>15</v>
      </c>
      <c r="AB11" s="1032">
        <v>16</v>
      </c>
      <c r="AC11" s="1081"/>
      <c r="AD11" s="657"/>
      <c r="AE11" s="810"/>
      <c r="AF11" s="1167"/>
    </row>
    <row r="12" spans="1:35" s="5" customFormat="1" ht="15.75">
      <c r="A12" s="563"/>
      <c r="B12" s="564"/>
      <c r="C12" s="682"/>
      <c r="D12" s="565"/>
      <c r="E12" s="566"/>
      <c r="F12" s="682"/>
      <c r="G12" s="563"/>
      <c r="H12" s="563"/>
      <c r="I12" s="563"/>
      <c r="J12" s="563"/>
      <c r="K12" s="563"/>
      <c r="L12" s="563"/>
      <c r="M12" s="563"/>
      <c r="N12" s="1192"/>
      <c r="O12" s="1033"/>
      <c r="P12" s="1192"/>
      <c r="Q12" s="1033">
        <f>968968+1177000-Q13</f>
        <v>-235349</v>
      </c>
      <c r="R12" s="1033">
        <f>968968-R13</f>
        <v>-435089</v>
      </c>
      <c r="S12" s="1033">
        <f>1177000-S13</f>
        <v>199740</v>
      </c>
      <c r="T12" s="1005">
        <f>968968+1177000-T13</f>
        <v>0</v>
      </c>
      <c r="U12" s="1168">
        <f>968968-U13</f>
        <v>0</v>
      </c>
      <c r="V12" s="1005">
        <f>1177000-V13</f>
        <v>0</v>
      </c>
      <c r="W12" s="682"/>
      <c r="X12" s="682"/>
      <c r="Y12" s="567"/>
      <c r="Z12" s="1033">
        <f>968968+1177000-Z13</f>
        <v>12823</v>
      </c>
      <c r="AA12" s="1033">
        <f>968968-AA13</f>
        <v>11570</v>
      </c>
      <c r="AB12" s="1033">
        <f>1177000-AB13</f>
        <v>1253</v>
      </c>
      <c r="AC12" s="1082"/>
      <c r="AD12" s="657"/>
      <c r="AE12" s="975"/>
      <c r="AF12" s="875"/>
    </row>
    <row r="13" spans="1:35" s="10" customFormat="1" ht="29.25" customHeight="1">
      <c r="A13" s="568"/>
      <c r="B13" s="569" t="s">
        <v>24</v>
      </c>
      <c r="C13" s="683"/>
      <c r="D13" s="570"/>
      <c r="E13" s="571"/>
      <c r="F13" s="683"/>
      <c r="G13" s="572">
        <f t="shared" ref="G13:V13" si="0">SUM(G22,G52,G62,G70,G118,G108,G127,G149,G178,G240,G251,G283,G304,G352,G398,G415,G416)</f>
        <v>19835748</v>
      </c>
      <c r="H13" s="572">
        <f t="shared" si="0"/>
        <v>10304926</v>
      </c>
      <c r="I13" s="572">
        <f t="shared" si="0"/>
        <v>4099561</v>
      </c>
      <c r="J13" s="572">
        <f t="shared" si="0"/>
        <v>2027193</v>
      </c>
      <c r="K13" s="572">
        <f t="shared" si="0"/>
        <v>15228386.153333336</v>
      </c>
      <c r="L13" s="572">
        <f t="shared" si="0"/>
        <v>9742824.7333333325</v>
      </c>
      <c r="M13" s="572">
        <f t="shared" si="0"/>
        <v>0</v>
      </c>
      <c r="N13" s="1034">
        <f t="shared" si="0"/>
        <v>4581749.3</v>
      </c>
      <c r="O13" s="1034">
        <f t="shared" si="0"/>
        <v>2850015</v>
      </c>
      <c r="P13" s="1034">
        <f t="shared" si="0"/>
        <v>0</v>
      </c>
      <c r="Q13" s="1034">
        <f t="shared" si="0"/>
        <v>2381317</v>
      </c>
      <c r="R13" s="1034">
        <f t="shared" si="0"/>
        <v>1404057</v>
      </c>
      <c r="S13" s="1034">
        <f t="shared" si="0"/>
        <v>977260</v>
      </c>
      <c r="T13" s="572">
        <f t="shared" si="0"/>
        <v>2145968</v>
      </c>
      <c r="U13" s="1125">
        <f t="shared" si="0"/>
        <v>968968</v>
      </c>
      <c r="V13" s="572">
        <f t="shared" si="0"/>
        <v>1177000</v>
      </c>
      <c r="W13" s="572"/>
      <c r="X13" s="572"/>
      <c r="Y13" s="572">
        <f>SUM(Y22,Y52,Y62,Y70,Y118,Y108,Y127,Y149,Y178,Y240,Y251,Y283,Y304,Y352,Y398,Y415,Y416)</f>
        <v>266</v>
      </c>
      <c r="Z13" s="1034">
        <f>SUM(Z22,Z52,Z62,Z70,Z118,Z108,Z127,Z149,Z178,Z240,Z251,Z283,Z304,Z352,Z398,Z415,Z416)</f>
        <v>2133145</v>
      </c>
      <c r="AA13" s="1034">
        <f>SUM(AA22,AA52,AA62,AA70,AA118,AA108,AA127,AA149,AA178,AA240,AA251,AA283,AA304,AA352,AA398,AA415,AA416)</f>
        <v>957398</v>
      </c>
      <c r="AB13" s="1034">
        <f>SUM(AB22,AB52,AB62,AB70,AB118,AB108,AB127,AB149,AB178,AB240,AB251,AB283,AB304,AB352,AB398,AB415,AB416)</f>
        <v>1175747</v>
      </c>
      <c r="AC13" s="1083"/>
      <c r="AD13" s="658"/>
      <c r="AE13" s="975">
        <f>SUM(AE22:AE416)</f>
        <v>136052</v>
      </c>
      <c r="AF13" s="974">
        <f>AE13/1177000*100</f>
        <v>11.559218351741716</v>
      </c>
    </row>
    <row r="14" spans="1:35" s="750" customFormat="1" ht="28.5" customHeight="1">
      <c r="A14" s="747"/>
      <c r="B14" s="65" t="s">
        <v>1727</v>
      </c>
      <c r="C14" s="1031"/>
      <c r="D14" s="668"/>
      <c r="E14" s="748"/>
      <c r="F14" s="762"/>
      <c r="G14" s="643">
        <f t="shared" ref="G14:V14" si="1">SUM(G23,G63,G71,G109,G128,G150,G179,G241,G252,G284,G305,G353,G399,)</f>
        <v>3139203</v>
      </c>
      <c r="H14" s="643">
        <f t="shared" si="1"/>
        <v>1673496</v>
      </c>
      <c r="I14" s="643">
        <f t="shared" si="1"/>
        <v>500</v>
      </c>
      <c r="J14" s="643">
        <f t="shared" si="1"/>
        <v>500</v>
      </c>
      <c r="K14" s="643">
        <f t="shared" si="1"/>
        <v>2746198</v>
      </c>
      <c r="L14" s="643">
        <f t="shared" si="1"/>
        <v>2090367</v>
      </c>
      <c r="M14" s="643">
        <f t="shared" si="1"/>
        <v>0</v>
      </c>
      <c r="N14" s="1035">
        <f t="shared" si="1"/>
        <v>148758</v>
      </c>
      <c r="O14" s="1035">
        <f t="shared" si="1"/>
        <v>68758</v>
      </c>
      <c r="P14" s="1035">
        <f t="shared" si="1"/>
        <v>0</v>
      </c>
      <c r="Q14" s="1035">
        <f t="shared" si="1"/>
        <v>20058</v>
      </c>
      <c r="R14" s="1035">
        <f t="shared" si="1"/>
        <v>15358</v>
      </c>
      <c r="S14" s="1035">
        <f t="shared" si="1"/>
        <v>4700</v>
      </c>
      <c r="T14" s="643">
        <f t="shared" si="1"/>
        <v>20558</v>
      </c>
      <c r="U14" s="1126">
        <f t="shared" si="1"/>
        <v>12872</v>
      </c>
      <c r="V14" s="643">
        <f t="shared" si="1"/>
        <v>7686</v>
      </c>
      <c r="W14" s="643"/>
      <c r="X14" s="643"/>
      <c r="Y14" s="643">
        <f>SUM(Y23,Y63,Y71,Y109,Y128,Y150,Y179,Y241,Y252,Y284,Y305,Y353,Y399,)</f>
        <v>53</v>
      </c>
      <c r="Z14" s="1035">
        <f>SUM(Z23,Z63,Z71,Z109,Z128,Z150,Z179,Z241,Z252,Z284,Z305,Z353,Z399,)</f>
        <v>20558</v>
      </c>
      <c r="AA14" s="1035">
        <f>SUM(AA23,AA63,AA71,AA109,AA128,AA150,AA179,AA241,AA252,AA284,AA305,AA353,AA399,)</f>
        <v>12872</v>
      </c>
      <c r="AB14" s="1035">
        <f>SUM(AB23,AB63,AB71,AB109,AB128,AB150,AB179,AB241,AB252,AB284,AB305,AB353,AB399,)</f>
        <v>7686</v>
      </c>
      <c r="AC14" s="1082"/>
      <c r="AD14" s="657"/>
      <c r="AE14" s="975"/>
      <c r="AF14" s="975"/>
    </row>
    <row r="15" spans="1:35" s="750" customFormat="1" ht="28.5" customHeight="1">
      <c r="A15" s="747"/>
      <c r="B15" s="65" t="s">
        <v>1728</v>
      </c>
      <c r="C15" s="1031"/>
      <c r="D15" s="668"/>
      <c r="E15" s="748"/>
      <c r="F15" s="762"/>
      <c r="G15" s="643">
        <f t="shared" ref="G15:V15" si="2">SUM(G28,G53,G64,G76,G111,G119,G132,G159,G196,G243,G255,G287,G312,G359,G401,G415)</f>
        <v>16696545</v>
      </c>
      <c r="H15" s="643">
        <f t="shared" si="2"/>
        <v>8631430</v>
      </c>
      <c r="I15" s="643">
        <f t="shared" si="2"/>
        <v>4099061</v>
      </c>
      <c r="J15" s="643">
        <f t="shared" si="2"/>
        <v>2026693</v>
      </c>
      <c r="K15" s="643">
        <f t="shared" si="2"/>
        <v>12211696.153333334</v>
      </c>
      <c r="L15" s="643">
        <f t="shared" si="2"/>
        <v>7381965.7333333334</v>
      </c>
      <c r="M15" s="643">
        <f t="shared" si="2"/>
        <v>0</v>
      </c>
      <c r="N15" s="1035">
        <f t="shared" si="2"/>
        <v>4356280.3</v>
      </c>
      <c r="O15" s="1035">
        <f t="shared" si="2"/>
        <v>2704546</v>
      </c>
      <c r="P15" s="1035">
        <f t="shared" si="2"/>
        <v>0</v>
      </c>
      <c r="Q15" s="1035">
        <f t="shared" si="2"/>
        <v>2284548</v>
      </c>
      <c r="R15" s="1035">
        <f t="shared" si="2"/>
        <v>1357848</v>
      </c>
      <c r="S15" s="1035">
        <f t="shared" si="2"/>
        <v>926700</v>
      </c>
      <c r="T15" s="643">
        <f t="shared" si="2"/>
        <v>2048699</v>
      </c>
      <c r="U15" s="1126">
        <f t="shared" si="2"/>
        <v>915377</v>
      </c>
      <c r="V15" s="643">
        <f t="shared" si="2"/>
        <v>1133322</v>
      </c>
      <c r="W15" s="643"/>
      <c r="X15" s="643"/>
      <c r="Y15" s="643">
        <f>SUM(Y28,Y53,Y64,Y76,Y111,Y119,Y132,Y159,Y196,Y243,Y255,Y287,Y312,Y359,Y401,Y415)</f>
        <v>213</v>
      </c>
      <c r="Z15" s="1035">
        <f>SUM(Z28,Z53,Z64,Z76,Z111,Z119,Z132,Z159,Z196,Z243,Z255,Z287,Z312,Z359,Z401,Z415)</f>
        <v>2035876</v>
      </c>
      <c r="AA15" s="1035">
        <f>SUM(AA28,AA53,AA64,AA76,AA111,AA119,AA132,AA159,AA196,AA243,AA255,AA287,AA312,AA359,AA401,AA415)</f>
        <v>913557</v>
      </c>
      <c r="AB15" s="1035">
        <f>SUM(AB28,AB53,AB64,AB76,AB111,AB119,AB132,AB159,AB196,AB243,AB255,AB287,AB312,AB359,AB401,AB415)</f>
        <v>1122319</v>
      </c>
      <c r="AC15" s="1082"/>
      <c r="AD15" s="657"/>
      <c r="AE15" s="975"/>
      <c r="AF15" s="975"/>
    </row>
    <row r="16" spans="1:35" s="750" customFormat="1" ht="29.25" customHeight="1">
      <c r="A16" s="747"/>
      <c r="B16" s="586" t="s">
        <v>1575</v>
      </c>
      <c r="C16" s="1031"/>
      <c r="D16" s="668"/>
      <c r="E16" s="748"/>
      <c r="F16" s="762"/>
      <c r="G16" s="643">
        <f t="shared" ref="G16:V16" si="3">G256</f>
        <v>17604</v>
      </c>
      <c r="H16" s="643">
        <f t="shared" si="3"/>
        <v>6223</v>
      </c>
      <c r="I16" s="643">
        <f t="shared" si="3"/>
        <v>4692</v>
      </c>
      <c r="J16" s="643">
        <f t="shared" si="3"/>
        <v>3972</v>
      </c>
      <c r="K16" s="643">
        <f t="shared" si="3"/>
        <v>12912</v>
      </c>
      <c r="L16" s="643">
        <f t="shared" si="3"/>
        <v>2251</v>
      </c>
      <c r="M16" s="643">
        <f t="shared" si="3"/>
        <v>0</v>
      </c>
      <c r="N16" s="1035">
        <f t="shared" si="3"/>
        <v>12900</v>
      </c>
      <c r="O16" s="1035">
        <f t="shared" si="3"/>
        <v>2250</v>
      </c>
      <c r="P16" s="1035">
        <f t="shared" si="3"/>
        <v>0</v>
      </c>
      <c r="Q16" s="1035">
        <f t="shared" si="3"/>
        <v>2250</v>
      </c>
      <c r="R16" s="1035">
        <f t="shared" si="3"/>
        <v>0</v>
      </c>
      <c r="S16" s="1035">
        <f t="shared" si="3"/>
        <v>2250</v>
      </c>
      <c r="T16" s="643">
        <f t="shared" si="3"/>
        <v>2250</v>
      </c>
      <c r="U16" s="1126">
        <f t="shared" si="3"/>
        <v>0</v>
      </c>
      <c r="V16" s="643">
        <f t="shared" si="3"/>
        <v>2250</v>
      </c>
      <c r="W16" s="643"/>
      <c r="X16" s="643"/>
      <c r="Y16" s="643">
        <f>Y256</f>
        <v>1</v>
      </c>
      <c r="Z16" s="1035">
        <f t="shared" ref="Z16:AB16" si="4">Z256</f>
        <v>2250</v>
      </c>
      <c r="AA16" s="1035">
        <f t="shared" si="4"/>
        <v>0</v>
      </c>
      <c r="AB16" s="1035">
        <f t="shared" si="4"/>
        <v>2250</v>
      </c>
      <c r="AC16" s="1082"/>
      <c r="AD16" s="657"/>
      <c r="AE16" s="975"/>
      <c r="AF16" s="975"/>
    </row>
    <row r="17" spans="1:35" s="750" customFormat="1" ht="29.25" customHeight="1">
      <c r="A17" s="747"/>
      <c r="B17" s="586" t="s">
        <v>1576</v>
      </c>
      <c r="C17" s="1031"/>
      <c r="D17" s="668"/>
      <c r="E17" s="748"/>
      <c r="F17" s="762"/>
      <c r="G17" s="643">
        <f t="shared" ref="G17:V17" si="5">SUM(G29,G77,G112,G120,G160,G197,G244,G258,G288,G313,G360,G402,G415)</f>
        <v>4020901</v>
      </c>
      <c r="H17" s="643">
        <f t="shared" si="5"/>
        <v>2382992</v>
      </c>
      <c r="I17" s="643">
        <f t="shared" si="5"/>
        <v>1884814</v>
      </c>
      <c r="J17" s="643">
        <f t="shared" si="5"/>
        <v>1290356</v>
      </c>
      <c r="K17" s="643">
        <f t="shared" si="5"/>
        <v>2379720.1</v>
      </c>
      <c r="L17" s="643">
        <f t="shared" si="5"/>
        <v>1542072</v>
      </c>
      <c r="M17" s="643">
        <f t="shared" si="5"/>
        <v>0</v>
      </c>
      <c r="N17" s="1035">
        <f t="shared" si="5"/>
        <v>1138598.3</v>
      </c>
      <c r="O17" s="1035">
        <f t="shared" si="5"/>
        <v>645509</v>
      </c>
      <c r="P17" s="1035">
        <f t="shared" si="5"/>
        <v>0</v>
      </c>
      <c r="Q17" s="1035">
        <f t="shared" si="5"/>
        <v>535134</v>
      </c>
      <c r="R17" s="1035">
        <f t="shared" si="5"/>
        <v>412578</v>
      </c>
      <c r="S17" s="1035">
        <f t="shared" si="5"/>
        <v>122556</v>
      </c>
      <c r="T17" s="643">
        <f t="shared" si="5"/>
        <v>506137</v>
      </c>
      <c r="U17" s="1126">
        <f t="shared" si="5"/>
        <v>220414</v>
      </c>
      <c r="V17" s="643">
        <f t="shared" si="5"/>
        <v>285723</v>
      </c>
      <c r="W17" s="643"/>
      <c r="X17" s="643"/>
      <c r="Y17" s="643">
        <f>SUM(Y29,Y77,Y112,Y120,Y160,Y197,Y244,Y258,Y288,Y313,Y360,Y402,Y415)</f>
        <v>59</v>
      </c>
      <c r="Z17" s="1035">
        <f>SUM(Z29,Z77,Z112,Z120,Z160,Z197,Z244,Z258,Z288,Z313,Z360,Z402,Z415)</f>
        <v>515817</v>
      </c>
      <c r="AA17" s="1035">
        <f>SUM(AA29,AA77,AA112,AA120,AA160,AA197,AA244,AA258,AA288,AA313,AA360,AA402,AA415)</f>
        <v>224094</v>
      </c>
      <c r="AB17" s="1035">
        <f>SUM(AB29,AB77,AB112,AB120,AB160,AB197,AB244,AB258,AB288,AB313,AB360,AB402,AB415)</f>
        <v>291723</v>
      </c>
      <c r="AC17" s="1082"/>
      <c r="AD17" s="657"/>
      <c r="AE17" s="975"/>
      <c r="AF17" s="975"/>
    </row>
    <row r="18" spans="1:35" s="750" customFormat="1" ht="29.25" customHeight="1">
      <c r="A18" s="747" t="s">
        <v>1572</v>
      </c>
      <c r="B18" s="65" t="s">
        <v>1573</v>
      </c>
      <c r="C18" s="1031"/>
      <c r="D18" s="668"/>
      <c r="E18" s="748"/>
      <c r="F18" s="762"/>
      <c r="G18" s="643">
        <f t="shared" ref="G18:V18" si="6">SUM(G44,G54,G65,G85,G122,G133,G162,G206,G249,G369,G407)</f>
        <v>6870104</v>
      </c>
      <c r="H18" s="643">
        <f t="shared" si="6"/>
        <v>2997635</v>
      </c>
      <c r="I18" s="643">
        <f t="shared" si="6"/>
        <v>2185136</v>
      </c>
      <c r="J18" s="643">
        <f t="shared" si="6"/>
        <v>707523</v>
      </c>
      <c r="K18" s="643">
        <f t="shared" si="6"/>
        <v>4870680.92</v>
      </c>
      <c r="L18" s="643">
        <f t="shared" si="6"/>
        <v>2665854.6999999997</v>
      </c>
      <c r="M18" s="643">
        <f t="shared" si="6"/>
        <v>0</v>
      </c>
      <c r="N18" s="1035">
        <f t="shared" si="6"/>
        <v>1763177</v>
      </c>
      <c r="O18" s="1035">
        <f t="shared" si="6"/>
        <v>908829</v>
      </c>
      <c r="P18" s="1035">
        <f t="shared" si="6"/>
        <v>0</v>
      </c>
      <c r="Q18" s="1035">
        <f t="shared" si="6"/>
        <v>847938</v>
      </c>
      <c r="R18" s="1035">
        <f t="shared" si="6"/>
        <v>545238</v>
      </c>
      <c r="S18" s="1035">
        <f t="shared" si="6"/>
        <v>302700</v>
      </c>
      <c r="T18" s="643">
        <f t="shared" si="6"/>
        <v>680441</v>
      </c>
      <c r="U18" s="1126">
        <f t="shared" si="6"/>
        <v>398300</v>
      </c>
      <c r="V18" s="643">
        <f t="shared" si="6"/>
        <v>282141</v>
      </c>
      <c r="W18" s="643"/>
      <c r="X18" s="643"/>
      <c r="Y18" s="643">
        <f>SUM(Y44,Y54,Y65,Y85,Y122,Y133,Y162,Y206,Y249,Y369,Y407)</f>
        <v>44</v>
      </c>
      <c r="Z18" s="1035">
        <f>SUM(Z44,Z54,Z65,Z85,Z122,Z133,Z162,Z206,Z249,Z369,Z407)</f>
        <v>689441</v>
      </c>
      <c r="AA18" s="1035">
        <f>SUM(AA44,AA54,AA65,AA85,AA122,AA133,AA162,AA206,AA249,AA369,AA407)</f>
        <v>407300</v>
      </c>
      <c r="AB18" s="1035">
        <f>SUM(AB44,AB54,AB65,AB85,AB122,AB133,AB162,AB206,AB249,AB369,AB407)</f>
        <v>282141</v>
      </c>
      <c r="AC18" s="1082"/>
      <c r="AD18" s="657"/>
      <c r="AE18" s="975"/>
      <c r="AF18" s="975"/>
    </row>
    <row r="19" spans="1:35" s="750" customFormat="1" ht="29.25" customHeight="1">
      <c r="A19" s="747"/>
      <c r="B19" s="751" t="s">
        <v>1574</v>
      </c>
      <c r="C19" s="1031"/>
      <c r="D19" s="668"/>
      <c r="E19" s="748"/>
      <c r="F19" s="762"/>
      <c r="G19" s="643">
        <f t="shared" ref="G19:V19" si="7">SUM(G46,G56,G67,G97,G114,G125,G137,G172,G213,G265,G294,G317,G379,G410)</f>
        <v>5787936</v>
      </c>
      <c r="H19" s="643">
        <f t="shared" si="7"/>
        <v>3244580</v>
      </c>
      <c r="I19" s="643">
        <f t="shared" si="7"/>
        <v>24419</v>
      </c>
      <c r="J19" s="643">
        <f t="shared" si="7"/>
        <v>24842</v>
      </c>
      <c r="K19" s="643">
        <f t="shared" si="7"/>
        <v>4948383.1333333338</v>
      </c>
      <c r="L19" s="643">
        <f t="shared" si="7"/>
        <v>3171788.0333333332</v>
      </c>
      <c r="M19" s="643">
        <f t="shared" si="7"/>
        <v>0</v>
      </c>
      <c r="N19" s="1035">
        <f t="shared" si="7"/>
        <v>1441605</v>
      </c>
      <c r="O19" s="1035">
        <f t="shared" si="7"/>
        <v>1147958</v>
      </c>
      <c r="P19" s="1035">
        <f t="shared" si="7"/>
        <v>0</v>
      </c>
      <c r="Q19" s="1035">
        <f t="shared" si="7"/>
        <v>899226</v>
      </c>
      <c r="R19" s="1035">
        <f t="shared" si="7"/>
        <v>400032</v>
      </c>
      <c r="S19" s="1035">
        <f t="shared" si="7"/>
        <v>499194</v>
      </c>
      <c r="T19" s="643">
        <f t="shared" si="7"/>
        <v>859871</v>
      </c>
      <c r="U19" s="1126">
        <f t="shared" si="7"/>
        <v>296663</v>
      </c>
      <c r="V19" s="643">
        <f t="shared" si="7"/>
        <v>563208</v>
      </c>
      <c r="W19" s="643"/>
      <c r="X19" s="643"/>
      <c r="Y19" s="643">
        <f>SUM(Y46,Y56,Y67,Y97,Y114,Y125,Y137,Y172,Y213,Y265,Y294,Y317,Y379,Y410)</f>
        <v>109</v>
      </c>
      <c r="Z19" s="1035">
        <f>SUM(Z46,Z56,Z67,Z97,Z114,Z125,Z137,Z172,Z213,Z265,Z294,Z317,Z379,Z410)</f>
        <v>828368</v>
      </c>
      <c r="AA19" s="1035">
        <f>SUM(AA46,AA56,AA67,AA97,AA114,AA125,AA137,AA172,AA213,AA265,AA294,AA317,AA379,AA410)</f>
        <v>282163</v>
      </c>
      <c r="AB19" s="1035">
        <f>SUM(AB46,AB56,AB67,AB97,AB114,AB125,AB137,AB172,AB213,AB265,AB294,AB317,AB379,AB410)</f>
        <v>546205</v>
      </c>
      <c r="AC19" s="1082"/>
      <c r="AD19" s="657"/>
      <c r="AE19" s="975"/>
      <c r="AF19" s="975"/>
    </row>
    <row r="20" spans="1:35" s="750" customFormat="1" ht="29.25" customHeight="1">
      <c r="A20" s="747"/>
      <c r="B20" s="84" t="s">
        <v>1729</v>
      </c>
      <c r="C20" s="1031"/>
      <c r="D20" s="668"/>
      <c r="E20" s="748"/>
      <c r="F20" s="937"/>
      <c r="G20" s="643"/>
      <c r="H20" s="643"/>
      <c r="I20" s="643"/>
      <c r="J20" s="643"/>
      <c r="K20" s="643">
        <f t="shared" ref="K20:L20" si="8">+K416</f>
        <v>270492</v>
      </c>
      <c r="L20" s="643">
        <f t="shared" si="8"/>
        <v>270492</v>
      </c>
      <c r="M20" s="643"/>
      <c r="N20" s="1035">
        <f t="shared" ref="N20:S20" si="9">+N416</f>
        <v>76711</v>
      </c>
      <c r="O20" s="1035">
        <f t="shared" si="9"/>
        <v>76711</v>
      </c>
      <c r="P20" s="1035">
        <f t="shared" si="9"/>
        <v>0</v>
      </c>
      <c r="Q20" s="1035">
        <f t="shared" si="9"/>
        <v>76711</v>
      </c>
      <c r="R20" s="1035">
        <f t="shared" si="9"/>
        <v>30851</v>
      </c>
      <c r="S20" s="1035">
        <f t="shared" si="9"/>
        <v>45860</v>
      </c>
      <c r="T20" s="643">
        <f>+T416</f>
        <v>76711</v>
      </c>
      <c r="U20" s="1126">
        <f t="shared" ref="U20:V20" si="10">+U416</f>
        <v>40719</v>
      </c>
      <c r="V20" s="643">
        <f t="shared" si="10"/>
        <v>35992</v>
      </c>
      <c r="W20" s="643"/>
      <c r="X20" s="643"/>
      <c r="Y20" s="643"/>
      <c r="Z20" s="1035">
        <f>+Z416</f>
        <v>76711</v>
      </c>
      <c r="AA20" s="1035">
        <f t="shared" ref="AA20:AB20" si="11">+AA416</f>
        <v>30969</v>
      </c>
      <c r="AB20" s="1035">
        <f t="shared" si="11"/>
        <v>45742</v>
      </c>
      <c r="AC20" s="1082"/>
      <c r="AD20" s="657"/>
      <c r="AE20" s="975"/>
      <c r="AF20" s="975"/>
    </row>
    <row r="21" spans="1:35" s="750" customFormat="1" ht="15.75">
      <c r="A21" s="747"/>
      <c r="B21" s="19"/>
      <c r="C21" s="1031"/>
      <c r="D21" s="668"/>
      <c r="E21" s="748"/>
      <c r="F21" s="762"/>
      <c r="G21" s="643"/>
      <c r="H21" s="643"/>
      <c r="I21" s="643"/>
      <c r="J21" s="643"/>
      <c r="K21" s="643"/>
      <c r="L21" s="643"/>
      <c r="M21" s="643"/>
      <c r="N21" s="1035"/>
      <c r="O21" s="1035"/>
      <c r="P21" s="1035"/>
      <c r="Q21" s="1035"/>
      <c r="R21" s="1035"/>
      <c r="S21" s="1035"/>
      <c r="T21" s="643"/>
      <c r="U21" s="1126"/>
      <c r="V21" s="643"/>
      <c r="W21" s="749"/>
      <c r="X21" s="749"/>
      <c r="Y21" s="643"/>
      <c r="Z21" s="1035"/>
      <c r="AA21" s="1035"/>
      <c r="AB21" s="1035"/>
      <c r="AC21" s="1082"/>
      <c r="AD21" s="657"/>
      <c r="AE21" s="975"/>
      <c r="AF21" s="975"/>
    </row>
    <row r="22" spans="1:35" s="623" customFormat="1" ht="30.75" customHeight="1">
      <c r="A22" s="617" t="s">
        <v>25</v>
      </c>
      <c r="B22" s="618" t="s">
        <v>1139</v>
      </c>
      <c r="C22" s="684"/>
      <c r="D22" s="619"/>
      <c r="E22" s="620"/>
      <c r="F22" s="684"/>
      <c r="G22" s="621">
        <f t="shared" ref="G22:V22" si="12">SUM(G23,G28)</f>
        <v>3365760</v>
      </c>
      <c r="H22" s="621">
        <f t="shared" si="12"/>
        <v>924914</v>
      </c>
      <c r="I22" s="621">
        <f t="shared" si="12"/>
        <v>659891</v>
      </c>
      <c r="J22" s="621">
        <f t="shared" si="12"/>
        <v>229902</v>
      </c>
      <c r="K22" s="621">
        <f t="shared" si="12"/>
        <v>2430028.9000000004</v>
      </c>
      <c r="L22" s="621">
        <f t="shared" si="12"/>
        <v>895867.4</v>
      </c>
      <c r="M22" s="621">
        <f t="shared" si="12"/>
        <v>0</v>
      </c>
      <c r="N22" s="1036">
        <f t="shared" si="12"/>
        <v>701856</v>
      </c>
      <c r="O22" s="1036">
        <f t="shared" si="12"/>
        <v>291094</v>
      </c>
      <c r="P22" s="1036">
        <f t="shared" si="12"/>
        <v>0</v>
      </c>
      <c r="Q22" s="1036">
        <f t="shared" si="12"/>
        <v>227032</v>
      </c>
      <c r="R22" s="1036">
        <f t="shared" si="12"/>
        <v>164156</v>
      </c>
      <c r="S22" s="1036">
        <f t="shared" si="12"/>
        <v>62876</v>
      </c>
      <c r="T22" s="621">
        <f t="shared" si="12"/>
        <v>203945</v>
      </c>
      <c r="U22" s="1127">
        <f t="shared" si="12"/>
        <v>26469</v>
      </c>
      <c r="V22" s="621">
        <f t="shared" si="12"/>
        <v>177476</v>
      </c>
      <c r="W22" s="684"/>
      <c r="X22" s="684"/>
      <c r="Y22" s="621">
        <f>SUM(Y23,Y28)</f>
        <v>19</v>
      </c>
      <c r="Z22" s="1036">
        <f t="shared" ref="Z22:AB22" si="13">SUM(Z23,Z28)</f>
        <v>203945</v>
      </c>
      <c r="AA22" s="1036">
        <f t="shared" si="13"/>
        <v>26469</v>
      </c>
      <c r="AB22" s="1036">
        <f t="shared" si="13"/>
        <v>177476</v>
      </c>
      <c r="AC22" s="1084"/>
      <c r="AD22" s="659"/>
      <c r="AE22" s="990"/>
      <c r="AF22" s="976"/>
      <c r="AG22" s="622"/>
      <c r="AH22" s="622"/>
      <c r="AI22" s="622"/>
    </row>
    <row r="23" spans="1:35" s="268" customFormat="1" ht="30.6" customHeight="1">
      <c r="A23" s="82" t="s">
        <v>525</v>
      </c>
      <c r="B23" s="65" t="s">
        <v>26</v>
      </c>
      <c r="C23" s="352"/>
      <c r="D23" s="350"/>
      <c r="E23" s="351"/>
      <c r="F23" s="352"/>
      <c r="G23" s="45">
        <f t="shared" ref="G23:V23" si="14">SUM(G24:G27)</f>
        <v>472509</v>
      </c>
      <c r="H23" s="45">
        <f t="shared" si="14"/>
        <v>194338</v>
      </c>
      <c r="I23" s="45">
        <f t="shared" si="14"/>
        <v>0</v>
      </c>
      <c r="J23" s="45">
        <f t="shared" si="14"/>
        <v>0</v>
      </c>
      <c r="K23" s="45">
        <f t="shared" si="14"/>
        <v>372509</v>
      </c>
      <c r="L23" s="45">
        <f t="shared" si="14"/>
        <v>271330</v>
      </c>
      <c r="M23" s="45">
        <f t="shared" si="14"/>
        <v>0</v>
      </c>
      <c r="N23" s="1037">
        <f t="shared" si="14"/>
        <v>60400</v>
      </c>
      <c r="O23" s="1037">
        <f t="shared" si="14"/>
        <v>30400</v>
      </c>
      <c r="P23" s="1037">
        <f t="shared" si="14"/>
        <v>0</v>
      </c>
      <c r="Q23" s="1037">
        <f t="shared" si="14"/>
        <v>1000</v>
      </c>
      <c r="R23" s="1037">
        <f t="shared" si="14"/>
        <v>1000</v>
      </c>
      <c r="S23" s="1037">
        <f t="shared" si="14"/>
        <v>0</v>
      </c>
      <c r="T23" s="45">
        <f t="shared" si="14"/>
        <v>1000</v>
      </c>
      <c r="U23" s="1128">
        <f t="shared" si="14"/>
        <v>1000</v>
      </c>
      <c r="V23" s="45">
        <f t="shared" si="14"/>
        <v>0</v>
      </c>
      <c r="W23" s="352"/>
      <c r="X23" s="352"/>
      <c r="Y23" s="45">
        <f>SUM(Y24:Y27)</f>
        <v>4</v>
      </c>
      <c r="Z23" s="1037">
        <f t="shared" ref="Z23:AB23" si="15">SUM(Z24:Z27)</f>
        <v>1000</v>
      </c>
      <c r="AA23" s="1037">
        <f t="shared" si="15"/>
        <v>1000</v>
      </c>
      <c r="AB23" s="1037">
        <f t="shared" si="15"/>
        <v>0</v>
      </c>
      <c r="AC23" s="1085"/>
      <c r="AD23" s="657"/>
      <c r="AE23" s="994"/>
      <c r="AF23" s="977"/>
      <c r="AG23" s="66"/>
      <c r="AH23" s="66"/>
      <c r="AI23" s="66"/>
    </row>
    <row r="24" spans="1:35" s="66" customFormat="1" ht="38.25">
      <c r="A24" s="67">
        <v>1</v>
      </c>
      <c r="B24" s="68" t="s">
        <v>203</v>
      </c>
      <c r="C24" s="80" t="s">
        <v>204</v>
      </c>
      <c r="D24" s="101"/>
      <c r="E24" s="70" t="s">
        <v>163</v>
      </c>
      <c r="F24" s="685" t="s">
        <v>205</v>
      </c>
      <c r="G24" s="71">
        <v>41262</v>
      </c>
      <c r="H24" s="72">
        <f>+G24</f>
        <v>41262</v>
      </c>
      <c r="I24" s="72"/>
      <c r="J24" s="72"/>
      <c r="K24" s="72">
        <f>+G24</f>
        <v>41262</v>
      </c>
      <c r="L24" s="72">
        <f>+H24</f>
        <v>41262</v>
      </c>
      <c r="M24" s="72"/>
      <c r="N24" s="965">
        <v>200</v>
      </c>
      <c r="O24" s="965">
        <v>200</v>
      </c>
      <c r="P24" s="965"/>
      <c r="Q24" s="965">
        <v>200</v>
      </c>
      <c r="R24" s="965">
        <v>200</v>
      </c>
      <c r="S24" s="965"/>
      <c r="T24" s="73">
        <f>SUM(U24:V24)</f>
        <v>200</v>
      </c>
      <c r="U24" s="1129">
        <v>200</v>
      </c>
      <c r="V24" s="73"/>
      <c r="W24" s="513" t="s">
        <v>1514</v>
      </c>
      <c r="X24" s="744"/>
      <c r="Y24" s="73">
        <v>1</v>
      </c>
      <c r="Z24" s="965">
        <f>SUM(AA24:AB24)</f>
        <v>200</v>
      </c>
      <c r="AA24" s="965">
        <v>200</v>
      </c>
      <c r="AB24" s="965"/>
      <c r="AC24" s="1086"/>
      <c r="AD24" s="657"/>
      <c r="AE24" s="994"/>
      <c r="AF24" s="977"/>
    </row>
    <row r="25" spans="1:35" s="66" customFormat="1" ht="60">
      <c r="A25" s="67">
        <v>2</v>
      </c>
      <c r="B25" s="74" t="s">
        <v>206</v>
      </c>
      <c r="C25" s="1184" t="s">
        <v>589</v>
      </c>
      <c r="D25" s="75" t="s">
        <v>207</v>
      </c>
      <c r="E25" s="879" t="s">
        <v>120</v>
      </c>
      <c r="F25" s="685"/>
      <c r="G25" s="76">
        <v>400076</v>
      </c>
      <c r="H25" s="77">
        <v>133076</v>
      </c>
      <c r="I25" s="72"/>
      <c r="J25" s="72"/>
      <c r="K25" s="176">
        <f>133076+167000</f>
        <v>300076</v>
      </c>
      <c r="L25" s="223">
        <v>210068</v>
      </c>
      <c r="M25" s="72"/>
      <c r="N25" s="965">
        <v>200</v>
      </c>
      <c r="O25" s="965">
        <v>200</v>
      </c>
      <c r="P25" s="965"/>
      <c r="Q25" s="965">
        <v>200</v>
      </c>
      <c r="R25" s="965">
        <v>200</v>
      </c>
      <c r="S25" s="965"/>
      <c r="T25" s="73">
        <f>SUM(U25:V25)</f>
        <v>200</v>
      </c>
      <c r="U25" s="1129">
        <v>200</v>
      </c>
      <c r="V25" s="73"/>
      <c r="W25" s="513" t="s">
        <v>1514</v>
      </c>
      <c r="X25" s="762" t="s">
        <v>1604</v>
      </c>
      <c r="Y25" s="73">
        <v>1</v>
      </c>
      <c r="Z25" s="965">
        <f>SUM(AA25:AB25)</f>
        <v>200</v>
      </c>
      <c r="AA25" s="965">
        <v>200</v>
      </c>
      <c r="AB25" s="965"/>
      <c r="AC25" s="1086"/>
      <c r="AD25" s="657"/>
      <c r="AE25" s="994"/>
      <c r="AF25" s="977"/>
    </row>
    <row r="26" spans="1:35" s="66" customFormat="1" ht="38.25">
      <c r="A26" s="67">
        <v>3</v>
      </c>
      <c r="B26" s="74" t="s">
        <v>1500</v>
      </c>
      <c r="C26" s="1184" t="s">
        <v>29</v>
      </c>
      <c r="D26" s="75"/>
      <c r="E26" s="879" t="s">
        <v>120</v>
      </c>
      <c r="F26" s="685"/>
      <c r="G26" s="76"/>
      <c r="H26" s="77"/>
      <c r="I26" s="72"/>
      <c r="J26" s="72"/>
      <c r="K26" s="176"/>
      <c r="L26" s="223"/>
      <c r="M26" s="72"/>
      <c r="N26" s="965">
        <v>60000</v>
      </c>
      <c r="O26" s="965">
        <v>30000</v>
      </c>
      <c r="P26" s="965"/>
      <c r="Q26" s="965">
        <f>SUM(R26:S26)</f>
        <v>200</v>
      </c>
      <c r="R26" s="965">
        <v>200</v>
      </c>
      <c r="S26" s="965"/>
      <c r="T26" s="73">
        <f>SUM(U26:V26)</f>
        <v>200</v>
      </c>
      <c r="U26" s="1129">
        <v>200</v>
      </c>
      <c r="V26" s="73"/>
      <c r="W26" s="513" t="s">
        <v>1514</v>
      </c>
      <c r="X26" s="762" t="s">
        <v>1605</v>
      </c>
      <c r="Y26" s="73">
        <v>1</v>
      </c>
      <c r="Z26" s="965">
        <f>SUM(AA26:AB26)</f>
        <v>200</v>
      </c>
      <c r="AA26" s="965">
        <v>200</v>
      </c>
      <c r="AB26" s="965"/>
      <c r="AC26" s="1086"/>
      <c r="AD26" s="657"/>
      <c r="AE26" s="994"/>
      <c r="AF26" s="977"/>
    </row>
    <row r="27" spans="1:35" s="66" customFormat="1" ht="45">
      <c r="A27" s="67">
        <v>4</v>
      </c>
      <c r="B27" s="74" t="s">
        <v>1197</v>
      </c>
      <c r="C27" s="1184" t="s">
        <v>1198</v>
      </c>
      <c r="D27" s="75" t="s">
        <v>1199</v>
      </c>
      <c r="E27" s="879"/>
      <c r="F27" s="685"/>
      <c r="G27" s="76">
        <v>31171</v>
      </c>
      <c r="H27" s="77">
        <v>20000</v>
      </c>
      <c r="I27" s="72"/>
      <c r="J27" s="72"/>
      <c r="K27" s="176">
        <v>31171</v>
      </c>
      <c r="L27" s="223">
        <v>20000</v>
      </c>
      <c r="M27" s="72"/>
      <c r="N27" s="965"/>
      <c r="O27" s="965"/>
      <c r="P27" s="965"/>
      <c r="Q27" s="965">
        <v>400</v>
      </c>
      <c r="R27" s="965">
        <v>400</v>
      </c>
      <c r="S27" s="965"/>
      <c r="T27" s="73">
        <f>SUM(U27:V27)</f>
        <v>400</v>
      </c>
      <c r="U27" s="1129">
        <v>400</v>
      </c>
      <c r="V27" s="73"/>
      <c r="W27" s="513" t="s">
        <v>1514</v>
      </c>
      <c r="X27" s="762"/>
      <c r="Y27" s="73">
        <v>1</v>
      </c>
      <c r="Z27" s="965">
        <f>SUM(AA27:AB27)</f>
        <v>400</v>
      </c>
      <c r="AA27" s="965">
        <v>400</v>
      </c>
      <c r="AB27" s="965"/>
      <c r="AC27" s="1086"/>
      <c r="AD27" s="657"/>
      <c r="AE27" s="994"/>
      <c r="AF27" s="977"/>
    </row>
    <row r="28" spans="1:35" s="268" customFormat="1" ht="30" customHeight="1">
      <c r="A28" s="82" t="s">
        <v>499</v>
      </c>
      <c r="B28" s="586" t="s">
        <v>31</v>
      </c>
      <c r="C28" s="352"/>
      <c r="D28" s="350"/>
      <c r="E28" s="351"/>
      <c r="F28" s="352"/>
      <c r="G28" s="45">
        <f t="shared" ref="G28:V28" si="16">SUM(G29,G44,G46)</f>
        <v>2893251</v>
      </c>
      <c r="H28" s="45">
        <f t="shared" si="16"/>
        <v>730576</v>
      </c>
      <c r="I28" s="45">
        <f t="shared" si="16"/>
        <v>659891</v>
      </c>
      <c r="J28" s="45">
        <f t="shared" si="16"/>
        <v>229902</v>
      </c>
      <c r="K28" s="45">
        <f t="shared" si="16"/>
        <v>2057519.9000000001</v>
      </c>
      <c r="L28" s="45">
        <f t="shared" si="16"/>
        <v>624537.4</v>
      </c>
      <c r="M28" s="45">
        <f t="shared" si="16"/>
        <v>0</v>
      </c>
      <c r="N28" s="1037">
        <f t="shared" si="16"/>
        <v>641456</v>
      </c>
      <c r="O28" s="1037">
        <f t="shared" si="16"/>
        <v>260694</v>
      </c>
      <c r="P28" s="1037">
        <f t="shared" si="16"/>
        <v>0</v>
      </c>
      <c r="Q28" s="1037">
        <f t="shared" si="16"/>
        <v>226032</v>
      </c>
      <c r="R28" s="1037">
        <f t="shared" si="16"/>
        <v>163156</v>
      </c>
      <c r="S28" s="1037">
        <f t="shared" si="16"/>
        <v>62876</v>
      </c>
      <c r="T28" s="45">
        <f t="shared" si="16"/>
        <v>202945</v>
      </c>
      <c r="U28" s="1128">
        <f t="shared" si="16"/>
        <v>25469</v>
      </c>
      <c r="V28" s="45">
        <f t="shared" si="16"/>
        <v>177476</v>
      </c>
      <c r="W28" s="352"/>
      <c r="X28" s="352"/>
      <c r="Y28" s="45">
        <f>SUM(Y29,Y44,Y46)</f>
        <v>15</v>
      </c>
      <c r="Z28" s="1037">
        <f t="shared" ref="Z28:AB28" si="17">SUM(Z29,Z44,Z46)</f>
        <v>202945</v>
      </c>
      <c r="AA28" s="1037">
        <f t="shared" si="17"/>
        <v>25469</v>
      </c>
      <c r="AB28" s="1037">
        <f t="shared" si="17"/>
        <v>177476</v>
      </c>
      <c r="AC28" s="1085"/>
      <c r="AD28" s="657"/>
      <c r="AE28" s="994"/>
      <c r="AF28" s="977"/>
      <c r="AG28" s="66"/>
      <c r="AH28" s="66"/>
      <c r="AI28" s="66"/>
    </row>
    <row r="29" spans="1:35" s="51" customFormat="1" ht="33" customHeight="1">
      <c r="A29" s="11" t="s">
        <v>78</v>
      </c>
      <c r="B29" s="65" t="s">
        <v>79</v>
      </c>
      <c r="C29" s="89"/>
      <c r="D29" s="13"/>
      <c r="E29" s="14"/>
      <c r="F29" s="89"/>
      <c r="G29" s="90">
        <f t="shared" ref="G29:V29" si="18">SUM(G30:G31,G35:G43)</f>
        <v>1529151</v>
      </c>
      <c r="H29" s="90">
        <f t="shared" si="18"/>
        <v>485624</v>
      </c>
      <c r="I29" s="90">
        <f t="shared" si="18"/>
        <v>606091</v>
      </c>
      <c r="J29" s="90">
        <f t="shared" si="18"/>
        <v>226102</v>
      </c>
      <c r="K29" s="90">
        <f t="shared" si="18"/>
        <v>789790.3</v>
      </c>
      <c r="L29" s="90">
        <f t="shared" si="18"/>
        <v>398080.6</v>
      </c>
      <c r="M29" s="90">
        <f t="shared" si="18"/>
        <v>0</v>
      </c>
      <c r="N29" s="1038">
        <f t="shared" si="18"/>
        <v>513271</v>
      </c>
      <c r="O29" s="1038">
        <f t="shared" si="18"/>
        <v>194194</v>
      </c>
      <c r="P29" s="1038">
        <f t="shared" si="18"/>
        <v>0</v>
      </c>
      <c r="Q29" s="1038">
        <f t="shared" si="18"/>
        <v>159532</v>
      </c>
      <c r="R29" s="1038">
        <f t="shared" si="18"/>
        <v>141156</v>
      </c>
      <c r="S29" s="1038">
        <f t="shared" si="18"/>
        <v>18376</v>
      </c>
      <c r="T29" s="90">
        <f t="shared" si="18"/>
        <v>156445</v>
      </c>
      <c r="U29" s="1130">
        <f t="shared" si="18"/>
        <v>3469</v>
      </c>
      <c r="V29" s="90">
        <f t="shared" si="18"/>
        <v>152976</v>
      </c>
      <c r="W29" s="699"/>
      <c r="X29" s="699"/>
      <c r="Y29" s="90">
        <f>SUM(Y30:Y31,Y35:Y43)</f>
        <v>11</v>
      </c>
      <c r="Z29" s="1038">
        <f t="shared" ref="Z29:AB29" si="19">SUM(Z30:Z31,Z35:Z43)</f>
        <v>156445</v>
      </c>
      <c r="AA29" s="1038">
        <f t="shared" si="19"/>
        <v>3469</v>
      </c>
      <c r="AB29" s="1038">
        <f t="shared" si="19"/>
        <v>152976</v>
      </c>
      <c r="AC29" s="1087"/>
      <c r="AD29" s="660"/>
      <c r="AE29" s="990"/>
      <c r="AF29" s="976"/>
      <c r="AG29" s="552"/>
      <c r="AH29" s="552"/>
      <c r="AI29" s="552"/>
    </row>
    <row r="30" spans="1:35" s="270" customFormat="1" ht="45">
      <c r="A30" s="518">
        <v>1</v>
      </c>
      <c r="B30" s="587" t="s">
        <v>1151</v>
      </c>
      <c r="C30" s="24" t="s">
        <v>29</v>
      </c>
      <c r="D30" s="70" t="s">
        <v>1152</v>
      </c>
      <c r="E30" s="70" t="s">
        <v>94</v>
      </c>
      <c r="F30" s="98" t="s">
        <v>1153</v>
      </c>
      <c r="G30" s="634">
        <v>377927</v>
      </c>
      <c r="H30" s="634">
        <v>112007</v>
      </c>
      <c r="I30" s="96">
        <f>90368+60000</f>
        <v>150368</v>
      </c>
      <c r="J30" s="96">
        <f>87268+3100</f>
        <v>90368</v>
      </c>
      <c r="K30" s="634">
        <f>112007+20000</f>
        <v>132007</v>
      </c>
      <c r="L30" s="634">
        <v>112007</v>
      </c>
      <c r="M30" s="588"/>
      <c r="N30" s="1039">
        <v>150920</v>
      </c>
      <c r="O30" s="1039">
        <v>5000</v>
      </c>
      <c r="P30" s="1193"/>
      <c r="Q30" s="1039">
        <v>8000</v>
      </c>
      <c r="R30" s="1039"/>
      <c r="S30" s="1039">
        <v>8000</v>
      </c>
      <c r="T30" s="73">
        <f>SUM(U30:V30)</f>
        <v>5000</v>
      </c>
      <c r="U30" s="1131"/>
      <c r="V30" s="634">
        <v>5000</v>
      </c>
      <c r="W30" s="513" t="s">
        <v>1514</v>
      </c>
      <c r="X30" s="24" t="s">
        <v>1594</v>
      </c>
      <c r="Y30" s="905">
        <v>1</v>
      </c>
      <c r="Z30" s="965">
        <f>SUM(AA30:AB30)</f>
        <v>5000</v>
      </c>
      <c r="AA30" s="1039"/>
      <c r="AB30" s="1039">
        <v>5000</v>
      </c>
      <c r="AC30" s="1088"/>
      <c r="AD30" s="657"/>
      <c r="AE30" s="991"/>
      <c r="AF30" s="970"/>
      <c r="AG30" s="550"/>
      <c r="AH30" s="550"/>
      <c r="AI30" s="550"/>
    </row>
    <row r="31" spans="1:35" s="271" customFormat="1" ht="30">
      <c r="A31" s="97" t="s">
        <v>41</v>
      </c>
      <c r="B31" s="589" t="s">
        <v>1154</v>
      </c>
      <c r="C31" s="449"/>
      <c r="D31" s="136"/>
      <c r="E31" s="136"/>
      <c r="F31" s="449"/>
      <c r="G31" s="104">
        <f t="shared" ref="G31:V31" si="20">G32+G33+G34</f>
        <v>431705</v>
      </c>
      <c r="H31" s="104">
        <f t="shared" si="20"/>
        <v>75669</v>
      </c>
      <c r="I31" s="104">
        <f t="shared" si="20"/>
        <v>259758</v>
      </c>
      <c r="J31" s="104">
        <f t="shared" si="20"/>
        <v>65550</v>
      </c>
      <c r="K31" s="104">
        <f t="shared" si="20"/>
        <v>91414</v>
      </c>
      <c r="L31" s="104">
        <f t="shared" si="20"/>
        <v>29411</v>
      </c>
      <c r="M31" s="104">
        <f t="shared" si="20"/>
        <v>0</v>
      </c>
      <c r="N31" s="1040">
        <f t="shared" si="20"/>
        <v>65835</v>
      </c>
      <c r="O31" s="1040">
        <f t="shared" si="20"/>
        <v>11029</v>
      </c>
      <c r="P31" s="1040">
        <f t="shared" si="20"/>
        <v>0</v>
      </c>
      <c r="Q31" s="1040">
        <f t="shared" si="20"/>
        <v>10105</v>
      </c>
      <c r="R31" s="1040">
        <f t="shared" si="20"/>
        <v>0</v>
      </c>
      <c r="S31" s="1040">
        <f t="shared" si="20"/>
        <v>10105</v>
      </c>
      <c r="T31" s="104">
        <f t="shared" si="20"/>
        <v>10105</v>
      </c>
      <c r="U31" s="590">
        <f t="shared" si="20"/>
        <v>0</v>
      </c>
      <c r="V31" s="104">
        <f t="shared" si="20"/>
        <v>10105</v>
      </c>
      <c r="W31" s="513" t="s">
        <v>1514</v>
      </c>
      <c r="X31" s="24" t="s">
        <v>1679</v>
      </c>
      <c r="Y31" s="104">
        <v>1</v>
      </c>
      <c r="Z31" s="1040">
        <f t="shared" ref="Z31:AB31" si="21">Z32+Z33+Z34</f>
        <v>10105</v>
      </c>
      <c r="AA31" s="1040">
        <f t="shared" si="21"/>
        <v>0</v>
      </c>
      <c r="AB31" s="1040">
        <f t="shared" si="21"/>
        <v>10105</v>
      </c>
      <c r="AC31" s="1089"/>
      <c r="AD31" s="657"/>
      <c r="AE31" s="991"/>
      <c r="AF31" s="970"/>
      <c r="AG31" s="550"/>
      <c r="AH31" s="550"/>
      <c r="AI31" s="550"/>
    </row>
    <row r="32" spans="1:35" s="270" customFormat="1" ht="30">
      <c r="A32" s="130"/>
      <c r="B32" s="93" t="s">
        <v>1155</v>
      </c>
      <c r="C32" s="100" t="s">
        <v>1156</v>
      </c>
      <c r="D32" s="19"/>
      <c r="E32" s="95" t="s">
        <v>1157</v>
      </c>
      <c r="F32" s="100" t="s">
        <v>1158</v>
      </c>
      <c r="G32" s="104">
        <v>292210</v>
      </c>
      <c r="H32" s="104">
        <v>58380</v>
      </c>
      <c r="I32" s="104">
        <f>178928+7500</f>
        <v>186428</v>
      </c>
      <c r="J32" s="104">
        <f>43470+7500</f>
        <v>50970</v>
      </c>
      <c r="K32" s="590">
        <f>14890+17288</f>
        <v>32178</v>
      </c>
      <c r="L32" s="104">
        <v>14890</v>
      </c>
      <c r="M32" s="588"/>
      <c r="N32" s="1039">
        <v>59000</v>
      </c>
      <c r="O32" s="1039">
        <v>7500</v>
      </c>
      <c r="P32" s="1193"/>
      <c r="Q32" s="1040">
        <v>7400</v>
      </c>
      <c r="R32" s="1040"/>
      <c r="S32" s="1040">
        <v>7400</v>
      </c>
      <c r="T32" s="73">
        <f t="shared" ref="T32:T38" si="22">SUM(U32:V32)</f>
        <v>7400</v>
      </c>
      <c r="U32" s="590"/>
      <c r="V32" s="104">
        <v>7400</v>
      </c>
      <c r="W32" s="513" t="s">
        <v>1514</v>
      </c>
      <c r="X32" s="24"/>
      <c r="Y32" s="104"/>
      <c r="Z32" s="965">
        <f t="shared" ref="Z32:Z38" si="23">SUM(AA32:AB32)</f>
        <v>7400</v>
      </c>
      <c r="AA32" s="1040"/>
      <c r="AB32" s="1040">
        <v>7400</v>
      </c>
      <c r="AC32" s="1089"/>
      <c r="AD32" s="657"/>
      <c r="AE32" s="991"/>
      <c r="AF32" s="970"/>
      <c r="AG32" s="550"/>
      <c r="AH32" s="550"/>
      <c r="AI32" s="550"/>
    </row>
    <row r="33" spans="1:35" s="270" customFormat="1" ht="51">
      <c r="A33" s="130"/>
      <c r="B33" s="93" t="s">
        <v>1159</v>
      </c>
      <c r="C33" s="80" t="s">
        <v>1160</v>
      </c>
      <c r="D33" s="19" t="s">
        <v>1203</v>
      </c>
      <c r="E33" s="70" t="s">
        <v>1157</v>
      </c>
      <c r="F33" s="121" t="s">
        <v>1161</v>
      </c>
      <c r="G33" s="175">
        <v>131024</v>
      </c>
      <c r="H33" s="175">
        <v>16124</v>
      </c>
      <c r="I33" s="175">
        <f>62413+9877</f>
        <v>72290</v>
      </c>
      <c r="J33" s="175">
        <f>7437+6103</f>
        <v>13540</v>
      </c>
      <c r="K33" s="175">
        <v>58071</v>
      </c>
      <c r="L33" s="175">
        <v>13356</v>
      </c>
      <c r="M33" s="588"/>
      <c r="N33" s="1039">
        <v>5404</v>
      </c>
      <c r="O33" s="1039">
        <v>3404</v>
      </c>
      <c r="P33" s="1193"/>
      <c r="Q33" s="1041">
        <v>2580</v>
      </c>
      <c r="R33" s="1041"/>
      <c r="S33" s="1041">
        <v>2580</v>
      </c>
      <c r="T33" s="73">
        <f t="shared" si="22"/>
        <v>2580</v>
      </c>
      <c r="U33" s="1132"/>
      <c r="V33" s="373">
        <v>2580</v>
      </c>
      <c r="W33" s="513" t="s">
        <v>1514</v>
      </c>
      <c r="X33" s="24" t="s">
        <v>1570</v>
      </c>
      <c r="Y33" s="373"/>
      <c r="Z33" s="965">
        <f t="shared" si="23"/>
        <v>2580</v>
      </c>
      <c r="AA33" s="1041"/>
      <c r="AB33" s="1041">
        <v>2580</v>
      </c>
      <c r="AC33" s="1090"/>
      <c r="AD33" s="657"/>
      <c r="AE33" s="991"/>
      <c r="AF33" s="970"/>
      <c r="AG33" s="550"/>
      <c r="AH33" s="550"/>
      <c r="AI33" s="550"/>
    </row>
    <row r="34" spans="1:35" s="270" customFormat="1" ht="60">
      <c r="A34" s="130"/>
      <c r="B34" s="93" t="s">
        <v>1162</v>
      </c>
      <c r="C34" s="80" t="s">
        <v>1163</v>
      </c>
      <c r="D34" s="19" t="s">
        <v>1164</v>
      </c>
      <c r="E34" s="95" t="s">
        <v>94</v>
      </c>
      <c r="F34" s="121" t="s">
        <v>1165</v>
      </c>
      <c r="G34" s="175">
        <v>8471</v>
      </c>
      <c r="H34" s="175">
        <v>1165</v>
      </c>
      <c r="I34" s="175">
        <v>1040</v>
      </c>
      <c r="J34" s="175">
        <v>1040</v>
      </c>
      <c r="K34" s="175">
        <f>+L34</f>
        <v>1165</v>
      </c>
      <c r="L34" s="175">
        <v>1165</v>
      </c>
      <c r="M34" s="588"/>
      <c r="N34" s="1039">
        <v>1431</v>
      </c>
      <c r="O34" s="1039">
        <v>125</v>
      </c>
      <c r="P34" s="1193"/>
      <c r="Q34" s="1041">
        <v>125</v>
      </c>
      <c r="R34" s="1041"/>
      <c r="S34" s="1041">
        <v>125</v>
      </c>
      <c r="T34" s="73">
        <f t="shared" si="22"/>
        <v>125</v>
      </c>
      <c r="U34" s="1132"/>
      <c r="V34" s="373">
        <v>125</v>
      </c>
      <c r="W34" s="513" t="s">
        <v>1515</v>
      </c>
      <c r="X34" s="24"/>
      <c r="Y34" s="373"/>
      <c r="Z34" s="965">
        <f t="shared" si="23"/>
        <v>125</v>
      </c>
      <c r="AA34" s="1041"/>
      <c r="AB34" s="1041">
        <v>125</v>
      </c>
      <c r="AC34" s="1090"/>
      <c r="AD34" s="657"/>
      <c r="AE34" s="991"/>
      <c r="AF34" s="970"/>
      <c r="AG34" s="550"/>
      <c r="AH34" s="550"/>
      <c r="AI34" s="550"/>
    </row>
    <row r="35" spans="1:35" s="194" customFormat="1" ht="60">
      <c r="A35" s="97" t="s">
        <v>58</v>
      </c>
      <c r="B35" s="93" t="s">
        <v>1166</v>
      </c>
      <c r="C35" s="100" t="s">
        <v>1156</v>
      </c>
      <c r="D35" s="19"/>
      <c r="E35" s="95" t="s">
        <v>1167</v>
      </c>
      <c r="F35" s="100" t="s">
        <v>1168</v>
      </c>
      <c r="G35" s="21">
        <v>23967</v>
      </c>
      <c r="H35" s="104">
        <v>3134</v>
      </c>
      <c r="I35" s="104">
        <f>+J35</f>
        <v>2000</v>
      </c>
      <c r="J35" s="104">
        <v>2000</v>
      </c>
      <c r="K35" s="21">
        <f>G35*0.9-550</f>
        <v>21020.3</v>
      </c>
      <c r="L35" s="104">
        <f>H35*0.9-550</f>
        <v>2270.6</v>
      </c>
      <c r="M35" s="591"/>
      <c r="N35" s="1039">
        <v>13067</v>
      </c>
      <c r="O35" s="1039">
        <v>584</v>
      </c>
      <c r="P35" s="1194"/>
      <c r="Q35" s="1042">
        <v>271</v>
      </c>
      <c r="R35" s="1040"/>
      <c r="S35" s="1042">
        <v>271</v>
      </c>
      <c r="T35" s="73">
        <f t="shared" si="22"/>
        <v>271</v>
      </c>
      <c r="U35" s="590"/>
      <c r="V35" s="21">
        <v>271</v>
      </c>
      <c r="W35" s="513" t="s">
        <v>1514</v>
      </c>
      <c r="X35" s="24" t="s">
        <v>1679</v>
      </c>
      <c r="Y35" s="21">
        <v>1</v>
      </c>
      <c r="Z35" s="965">
        <f t="shared" si="23"/>
        <v>271</v>
      </c>
      <c r="AA35" s="1040"/>
      <c r="AB35" s="1042">
        <v>271</v>
      </c>
      <c r="AC35" s="1091"/>
      <c r="AD35" s="657"/>
      <c r="AE35" s="990"/>
      <c r="AF35" s="811"/>
      <c r="AG35" s="551"/>
      <c r="AH35" s="551"/>
      <c r="AI35" s="551"/>
    </row>
    <row r="36" spans="1:35" ht="45">
      <c r="A36" s="97" t="s">
        <v>64</v>
      </c>
      <c r="B36" s="93" t="s">
        <v>230</v>
      </c>
      <c r="C36" s="100" t="s">
        <v>29</v>
      </c>
      <c r="D36" s="19" t="s">
        <v>1501</v>
      </c>
      <c r="E36" s="95" t="s">
        <v>94</v>
      </c>
      <c r="F36" s="80" t="s">
        <v>232</v>
      </c>
      <c r="G36" s="96">
        <v>96264</v>
      </c>
      <c r="H36" s="96">
        <v>86264</v>
      </c>
      <c r="I36" s="21">
        <f>10061</f>
        <v>10061</v>
      </c>
      <c r="J36" s="21">
        <v>61</v>
      </c>
      <c r="K36" s="21">
        <f>G36-I36</f>
        <v>86203</v>
      </c>
      <c r="L36" s="21">
        <f>H36-J36</f>
        <v>86203</v>
      </c>
      <c r="M36" s="21"/>
      <c r="N36" s="1043">
        <f>SUM(O36:P36)</f>
        <v>65000</v>
      </c>
      <c r="O36" s="1043">
        <v>65000</v>
      </c>
      <c r="P36" s="1043"/>
      <c r="Q36" s="1043">
        <f>SUM(R36:S36)</f>
        <v>65000</v>
      </c>
      <c r="R36" s="1043">
        <v>65000</v>
      </c>
      <c r="S36" s="1043"/>
      <c r="T36" s="73">
        <f t="shared" si="22"/>
        <v>65000</v>
      </c>
      <c r="U36" s="1133"/>
      <c r="V36" s="81">
        <v>65000</v>
      </c>
      <c r="W36" s="513" t="s">
        <v>1514</v>
      </c>
      <c r="X36" s="24" t="s">
        <v>1606</v>
      </c>
      <c r="Y36" s="81">
        <v>1</v>
      </c>
      <c r="Z36" s="965">
        <f t="shared" si="23"/>
        <v>65000</v>
      </c>
      <c r="AA36" s="1043"/>
      <c r="AB36" s="1043">
        <v>65000</v>
      </c>
      <c r="AC36" s="1092"/>
    </row>
    <row r="37" spans="1:35" ht="63" customHeight="1">
      <c r="A37" s="97" t="s">
        <v>69</v>
      </c>
      <c r="B37" s="93" t="s">
        <v>233</v>
      </c>
      <c r="C37" s="100" t="s">
        <v>29</v>
      </c>
      <c r="D37" s="19" t="s">
        <v>234</v>
      </c>
      <c r="E37" s="95" t="s">
        <v>235</v>
      </c>
      <c r="F37" s="80" t="s">
        <v>236</v>
      </c>
      <c r="G37" s="96">
        <v>161681</v>
      </c>
      <c r="H37" s="96">
        <v>58648</v>
      </c>
      <c r="I37" s="21">
        <f>18133+68561</f>
        <v>86694</v>
      </c>
      <c r="J37" s="21">
        <v>11148</v>
      </c>
      <c r="K37" s="21">
        <v>74987</v>
      </c>
      <c r="L37" s="21">
        <v>47500</v>
      </c>
      <c r="M37" s="21"/>
      <c r="N37" s="1043">
        <f>74987-25000</f>
        <v>49987</v>
      </c>
      <c r="O37" s="1043">
        <f>45000-25000</f>
        <v>20000</v>
      </c>
      <c r="P37" s="1043"/>
      <c r="Q37" s="1043">
        <f>SUM(R37:S37)</f>
        <v>20000</v>
      </c>
      <c r="R37" s="1043">
        <f>45000-25000</f>
        <v>20000</v>
      </c>
      <c r="S37" s="1043"/>
      <c r="T37" s="73">
        <f t="shared" si="22"/>
        <v>20000</v>
      </c>
      <c r="U37" s="1133"/>
      <c r="V37" s="81">
        <f>45000-25000</f>
        <v>20000</v>
      </c>
      <c r="W37" s="729" t="s">
        <v>1527</v>
      </c>
      <c r="X37" s="24"/>
      <c r="Y37" s="81">
        <v>1</v>
      </c>
      <c r="Z37" s="965">
        <f t="shared" si="23"/>
        <v>20000</v>
      </c>
      <c r="AA37" s="1043"/>
      <c r="AB37" s="1043">
        <f>45000-25000</f>
        <v>20000</v>
      </c>
      <c r="AC37" s="1092"/>
    </row>
    <row r="38" spans="1:35" ht="51" customHeight="1">
      <c r="A38" s="97" t="s">
        <v>74</v>
      </c>
      <c r="B38" s="93" t="s">
        <v>237</v>
      </c>
      <c r="C38" s="100" t="s">
        <v>43</v>
      </c>
      <c r="D38" s="19" t="s">
        <v>238</v>
      </c>
      <c r="E38" s="95" t="s">
        <v>235</v>
      </c>
      <c r="F38" s="80" t="s">
        <v>239</v>
      </c>
      <c r="G38" s="96">
        <v>82565</v>
      </c>
      <c r="H38" s="96">
        <v>82270</v>
      </c>
      <c r="I38" s="21">
        <f>19200+35+98</f>
        <v>19333</v>
      </c>
      <c r="J38" s="21">
        <f>19200+98</f>
        <v>19298</v>
      </c>
      <c r="K38" s="21">
        <v>63330</v>
      </c>
      <c r="L38" s="21">
        <v>63070</v>
      </c>
      <c r="M38" s="21"/>
      <c r="N38" s="1195">
        <f>82565-19200</f>
        <v>63365</v>
      </c>
      <c r="O38" s="1195">
        <v>55466</v>
      </c>
      <c r="P38" s="1195"/>
      <c r="Q38" s="1043">
        <v>26613</v>
      </c>
      <c r="R38" s="1043">
        <v>26613</v>
      </c>
      <c r="S38" s="1043"/>
      <c r="T38" s="73">
        <f t="shared" si="22"/>
        <v>26600</v>
      </c>
      <c r="U38" s="1133"/>
      <c r="V38" s="81">
        <v>26600</v>
      </c>
      <c r="W38" s="691" t="s">
        <v>1530</v>
      </c>
      <c r="X38" s="24"/>
      <c r="Y38" s="81">
        <v>1</v>
      </c>
      <c r="Z38" s="965">
        <f t="shared" si="23"/>
        <v>26600</v>
      </c>
      <c r="AA38" s="1043"/>
      <c r="AB38" s="1043">
        <v>26600</v>
      </c>
      <c r="AC38" s="1092"/>
    </row>
    <row r="39" spans="1:35" s="1" customFormat="1" ht="36.75" customHeight="1">
      <c r="A39" s="97" t="s">
        <v>141</v>
      </c>
      <c r="B39" s="93" t="s">
        <v>240</v>
      </c>
      <c r="C39" s="100" t="s">
        <v>71</v>
      </c>
      <c r="D39" s="19" t="s">
        <v>241</v>
      </c>
      <c r="E39" s="95" t="s">
        <v>242</v>
      </c>
      <c r="F39" s="80" t="s">
        <v>243</v>
      </c>
      <c r="G39" s="96">
        <v>253805</v>
      </c>
      <c r="H39" s="96">
        <v>13664</v>
      </c>
      <c r="I39" s="21">
        <f>20000+3664+9500</f>
        <v>33164</v>
      </c>
      <c r="J39" s="21">
        <f>3664+9500</f>
        <v>13164</v>
      </c>
      <c r="K39" s="21">
        <v>233805</v>
      </c>
      <c r="L39" s="96">
        <v>13664</v>
      </c>
      <c r="M39" s="21"/>
      <c r="N39" s="1043">
        <v>7660</v>
      </c>
      <c r="O39" s="1043">
        <v>7660</v>
      </c>
      <c r="P39" s="1043"/>
      <c r="Q39" s="1043">
        <v>500</v>
      </c>
      <c r="R39" s="1043">
        <v>500</v>
      </c>
      <c r="S39" s="1043"/>
      <c r="T39" s="81">
        <v>500</v>
      </c>
      <c r="U39" s="1133"/>
      <c r="V39" s="81">
        <v>500</v>
      </c>
      <c r="W39" s="513" t="s">
        <v>1516</v>
      </c>
      <c r="X39" s="24"/>
      <c r="Y39" s="81">
        <v>1</v>
      </c>
      <c r="Z39" s="1043">
        <v>500</v>
      </c>
      <c r="AA39" s="1043"/>
      <c r="AB39" s="1043">
        <v>500</v>
      </c>
      <c r="AC39" s="1092"/>
      <c r="AD39" s="657"/>
      <c r="AE39" s="995"/>
      <c r="AF39" s="970"/>
      <c r="AG39" s="550"/>
      <c r="AH39" s="550"/>
      <c r="AI39" s="550"/>
    </row>
    <row r="40" spans="1:35" ht="35.25" customHeight="1">
      <c r="A40" s="97" t="s">
        <v>146</v>
      </c>
      <c r="B40" s="93" t="s">
        <v>244</v>
      </c>
      <c r="C40" s="100" t="s">
        <v>60</v>
      </c>
      <c r="D40" s="19" t="s">
        <v>245</v>
      </c>
      <c r="E40" s="95" t="s">
        <v>87</v>
      </c>
      <c r="F40" s="80" t="s">
        <v>246</v>
      </c>
      <c r="G40" s="96">
        <v>85412</v>
      </c>
      <c r="H40" s="96">
        <v>42087</v>
      </c>
      <c r="I40" s="21">
        <f>10013+10000+3000+16500</f>
        <v>39513</v>
      </c>
      <c r="J40" s="21">
        <f>10013+10000</f>
        <v>20013</v>
      </c>
      <c r="K40" s="96">
        <v>71199</v>
      </c>
      <c r="L40" s="96">
        <v>32074</v>
      </c>
      <c r="M40" s="21"/>
      <c r="N40" s="1043">
        <v>85412</v>
      </c>
      <c r="O40" s="1043">
        <v>22074</v>
      </c>
      <c r="P40" s="1043"/>
      <c r="Q40" s="1043">
        <v>22074</v>
      </c>
      <c r="R40" s="1043">
        <v>22074</v>
      </c>
      <c r="S40" s="1043"/>
      <c r="T40" s="73">
        <f>SUM(U40:V40)</f>
        <v>22000</v>
      </c>
      <c r="U40" s="1133"/>
      <c r="V40" s="81">
        <v>22000</v>
      </c>
      <c r="W40" s="513" t="s">
        <v>1517</v>
      </c>
      <c r="X40" s="24"/>
      <c r="Y40" s="81">
        <v>1</v>
      </c>
      <c r="Z40" s="965">
        <f>SUM(AA40:AB40)</f>
        <v>22000</v>
      </c>
      <c r="AA40" s="1043"/>
      <c r="AB40" s="1043">
        <v>22000</v>
      </c>
      <c r="AC40" s="1092"/>
    </row>
    <row r="41" spans="1:35" s="51" customFormat="1" ht="35.25" customHeight="1">
      <c r="A41" s="97" t="s">
        <v>179</v>
      </c>
      <c r="B41" s="93" t="s">
        <v>250</v>
      </c>
      <c r="C41" s="100" t="s">
        <v>60</v>
      </c>
      <c r="D41" s="19" t="s">
        <v>1204</v>
      </c>
      <c r="E41" s="95" t="s">
        <v>94</v>
      </c>
      <c r="F41" s="80" t="s">
        <v>252</v>
      </c>
      <c r="G41" s="96">
        <v>6152</v>
      </c>
      <c r="H41" s="96">
        <v>3271</v>
      </c>
      <c r="I41" s="21">
        <v>2200</v>
      </c>
      <c r="J41" s="21">
        <v>1500</v>
      </c>
      <c r="K41" s="96">
        <v>6152</v>
      </c>
      <c r="L41" s="96">
        <v>3271</v>
      </c>
      <c r="M41" s="21"/>
      <c r="N41" s="1043">
        <v>5352</v>
      </c>
      <c r="O41" s="1043">
        <v>1771</v>
      </c>
      <c r="P41" s="1043"/>
      <c r="Q41" s="1043">
        <v>1771</v>
      </c>
      <c r="R41" s="1043">
        <v>1771</v>
      </c>
      <c r="S41" s="1043"/>
      <c r="T41" s="73">
        <f>SUM(U41:V41)</f>
        <v>1771</v>
      </c>
      <c r="U41" s="1133">
        <v>1771</v>
      </c>
      <c r="V41" s="81"/>
      <c r="W41" s="513" t="s">
        <v>1517</v>
      </c>
      <c r="X41" s="24"/>
      <c r="Y41" s="81">
        <v>1</v>
      </c>
      <c r="Z41" s="965">
        <f>SUM(AA41:AB41)</f>
        <v>1771</v>
      </c>
      <c r="AA41" s="1043">
        <v>1771</v>
      </c>
      <c r="AB41" s="1043"/>
      <c r="AC41" s="1092"/>
      <c r="AD41" s="660"/>
      <c r="AE41" s="990"/>
      <c r="AF41" s="976"/>
      <c r="AG41" s="552"/>
      <c r="AH41" s="552"/>
      <c r="AI41" s="552"/>
    </row>
    <row r="42" spans="1:35" s="51" customFormat="1" ht="35.25" customHeight="1">
      <c r="A42" s="97" t="s">
        <v>182</v>
      </c>
      <c r="B42" s="93" t="s">
        <v>253</v>
      </c>
      <c r="C42" s="100" t="s">
        <v>43</v>
      </c>
      <c r="D42" s="19" t="s">
        <v>254</v>
      </c>
      <c r="E42" s="95" t="s">
        <v>30</v>
      </c>
      <c r="F42" s="80" t="s">
        <v>255</v>
      </c>
      <c r="G42" s="96">
        <v>2761</v>
      </c>
      <c r="H42" s="96">
        <v>1698</v>
      </c>
      <c r="I42" s="23">
        <f>+J42</f>
        <v>0</v>
      </c>
      <c r="J42" s="23"/>
      <c r="K42" s="96">
        <v>2761</v>
      </c>
      <c r="L42" s="96">
        <v>1698</v>
      </c>
      <c r="M42" s="21"/>
      <c r="N42" s="1044">
        <v>2761</v>
      </c>
      <c r="O42" s="1044">
        <v>1698</v>
      </c>
      <c r="P42" s="1044"/>
      <c r="Q42" s="1044">
        <v>1698</v>
      </c>
      <c r="R42" s="1044">
        <v>1698</v>
      </c>
      <c r="S42" s="1043"/>
      <c r="T42" s="73">
        <f>SUM(U42:V42)</f>
        <v>1698</v>
      </c>
      <c r="U42" s="1134">
        <v>1698</v>
      </c>
      <c r="V42" s="81"/>
      <c r="W42" s="691" t="s">
        <v>1530</v>
      </c>
      <c r="X42" s="24"/>
      <c r="Y42" s="81">
        <v>1</v>
      </c>
      <c r="Z42" s="965">
        <f>SUM(AA42:AB42)</f>
        <v>1698</v>
      </c>
      <c r="AA42" s="1044">
        <v>1698</v>
      </c>
      <c r="AB42" s="1043"/>
      <c r="AC42" s="1092"/>
      <c r="AD42" s="660"/>
      <c r="AE42" s="990"/>
      <c r="AF42" s="976"/>
      <c r="AG42" s="552"/>
      <c r="AH42" s="552"/>
      <c r="AI42" s="552"/>
    </row>
    <row r="43" spans="1:35" ht="30">
      <c r="A43" s="97" t="s">
        <v>187</v>
      </c>
      <c r="B43" s="93" t="s">
        <v>263</v>
      </c>
      <c r="C43" s="100" t="s">
        <v>143</v>
      </c>
      <c r="D43" s="19"/>
      <c r="E43" s="95"/>
      <c r="F43" s="80" t="s">
        <v>264</v>
      </c>
      <c r="G43" s="96">
        <v>6912</v>
      </c>
      <c r="H43" s="96">
        <v>6912</v>
      </c>
      <c r="I43" s="23">
        <f>+J43</f>
        <v>3000</v>
      </c>
      <c r="J43" s="23">
        <v>3000</v>
      </c>
      <c r="K43" s="96">
        <v>6912</v>
      </c>
      <c r="L43" s="96">
        <v>6912</v>
      </c>
      <c r="M43" s="21"/>
      <c r="N43" s="1043">
        <v>3912</v>
      </c>
      <c r="O43" s="1043">
        <v>3912</v>
      </c>
      <c r="P43" s="1043"/>
      <c r="Q43" s="1043">
        <v>3500</v>
      </c>
      <c r="R43" s="1043">
        <v>3500</v>
      </c>
      <c r="S43" s="1043"/>
      <c r="T43" s="73">
        <f>SUM(U43:V43)</f>
        <v>3500</v>
      </c>
      <c r="U43" s="1133"/>
      <c r="V43" s="81">
        <v>3500</v>
      </c>
      <c r="W43" s="513" t="s">
        <v>1518</v>
      </c>
      <c r="X43" s="24"/>
      <c r="Y43" s="81">
        <v>1</v>
      </c>
      <c r="Z43" s="965">
        <f>SUM(AA43:AB43)</f>
        <v>3500</v>
      </c>
      <c r="AA43" s="1043"/>
      <c r="AB43" s="1043">
        <v>3500</v>
      </c>
      <c r="AC43" s="1092"/>
    </row>
    <row r="44" spans="1:35" ht="38.25" customHeight="1">
      <c r="A44" s="11" t="s">
        <v>116</v>
      </c>
      <c r="B44" s="65" t="s">
        <v>117</v>
      </c>
      <c r="C44" s="89"/>
      <c r="D44" s="13"/>
      <c r="E44" s="14"/>
      <c r="F44" s="89"/>
      <c r="G44" s="90">
        <f t="shared" ref="G44:V44" si="24">G45</f>
        <v>333444</v>
      </c>
      <c r="H44" s="90">
        <f t="shared" si="24"/>
        <v>50826</v>
      </c>
      <c r="I44" s="90">
        <f t="shared" si="24"/>
        <v>50300</v>
      </c>
      <c r="J44" s="90">
        <f t="shared" si="24"/>
        <v>300</v>
      </c>
      <c r="K44" s="90">
        <f t="shared" si="24"/>
        <v>300099.60000000003</v>
      </c>
      <c r="L44" s="90">
        <f t="shared" si="24"/>
        <v>45743.4</v>
      </c>
      <c r="M44" s="90">
        <f t="shared" si="24"/>
        <v>0</v>
      </c>
      <c r="N44" s="1038">
        <f t="shared" si="24"/>
        <v>39500</v>
      </c>
      <c r="O44" s="1038">
        <f t="shared" si="24"/>
        <v>4500</v>
      </c>
      <c r="P44" s="1038">
        <f t="shared" si="24"/>
        <v>0</v>
      </c>
      <c r="Q44" s="1038">
        <f t="shared" si="24"/>
        <v>4500</v>
      </c>
      <c r="R44" s="1038">
        <f t="shared" si="24"/>
        <v>0</v>
      </c>
      <c r="S44" s="1038">
        <f t="shared" si="24"/>
        <v>4500</v>
      </c>
      <c r="T44" s="90">
        <f t="shared" si="24"/>
        <v>4500</v>
      </c>
      <c r="U44" s="1130">
        <f t="shared" si="24"/>
        <v>0</v>
      </c>
      <c r="V44" s="90">
        <f t="shared" si="24"/>
        <v>4500</v>
      </c>
      <c r="W44" s="90"/>
      <c r="X44" s="90"/>
      <c r="Y44" s="90">
        <f>Y45</f>
        <v>1</v>
      </c>
      <c r="Z44" s="1038">
        <f t="shared" ref="Z44:AB44" si="25">Z45</f>
        <v>4500</v>
      </c>
      <c r="AA44" s="1038">
        <f t="shared" si="25"/>
        <v>0</v>
      </c>
      <c r="AB44" s="1038">
        <f t="shared" si="25"/>
        <v>4500</v>
      </c>
      <c r="AC44" s="1087"/>
    </row>
    <row r="45" spans="1:35" s="270" customFormat="1" ht="38.25">
      <c r="A45" s="97" t="s">
        <v>27</v>
      </c>
      <c r="B45" s="592" t="s">
        <v>1169</v>
      </c>
      <c r="C45" s="80" t="s">
        <v>1170</v>
      </c>
      <c r="D45" s="19"/>
      <c r="E45" s="95" t="s">
        <v>120</v>
      </c>
      <c r="F45" s="686" t="s">
        <v>1171</v>
      </c>
      <c r="G45" s="21">
        <v>333444</v>
      </c>
      <c r="H45" s="96">
        <v>50826</v>
      </c>
      <c r="I45" s="21">
        <v>50300</v>
      </c>
      <c r="J45" s="96">
        <v>300</v>
      </c>
      <c r="K45" s="21">
        <f>G45*0.9</f>
        <v>300099.60000000003</v>
      </c>
      <c r="L45" s="96">
        <f>H45*0.9</f>
        <v>45743.4</v>
      </c>
      <c r="M45" s="588"/>
      <c r="N45" s="1039">
        <v>39500</v>
      </c>
      <c r="O45" s="1039">
        <v>4500</v>
      </c>
      <c r="P45" s="1193"/>
      <c r="Q45" s="1045">
        <v>4500</v>
      </c>
      <c r="R45" s="1045"/>
      <c r="S45" s="1045">
        <v>4500</v>
      </c>
      <c r="T45" s="73">
        <f>SUM(U45:V45)</f>
        <v>4500</v>
      </c>
      <c r="U45" s="1135"/>
      <c r="V45" s="382">
        <v>4500</v>
      </c>
      <c r="W45" s="513" t="s">
        <v>1514</v>
      </c>
      <c r="X45" s="24" t="s">
        <v>1679</v>
      </c>
      <c r="Y45" s="382">
        <v>1</v>
      </c>
      <c r="Z45" s="965">
        <f>SUM(AA45:AB45)</f>
        <v>4500</v>
      </c>
      <c r="AA45" s="1045"/>
      <c r="AB45" s="1045">
        <v>4500</v>
      </c>
      <c r="AC45" s="1093"/>
      <c r="AD45" s="657"/>
      <c r="AE45" s="991"/>
      <c r="AF45" s="970"/>
      <c r="AG45" s="550"/>
      <c r="AH45" s="550"/>
      <c r="AI45" s="550"/>
    </row>
    <row r="46" spans="1:35" ht="35.25" customHeight="1">
      <c r="A46" s="107" t="s">
        <v>150</v>
      </c>
      <c r="B46" s="84" t="s">
        <v>151</v>
      </c>
      <c r="C46" s="687"/>
      <c r="D46" s="85"/>
      <c r="E46" s="86"/>
      <c r="F46" s="687"/>
      <c r="G46" s="87">
        <f t="shared" ref="G46:V46" si="26">SUM(G47,G49:G50)</f>
        <v>1030656</v>
      </c>
      <c r="H46" s="87">
        <f t="shared" si="26"/>
        <v>194126</v>
      </c>
      <c r="I46" s="87">
        <f t="shared" si="26"/>
        <v>3500</v>
      </c>
      <c r="J46" s="87">
        <f t="shared" si="26"/>
        <v>3500</v>
      </c>
      <c r="K46" s="87">
        <f t="shared" si="26"/>
        <v>967630</v>
      </c>
      <c r="L46" s="87">
        <f t="shared" si="26"/>
        <v>180713.40000000002</v>
      </c>
      <c r="M46" s="87">
        <f t="shared" si="26"/>
        <v>0</v>
      </c>
      <c r="N46" s="1046">
        <f t="shared" si="26"/>
        <v>88685</v>
      </c>
      <c r="O46" s="1046">
        <f t="shared" si="26"/>
        <v>62000</v>
      </c>
      <c r="P46" s="1046">
        <f t="shared" si="26"/>
        <v>0</v>
      </c>
      <c r="Q46" s="1046">
        <f t="shared" si="26"/>
        <v>62000</v>
      </c>
      <c r="R46" s="1046">
        <f t="shared" si="26"/>
        <v>22000</v>
      </c>
      <c r="S46" s="1046">
        <f t="shared" si="26"/>
        <v>40000</v>
      </c>
      <c r="T46" s="87">
        <f t="shared" si="26"/>
        <v>42000</v>
      </c>
      <c r="U46" s="1136">
        <f t="shared" si="26"/>
        <v>22000</v>
      </c>
      <c r="V46" s="87">
        <f t="shared" si="26"/>
        <v>20000</v>
      </c>
      <c r="W46" s="687"/>
      <c r="X46" s="687"/>
      <c r="Y46" s="87">
        <f>SUM(Y47,Y49:Y50)</f>
        <v>3</v>
      </c>
      <c r="Z46" s="1046">
        <f t="shared" ref="Z46:AB46" si="27">SUM(Z47,Z49:Z50)</f>
        <v>42000</v>
      </c>
      <c r="AA46" s="1046">
        <f t="shared" si="27"/>
        <v>22000</v>
      </c>
      <c r="AB46" s="1046">
        <f t="shared" si="27"/>
        <v>20000</v>
      </c>
      <c r="AC46" s="1094"/>
    </row>
    <row r="47" spans="1:35" s="194" customFormat="1" ht="30">
      <c r="A47" s="97" t="s">
        <v>27</v>
      </c>
      <c r="B47" s="118" t="s">
        <v>1496</v>
      </c>
      <c r="C47" s="711"/>
      <c r="D47" s="119"/>
      <c r="E47" s="120"/>
      <c r="F47" s="121"/>
      <c r="G47" s="72">
        <f t="shared" ref="G47:O47" si="28">G48</f>
        <v>680030</v>
      </c>
      <c r="H47" s="72">
        <f t="shared" si="28"/>
        <v>134126</v>
      </c>
      <c r="I47" s="72">
        <f t="shared" si="28"/>
        <v>3500</v>
      </c>
      <c r="J47" s="72">
        <f t="shared" si="28"/>
        <v>3500</v>
      </c>
      <c r="K47" s="72">
        <f t="shared" si="28"/>
        <v>612027</v>
      </c>
      <c r="L47" s="72">
        <f t="shared" si="28"/>
        <v>120713.40000000001</v>
      </c>
      <c r="M47" s="72">
        <f t="shared" si="28"/>
        <v>0</v>
      </c>
      <c r="N47" s="1035">
        <f t="shared" si="28"/>
        <v>40000</v>
      </c>
      <c r="O47" s="1035">
        <f t="shared" si="28"/>
        <v>40000</v>
      </c>
      <c r="P47" s="1035"/>
      <c r="Q47" s="1035">
        <f>Q48</f>
        <v>40000</v>
      </c>
      <c r="R47" s="1035"/>
      <c r="S47" s="1035">
        <f>S48</f>
        <v>40000</v>
      </c>
      <c r="T47" s="72">
        <f>T48</f>
        <v>20000</v>
      </c>
      <c r="U47" s="1137"/>
      <c r="V47" s="72">
        <f>V48</f>
        <v>20000</v>
      </c>
      <c r="W47" s="744"/>
      <c r="X47" s="24" t="s">
        <v>1679</v>
      </c>
      <c r="Y47" s="72">
        <f>Y48</f>
        <v>1</v>
      </c>
      <c r="Z47" s="1035">
        <f>Z48</f>
        <v>20000</v>
      </c>
      <c r="AA47" s="1035"/>
      <c r="AB47" s="1035">
        <f>AB48</f>
        <v>20000</v>
      </c>
      <c r="AC47" s="1082"/>
      <c r="AD47" s="657"/>
      <c r="AE47" s="990"/>
      <c r="AF47" s="811"/>
      <c r="AG47" s="551"/>
      <c r="AH47" s="551"/>
      <c r="AI47" s="551"/>
    </row>
    <row r="48" spans="1:35" s="270" customFormat="1" ht="45">
      <c r="A48" s="593"/>
      <c r="B48" s="118" t="s">
        <v>1174</v>
      </c>
      <c r="C48" s="711" t="s">
        <v>1175</v>
      </c>
      <c r="D48" s="119"/>
      <c r="E48" s="120" t="s">
        <v>313</v>
      </c>
      <c r="F48" s="688" t="s">
        <v>1176</v>
      </c>
      <c r="G48" s="71">
        <v>680030</v>
      </c>
      <c r="H48" s="72">
        <v>134126</v>
      </c>
      <c r="I48" s="21">
        <v>3500</v>
      </c>
      <c r="J48" s="21">
        <v>3500</v>
      </c>
      <c r="K48" s="71">
        <f>G48*0.9</f>
        <v>612027</v>
      </c>
      <c r="L48" s="72">
        <f>H48*0.9</f>
        <v>120713.40000000001</v>
      </c>
      <c r="M48" s="588"/>
      <c r="N48" s="1042">
        <v>40000</v>
      </c>
      <c r="O48" s="1042">
        <v>40000</v>
      </c>
      <c r="P48" s="1042"/>
      <c r="Q48" s="1042">
        <v>40000</v>
      </c>
      <c r="R48" s="1042"/>
      <c r="S48" s="1042">
        <v>40000</v>
      </c>
      <c r="T48" s="73">
        <f>SUM(U48:V48)</f>
        <v>20000</v>
      </c>
      <c r="U48" s="1138"/>
      <c r="V48" s="21">
        <v>20000</v>
      </c>
      <c r="W48" s="513" t="s">
        <v>1514</v>
      </c>
      <c r="X48" s="24"/>
      <c r="Y48" s="21">
        <v>1</v>
      </c>
      <c r="Z48" s="965">
        <f>SUM(AA48:AB48)</f>
        <v>20000</v>
      </c>
      <c r="AA48" s="1042"/>
      <c r="AB48" s="1042">
        <v>20000</v>
      </c>
      <c r="AC48" s="1091"/>
      <c r="AD48" s="657"/>
      <c r="AE48" s="991"/>
      <c r="AF48" s="970"/>
      <c r="AG48" s="550"/>
      <c r="AH48" s="550"/>
      <c r="AI48" s="550"/>
    </row>
    <row r="49" spans="1:35" s="194" customFormat="1" ht="38.25">
      <c r="A49" s="97" t="s">
        <v>41</v>
      </c>
      <c r="B49" s="118" t="s">
        <v>269</v>
      </c>
      <c r="C49" s="711" t="s">
        <v>5</v>
      </c>
      <c r="D49" s="119" t="s">
        <v>270</v>
      </c>
      <c r="E49" s="120" t="s">
        <v>120</v>
      </c>
      <c r="F49" s="688"/>
      <c r="G49" s="72">
        <v>341941</v>
      </c>
      <c r="H49" s="72">
        <v>58000</v>
      </c>
      <c r="I49" s="72"/>
      <c r="J49" s="72"/>
      <c r="K49" s="72">
        <v>346918</v>
      </c>
      <c r="L49" s="72">
        <v>58000</v>
      </c>
      <c r="M49" s="72"/>
      <c r="N49" s="1035">
        <v>40000</v>
      </c>
      <c r="O49" s="1035">
        <v>20000</v>
      </c>
      <c r="P49" s="1035"/>
      <c r="Q49" s="1035">
        <v>20000</v>
      </c>
      <c r="R49" s="1035">
        <v>20000</v>
      </c>
      <c r="S49" s="1035"/>
      <c r="T49" s="72">
        <f>SUM(U49:V49)</f>
        <v>20000</v>
      </c>
      <c r="U49" s="1137">
        <v>20000</v>
      </c>
      <c r="V49" s="72"/>
      <c r="W49" s="762" t="s">
        <v>1514</v>
      </c>
      <c r="X49" s="762" t="s">
        <v>1664</v>
      </c>
      <c r="Y49" s="72">
        <v>1</v>
      </c>
      <c r="Z49" s="1035">
        <f>SUM(AA49:AB49)</f>
        <v>20000</v>
      </c>
      <c r="AA49" s="1035">
        <v>20000</v>
      </c>
      <c r="AB49" s="1035"/>
      <c r="AC49" s="1082"/>
      <c r="AD49" s="657"/>
      <c r="AE49" s="990"/>
      <c r="AF49" s="811"/>
      <c r="AG49" s="551"/>
      <c r="AH49" s="551"/>
      <c r="AI49" s="551"/>
    </row>
    <row r="50" spans="1:35" s="25" customFormat="1" ht="60">
      <c r="A50" s="97" t="s">
        <v>58</v>
      </c>
      <c r="B50" s="184" t="s">
        <v>272</v>
      </c>
      <c r="C50" s="24"/>
      <c r="D50" s="70"/>
      <c r="E50" s="70"/>
      <c r="F50" s="24"/>
      <c r="G50" s="277">
        <f t="shared" ref="G50:V50" si="29">G51</f>
        <v>8685</v>
      </c>
      <c r="H50" s="277">
        <f t="shared" si="29"/>
        <v>2000</v>
      </c>
      <c r="I50" s="277">
        <f t="shared" si="29"/>
        <v>0</v>
      </c>
      <c r="J50" s="277">
        <f t="shared" si="29"/>
        <v>0</v>
      </c>
      <c r="K50" s="277">
        <f t="shared" si="29"/>
        <v>8685</v>
      </c>
      <c r="L50" s="277">
        <f t="shared" si="29"/>
        <v>2000</v>
      </c>
      <c r="M50" s="277">
        <f t="shared" si="29"/>
        <v>0</v>
      </c>
      <c r="N50" s="1047">
        <f t="shared" si="29"/>
        <v>8685</v>
      </c>
      <c r="O50" s="1047">
        <f t="shared" si="29"/>
        <v>2000</v>
      </c>
      <c r="P50" s="1047">
        <f t="shared" si="29"/>
        <v>0</v>
      </c>
      <c r="Q50" s="1047">
        <f t="shared" si="29"/>
        <v>2000</v>
      </c>
      <c r="R50" s="1047">
        <f t="shared" si="29"/>
        <v>2000</v>
      </c>
      <c r="S50" s="1047">
        <f t="shared" si="29"/>
        <v>0</v>
      </c>
      <c r="T50" s="277">
        <f t="shared" si="29"/>
        <v>2000</v>
      </c>
      <c r="U50" s="1139">
        <f t="shared" si="29"/>
        <v>2000</v>
      </c>
      <c r="V50" s="277">
        <f t="shared" si="29"/>
        <v>0</v>
      </c>
      <c r="W50" s="730"/>
      <c r="X50" s="24"/>
      <c r="Y50" s="277">
        <v>1</v>
      </c>
      <c r="Z50" s="1047">
        <f t="shared" ref="Z50:AB50" si="30">Z51</f>
        <v>2000</v>
      </c>
      <c r="AA50" s="1047">
        <f t="shared" si="30"/>
        <v>2000</v>
      </c>
      <c r="AB50" s="1047">
        <f t="shared" si="30"/>
        <v>0</v>
      </c>
      <c r="AC50" s="1095"/>
      <c r="AD50" s="657"/>
      <c r="AE50" s="996"/>
      <c r="AF50" s="978"/>
      <c r="AG50" s="553"/>
      <c r="AH50" s="553"/>
      <c r="AI50" s="553"/>
    </row>
    <row r="51" spans="1:35" s="278" customFormat="1" ht="25.5">
      <c r="A51" s="67"/>
      <c r="B51" s="68" t="s">
        <v>1200</v>
      </c>
      <c r="C51" s="80" t="s">
        <v>112</v>
      </c>
      <c r="D51" s="19" t="s">
        <v>1201</v>
      </c>
      <c r="E51" s="137">
        <v>2017</v>
      </c>
      <c r="F51" s="80" t="s">
        <v>1202</v>
      </c>
      <c r="G51" s="277">
        <v>8685</v>
      </c>
      <c r="H51" s="77">
        <v>2000</v>
      </c>
      <c r="I51" s="594"/>
      <c r="J51" s="594"/>
      <c r="K51" s="277">
        <v>8685</v>
      </c>
      <c r="L51" s="277">
        <v>2000</v>
      </c>
      <c r="M51" s="277"/>
      <c r="N51" s="1047">
        <v>8685</v>
      </c>
      <c r="O51" s="1047">
        <v>2000</v>
      </c>
      <c r="P51" s="1048"/>
      <c r="Q51" s="1047">
        <v>2000</v>
      </c>
      <c r="R51" s="1047">
        <v>2000</v>
      </c>
      <c r="S51" s="1048"/>
      <c r="T51" s="73">
        <f>SUM(U51:V51)</f>
        <v>2000</v>
      </c>
      <c r="U51" s="1139">
        <v>2000</v>
      </c>
      <c r="V51" s="595"/>
      <c r="W51" s="729" t="s">
        <v>1761</v>
      </c>
      <c r="X51" s="98"/>
      <c r="Y51" s="175"/>
      <c r="Z51" s="965">
        <f>SUM(AA51:AB51)</f>
        <v>2000</v>
      </c>
      <c r="AA51" s="1047">
        <v>2000</v>
      </c>
      <c r="AB51" s="1048"/>
      <c r="AC51" s="1096"/>
      <c r="AD51" s="661"/>
      <c r="AE51" s="997"/>
      <c r="AF51" s="979"/>
      <c r="AG51" s="555"/>
      <c r="AH51" s="555"/>
      <c r="AI51" s="555"/>
    </row>
    <row r="52" spans="1:35" s="629" customFormat="1" ht="24" customHeight="1">
      <c r="A52" s="624" t="s">
        <v>281</v>
      </c>
      <c r="B52" s="618" t="s">
        <v>1140</v>
      </c>
      <c r="C52" s="690"/>
      <c r="D52" s="625"/>
      <c r="E52" s="626"/>
      <c r="F52" s="690"/>
      <c r="G52" s="627">
        <f t="shared" ref="G52:V52" si="31">SUM(G53)</f>
        <v>881823</v>
      </c>
      <c r="H52" s="627">
        <f t="shared" si="31"/>
        <v>191927</v>
      </c>
      <c r="I52" s="627">
        <f t="shared" si="31"/>
        <v>47397</v>
      </c>
      <c r="J52" s="627">
        <f t="shared" si="31"/>
        <v>21397</v>
      </c>
      <c r="K52" s="627">
        <f t="shared" si="31"/>
        <v>338465</v>
      </c>
      <c r="L52" s="627">
        <f t="shared" si="31"/>
        <v>207465</v>
      </c>
      <c r="M52" s="627">
        <f t="shared" si="31"/>
        <v>0</v>
      </c>
      <c r="N52" s="1049">
        <f t="shared" si="31"/>
        <v>71800</v>
      </c>
      <c r="O52" s="1049">
        <f t="shared" si="31"/>
        <v>26800</v>
      </c>
      <c r="P52" s="1049">
        <f t="shared" si="31"/>
        <v>0</v>
      </c>
      <c r="Q52" s="1049">
        <f t="shared" si="31"/>
        <v>29200</v>
      </c>
      <c r="R52" s="1049">
        <f t="shared" si="31"/>
        <v>29200</v>
      </c>
      <c r="S52" s="1049">
        <f t="shared" si="31"/>
        <v>0</v>
      </c>
      <c r="T52" s="627">
        <f t="shared" si="31"/>
        <v>29200</v>
      </c>
      <c r="U52" s="1140">
        <f t="shared" si="31"/>
        <v>29200</v>
      </c>
      <c r="V52" s="627">
        <f t="shared" si="31"/>
        <v>0</v>
      </c>
      <c r="W52" s="734"/>
      <c r="X52" s="734"/>
      <c r="Y52" s="627">
        <f>SUM(Y53)</f>
        <v>5</v>
      </c>
      <c r="Z52" s="1049">
        <f t="shared" ref="Z52:AB52" si="32">SUM(Z53)</f>
        <v>9200</v>
      </c>
      <c r="AA52" s="1049">
        <f t="shared" si="32"/>
        <v>9200</v>
      </c>
      <c r="AB52" s="1049">
        <f t="shared" si="32"/>
        <v>0</v>
      </c>
      <c r="AC52" s="1097"/>
      <c r="AD52" s="662"/>
      <c r="AE52" s="990"/>
      <c r="AF52" s="811"/>
      <c r="AG52" s="628"/>
      <c r="AH52" s="628"/>
      <c r="AI52" s="628"/>
    </row>
    <row r="53" spans="1:35" s="265" customFormat="1" ht="23.25" customHeight="1">
      <c r="A53" s="82" t="s">
        <v>499</v>
      </c>
      <c r="B53" s="586" t="s">
        <v>31</v>
      </c>
      <c r="C53" s="352"/>
      <c r="D53" s="350"/>
      <c r="E53" s="351"/>
      <c r="F53" s="352"/>
      <c r="G53" s="90">
        <f t="shared" ref="G53:V53" si="33">SUM(G54,G56)</f>
        <v>881823</v>
      </c>
      <c r="H53" s="90">
        <f t="shared" si="33"/>
        <v>191927</v>
      </c>
      <c r="I53" s="90">
        <f t="shared" si="33"/>
        <v>47397</v>
      </c>
      <c r="J53" s="90">
        <f t="shared" si="33"/>
        <v>21397</v>
      </c>
      <c r="K53" s="90">
        <f t="shared" si="33"/>
        <v>338465</v>
      </c>
      <c r="L53" s="90">
        <f t="shared" si="33"/>
        <v>207465</v>
      </c>
      <c r="M53" s="90">
        <f t="shared" si="33"/>
        <v>0</v>
      </c>
      <c r="N53" s="1038">
        <f t="shared" si="33"/>
        <v>71800</v>
      </c>
      <c r="O53" s="1038">
        <f t="shared" si="33"/>
        <v>26800</v>
      </c>
      <c r="P53" s="1038">
        <f t="shared" si="33"/>
        <v>0</v>
      </c>
      <c r="Q53" s="1038">
        <f t="shared" si="33"/>
        <v>29200</v>
      </c>
      <c r="R53" s="1038">
        <f t="shared" si="33"/>
        <v>29200</v>
      </c>
      <c r="S53" s="1038">
        <f t="shared" si="33"/>
        <v>0</v>
      </c>
      <c r="T53" s="90">
        <f t="shared" si="33"/>
        <v>29200</v>
      </c>
      <c r="U53" s="1130">
        <f t="shared" si="33"/>
        <v>29200</v>
      </c>
      <c r="V53" s="90">
        <f t="shared" si="33"/>
        <v>0</v>
      </c>
      <c r="W53" s="699"/>
      <c r="X53" s="699"/>
      <c r="Y53" s="90">
        <f>SUM(Y54,Y56)</f>
        <v>5</v>
      </c>
      <c r="Z53" s="1038">
        <f t="shared" ref="Z53:AB53" si="34">SUM(Z54,Z56)</f>
        <v>9200</v>
      </c>
      <c r="AA53" s="1038">
        <f t="shared" si="34"/>
        <v>9200</v>
      </c>
      <c r="AB53" s="1038">
        <f t="shared" si="34"/>
        <v>0</v>
      </c>
      <c r="AC53" s="1087"/>
      <c r="AD53" s="657"/>
      <c r="AE53" s="990"/>
      <c r="AF53" s="811"/>
      <c r="AG53" s="551"/>
      <c r="AH53" s="551"/>
      <c r="AI53" s="551"/>
    </row>
    <row r="54" spans="1:35" ht="28.5">
      <c r="A54" s="11" t="s">
        <v>116</v>
      </c>
      <c r="B54" s="65" t="s">
        <v>117</v>
      </c>
      <c r="C54" s="80"/>
      <c r="D54" s="19"/>
      <c r="E54" s="70"/>
      <c r="F54" s="80"/>
      <c r="G54" s="33">
        <f t="shared" ref="G54:V54" si="35">G55</f>
        <v>64476</v>
      </c>
      <c r="H54" s="33">
        <f t="shared" si="35"/>
        <v>38476</v>
      </c>
      <c r="I54" s="33">
        <f t="shared" si="35"/>
        <v>47051</v>
      </c>
      <c r="J54" s="33">
        <f t="shared" si="35"/>
        <v>21051</v>
      </c>
      <c r="K54" s="33">
        <f t="shared" si="35"/>
        <v>22500</v>
      </c>
      <c r="L54" s="33">
        <f t="shared" si="35"/>
        <v>22500</v>
      </c>
      <c r="M54" s="33">
        <f t="shared" si="35"/>
        <v>0</v>
      </c>
      <c r="N54" s="1050">
        <f t="shared" si="35"/>
        <v>700</v>
      </c>
      <c r="O54" s="1050">
        <f t="shared" si="35"/>
        <v>700</v>
      </c>
      <c r="P54" s="1050">
        <f t="shared" si="35"/>
        <v>0</v>
      </c>
      <c r="Q54" s="1050">
        <f t="shared" si="35"/>
        <v>700</v>
      </c>
      <c r="R54" s="1050">
        <f t="shared" si="35"/>
        <v>700</v>
      </c>
      <c r="S54" s="1050">
        <f t="shared" si="35"/>
        <v>0</v>
      </c>
      <c r="T54" s="33">
        <f t="shared" si="35"/>
        <v>700</v>
      </c>
      <c r="U54" s="1141">
        <f t="shared" si="35"/>
        <v>700</v>
      </c>
      <c r="V54" s="33">
        <f t="shared" si="35"/>
        <v>0</v>
      </c>
      <c r="W54" s="699"/>
      <c r="X54" s="699"/>
      <c r="Y54" s="33">
        <f>Y55</f>
        <v>1</v>
      </c>
      <c r="Z54" s="1050">
        <f t="shared" ref="Z54:AB54" si="36">Z55</f>
        <v>700</v>
      </c>
      <c r="AA54" s="1050">
        <f t="shared" si="36"/>
        <v>700</v>
      </c>
      <c r="AB54" s="1050">
        <f t="shared" si="36"/>
        <v>0</v>
      </c>
      <c r="AC54" s="1098"/>
    </row>
    <row r="55" spans="1:35" ht="33">
      <c r="A55" s="97" t="s">
        <v>27</v>
      </c>
      <c r="B55" s="93" t="s">
        <v>297</v>
      </c>
      <c r="C55" s="100" t="s">
        <v>112</v>
      </c>
      <c r="D55" s="101" t="s">
        <v>298</v>
      </c>
      <c r="E55" s="137" t="s">
        <v>94</v>
      </c>
      <c r="F55" s="100" t="s">
        <v>299</v>
      </c>
      <c r="G55" s="22">
        <v>64476</v>
      </c>
      <c r="H55" s="21">
        <v>38476</v>
      </c>
      <c r="I55" s="21">
        <f>26000+51+21000</f>
        <v>47051</v>
      </c>
      <c r="J55" s="21">
        <f>51+21000</f>
        <v>21051</v>
      </c>
      <c r="K55" s="176">
        <v>22500</v>
      </c>
      <c r="L55" s="176">
        <v>22500</v>
      </c>
      <c r="M55" s="21"/>
      <c r="N55" s="1043">
        <v>700</v>
      </c>
      <c r="O55" s="1043">
        <v>700</v>
      </c>
      <c r="P55" s="1043"/>
      <c r="Q55" s="1043">
        <v>700</v>
      </c>
      <c r="R55" s="1043">
        <v>700</v>
      </c>
      <c r="S55" s="1043"/>
      <c r="T55" s="73">
        <f>SUM(U55:V55)</f>
        <v>700</v>
      </c>
      <c r="U55" s="1133">
        <v>700</v>
      </c>
      <c r="V55" s="81"/>
      <c r="W55" s="729" t="s">
        <v>1520</v>
      </c>
      <c r="X55" s="728"/>
      <c r="Y55" s="81">
        <v>1</v>
      </c>
      <c r="Z55" s="965">
        <f>SUM(AA55:AB55)</f>
        <v>700</v>
      </c>
      <c r="AA55" s="1043">
        <v>700</v>
      </c>
      <c r="AB55" s="1043"/>
      <c r="AC55" s="1092"/>
    </row>
    <row r="56" spans="1:35">
      <c r="A56" s="11" t="s">
        <v>150</v>
      </c>
      <c r="B56" s="65" t="s">
        <v>151</v>
      </c>
      <c r="C56" s="89"/>
      <c r="D56" s="13"/>
      <c r="E56" s="14"/>
      <c r="F56" s="89"/>
      <c r="G56" s="90">
        <f t="shared" ref="G56:S56" si="37">SUM(G57:G58,G60:G61)</f>
        <v>817347</v>
      </c>
      <c r="H56" s="90">
        <f t="shared" si="37"/>
        <v>153451</v>
      </c>
      <c r="I56" s="90">
        <f t="shared" si="37"/>
        <v>346</v>
      </c>
      <c r="J56" s="90">
        <f t="shared" si="37"/>
        <v>346</v>
      </c>
      <c r="K56" s="90">
        <f t="shared" si="37"/>
        <v>315965</v>
      </c>
      <c r="L56" s="90">
        <f t="shared" si="37"/>
        <v>184965</v>
      </c>
      <c r="M56" s="90">
        <f t="shared" si="37"/>
        <v>0</v>
      </c>
      <c r="N56" s="1038">
        <f t="shared" si="37"/>
        <v>71100</v>
      </c>
      <c r="O56" s="1038">
        <f t="shared" si="37"/>
        <v>26100</v>
      </c>
      <c r="P56" s="1038">
        <f t="shared" si="37"/>
        <v>0</v>
      </c>
      <c r="Q56" s="1038">
        <f t="shared" si="37"/>
        <v>28500</v>
      </c>
      <c r="R56" s="1038">
        <f t="shared" si="37"/>
        <v>28500</v>
      </c>
      <c r="S56" s="1038">
        <f t="shared" si="37"/>
        <v>0</v>
      </c>
      <c r="T56" s="90">
        <f>SUM(T57:T58,T60:T61)</f>
        <v>28500</v>
      </c>
      <c r="U56" s="90">
        <f t="shared" ref="U56:V56" si="38">SUM(U57:U58,U60:U61)</f>
        <v>28500</v>
      </c>
      <c r="V56" s="90">
        <f t="shared" si="38"/>
        <v>0</v>
      </c>
      <c r="W56" s="699"/>
      <c r="X56" s="699"/>
      <c r="Y56" s="90">
        <f>SUM(Y57:Y58,Y60:Y61)</f>
        <v>4</v>
      </c>
      <c r="Z56" s="1038">
        <f t="shared" ref="Z56:AB56" si="39">SUM(Z57:Z58,Z60:Z60)</f>
        <v>8500</v>
      </c>
      <c r="AA56" s="1038">
        <f t="shared" si="39"/>
        <v>8500</v>
      </c>
      <c r="AB56" s="1038">
        <f t="shared" si="39"/>
        <v>0</v>
      </c>
      <c r="AC56" s="1087"/>
    </row>
    <row r="57" spans="1:35" ht="33">
      <c r="A57" s="138">
        <v>1</v>
      </c>
      <c r="B57" s="68" t="s">
        <v>300</v>
      </c>
      <c r="C57" s="80" t="s">
        <v>260</v>
      </c>
      <c r="D57" s="19" t="s">
        <v>301</v>
      </c>
      <c r="E57" s="70" t="s">
        <v>355</v>
      </c>
      <c r="F57" s="752" t="s">
        <v>1503</v>
      </c>
      <c r="G57" s="139">
        <v>102486</v>
      </c>
      <c r="H57" s="22">
        <v>12486</v>
      </c>
      <c r="I57" s="22">
        <f>+J57</f>
        <v>196</v>
      </c>
      <c r="J57" s="22">
        <f>100+96</f>
        <v>196</v>
      </c>
      <c r="K57" s="22">
        <v>80000</v>
      </c>
      <c r="L57" s="22">
        <v>30000</v>
      </c>
      <c r="M57" s="22"/>
      <c r="N57" s="1051">
        <v>30000</v>
      </c>
      <c r="O57" s="1051"/>
      <c r="P57" s="1051"/>
      <c r="Q57" s="1051">
        <f>SUM(R57:S57)</f>
        <v>2400</v>
      </c>
      <c r="R57" s="1051">
        <v>2400</v>
      </c>
      <c r="S57" s="1051"/>
      <c r="T57" s="73">
        <f>SUM(U57:V57)</f>
        <v>2400</v>
      </c>
      <c r="U57" s="1142">
        <v>2400</v>
      </c>
      <c r="V57" s="133"/>
      <c r="W57" s="729" t="s">
        <v>1520</v>
      </c>
      <c r="X57" s="728"/>
      <c r="Y57" s="133">
        <v>1</v>
      </c>
      <c r="Z57" s="965">
        <f>SUM(AA57:AB57)</f>
        <v>2400</v>
      </c>
      <c r="AA57" s="1051">
        <v>2400</v>
      </c>
      <c r="AB57" s="1051"/>
      <c r="AC57" s="1099"/>
    </row>
    <row r="58" spans="1:35" ht="30">
      <c r="A58" s="138">
        <v>2</v>
      </c>
      <c r="B58" s="118" t="s">
        <v>304</v>
      </c>
      <c r="C58" s="711" t="s">
        <v>305</v>
      </c>
      <c r="D58" s="119" t="s">
        <v>306</v>
      </c>
      <c r="E58" s="120" t="s">
        <v>120</v>
      </c>
      <c r="F58" s="691" t="s">
        <v>307</v>
      </c>
      <c r="G58" s="72">
        <v>573896</v>
      </c>
      <c r="H58" s="22"/>
      <c r="I58" s="808">
        <v>150</v>
      </c>
      <c r="J58" s="808">
        <v>150</v>
      </c>
      <c r="K58" s="72">
        <v>95000</v>
      </c>
      <c r="L58" s="22">
        <v>14000</v>
      </c>
      <c r="M58" s="22"/>
      <c r="N58" s="1051">
        <v>20000</v>
      </c>
      <c r="O58" s="1051">
        <v>5000</v>
      </c>
      <c r="P58" s="1051"/>
      <c r="Q58" s="1051">
        <v>5000</v>
      </c>
      <c r="R58" s="1051">
        <v>5000</v>
      </c>
      <c r="S58" s="1051"/>
      <c r="T58" s="73">
        <f>SUM(U58:V58)</f>
        <v>5000</v>
      </c>
      <c r="U58" s="1142">
        <v>5000</v>
      </c>
      <c r="V58" s="133"/>
      <c r="W58" s="729" t="s">
        <v>1522</v>
      </c>
      <c r="X58" s="728"/>
      <c r="Y58" s="133">
        <v>1</v>
      </c>
      <c r="Z58" s="965">
        <f>SUM(AA58:AB58)</f>
        <v>5000</v>
      </c>
      <c r="AA58" s="1051">
        <v>5000</v>
      </c>
      <c r="AB58" s="1051"/>
      <c r="AC58" s="1099"/>
    </row>
    <row r="59" spans="1:35">
      <c r="A59" s="138"/>
      <c r="B59" s="68" t="s">
        <v>308</v>
      </c>
      <c r="C59" s="80"/>
      <c r="D59" s="19"/>
      <c r="E59" s="70"/>
      <c r="F59" s="691"/>
      <c r="G59" s="139">
        <v>106000</v>
      </c>
      <c r="H59" s="22">
        <v>16000</v>
      </c>
      <c r="I59" s="22"/>
      <c r="J59" s="22"/>
      <c r="K59" s="22">
        <v>95000</v>
      </c>
      <c r="L59" s="22">
        <v>14000</v>
      </c>
      <c r="M59" s="22"/>
      <c r="N59" s="1051">
        <v>20000</v>
      </c>
      <c r="O59" s="1051">
        <v>5000</v>
      </c>
      <c r="P59" s="1051"/>
      <c r="Q59" s="1051">
        <v>5000</v>
      </c>
      <c r="R59" s="1051">
        <v>5000</v>
      </c>
      <c r="S59" s="1051"/>
      <c r="T59" s="73">
        <f>SUM(U59:V59)</f>
        <v>5000</v>
      </c>
      <c r="U59" s="1142">
        <v>5000</v>
      </c>
      <c r="V59" s="133"/>
      <c r="W59" s="729"/>
      <c r="X59" s="728"/>
      <c r="Y59" s="133"/>
      <c r="Z59" s="965">
        <f>SUM(AA59:AB59)</f>
        <v>5000</v>
      </c>
      <c r="AA59" s="1051">
        <v>5000</v>
      </c>
      <c r="AB59" s="1051"/>
      <c r="AC59" s="1099"/>
      <c r="AD59" s="714"/>
    </row>
    <row r="60" spans="1:35" ht="30">
      <c r="A60" s="138">
        <v>3</v>
      </c>
      <c r="B60" s="68" t="s">
        <v>309</v>
      </c>
      <c r="C60" s="80" t="s">
        <v>112</v>
      </c>
      <c r="D60" s="300" t="s">
        <v>310</v>
      </c>
      <c r="E60" s="307" t="s">
        <v>166</v>
      </c>
      <c r="F60" s="693" t="s">
        <v>1607</v>
      </c>
      <c r="G60" s="404">
        <v>1196</v>
      </c>
      <c r="H60" s="404">
        <v>1196</v>
      </c>
      <c r="I60" s="22"/>
      <c r="J60" s="22"/>
      <c r="K60" s="22">
        <v>1196</v>
      </c>
      <c r="L60" s="22">
        <v>1196</v>
      </c>
      <c r="M60" s="22"/>
      <c r="N60" s="1051">
        <f>+O60</f>
        <v>1100</v>
      </c>
      <c r="O60" s="1051">
        <v>1100</v>
      </c>
      <c r="P60" s="1051"/>
      <c r="Q60" s="1051">
        <f>+R60</f>
        <v>1100</v>
      </c>
      <c r="R60" s="1051">
        <v>1100</v>
      </c>
      <c r="S60" s="1051"/>
      <c r="T60" s="133">
        <f>+U60</f>
        <v>1100</v>
      </c>
      <c r="U60" s="1142">
        <v>1100</v>
      </c>
      <c r="V60" s="133"/>
      <c r="W60" s="729" t="s">
        <v>1520</v>
      </c>
      <c r="X60" s="24"/>
      <c r="Y60" s="133">
        <v>1</v>
      </c>
      <c r="Z60" s="1051">
        <f>+AA60</f>
        <v>1100</v>
      </c>
      <c r="AA60" s="1051">
        <v>1100</v>
      </c>
      <c r="AB60" s="1051"/>
      <c r="AC60" s="1099"/>
    </row>
    <row r="61" spans="1:35" ht="30">
      <c r="A61" s="138">
        <v>4</v>
      </c>
      <c r="B61" s="68" t="s">
        <v>1758</v>
      </c>
      <c r="C61" s="80" t="s">
        <v>112</v>
      </c>
      <c r="D61" s="300" t="s">
        <v>1759</v>
      </c>
      <c r="E61" s="307" t="s">
        <v>313</v>
      </c>
      <c r="F61" s="693" t="s">
        <v>1609</v>
      </c>
      <c r="G61" s="404">
        <v>139769</v>
      </c>
      <c r="H61" s="404">
        <v>139769</v>
      </c>
      <c r="I61" s="22"/>
      <c r="J61" s="22"/>
      <c r="K61" s="22">
        <v>139769</v>
      </c>
      <c r="L61" s="22">
        <v>139769</v>
      </c>
      <c r="M61" s="22"/>
      <c r="N61" s="1051">
        <v>20000</v>
      </c>
      <c r="O61" s="1196">
        <v>20000</v>
      </c>
      <c r="P61" s="1051"/>
      <c r="Q61" s="1051">
        <v>20000</v>
      </c>
      <c r="R61" s="1196">
        <v>20000</v>
      </c>
      <c r="S61" s="1051"/>
      <c r="T61" s="133">
        <v>20000</v>
      </c>
      <c r="U61" s="1142">
        <v>20000</v>
      </c>
      <c r="V61" s="133"/>
      <c r="W61" s="729" t="s">
        <v>1520</v>
      </c>
      <c r="X61" s="24"/>
      <c r="Y61" s="133">
        <v>1</v>
      </c>
      <c r="Z61" s="1051"/>
      <c r="AA61" s="1051"/>
      <c r="AB61" s="1051"/>
      <c r="AC61" s="1099"/>
    </row>
    <row r="62" spans="1:35" s="629" customFormat="1" ht="28.5" customHeight="1">
      <c r="A62" s="630" t="s">
        <v>315</v>
      </c>
      <c r="B62" s="618" t="s">
        <v>1141</v>
      </c>
      <c r="C62" s="692"/>
      <c r="D62" s="631"/>
      <c r="E62" s="632"/>
      <c r="F62" s="692"/>
      <c r="G62" s="627">
        <f t="shared" ref="G62:V62" si="40">+G63+G64</f>
        <v>322580</v>
      </c>
      <c r="H62" s="627">
        <f t="shared" si="40"/>
        <v>70589</v>
      </c>
      <c r="I62" s="627">
        <f t="shared" si="40"/>
        <v>52869</v>
      </c>
      <c r="J62" s="627">
        <f t="shared" si="40"/>
        <v>1118</v>
      </c>
      <c r="K62" s="627">
        <f t="shared" si="40"/>
        <v>165536</v>
      </c>
      <c r="L62" s="627">
        <f t="shared" si="40"/>
        <v>70170</v>
      </c>
      <c r="M62" s="627">
        <f t="shared" si="40"/>
        <v>0</v>
      </c>
      <c r="N62" s="1049">
        <f t="shared" si="40"/>
        <v>49216</v>
      </c>
      <c r="O62" s="1049">
        <f t="shared" si="40"/>
        <v>19216</v>
      </c>
      <c r="P62" s="1049">
        <f t="shared" si="40"/>
        <v>0</v>
      </c>
      <c r="Q62" s="1049">
        <f t="shared" si="40"/>
        <v>15411</v>
      </c>
      <c r="R62" s="1049">
        <f t="shared" si="40"/>
        <v>15411</v>
      </c>
      <c r="S62" s="1049">
        <f t="shared" si="40"/>
        <v>0</v>
      </c>
      <c r="T62" s="627">
        <f t="shared" si="40"/>
        <v>15411</v>
      </c>
      <c r="U62" s="1140">
        <f t="shared" si="40"/>
        <v>15411</v>
      </c>
      <c r="V62" s="627">
        <f t="shared" si="40"/>
        <v>0</v>
      </c>
      <c r="W62" s="734"/>
      <c r="X62" s="734"/>
      <c r="Y62" s="627">
        <f>+Y63+Y64</f>
        <v>3</v>
      </c>
      <c r="Z62" s="1049">
        <f t="shared" ref="Z62:AB62" si="41">+Z63+Z64</f>
        <v>15411</v>
      </c>
      <c r="AA62" s="1049">
        <f t="shared" si="41"/>
        <v>15411</v>
      </c>
      <c r="AB62" s="1049">
        <f t="shared" si="41"/>
        <v>0</v>
      </c>
      <c r="AC62" s="1097"/>
      <c r="AD62" s="662"/>
      <c r="AE62" s="990"/>
      <c r="AF62" s="811"/>
      <c r="AG62" s="628"/>
      <c r="AH62" s="628"/>
      <c r="AI62" s="628"/>
    </row>
    <row r="63" spans="1:35" s="265" customFormat="1">
      <c r="A63" s="82" t="s">
        <v>525</v>
      </c>
      <c r="B63" s="65" t="s">
        <v>26</v>
      </c>
      <c r="C63" s="352"/>
      <c r="D63" s="350"/>
      <c r="E63" s="351"/>
      <c r="F63" s="352"/>
      <c r="G63" s="597"/>
      <c r="H63" s="597"/>
      <c r="I63" s="597"/>
      <c r="J63" s="597"/>
      <c r="K63" s="597"/>
      <c r="L63" s="597"/>
      <c r="M63" s="597"/>
      <c r="N63" s="1052"/>
      <c r="O63" s="1052"/>
      <c r="P63" s="1052"/>
      <c r="Q63" s="1052"/>
      <c r="R63" s="1052"/>
      <c r="S63" s="1052"/>
      <c r="T63" s="597"/>
      <c r="U63" s="1143"/>
      <c r="V63" s="597"/>
      <c r="W63" s="731"/>
      <c r="X63" s="731"/>
      <c r="Y63" s="597"/>
      <c r="Z63" s="1052"/>
      <c r="AA63" s="1052"/>
      <c r="AB63" s="1052"/>
      <c r="AC63" s="1100"/>
      <c r="AD63" s="657"/>
      <c r="AE63" s="990"/>
      <c r="AF63" s="811"/>
      <c r="AG63" s="551"/>
      <c r="AH63" s="551"/>
      <c r="AI63" s="551"/>
    </row>
    <row r="64" spans="1:35" s="265" customFormat="1">
      <c r="A64" s="78" t="s">
        <v>499</v>
      </c>
      <c r="B64" s="586" t="s">
        <v>31</v>
      </c>
      <c r="C64" s="80"/>
      <c r="D64" s="19"/>
      <c r="E64" s="70"/>
      <c r="F64" s="80"/>
      <c r="G64" s="90">
        <f t="shared" ref="G64:V64" si="42">G65+G67</f>
        <v>322580</v>
      </c>
      <c r="H64" s="90">
        <f t="shared" si="42"/>
        <v>70589</v>
      </c>
      <c r="I64" s="90">
        <f t="shared" si="42"/>
        <v>52869</v>
      </c>
      <c r="J64" s="90">
        <f t="shared" si="42"/>
        <v>1118</v>
      </c>
      <c r="K64" s="90">
        <f t="shared" si="42"/>
        <v>165536</v>
      </c>
      <c r="L64" s="90">
        <f t="shared" si="42"/>
        <v>70170</v>
      </c>
      <c r="M64" s="90">
        <f t="shared" si="42"/>
        <v>0</v>
      </c>
      <c r="N64" s="1038">
        <f t="shared" si="42"/>
        <v>49216</v>
      </c>
      <c r="O64" s="1038">
        <f t="shared" si="42"/>
        <v>19216</v>
      </c>
      <c r="P64" s="1038">
        <f t="shared" si="42"/>
        <v>0</v>
      </c>
      <c r="Q64" s="1038">
        <f t="shared" si="42"/>
        <v>15411</v>
      </c>
      <c r="R64" s="1038">
        <f t="shared" si="42"/>
        <v>15411</v>
      </c>
      <c r="S64" s="1038">
        <f t="shared" si="42"/>
        <v>0</v>
      </c>
      <c r="T64" s="90">
        <f t="shared" si="42"/>
        <v>15411</v>
      </c>
      <c r="U64" s="1130">
        <f t="shared" si="42"/>
        <v>15411</v>
      </c>
      <c r="V64" s="90">
        <f t="shared" si="42"/>
        <v>0</v>
      </c>
      <c r="W64" s="699"/>
      <c r="X64" s="699"/>
      <c r="Y64" s="90">
        <f>Y65+Y67</f>
        <v>3</v>
      </c>
      <c r="Z64" s="1038">
        <f t="shared" ref="Z64:AB64" si="43">Z65+Z67</f>
        <v>15411</v>
      </c>
      <c r="AA64" s="1038">
        <f t="shared" si="43"/>
        <v>15411</v>
      </c>
      <c r="AB64" s="1038">
        <f t="shared" si="43"/>
        <v>0</v>
      </c>
      <c r="AC64" s="1087"/>
      <c r="AD64" s="657"/>
      <c r="AE64" s="990"/>
      <c r="AF64" s="811"/>
      <c r="AG64" s="551"/>
      <c r="AH64" s="551"/>
      <c r="AI64" s="551"/>
    </row>
    <row r="65" spans="1:35" ht="28.5">
      <c r="A65" s="11" t="s">
        <v>116</v>
      </c>
      <c r="B65" s="65" t="s">
        <v>117</v>
      </c>
      <c r="C65" s="89"/>
      <c r="D65" s="13"/>
      <c r="E65" s="14"/>
      <c r="F65" s="89"/>
      <c r="G65" s="90">
        <f t="shared" ref="G65:V65" si="44">SUM(G66:G66)</f>
        <v>147860</v>
      </c>
      <c r="H65" s="90">
        <f t="shared" si="44"/>
        <v>6335</v>
      </c>
      <c r="I65" s="90">
        <f t="shared" si="44"/>
        <v>52869</v>
      </c>
      <c r="J65" s="90">
        <f t="shared" si="44"/>
        <v>1118</v>
      </c>
      <c r="K65" s="90">
        <f t="shared" si="44"/>
        <v>5916</v>
      </c>
      <c r="L65" s="90">
        <f t="shared" si="44"/>
        <v>5916</v>
      </c>
      <c r="M65" s="90">
        <f t="shared" si="44"/>
        <v>0</v>
      </c>
      <c r="N65" s="1038">
        <f t="shared" si="44"/>
        <v>4216</v>
      </c>
      <c r="O65" s="1038">
        <f t="shared" si="44"/>
        <v>4216</v>
      </c>
      <c r="P65" s="1038">
        <f t="shared" si="44"/>
        <v>0</v>
      </c>
      <c r="Q65" s="1038">
        <f t="shared" si="44"/>
        <v>2000</v>
      </c>
      <c r="R65" s="1038">
        <f t="shared" si="44"/>
        <v>2000</v>
      </c>
      <c r="S65" s="1038">
        <f t="shared" si="44"/>
        <v>0</v>
      </c>
      <c r="T65" s="90">
        <f t="shared" si="44"/>
        <v>2000</v>
      </c>
      <c r="U65" s="1130">
        <f t="shared" si="44"/>
        <v>2000</v>
      </c>
      <c r="V65" s="90">
        <f t="shared" si="44"/>
        <v>0</v>
      </c>
      <c r="W65" s="699"/>
      <c r="X65" s="699"/>
      <c r="Y65" s="90">
        <f>SUM(Y66:Y66)</f>
        <v>1</v>
      </c>
      <c r="Z65" s="1038">
        <f t="shared" ref="Z65:AB65" si="45">SUM(Z66:Z66)</f>
        <v>2000</v>
      </c>
      <c r="AA65" s="1038">
        <f t="shared" si="45"/>
        <v>2000</v>
      </c>
      <c r="AB65" s="1038">
        <f t="shared" si="45"/>
        <v>0</v>
      </c>
      <c r="AC65" s="1087"/>
    </row>
    <row r="66" spans="1:35" ht="84.75" customHeight="1">
      <c r="A66" s="97" t="s">
        <v>27</v>
      </c>
      <c r="B66" s="93" t="s">
        <v>328</v>
      </c>
      <c r="C66" s="100" t="s">
        <v>85</v>
      </c>
      <c r="D66" s="101" t="s">
        <v>329</v>
      </c>
      <c r="E66" s="137" t="s">
        <v>330</v>
      </c>
      <c r="F66" s="100" t="s">
        <v>331</v>
      </c>
      <c r="G66" s="22">
        <v>147860</v>
      </c>
      <c r="H66" s="22">
        <v>6335</v>
      </c>
      <c r="I66" s="22">
        <v>52869</v>
      </c>
      <c r="J66" s="22">
        <v>1118</v>
      </c>
      <c r="K66" s="22">
        <v>5916</v>
      </c>
      <c r="L66" s="22">
        <v>5916</v>
      </c>
      <c r="M66" s="22"/>
      <c r="N66" s="1051">
        <f>+O66</f>
        <v>4216</v>
      </c>
      <c r="O66" s="1051">
        <v>4216</v>
      </c>
      <c r="P66" s="1051"/>
      <c r="Q66" s="1051">
        <f>+R66</f>
        <v>2000</v>
      </c>
      <c r="R66" s="1051">
        <v>2000</v>
      </c>
      <c r="S66" s="1051"/>
      <c r="T66" s="73">
        <f>SUM(U66:V66)</f>
        <v>2000</v>
      </c>
      <c r="U66" s="1142">
        <v>2000</v>
      </c>
      <c r="V66" s="133"/>
      <c r="W66" s="729" t="s">
        <v>1520</v>
      </c>
      <c r="X66" s="728"/>
      <c r="Y66" s="133">
        <v>1</v>
      </c>
      <c r="Z66" s="965">
        <f>SUM(AA66:AB66)</f>
        <v>2000</v>
      </c>
      <c r="AA66" s="1051">
        <v>2000</v>
      </c>
      <c r="AB66" s="1051"/>
      <c r="AC66" s="1099"/>
    </row>
    <row r="67" spans="1:35" ht="26.25" customHeight="1">
      <c r="A67" s="11" t="s">
        <v>150</v>
      </c>
      <c r="B67" s="65" t="s">
        <v>151</v>
      </c>
      <c r="C67" s="89"/>
      <c r="D67" s="13"/>
      <c r="E67" s="14"/>
      <c r="F67" s="89"/>
      <c r="G67" s="90">
        <f t="shared" ref="G67:AB67" si="46">SUM(G68:G69)</f>
        <v>174720</v>
      </c>
      <c r="H67" s="90">
        <f t="shared" si="46"/>
        <v>64254</v>
      </c>
      <c r="I67" s="90">
        <f t="shared" si="46"/>
        <v>0</v>
      </c>
      <c r="J67" s="90">
        <f t="shared" si="46"/>
        <v>0</v>
      </c>
      <c r="K67" s="90">
        <f t="shared" si="46"/>
        <v>159620</v>
      </c>
      <c r="L67" s="90">
        <f t="shared" si="46"/>
        <v>64254</v>
      </c>
      <c r="M67" s="90">
        <f t="shared" si="46"/>
        <v>0</v>
      </c>
      <c r="N67" s="1038">
        <f t="shared" si="46"/>
        <v>45000</v>
      </c>
      <c r="O67" s="1038">
        <f t="shared" si="46"/>
        <v>15000</v>
      </c>
      <c r="P67" s="1038">
        <f t="shared" si="46"/>
        <v>0</v>
      </c>
      <c r="Q67" s="1038">
        <f t="shared" si="46"/>
        <v>13411</v>
      </c>
      <c r="R67" s="1038">
        <f t="shared" si="46"/>
        <v>13411</v>
      </c>
      <c r="S67" s="1038">
        <f t="shared" si="46"/>
        <v>0</v>
      </c>
      <c r="T67" s="90">
        <f t="shared" si="46"/>
        <v>13411</v>
      </c>
      <c r="U67" s="1130">
        <f t="shared" si="46"/>
        <v>13411</v>
      </c>
      <c r="V67" s="90">
        <f t="shared" si="46"/>
        <v>0</v>
      </c>
      <c r="W67" s="90"/>
      <c r="X67" s="90"/>
      <c r="Y67" s="90">
        <f t="shared" si="46"/>
        <v>2</v>
      </c>
      <c r="Z67" s="1038">
        <f t="shared" si="46"/>
        <v>13411</v>
      </c>
      <c r="AA67" s="1038">
        <f t="shared" si="46"/>
        <v>13411</v>
      </c>
      <c r="AB67" s="1038">
        <f t="shared" si="46"/>
        <v>0</v>
      </c>
      <c r="AC67" s="1087"/>
    </row>
    <row r="68" spans="1:35" ht="40.5" customHeight="1">
      <c r="A68" s="97" t="s">
        <v>27</v>
      </c>
      <c r="B68" s="68" t="s">
        <v>340</v>
      </c>
      <c r="C68" s="80" t="s">
        <v>143</v>
      </c>
      <c r="D68" s="809" t="s">
        <v>1612</v>
      </c>
      <c r="E68" s="880" t="s">
        <v>120</v>
      </c>
      <c r="F68" s="809" t="s">
        <v>1613</v>
      </c>
      <c r="G68" s="175">
        <v>102383</v>
      </c>
      <c r="H68" s="22">
        <v>25994</v>
      </c>
      <c r="I68" s="22"/>
      <c r="J68" s="22"/>
      <c r="K68" s="22">
        <v>102383</v>
      </c>
      <c r="L68" s="22">
        <v>25994</v>
      </c>
      <c r="M68" s="22"/>
      <c r="N68" s="1051">
        <v>35000</v>
      </c>
      <c r="O68" s="1051">
        <v>5000</v>
      </c>
      <c r="P68" s="1051"/>
      <c r="Q68" s="1051">
        <v>6000</v>
      </c>
      <c r="R68" s="1051">
        <v>6000</v>
      </c>
      <c r="S68" s="1051"/>
      <c r="T68" s="73">
        <v>6000</v>
      </c>
      <c r="U68" s="1142">
        <v>6000</v>
      </c>
      <c r="V68" s="133"/>
      <c r="W68" s="729" t="s">
        <v>1520</v>
      </c>
      <c r="X68" s="728"/>
      <c r="Y68" s="133">
        <v>1</v>
      </c>
      <c r="Z68" s="965">
        <v>6000</v>
      </c>
      <c r="AA68" s="1051">
        <v>6000</v>
      </c>
      <c r="AB68" s="1051"/>
      <c r="AC68" s="1099"/>
      <c r="AD68" s="779"/>
    </row>
    <row r="69" spans="1:35" ht="25.5">
      <c r="A69" s="97" t="s">
        <v>41</v>
      </c>
      <c r="B69" s="280" t="s">
        <v>342</v>
      </c>
      <c r="C69" s="80" t="s">
        <v>5</v>
      </c>
      <c r="D69" s="598" t="s">
        <v>343</v>
      </c>
      <c r="E69" s="70" t="s">
        <v>120</v>
      </c>
      <c r="F69" s="693" t="s">
        <v>344</v>
      </c>
      <c r="G69" s="223">
        <v>72337</v>
      </c>
      <c r="H69" s="223">
        <v>38260</v>
      </c>
      <c r="I69" s="22"/>
      <c r="J69" s="22"/>
      <c r="K69" s="22">
        <v>57237</v>
      </c>
      <c r="L69" s="22">
        <v>38260</v>
      </c>
      <c r="M69" s="22"/>
      <c r="N69" s="1051">
        <v>10000</v>
      </c>
      <c r="O69" s="1051">
        <v>10000</v>
      </c>
      <c r="P69" s="1051"/>
      <c r="Q69" s="1051">
        <v>7411</v>
      </c>
      <c r="R69" s="1051">
        <v>7411</v>
      </c>
      <c r="S69" s="1051"/>
      <c r="T69" s="73">
        <f>SUM(U69:V69)</f>
        <v>7411</v>
      </c>
      <c r="U69" s="1142">
        <v>7411</v>
      </c>
      <c r="V69" s="133"/>
      <c r="W69" s="729" t="s">
        <v>1521</v>
      </c>
      <c r="X69" s="728" t="s">
        <v>345</v>
      </c>
      <c r="Y69" s="133">
        <v>1</v>
      </c>
      <c r="Z69" s="965">
        <f>SUM(AA69:AB69)</f>
        <v>7411</v>
      </c>
      <c r="AA69" s="1051">
        <v>7411</v>
      </c>
      <c r="AB69" s="1051"/>
      <c r="AC69" s="1099"/>
    </row>
    <row r="70" spans="1:35" s="629" customFormat="1" ht="26.1" customHeight="1">
      <c r="A70" s="630" t="s">
        <v>350</v>
      </c>
      <c r="B70" s="618" t="s">
        <v>1142</v>
      </c>
      <c r="C70" s="690"/>
      <c r="D70" s="625"/>
      <c r="E70" s="626"/>
      <c r="F70" s="690"/>
      <c r="G70" s="621">
        <f t="shared" ref="G70:V70" si="47">SUM(G71,G76)</f>
        <v>4248106</v>
      </c>
      <c r="H70" s="621">
        <f t="shared" si="47"/>
        <v>2413641</v>
      </c>
      <c r="I70" s="621">
        <f t="shared" si="47"/>
        <v>1651722</v>
      </c>
      <c r="J70" s="621">
        <f t="shared" si="47"/>
        <v>605168</v>
      </c>
      <c r="K70" s="621">
        <f t="shared" si="47"/>
        <v>2856241</v>
      </c>
      <c r="L70" s="621">
        <f t="shared" si="47"/>
        <v>2048359</v>
      </c>
      <c r="M70" s="621">
        <f t="shared" si="47"/>
        <v>0</v>
      </c>
      <c r="N70" s="1036">
        <f t="shared" si="47"/>
        <v>737426</v>
      </c>
      <c r="O70" s="1036">
        <f t="shared" si="47"/>
        <v>552442</v>
      </c>
      <c r="P70" s="1036">
        <f t="shared" si="47"/>
        <v>0</v>
      </c>
      <c r="Q70" s="1036">
        <f t="shared" si="47"/>
        <v>508857</v>
      </c>
      <c r="R70" s="1036">
        <f t="shared" si="47"/>
        <v>508857</v>
      </c>
      <c r="S70" s="1036">
        <f t="shared" si="47"/>
        <v>0</v>
      </c>
      <c r="T70" s="621">
        <f t="shared" si="47"/>
        <v>387096</v>
      </c>
      <c r="U70" s="1127">
        <f t="shared" si="47"/>
        <v>266000</v>
      </c>
      <c r="V70" s="621">
        <f t="shared" si="47"/>
        <v>121096</v>
      </c>
      <c r="W70" s="684"/>
      <c r="X70" s="684"/>
      <c r="Y70" s="621">
        <f>SUM(Y71,Y76)</f>
        <v>30</v>
      </c>
      <c r="Z70" s="1036">
        <f t="shared" ref="Z70:AB70" si="48">SUM(Z71,Z76)</f>
        <v>407096</v>
      </c>
      <c r="AA70" s="1036">
        <f t="shared" si="48"/>
        <v>276000</v>
      </c>
      <c r="AB70" s="1036">
        <f t="shared" si="48"/>
        <v>131096</v>
      </c>
      <c r="AC70" s="1084"/>
      <c r="AD70" s="662"/>
      <c r="AE70" s="990"/>
      <c r="AF70" s="811"/>
      <c r="AG70" s="628"/>
      <c r="AH70" s="628"/>
      <c r="AI70" s="628"/>
    </row>
    <row r="71" spans="1:35" s="265" customFormat="1" ht="26.1" customHeight="1">
      <c r="A71" s="82" t="s">
        <v>525</v>
      </c>
      <c r="B71" s="65" t="s">
        <v>26</v>
      </c>
      <c r="C71" s="352"/>
      <c r="D71" s="350"/>
      <c r="E71" s="351"/>
      <c r="F71" s="352"/>
      <c r="G71" s="45">
        <f t="shared" ref="G71:V71" si="49">SUM(G72:G75)</f>
        <v>597574</v>
      </c>
      <c r="H71" s="45">
        <f t="shared" si="49"/>
        <v>485574</v>
      </c>
      <c r="I71" s="45">
        <f t="shared" si="49"/>
        <v>0</v>
      </c>
      <c r="J71" s="45">
        <f t="shared" si="49"/>
        <v>0</v>
      </c>
      <c r="K71" s="45">
        <f t="shared" si="49"/>
        <v>595163</v>
      </c>
      <c r="L71" s="45">
        <f t="shared" si="49"/>
        <v>495163</v>
      </c>
      <c r="M71" s="45">
        <f t="shared" si="49"/>
        <v>0</v>
      </c>
      <c r="N71" s="1037">
        <f t="shared" si="49"/>
        <v>5800</v>
      </c>
      <c r="O71" s="1037">
        <f t="shared" si="49"/>
        <v>5800</v>
      </c>
      <c r="P71" s="1037">
        <f t="shared" si="49"/>
        <v>0</v>
      </c>
      <c r="Q71" s="1037">
        <f t="shared" si="49"/>
        <v>2500</v>
      </c>
      <c r="R71" s="1037">
        <f t="shared" si="49"/>
        <v>2500</v>
      </c>
      <c r="S71" s="1037">
        <f t="shared" si="49"/>
        <v>0</v>
      </c>
      <c r="T71" s="45">
        <f t="shared" si="49"/>
        <v>3000</v>
      </c>
      <c r="U71" s="1128">
        <f t="shared" si="49"/>
        <v>3000</v>
      </c>
      <c r="V71" s="45">
        <f t="shared" si="49"/>
        <v>0</v>
      </c>
      <c r="W71" s="352"/>
      <c r="X71" s="352"/>
      <c r="Y71" s="45">
        <f>SUM(Y72:Y75)</f>
        <v>4</v>
      </c>
      <c r="Z71" s="1037">
        <f t="shared" ref="Z71:AB71" si="50">SUM(Z72:Z75)</f>
        <v>3000</v>
      </c>
      <c r="AA71" s="1037">
        <f t="shared" si="50"/>
        <v>3000</v>
      </c>
      <c r="AB71" s="1037">
        <f t="shared" si="50"/>
        <v>0</v>
      </c>
      <c r="AC71" s="1085"/>
      <c r="AD71" s="657"/>
      <c r="AE71" s="990"/>
      <c r="AF71" s="811"/>
      <c r="AG71" s="551"/>
      <c r="AH71" s="551"/>
      <c r="AI71" s="551"/>
    </row>
    <row r="72" spans="1:35" ht="26.1" customHeight="1">
      <c r="A72" s="150">
        <v>1</v>
      </c>
      <c r="B72" s="151" t="s">
        <v>351</v>
      </c>
      <c r="C72" s="1031" t="s">
        <v>29</v>
      </c>
      <c r="D72" s="635" t="s">
        <v>352</v>
      </c>
      <c r="E72" s="120" t="s">
        <v>120</v>
      </c>
      <c r="F72" s="762"/>
      <c r="G72" s="72">
        <v>114900</v>
      </c>
      <c r="H72" s="72">
        <v>114900</v>
      </c>
      <c r="I72" s="72"/>
      <c r="J72" s="72"/>
      <c r="K72" s="72">
        <v>142500</v>
      </c>
      <c r="L72" s="72">
        <v>142500</v>
      </c>
      <c r="M72" s="72"/>
      <c r="N72" s="965">
        <v>1000</v>
      </c>
      <c r="O72" s="965">
        <v>1000</v>
      </c>
      <c r="P72" s="965"/>
      <c r="Q72" s="965">
        <v>1000</v>
      </c>
      <c r="R72" s="965">
        <v>1000</v>
      </c>
      <c r="S72" s="965"/>
      <c r="T72" s="73">
        <f>SUM(U72:V72)</f>
        <v>1000</v>
      </c>
      <c r="U72" s="1129">
        <v>1000</v>
      </c>
      <c r="V72" s="73"/>
      <c r="W72" s="513" t="s">
        <v>1524</v>
      </c>
      <c r="X72" s="24"/>
      <c r="Y72" s="73">
        <v>1</v>
      </c>
      <c r="Z72" s="965">
        <f>SUM(AA72:AB72)</f>
        <v>1000</v>
      </c>
      <c r="AA72" s="965">
        <v>1000</v>
      </c>
      <c r="AB72" s="965"/>
      <c r="AC72" s="1086"/>
    </row>
    <row r="73" spans="1:35" ht="26.1" customHeight="1">
      <c r="A73" s="150">
        <v>2</v>
      </c>
      <c r="B73" s="93" t="s">
        <v>353</v>
      </c>
      <c r="C73" s="695" t="s">
        <v>354</v>
      </c>
      <c r="D73" s="152"/>
      <c r="E73" s="120" t="s">
        <v>355</v>
      </c>
      <c r="F73" s="695"/>
      <c r="G73" s="153">
        <v>120001</v>
      </c>
      <c r="H73" s="153">
        <v>120001</v>
      </c>
      <c r="I73" s="72"/>
      <c r="J73" s="72"/>
      <c r="K73" s="153">
        <v>120001</v>
      </c>
      <c r="L73" s="153">
        <v>120001</v>
      </c>
      <c r="M73" s="72"/>
      <c r="N73" s="965">
        <v>1000</v>
      </c>
      <c r="O73" s="965">
        <v>1000</v>
      </c>
      <c r="P73" s="965"/>
      <c r="Q73" s="965">
        <v>500</v>
      </c>
      <c r="R73" s="965">
        <v>500</v>
      </c>
      <c r="S73" s="965"/>
      <c r="T73" s="73">
        <f>SUM(U73:V73)</f>
        <v>500</v>
      </c>
      <c r="U73" s="1129">
        <v>500</v>
      </c>
      <c r="V73" s="73"/>
      <c r="W73" s="513" t="s">
        <v>1524</v>
      </c>
      <c r="X73" s="24"/>
      <c r="Y73" s="73">
        <v>1</v>
      </c>
      <c r="Z73" s="965">
        <f>SUM(AA73:AB73)</f>
        <v>500</v>
      </c>
      <c r="AA73" s="965">
        <v>500</v>
      </c>
      <c r="AB73" s="965"/>
      <c r="AC73" s="1086"/>
    </row>
    <row r="74" spans="1:35" ht="38.25">
      <c r="A74" s="150">
        <v>3</v>
      </c>
      <c r="B74" s="93" t="s">
        <v>356</v>
      </c>
      <c r="C74" s="695" t="s">
        <v>173</v>
      </c>
      <c r="D74" s="70" t="s">
        <v>357</v>
      </c>
      <c r="E74" s="70" t="s">
        <v>163</v>
      </c>
      <c r="F74" s="24" t="s">
        <v>358</v>
      </c>
      <c r="G74" s="596">
        <v>62558</v>
      </c>
      <c r="H74" s="596">
        <v>62558</v>
      </c>
      <c r="I74" s="72"/>
      <c r="J74" s="72"/>
      <c r="K74" s="596">
        <v>62558</v>
      </c>
      <c r="L74" s="596">
        <v>62558</v>
      </c>
      <c r="M74" s="72"/>
      <c r="N74" s="965">
        <v>1000</v>
      </c>
      <c r="O74" s="965">
        <v>1000</v>
      </c>
      <c r="P74" s="965"/>
      <c r="Q74" s="965">
        <v>500</v>
      </c>
      <c r="R74" s="965">
        <v>500</v>
      </c>
      <c r="S74" s="965"/>
      <c r="T74" s="73">
        <f>SUM(U74:V74)</f>
        <v>500</v>
      </c>
      <c r="U74" s="1129">
        <v>500</v>
      </c>
      <c r="V74" s="73"/>
      <c r="W74" s="513" t="s">
        <v>1524</v>
      </c>
      <c r="X74" s="24" t="s">
        <v>1615</v>
      </c>
      <c r="Y74" s="73">
        <v>1</v>
      </c>
      <c r="Z74" s="965">
        <f>SUM(AA74:AB74)</f>
        <v>500</v>
      </c>
      <c r="AA74" s="965">
        <v>500</v>
      </c>
      <c r="AB74" s="965"/>
      <c r="AC74" s="1086"/>
    </row>
    <row r="75" spans="1:35" ht="51">
      <c r="A75" s="150">
        <v>4</v>
      </c>
      <c r="B75" s="93" t="s">
        <v>359</v>
      </c>
      <c r="C75" s="695" t="s">
        <v>360</v>
      </c>
      <c r="D75" s="70" t="s">
        <v>361</v>
      </c>
      <c r="E75" s="70" t="s">
        <v>120</v>
      </c>
      <c r="F75" s="24"/>
      <c r="G75" s="596">
        <v>300115</v>
      </c>
      <c r="H75" s="596">
        <v>188115</v>
      </c>
      <c r="I75" s="72"/>
      <c r="J75" s="72"/>
      <c r="K75" s="596">
        <v>270104</v>
      </c>
      <c r="L75" s="596">
        <v>170104</v>
      </c>
      <c r="M75" s="72"/>
      <c r="N75" s="965">
        <v>2800</v>
      </c>
      <c r="O75" s="965">
        <v>2800</v>
      </c>
      <c r="P75" s="965"/>
      <c r="Q75" s="965">
        <v>500</v>
      </c>
      <c r="R75" s="965">
        <v>500</v>
      </c>
      <c r="S75" s="965"/>
      <c r="T75" s="965">
        <f>SUM(U75:V75)</f>
        <v>1000</v>
      </c>
      <c r="U75" s="1144">
        <v>1000</v>
      </c>
      <c r="V75" s="965"/>
      <c r="W75" s="513" t="s">
        <v>1517</v>
      </c>
      <c r="X75" s="24" t="s">
        <v>1616</v>
      </c>
      <c r="Y75" s="73">
        <v>1</v>
      </c>
      <c r="Z75" s="965">
        <f>SUM(AA75:AB75)</f>
        <v>1000</v>
      </c>
      <c r="AA75" s="965">
        <v>1000</v>
      </c>
      <c r="AB75" s="965"/>
      <c r="AC75" s="1086"/>
    </row>
    <row r="76" spans="1:35" s="265" customFormat="1" ht="26.1" customHeight="1">
      <c r="A76" s="82" t="s">
        <v>499</v>
      </c>
      <c r="B76" s="586" t="s">
        <v>31</v>
      </c>
      <c r="C76" s="352"/>
      <c r="D76" s="350"/>
      <c r="E76" s="351"/>
      <c r="F76" s="352"/>
      <c r="G76" s="45">
        <f t="shared" ref="G76:V76" si="51">SUM(G77,G85,G97)</f>
        <v>3650532</v>
      </c>
      <c r="H76" s="45">
        <f t="shared" si="51"/>
        <v>1928067</v>
      </c>
      <c r="I76" s="45">
        <f t="shared" si="51"/>
        <v>1651722</v>
      </c>
      <c r="J76" s="45">
        <f t="shared" si="51"/>
        <v>605168</v>
      </c>
      <c r="K76" s="45">
        <f t="shared" si="51"/>
        <v>2261078</v>
      </c>
      <c r="L76" s="45">
        <f t="shared" si="51"/>
        <v>1553196</v>
      </c>
      <c r="M76" s="45">
        <f t="shared" si="51"/>
        <v>0</v>
      </c>
      <c r="N76" s="1037">
        <f t="shared" si="51"/>
        <v>731626</v>
      </c>
      <c r="O76" s="1037">
        <f t="shared" si="51"/>
        <v>546642</v>
      </c>
      <c r="P76" s="1037">
        <f t="shared" si="51"/>
        <v>0</v>
      </c>
      <c r="Q76" s="1037">
        <f t="shared" si="51"/>
        <v>506357</v>
      </c>
      <c r="R76" s="1037">
        <f t="shared" si="51"/>
        <v>506357</v>
      </c>
      <c r="S76" s="1037">
        <f t="shared" si="51"/>
        <v>0</v>
      </c>
      <c r="T76" s="45">
        <f t="shared" si="51"/>
        <v>384096</v>
      </c>
      <c r="U76" s="1128">
        <f t="shared" si="51"/>
        <v>263000</v>
      </c>
      <c r="V76" s="45">
        <f t="shared" si="51"/>
        <v>121096</v>
      </c>
      <c r="W76" s="352"/>
      <c r="X76" s="352"/>
      <c r="Y76" s="45">
        <f>SUM(Y77,Y85,Y97)</f>
        <v>26</v>
      </c>
      <c r="Z76" s="1037">
        <f t="shared" ref="Z76:AB76" si="52">SUM(Z77,Z85,Z97)</f>
        <v>404096</v>
      </c>
      <c r="AA76" s="1037">
        <f t="shared" si="52"/>
        <v>273000</v>
      </c>
      <c r="AB76" s="1037">
        <f t="shared" si="52"/>
        <v>131096</v>
      </c>
      <c r="AC76" s="1085"/>
      <c r="AD76" s="657"/>
      <c r="AE76" s="990"/>
      <c r="AF76" s="811"/>
      <c r="AG76" s="551"/>
      <c r="AH76" s="551"/>
      <c r="AI76" s="551"/>
    </row>
    <row r="77" spans="1:35" ht="28.5" customHeight="1">
      <c r="A77" s="11" t="s">
        <v>78</v>
      </c>
      <c r="B77" s="65" t="s">
        <v>79</v>
      </c>
      <c r="C77" s="89"/>
      <c r="D77" s="13"/>
      <c r="E77" s="14"/>
      <c r="F77" s="89"/>
      <c r="G77" s="15">
        <f t="shared" ref="G77:V77" si="53">SUM(G78:G84)</f>
        <v>578224</v>
      </c>
      <c r="H77" s="15">
        <f t="shared" si="53"/>
        <v>578224</v>
      </c>
      <c r="I77" s="15">
        <f t="shared" si="53"/>
        <v>277925</v>
      </c>
      <c r="J77" s="15">
        <f t="shared" si="53"/>
        <v>277925</v>
      </c>
      <c r="K77" s="15">
        <f t="shared" si="53"/>
        <v>354366</v>
      </c>
      <c r="L77" s="15">
        <f t="shared" si="53"/>
        <v>354366</v>
      </c>
      <c r="M77" s="15">
        <f t="shared" si="53"/>
        <v>0</v>
      </c>
      <c r="N77" s="1053">
        <f t="shared" si="53"/>
        <v>107567</v>
      </c>
      <c r="O77" s="1053">
        <f t="shared" si="53"/>
        <v>107567</v>
      </c>
      <c r="P77" s="1053">
        <f t="shared" si="53"/>
        <v>0</v>
      </c>
      <c r="Q77" s="1053">
        <f t="shared" si="53"/>
        <v>107567</v>
      </c>
      <c r="R77" s="1053">
        <f t="shared" si="53"/>
        <v>107567</v>
      </c>
      <c r="S77" s="1053">
        <f t="shared" si="53"/>
        <v>0</v>
      </c>
      <c r="T77" s="15">
        <f t="shared" si="53"/>
        <v>97567</v>
      </c>
      <c r="U77" s="1145">
        <f t="shared" si="53"/>
        <v>75000</v>
      </c>
      <c r="V77" s="15">
        <f t="shared" si="53"/>
        <v>22567</v>
      </c>
      <c r="W77" s="89"/>
      <c r="X77" s="89"/>
      <c r="Y77" s="15">
        <f>SUM(Y78:Y84)</f>
        <v>7</v>
      </c>
      <c r="Z77" s="1053">
        <f t="shared" ref="Z77:AB77" si="54">SUM(Z78:Z84)</f>
        <v>107567</v>
      </c>
      <c r="AA77" s="1053">
        <f t="shared" si="54"/>
        <v>75000</v>
      </c>
      <c r="AB77" s="1053">
        <f t="shared" si="54"/>
        <v>32567</v>
      </c>
      <c r="AC77" s="1101"/>
    </row>
    <row r="78" spans="1:35" ht="30">
      <c r="A78" s="97" t="s">
        <v>27</v>
      </c>
      <c r="B78" s="171" t="s">
        <v>388</v>
      </c>
      <c r="C78" s="696" t="s">
        <v>389</v>
      </c>
      <c r="D78" s="172" t="s">
        <v>390</v>
      </c>
      <c r="E78" s="163" t="s">
        <v>235</v>
      </c>
      <c r="F78" s="696" t="s">
        <v>391</v>
      </c>
      <c r="G78" s="173">
        <v>284306</v>
      </c>
      <c r="H78" s="173">
        <v>284306</v>
      </c>
      <c r="I78" s="23">
        <v>195306</v>
      </c>
      <c r="J78" s="23">
        <v>195306</v>
      </c>
      <c r="K78" s="23">
        <v>113358</v>
      </c>
      <c r="L78" s="23">
        <v>113358</v>
      </c>
      <c r="M78" s="23"/>
      <c r="N78" s="1054">
        <v>25000</v>
      </c>
      <c r="O78" s="1054">
        <v>25000</v>
      </c>
      <c r="P78" s="1054"/>
      <c r="Q78" s="1054">
        <v>25000</v>
      </c>
      <c r="R78" s="1054">
        <v>25000</v>
      </c>
      <c r="S78" s="1054"/>
      <c r="T78" s="73">
        <f t="shared" ref="T78:T84" si="55">SUM(U78:V78)</f>
        <v>25000</v>
      </c>
      <c r="U78" s="316">
        <v>25000</v>
      </c>
      <c r="V78" s="105"/>
      <c r="W78" s="513" t="s">
        <v>1524</v>
      </c>
      <c r="X78" s="24"/>
      <c r="Y78" s="105">
        <v>1</v>
      </c>
      <c r="Z78" s="965">
        <f t="shared" ref="Z78:Z84" si="56">SUM(AA78:AB78)</f>
        <v>25000</v>
      </c>
      <c r="AA78" s="1054">
        <v>25000</v>
      </c>
      <c r="AB78" s="1054"/>
      <c r="AC78" s="1102"/>
    </row>
    <row r="79" spans="1:35" ht="30">
      <c r="A79" s="97" t="s">
        <v>41</v>
      </c>
      <c r="B79" s="179" t="s">
        <v>392</v>
      </c>
      <c r="C79" s="695" t="s">
        <v>29</v>
      </c>
      <c r="D79" s="180" t="s">
        <v>393</v>
      </c>
      <c r="E79" s="181" t="s">
        <v>87</v>
      </c>
      <c r="F79" s="697" t="s">
        <v>394</v>
      </c>
      <c r="G79" s="96">
        <v>177888</v>
      </c>
      <c r="H79" s="96">
        <v>177888</v>
      </c>
      <c r="I79" s="182">
        <f>10622+17000+25000</f>
        <v>52622</v>
      </c>
      <c r="J79" s="182">
        <f>10622+17000+25000</f>
        <v>52622</v>
      </c>
      <c r="K79" s="23">
        <v>151595</v>
      </c>
      <c r="L79" s="23">
        <v>151595</v>
      </c>
      <c r="M79" s="23"/>
      <c r="N79" s="1055">
        <v>10000</v>
      </c>
      <c r="O79" s="1055">
        <v>10000</v>
      </c>
      <c r="P79" s="1055"/>
      <c r="Q79" s="1055">
        <v>10000</v>
      </c>
      <c r="R79" s="1055">
        <v>10000</v>
      </c>
      <c r="S79" s="1054"/>
      <c r="T79" s="73">
        <f t="shared" si="55"/>
        <v>10000</v>
      </c>
      <c r="U79" s="1146">
        <v>10000</v>
      </c>
      <c r="V79" s="105"/>
      <c r="W79" s="513" t="s">
        <v>1524</v>
      </c>
      <c r="X79" s="24"/>
      <c r="Y79" s="105">
        <v>1</v>
      </c>
      <c r="Z79" s="965">
        <f t="shared" si="56"/>
        <v>10000</v>
      </c>
      <c r="AA79" s="1055">
        <v>10000</v>
      </c>
      <c r="AB79" s="1054"/>
      <c r="AC79" s="1102"/>
    </row>
    <row r="80" spans="1:35" ht="51">
      <c r="A80" s="97" t="s">
        <v>58</v>
      </c>
      <c r="B80" s="93" t="s">
        <v>398</v>
      </c>
      <c r="C80" s="100" t="s">
        <v>5</v>
      </c>
      <c r="D80" s="101" t="s">
        <v>399</v>
      </c>
      <c r="E80" s="95" t="s">
        <v>400</v>
      </c>
      <c r="F80" s="697" t="s">
        <v>1614</v>
      </c>
      <c r="G80" s="96">
        <v>95250</v>
      </c>
      <c r="H80" s="96">
        <v>95250</v>
      </c>
      <c r="I80" s="182">
        <f>13614+10500</f>
        <v>24114</v>
      </c>
      <c r="J80" s="182">
        <f>13614+10500</f>
        <v>24114</v>
      </c>
      <c r="K80" s="23">
        <v>70963</v>
      </c>
      <c r="L80" s="23">
        <v>70963</v>
      </c>
      <c r="M80" s="175"/>
      <c r="N80" s="1056">
        <v>60000</v>
      </c>
      <c r="O80" s="1056">
        <v>60000</v>
      </c>
      <c r="P80" s="1056"/>
      <c r="Q80" s="1056">
        <v>60000</v>
      </c>
      <c r="R80" s="1056">
        <v>60000</v>
      </c>
      <c r="S80" s="1057"/>
      <c r="T80" s="73">
        <f t="shared" si="55"/>
        <v>50000</v>
      </c>
      <c r="U80" s="1147">
        <v>40000</v>
      </c>
      <c r="V80" s="177">
        <v>10000</v>
      </c>
      <c r="W80" s="513" t="s">
        <v>1524</v>
      </c>
      <c r="X80" s="178"/>
      <c r="Y80" s="177">
        <v>1</v>
      </c>
      <c r="Z80" s="965">
        <f t="shared" si="56"/>
        <v>60000</v>
      </c>
      <c r="AA80" s="1056">
        <v>40000</v>
      </c>
      <c r="AB80" s="1057">
        <v>20000</v>
      </c>
      <c r="AC80" s="1103"/>
    </row>
    <row r="81" spans="1:31" ht="38.25" customHeight="1">
      <c r="A81" s="97" t="s">
        <v>64</v>
      </c>
      <c r="B81" s="183" t="s">
        <v>416</v>
      </c>
      <c r="C81" s="1185" t="s">
        <v>66</v>
      </c>
      <c r="D81" s="172" t="s">
        <v>417</v>
      </c>
      <c r="E81" s="163" t="s">
        <v>166</v>
      </c>
      <c r="F81" s="696" t="s">
        <v>418</v>
      </c>
      <c r="G81" s="173">
        <v>5079</v>
      </c>
      <c r="H81" s="173">
        <v>5079</v>
      </c>
      <c r="I81" s="175">
        <v>1300</v>
      </c>
      <c r="J81" s="175">
        <v>1300</v>
      </c>
      <c r="K81" s="173">
        <v>4867</v>
      </c>
      <c r="L81" s="173">
        <v>4867</v>
      </c>
      <c r="M81" s="175"/>
      <c r="N81" s="1056">
        <v>3567</v>
      </c>
      <c r="O81" s="1056">
        <v>3567</v>
      </c>
      <c r="P81" s="1056"/>
      <c r="Q81" s="1056">
        <v>3567</v>
      </c>
      <c r="R81" s="1056">
        <v>3567</v>
      </c>
      <c r="S81" s="1057"/>
      <c r="T81" s="73">
        <f t="shared" si="55"/>
        <v>3567</v>
      </c>
      <c r="U81" s="1147"/>
      <c r="V81" s="176">
        <v>3567</v>
      </c>
      <c r="W81" s="513" t="s">
        <v>1526</v>
      </c>
      <c r="X81" s="178"/>
      <c r="Y81" s="177">
        <v>1</v>
      </c>
      <c r="Z81" s="965">
        <f t="shared" si="56"/>
        <v>3567</v>
      </c>
      <c r="AA81" s="1056"/>
      <c r="AB81" s="1056">
        <v>3567</v>
      </c>
      <c r="AC81" s="1104"/>
      <c r="AE81" s="990">
        <f>V81</f>
        <v>3567</v>
      </c>
    </row>
    <row r="82" spans="1:31" ht="26.1" customHeight="1">
      <c r="A82" s="97" t="s">
        <v>69</v>
      </c>
      <c r="B82" s="93" t="s">
        <v>424</v>
      </c>
      <c r="C82" s="695" t="s">
        <v>66</v>
      </c>
      <c r="D82" s="162" t="s">
        <v>420</v>
      </c>
      <c r="E82" s="163" t="s">
        <v>30</v>
      </c>
      <c r="F82" s="696" t="s">
        <v>425</v>
      </c>
      <c r="G82" s="164">
        <v>3957</v>
      </c>
      <c r="H82" s="164">
        <v>3957</v>
      </c>
      <c r="I82" s="22">
        <v>1583</v>
      </c>
      <c r="J82" s="22">
        <v>1583</v>
      </c>
      <c r="K82" s="164">
        <v>3583</v>
      </c>
      <c r="L82" s="164">
        <v>3583</v>
      </c>
      <c r="M82" s="175"/>
      <c r="N82" s="1056">
        <v>2000</v>
      </c>
      <c r="O82" s="1056">
        <v>2000</v>
      </c>
      <c r="P82" s="1056"/>
      <c r="Q82" s="1056">
        <v>2000</v>
      </c>
      <c r="R82" s="1056">
        <v>2000</v>
      </c>
      <c r="S82" s="1057"/>
      <c r="T82" s="73">
        <f t="shared" si="55"/>
        <v>2000</v>
      </c>
      <c r="U82" s="1147"/>
      <c r="V82" s="176">
        <v>2000</v>
      </c>
      <c r="W82" s="513" t="s">
        <v>1526</v>
      </c>
      <c r="X82" s="178"/>
      <c r="Y82" s="177">
        <v>1</v>
      </c>
      <c r="Z82" s="965">
        <f t="shared" si="56"/>
        <v>2000</v>
      </c>
      <c r="AA82" s="1056"/>
      <c r="AB82" s="1056">
        <v>2000</v>
      </c>
      <c r="AC82" s="1104"/>
      <c r="AE82" s="990">
        <f t="shared" ref="AE82:AE84" si="57">V82</f>
        <v>2000</v>
      </c>
    </row>
    <row r="83" spans="1:31" ht="26.1" customHeight="1">
      <c r="A83" s="97" t="s">
        <v>74</v>
      </c>
      <c r="B83" s="93" t="s">
        <v>426</v>
      </c>
      <c r="C83" s="695" t="s">
        <v>66</v>
      </c>
      <c r="D83" s="162" t="s">
        <v>427</v>
      </c>
      <c r="E83" s="163" t="s">
        <v>30</v>
      </c>
      <c r="F83" s="696" t="s">
        <v>428</v>
      </c>
      <c r="G83" s="164">
        <v>6460</v>
      </c>
      <c r="H83" s="164">
        <v>6460</v>
      </c>
      <c r="I83" s="22">
        <v>1500</v>
      </c>
      <c r="J83" s="22">
        <v>1500</v>
      </c>
      <c r="K83" s="164">
        <v>5500</v>
      </c>
      <c r="L83" s="164">
        <v>5500</v>
      </c>
      <c r="M83" s="175"/>
      <c r="N83" s="1056">
        <v>4000</v>
      </c>
      <c r="O83" s="1056">
        <v>4000</v>
      </c>
      <c r="P83" s="1056"/>
      <c r="Q83" s="1056">
        <v>4000</v>
      </c>
      <c r="R83" s="1056">
        <v>4000</v>
      </c>
      <c r="S83" s="1057"/>
      <c r="T83" s="73">
        <f t="shared" si="55"/>
        <v>4000</v>
      </c>
      <c r="U83" s="1147"/>
      <c r="V83" s="176">
        <v>4000</v>
      </c>
      <c r="W83" s="513" t="s">
        <v>1526</v>
      </c>
      <c r="X83" s="178"/>
      <c r="Y83" s="177">
        <v>1</v>
      </c>
      <c r="Z83" s="965">
        <f t="shared" si="56"/>
        <v>4000</v>
      </c>
      <c r="AA83" s="1056"/>
      <c r="AB83" s="1056">
        <v>4000</v>
      </c>
      <c r="AC83" s="1104"/>
      <c r="AE83" s="990">
        <f t="shared" si="57"/>
        <v>4000</v>
      </c>
    </row>
    <row r="84" spans="1:31" ht="26.1" customHeight="1">
      <c r="A84" s="97" t="s">
        <v>141</v>
      </c>
      <c r="B84" s="93" t="s">
        <v>429</v>
      </c>
      <c r="C84" s="695" t="s">
        <v>66</v>
      </c>
      <c r="D84" s="162" t="s">
        <v>427</v>
      </c>
      <c r="E84" s="163" t="s">
        <v>30</v>
      </c>
      <c r="F84" s="696" t="s">
        <v>430</v>
      </c>
      <c r="G84" s="164">
        <v>5284</v>
      </c>
      <c r="H84" s="164">
        <v>5284</v>
      </c>
      <c r="I84" s="22">
        <v>1500</v>
      </c>
      <c r="J84" s="22">
        <v>1500</v>
      </c>
      <c r="K84" s="164">
        <v>4500</v>
      </c>
      <c r="L84" s="164">
        <v>4500</v>
      </c>
      <c r="M84" s="175"/>
      <c r="N84" s="1056">
        <v>3000</v>
      </c>
      <c r="O84" s="1056">
        <v>3000</v>
      </c>
      <c r="P84" s="1056"/>
      <c r="Q84" s="1056">
        <v>3000</v>
      </c>
      <c r="R84" s="1056">
        <v>3000</v>
      </c>
      <c r="S84" s="1057"/>
      <c r="T84" s="73">
        <f t="shared" si="55"/>
        <v>3000</v>
      </c>
      <c r="U84" s="1147"/>
      <c r="V84" s="176">
        <v>3000</v>
      </c>
      <c r="W84" s="513" t="s">
        <v>1526</v>
      </c>
      <c r="X84" s="178"/>
      <c r="Y84" s="177">
        <v>1</v>
      </c>
      <c r="Z84" s="965">
        <f t="shared" si="56"/>
        <v>3000</v>
      </c>
      <c r="AA84" s="1056"/>
      <c r="AB84" s="1056">
        <v>3000</v>
      </c>
      <c r="AC84" s="1104"/>
      <c r="AE84" s="990">
        <f t="shared" si="57"/>
        <v>3000</v>
      </c>
    </row>
    <row r="85" spans="1:31" ht="28.5">
      <c r="A85" s="11" t="s">
        <v>116</v>
      </c>
      <c r="B85" s="65" t="s">
        <v>117</v>
      </c>
      <c r="C85" s="89"/>
      <c r="D85" s="13"/>
      <c r="E85" s="14"/>
      <c r="F85" s="89"/>
      <c r="G85" s="15">
        <f t="shared" ref="G85:V85" si="58">SUM(G86:G88,G91:G96)</f>
        <v>2779654</v>
      </c>
      <c r="H85" s="15">
        <f t="shared" si="58"/>
        <v>1096418</v>
      </c>
      <c r="I85" s="15">
        <f t="shared" si="58"/>
        <v>1373597</v>
      </c>
      <c r="J85" s="15">
        <f t="shared" si="58"/>
        <v>327043</v>
      </c>
      <c r="K85" s="15">
        <f t="shared" si="58"/>
        <v>1633245</v>
      </c>
      <c r="L85" s="15">
        <f t="shared" si="58"/>
        <v>955087</v>
      </c>
      <c r="M85" s="15">
        <f t="shared" si="58"/>
        <v>0</v>
      </c>
      <c r="N85" s="1053">
        <f t="shared" si="58"/>
        <v>499100</v>
      </c>
      <c r="O85" s="1053">
        <f t="shared" si="58"/>
        <v>343902</v>
      </c>
      <c r="P85" s="1053">
        <f t="shared" si="58"/>
        <v>0</v>
      </c>
      <c r="Q85" s="1053">
        <f t="shared" si="58"/>
        <v>330902</v>
      </c>
      <c r="R85" s="1053">
        <f t="shared" si="58"/>
        <v>330902</v>
      </c>
      <c r="S85" s="1053">
        <f t="shared" si="58"/>
        <v>0</v>
      </c>
      <c r="T85" s="15">
        <f t="shared" si="58"/>
        <v>218641</v>
      </c>
      <c r="U85" s="1145">
        <f t="shared" si="58"/>
        <v>188000</v>
      </c>
      <c r="V85" s="15">
        <f t="shared" si="58"/>
        <v>30641</v>
      </c>
      <c r="W85" s="89"/>
      <c r="X85" s="89"/>
      <c r="Y85" s="15">
        <f>SUM(Y86:Y88,Y91:Y96)</f>
        <v>9</v>
      </c>
      <c r="Z85" s="1053">
        <f t="shared" ref="Z85:AB85" si="59">SUM(Z86:Z88,Z91:Z96)</f>
        <v>228641</v>
      </c>
      <c r="AA85" s="1053">
        <f t="shared" si="59"/>
        <v>198000</v>
      </c>
      <c r="AB85" s="1053">
        <f t="shared" si="59"/>
        <v>30641</v>
      </c>
      <c r="AC85" s="1101"/>
    </row>
    <row r="86" spans="1:31" ht="45">
      <c r="A86" s="97" t="s">
        <v>27</v>
      </c>
      <c r="B86" s="184" t="s">
        <v>402</v>
      </c>
      <c r="C86" s="24" t="s">
        <v>143</v>
      </c>
      <c r="D86" s="185" t="s">
        <v>403</v>
      </c>
      <c r="E86" s="186" t="s">
        <v>404</v>
      </c>
      <c r="F86" s="697" t="s">
        <v>405</v>
      </c>
      <c r="G86" s="96">
        <v>962215</v>
      </c>
      <c r="H86" s="96">
        <v>414980</v>
      </c>
      <c r="I86" s="182">
        <f>676748+60000</f>
        <v>736748</v>
      </c>
      <c r="J86" s="182">
        <v>161263</v>
      </c>
      <c r="K86" s="23">
        <v>353406</v>
      </c>
      <c r="L86" s="164">
        <v>284571</v>
      </c>
      <c r="M86" s="22"/>
      <c r="N86" s="1058">
        <v>150000</v>
      </c>
      <c r="O86" s="1058">
        <v>150000</v>
      </c>
      <c r="P86" s="1058"/>
      <c r="Q86" s="1058">
        <v>150000</v>
      </c>
      <c r="R86" s="1058">
        <v>150000</v>
      </c>
      <c r="S86" s="1051"/>
      <c r="T86" s="73">
        <f>SUM(U86:V86)</f>
        <v>73000</v>
      </c>
      <c r="U86" s="1148">
        <v>73000</v>
      </c>
      <c r="V86" s="133"/>
      <c r="W86" s="513" t="s">
        <v>1518</v>
      </c>
      <c r="X86" s="24"/>
      <c r="Y86" s="133">
        <v>1</v>
      </c>
      <c r="Z86" s="965">
        <f>SUM(AA86:AB86)</f>
        <v>83000</v>
      </c>
      <c r="AA86" s="1058">
        <v>83000</v>
      </c>
      <c r="AB86" s="1051"/>
      <c r="AC86" s="1099"/>
    </row>
    <row r="87" spans="1:31" ht="26.1" customHeight="1">
      <c r="A87" s="97" t="s">
        <v>41</v>
      </c>
      <c r="B87" s="184" t="s">
        <v>406</v>
      </c>
      <c r="C87" s="24" t="s">
        <v>85</v>
      </c>
      <c r="D87" s="70" t="s">
        <v>407</v>
      </c>
      <c r="E87" s="70" t="s">
        <v>404</v>
      </c>
      <c r="F87" s="697" t="s">
        <v>408</v>
      </c>
      <c r="G87" s="96">
        <v>571675</v>
      </c>
      <c r="H87" s="96">
        <v>238919</v>
      </c>
      <c r="I87" s="182">
        <f>358298+22000</f>
        <v>380298</v>
      </c>
      <c r="J87" s="182">
        <f>71281+22000</f>
        <v>93281</v>
      </c>
      <c r="K87" s="23">
        <v>208892</v>
      </c>
      <c r="L87" s="164">
        <v>143747</v>
      </c>
      <c r="M87" s="22"/>
      <c r="N87" s="1197">
        <v>120000</v>
      </c>
      <c r="O87" s="1197">
        <v>74261</v>
      </c>
      <c r="P87" s="1197"/>
      <c r="Q87" s="1058">
        <v>74261</v>
      </c>
      <c r="R87" s="1058">
        <v>74261</v>
      </c>
      <c r="S87" s="1051"/>
      <c r="T87" s="73">
        <f>SUM(U87:V87)</f>
        <v>65000</v>
      </c>
      <c r="U87" s="1148">
        <v>65000</v>
      </c>
      <c r="V87" s="133"/>
      <c r="W87" s="513" t="s">
        <v>1525</v>
      </c>
      <c r="X87" s="24"/>
      <c r="Y87" s="133">
        <v>1</v>
      </c>
      <c r="Z87" s="965">
        <f>SUM(AA87:AB87)</f>
        <v>65000</v>
      </c>
      <c r="AA87" s="1058">
        <v>65000</v>
      </c>
      <c r="AB87" s="1051"/>
      <c r="AC87" s="1099"/>
    </row>
    <row r="88" spans="1:31" ht="89.25">
      <c r="A88" s="97" t="s">
        <v>58</v>
      </c>
      <c r="B88" s="93" t="s">
        <v>431</v>
      </c>
      <c r="C88" s="695" t="s">
        <v>432</v>
      </c>
      <c r="D88" s="162" t="s">
        <v>433</v>
      </c>
      <c r="E88" s="163" t="s">
        <v>338</v>
      </c>
      <c r="F88" s="698" t="s">
        <v>434</v>
      </c>
      <c r="G88" s="164">
        <f t="shared" ref="G88:V88" si="60">SUM(G89:G90)</f>
        <v>994699</v>
      </c>
      <c r="H88" s="164">
        <f t="shared" si="60"/>
        <v>226807</v>
      </c>
      <c r="I88" s="164">
        <f t="shared" si="60"/>
        <v>233052</v>
      </c>
      <c r="J88" s="164">
        <f t="shared" si="60"/>
        <v>49000</v>
      </c>
      <c r="K88" s="164">
        <f t="shared" si="60"/>
        <v>825059</v>
      </c>
      <c r="L88" s="164">
        <f t="shared" si="60"/>
        <v>316234</v>
      </c>
      <c r="M88" s="164">
        <f t="shared" si="60"/>
        <v>0</v>
      </c>
      <c r="N88" s="1056">
        <f t="shared" si="60"/>
        <v>115000</v>
      </c>
      <c r="O88" s="1056">
        <f t="shared" si="60"/>
        <v>30000</v>
      </c>
      <c r="P88" s="1056">
        <f t="shared" si="60"/>
        <v>0</v>
      </c>
      <c r="Q88" s="1056">
        <f t="shared" si="60"/>
        <v>30000</v>
      </c>
      <c r="R88" s="1056">
        <f t="shared" si="60"/>
        <v>30000</v>
      </c>
      <c r="S88" s="1057">
        <f t="shared" si="60"/>
        <v>0</v>
      </c>
      <c r="T88" s="73">
        <f t="shared" si="60"/>
        <v>30000</v>
      </c>
      <c r="U88" s="1147">
        <f t="shared" si="60"/>
        <v>30000</v>
      </c>
      <c r="V88" s="176">
        <f t="shared" si="60"/>
        <v>0</v>
      </c>
      <c r="W88" s="513" t="s">
        <v>1524</v>
      </c>
      <c r="X88" s="735"/>
      <c r="Y88" s="176">
        <v>1</v>
      </c>
      <c r="Z88" s="965">
        <f t="shared" ref="Z88:AB88" si="61">SUM(Z89:Z90)</f>
        <v>30000</v>
      </c>
      <c r="AA88" s="1056">
        <f t="shared" si="61"/>
        <v>30000</v>
      </c>
      <c r="AB88" s="1056">
        <f t="shared" si="61"/>
        <v>0</v>
      </c>
      <c r="AC88" s="1104"/>
    </row>
    <row r="89" spans="1:31" ht="30">
      <c r="A89" s="190"/>
      <c r="B89" s="93" t="s">
        <v>435</v>
      </c>
      <c r="C89" s="695" t="s">
        <v>60</v>
      </c>
      <c r="D89" s="162"/>
      <c r="E89" s="163" t="s">
        <v>94</v>
      </c>
      <c r="F89" s="696" t="s">
        <v>436</v>
      </c>
      <c r="G89" s="164">
        <v>348233</v>
      </c>
      <c r="H89" s="164">
        <v>73658</v>
      </c>
      <c r="I89" s="164">
        <f>134052+34000</f>
        <v>168052</v>
      </c>
      <c r="J89" s="22">
        <v>34000</v>
      </c>
      <c r="K89" s="77">
        <v>243240</v>
      </c>
      <c r="L89" s="22">
        <v>75131</v>
      </c>
      <c r="M89" s="22"/>
      <c r="N89" s="1056">
        <v>85000</v>
      </c>
      <c r="O89" s="1056">
        <v>10000</v>
      </c>
      <c r="P89" s="1056"/>
      <c r="Q89" s="1056">
        <f>SUM(R89:S89)</f>
        <v>10000</v>
      </c>
      <c r="R89" s="1056">
        <v>10000</v>
      </c>
      <c r="S89" s="1057"/>
      <c r="T89" s="73">
        <f t="shared" ref="T89:T96" si="62">SUM(U89:V89)</f>
        <v>10000</v>
      </c>
      <c r="U89" s="1147">
        <v>10000</v>
      </c>
      <c r="V89" s="176"/>
      <c r="W89" s="729"/>
      <c r="X89" s="24"/>
      <c r="Y89" s="176"/>
      <c r="Z89" s="965">
        <f t="shared" ref="Z89:Z96" si="63">SUM(AA89:AB89)</f>
        <v>10000</v>
      </c>
      <c r="AA89" s="1056">
        <v>10000</v>
      </c>
      <c r="AB89" s="1056"/>
      <c r="AC89" s="1104"/>
    </row>
    <row r="90" spans="1:31" ht="30">
      <c r="A90" s="190"/>
      <c r="B90" s="93" t="s">
        <v>437</v>
      </c>
      <c r="C90" s="695" t="s">
        <v>432</v>
      </c>
      <c r="D90" s="162"/>
      <c r="E90" s="163" t="s">
        <v>120</v>
      </c>
      <c r="F90" s="696" t="s">
        <v>438</v>
      </c>
      <c r="G90" s="164">
        <v>646466</v>
      </c>
      <c r="H90" s="164">
        <f>646466-493317</f>
        <v>153149</v>
      </c>
      <c r="I90" s="164">
        <f>50000+15000</f>
        <v>65000</v>
      </c>
      <c r="J90" s="164">
        <v>15000</v>
      </c>
      <c r="K90" s="277">
        <v>581819</v>
      </c>
      <c r="L90" s="164">
        <v>241103</v>
      </c>
      <c r="M90" s="22"/>
      <c r="N90" s="1056">
        <v>30000</v>
      </c>
      <c r="O90" s="1056">
        <v>20000</v>
      </c>
      <c r="P90" s="1056"/>
      <c r="Q90" s="1056">
        <f>SUM(R90:S90)</f>
        <v>20000</v>
      </c>
      <c r="R90" s="1056">
        <v>20000</v>
      </c>
      <c r="S90" s="1057"/>
      <c r="T90" s="73">
        <f t="shared" si="62"/>
        <v>20000</v>
      </c>
      <c r="U90" s="1147">
        <v>20000</v>
      </c>
      <c r="V90" s="176"/>
      <c r="W90" s="729"/>
      <c r="X90" s="24"/>
      <c r="Y90" s="176"/>
      <c r="Z90" s="965">
        <f t="shared" si="63"/>
        <v>20000</v>
      </c>
      <c r="AA90" s="1056">
        <v>20000</v>
      </c>
      <c r="AB90" s="1056"/>
      <c r="AC90" s="1104"/>
    </row>
    <row r="91" spans="1:31" ht="30">
      <c r="A91" s="190" t="s">
        <v>64</v>
      </c>
      <c r="B91" s="151" t="s">
        <v>439</v>
      </c>
      <c r="C91" s="696" t="s">
        <v>66</v>
      </c>
      <c r="D91" s="172" t="s">
        <v>440</v>
      </c>
      <c r="E91" s="120" t="s">
        <v>120</v>
      </c>
      <c r="F91" s="696" t="s">
        <v>441</v>
      </c>
      <c r="G91" s="173">
        <v>96996</v>
      </c>
      <c r="H91" s="173">
        <v>96996</v>
      </c>
      <c r="I91" s="173">
        <v>15000</v>
      </c>
      <c r="J91" s="173">
        <v>15000</v>
      </c>
      <c r="K91" s="173">
        <v>96996</v>
      </c>
      <c r="L91" s="173">
        <v>96996</v>
      </c>
      <c r="M91" s="22"/>
      <c r="N91" s="1051">
        <v>33000</v>
      </c>
      <c r="O91" s="1051">
        <v>33000</v>
      </c>
      <c r="P91" s="1051"/>
      <c r="Q91" s="1051">
        <v>20000</v>
      </c>
      <c r="R91" s="1051">
        <v>20000</v>
      </c>
      <c r="S91" s="1051"/>
      <c r="T91" s="73">
        <f t="shared" si="62"/>
        <v>5000</v>
      </c>
      <c r="U91" s="1142">
        <v>5000</v>
      </c>
      <c r="V91" s="133"/>
      <c r="W91" s="729" t="s">
        <v>1526</v>
      </c>
      <c r="X91" s="24"/>
      <c r="Y91" s="133">
        <v>1</v>
      </c>
      <c r="Z91" s="965">
        <f t="shared" si="63"/>
        <v>5000</v>
      </c>
      <c r="AA91" s="1051">
        <v>5000</v>
      </c>
      <c r="AB91" s="1051"/>
      <c r="AC91" s="1099"/>
    </row>
    <row r="92" spans="1:31" ht="37.5" customHeight="1">
      <c r="A92" s="190" t="s">
        <v>69</v>
      </c>
      <c r="B92" s="171" t="s">
        <v>445</v>
      </c>
      <c r="C92" s="696" t="s">
        <v>85</v>
      </c>
      <c r="D92" s="172" t="s">
        <v>446</v>
      </c>
      <c r="E92" s="163" t="s">
        <v>30</v>
      </c>
      <c r="F92" s="696" t="s">
        <v>447</v>
      </c>
      <c r="G92" s="173">
        <v>42248</v>
      </c>
      <c r="H92" s="173">
        <v>42248</v>
      </c>
      <c r="I92" s="173">
        <v>699</v>
      </c>
      <c r="J92" s="173">
        <v>699</v>
      </c>
      <c r="K92" s="173">
        <v>41871</v>
      </c>
      <c r="L92" s="173">
        <v>41871</v>
      </c>
      <c r="M92" s="22"/>
      <c r="N92" s="1051">
        <v>20000</v>
      </c>
      <c r="O92" s="1051">
        <v>20000</v>
      </c>
      <c r="P92" s="1051"/>
      <c r="Q92" s="1051">
        <v>20000</v>
      </c>
      <c r="R92" s="1051">
        <v>20000</v>
      </c>
      <c r="S92" s="1051"/>
      <c r="T92" s="73">
        <f t="shared" si="62"/>
        <v>15000</v>
      </c>
      <c r="U92" s="1142">
        <v>15000</v>
      </c>
      <c r="V92" s="133"/>
      <c r="W92" s="513" t="s">
        <v>1524</v>
      </c>
      <c r="X92" s="24"/>
      <c r="Y92" s="133">
        <v>1</v>
      </c>
      <c r="Z92" s="965">
        <f t="shared" si="63"/>
        <v>15000</v>
      </c>
      <c r="AA92" s="1051">
        <v>15000</v>
      </c>
      <c r="AB92" s="1051"/>
      <c r="AC92" s="1099"/>
    </row>
    <row r="93" spans="1:31" ht="26.1" customHeight="1">
      <c r="A93" s="190" t="s">
        <v>74</v>
      </c>
      <c r="B93" s="183" t="s">
        <v>448</v>
      </c>
      <c r="C93" s="1186" t="s">
        <v>29</v>
      </c>
      <c r="D93" s="162" t="s">
        <v>449</v>
      </c>
      <c r="E93" s="163" t="s">
        <v>30</v>
      </c>
      <c r="F93" s="696" t="s">
        <v>450</v>
      </c>
      <c r="G93" s="164">
        <v>22711</v>
      </c>
      <c r="H93" s="164">
        <v>5141</v>
      </c>
      <c r="I93" s="173"/>
      <c r="J93" s="173"/>
      <c r="K93" s="173">
        <v>22711</v>
      </c>
      <c r="L93" s="164">
        <v>5141</v>
      </c>
      <c r="M93" s="22"/>
      <c r="N93" s="1051">
        <v>10000</v>
      </c>
      <c r="O93" s="1051">
        <v>5141</v>
      </c>
      <c r="P93" s="1051"/>
      <c r="Q93" s="1051">
        <v>5141</v>
      </c>
      <c r="R93" s="1051">
        <v>5141</v>
      </c>
      <c r="S93" s="1051"/>
      <c r="T93" s="73">
        <f t="shared" si="62"/>
        <v>5141</v>
      </c>
      <c r="U93" s="1142"/>
      <c r="V93" s="133">
        <v>5141</v>
      </c>
      <c r="W93" s="729" t="s">
        <v>1527</v>
      </c>
      <c r="X93" s="24"/>
      <c r="Y93" s="133">
        <v>1</v>
      </c>
      <c r="Z93" s="965">
        <f t="shared" si="63"/>
        <v>5141</v>
      </c>
      <c r="AA93" s="1051"/>
      <c r="AB93" s="1051">
        <v>5141</v>
      </c>
      <c r="AC93" s="1099"/>
    </row>
    <row r="94" spans="1:31" ht="60.75" customHeight="1">
      <c r="A94" s="190" t="s">
        <v>141</v>
      </c>
      <c r="B94" s="93" t="s">
        <v>451</v>
      </c>
      <c r="C94" s="695"/>
      <c r="D94" s="162" t="s">
        <v>452</v>
      </c>
      <c r="E94" s="163" t="s">
        <v>30</v>
      </c>
      <c r="F94" s="696" t="s">
        <v>453</v>
      </c>
      <c r="G94" s="164">
        <v>32583</v>
      </c>
      <c r="H94" s="173">
        <v>14800</v>
      </c>
      <c r="I94" s="173">
        <v>4800</v>
      </c>
      <c r="J94" s="173">
        <v>4800</v>
      </c>
      <c r="K94" s="173">
        <f>G94-I94</f>
        <v>27783</v>
      </c>
      <c r="L94" s="22">
        <f>H94-J94</f>
        <v>10000</v>
      </c>
      <c r="M94" s="22"/>
      <c r="N94" s="1051">
        <v>29600</v>
      </c>
      <c r="O94" s="1051">
        <v>10000</v>
      </c>
      <c r="P94" s="1051"/>
      <c r="Q94" s="1051">
        <v>10000</v>
      </c>
      <c r="R94" s="1051">
        <v>10000</v>
      </c>
      <c r="S94" s="1051"/>
      <c r="T94" s="73">
        <f t="shared" si="62"/>
        <v>9000</v>
      </c>
      <c r="U94" s="1142"/>
      <c r="V94" s="133">
        <v>9000</v>
      </c>
      <c r="W94" s="729" t="s">
        <v>1527</v>
      </c>
      <c r="X94" s="24"/>
      <c r="Y94" s="133">
        <v>1</v>
      </c>
      <c r="Z94" s="965">
        <f t="shared" si="63"/>
        <v>9000</v>
      </c>
      <c r="AA94" s="1051"/>
      <c r="AB94" s="1051">
        <v>9000</v>
      </c>
      <c r="AC94" s="1099"/>
    </row>
    <row r="95" spans="1:31" ht="35.25" customHeight="1">
      <c r="A95" s="190" t="s">
        <v>146</v>
      </c>
      <c r="B95" s="93" t="s">
        <v>454</v>
      </c>
      <c r="C95" s="696" t="s">
        <v>71</v>
      </c>
      <c r="D95" s="162" t="s">
        <v>455</v>
      </c>
      <c r="E95" s="163" t="s">
        <v>30</v>
      </c>
      <c r="F95" s="696" t="s">
        <v>456</v>
      </c>
      <c r="G95" s="164">
        <v>37999</v>
      </c>
      <c r="H95" s="164">
        <v>37999</v>
      </c>
      <c r="I95" s="173">
        <v>1000</v>
      </c>
      <c r="J95" s="173">
        <v>1000</v>
      </c>
      <c r="K95" s="173">
        <v>37999</v>
      </c>
      <c r="L95" s="164">
        <v>37999</v>
      </c>
      <c r="M95" s="22"/>
      <c r="N95" s="1051">
        <v>15000</v>
      </c>
      <c r="O95" s="1051">
        <v>15000</v>
      </c>
      <c r="P95" s="1051"/>
      <c r="Q95" s="1051">
        <v>15000</v>
      </c>
      <c r="R95" s="1051">
        <v>15000</v>
      </c>
      <c r="S95" s="1051"/>
      <c r="T95" s="73">
        <f t="shared" si="62"/>
        <v>10000</v>
      </c>
      <c r="U95" s="1142"/>
      <c r="V95" s="133">
        <v>10000</v>
      </c>
      <c r="W95" s="729" t="s">
        <v>1516</v>
      </c>
      <c r="X95" s="24"/>
      <c r="Y95" s="133">
        <v>1</v>
      </c>
      <c r="Z95" s="965">
        <f t="shared" si="63"/>
        <v>10000</v>
      </c>
      <c r="AA95" s="1051"/>
      <c r="AB95" s="1051">
        <v>10000</v>
      </c>
      <c r="AC95" s="1099"/>
    </row>
    <row r="96" spans="1:31" ht="26.1" customHeight="1">
      <c r="A96" s="190" t="s">
        <v>179</v>
      </c>
      <c r="B96" s="93" t="s">
        <v>457</v>
      </c>
      <c r="C96" s="696" t="s">
        <v>60</v>
      </c>
      <c r="D96" s="162" t="s">
        <v>458</v>
      </c>
      <c r="E96" s="163" t="s">
        <v>30</v>
      </c>
      <c r="F96" s="696" t="s">
        <v>459</v>
      </c>
      <c r="G96" s="164">
        <v>18528</v>
      </c>
      <c r="H96" s="164">
        <v>18528</v>
      </c>
      <c r="I96" s="173">
        <v>2000</v>
      </c>
      <c r="J96" s="173">
        <v>2000</v>
      </c>
      <c r="K96" s="173">
        <v>18528</v>
      </c>
      <c r="L96" s="164">
        <v>18528</v>
      </c>
      <c r="M96" s="22"/>
      <c r="N96" s="1051">
        <v>6500</v>
      </c>
      <c r="O96" s="1051">
        <v>6500</v>
      </c>
      <c r="P96" s="1051"/>
      <c r="Q96" s="1051">
        <v>6500</v>
      </c>
      <c r="R96" s="1051">
        <v>6500</v>
      </c>
      <c r="S96" s="1051"/>
      <c r="T96" s="73">
        <f t="shared" si="62"/>
        <v>6500</v>
      </c>
      <c r="U96" s="1142"/>
      <c r="V96" s="133">
        <v>6500</v>
      </c>
      <c r="W96" s="513" t="s">
        <v>1517</v>
      </c>
      <c r="X96" s="24"/>
      <c r="Y96" s="133">
        <v>1</v>
      </c>
      <c r="Z96" s="965">
        <f t="shared" si="63"/>
        <v>6500</v>
      </c>
      <c r="AA96" s="1051"/>
      <c r="AB96" s="1051">
        <v>6500</v>
      </c>
      <c r="AC96" s="1099"/>
      <c r="AE96" s="996">
        <f>V96</f>
        <v>6500</v>
      </c>
    </row>
    <row r="97" spans="1:42" ht="32.25" customHeight="1">
      <c r="A97" s="192" t="s">
        <v>150</v>
      </c>
      <c r="B97" s="159" t="s">
        <v>151</v>
      </c>
      <c r="C97" s="699"/>
      <c r="D97" s="160"/>
      <c r="E97" s="161"/>
      <c r="F97" s="699"/>
      <c r="G97" s="90">
        <f t="shared" ref="G97:V97" si="64">SUM(G98:G107)</f>
        <v>292654</v>
      </c>
      <c r="H97" s="90">
        <f t="shared" si="64"/>
        <v>253425</v>
      </c>
      <c r="I97" s="90">
        <f t="shared" si="64"/>
        <v>200</v>
      </c>
      <c r="J97" s="90">
        <f t="shared" si="64"/>
        <v>200</v>
      </c>
      <c r="K97" s="90">
        <f t="shared" si="64"/>
        <v>273467</v>
      </c>
      <c r="L97" s="90">
        <f t="shared" si="64"/>
        <v>243743</v>
      </c>
      <c r="M97" s="90">
        <f t="shared" si="64"/>
        <v>0</v>
      </c>
      <c r="N97" s="1038">
        <f t="shared" si="64"/>
        <v>124959</v>
      </c>
      <c r="O97" s="1038">
        <f t="shared" si="64"/>
        <v>95173</v>
      </c>
      <c r="P97" s="1038">
        <f t="shared" si="64"/>
        <v>0</v>
      </c>
      <c r="Q97" s="1038">
        <f t="shared" si="64"/>
        <v>67888</v>
      </c>
      <c r="R97" s="1038">
        <f t="shared" si="64"/>
        <v>67888</v>
      </c>
      <c r="S97" s="1038">
        <f t="shared" si="64"/>
        <v>0</v>
      </c>
      <c r="T97" s="90">
        <f t="shared" si="64"/>
        <v>67888</v>
      </c>
      <c r="U97" s="1130">
        <f t="shared" si="64"/>
        <v>0</v>
      </c>
      <c r="V97" s="90">
        <f t="shared" si="64"/>
        <v>67888</v>
      </c>
      <c r="W97" s="699"/>
      <c r="X97" s="699"/>
      <c r="Y97" s="90">
        <f>SUM(Y98:Y107)</f>
        <v>10</v>
      </c>
      <c r="Z97" s="1038">
        <f t="shared" ref="Z97:AB97" si="65">SUM(Z98:Z107)</f>
        <v>67888</v>
      </c>
      <c r="AA97" s="1038">
        <f t="shared" si="65"/>
        <v>0</v>
      </c>
      <c r="AB97" s="1038">
        <f t="shared" si="65"/>
        <v>67888</v>
      </c>
      <c r="AC97" s="1087"/>
    </row>
    <row r="98" spans="1:42" ht="45">
      <c r="A98" s="150">
        <v>1</v>
      </c>
      <c r="B98" s="151" t="s">
        <v>464</v>
      </c>
      <c r="C98" s="696" t="s">
        <v>66</v>
      </c>
      <c r="D98" s="172" t="s">
        <v>465</v>
      </c>
      <c r="E98" s="163" t="s">
        <v>120</v>
      </c>
      <c r="F98" s="698" t="s">
        <v>466</v>
      </c>
      <c r="G98" s="153">
        <v>80211</v>
      </c>
      <c r="H98" s="153">
        <v>80211</v>
      </c>
      <c r="I98" s="72"/>
      <c r="J98" s="72"/>
      <c r="K98" s="72">
        <f>G98-I98</f>
        <v>80211</v>
      </c>
      <c r="L98" s="72">
        <f>H98-J98</f>
        <v>80211</v>
      </c>
      <c r="M98" s="72"/>
      <c r="N98" s="965">
        <v>30000</v>
      </c>
      <c r="O98" s="965">
        <v>30000</v>
      </c>
      <c r="P98" s="965"/>
      <c r="Q98" s="965">
        <v>30000</v>
      </c>
      <c r="R98" s="965">
        <v>30000</v>
      </c>
      <c r="S98" s="965"/>
      <c r="T98" s="73">
        <f t="shared" ref="T98:T107" si="66">SUM(U98:V98)</f>
        <v>30000</v>
      </c>
      <c r="U98" s="1129"/>
      <c r="V98" s="73">
        <v>30000</v>
      </c>
      <c r="W98" s="513" t="s">
        <v>1524</v>
      </c>
      <c r="X98" s="24" t="s">
        <v>467</v>
      </c>
      <c r="Y98" s="73">
        <v>1</v>
      </c>
      <c r="Z98" s="965">
        <f t="shared" ref="Z98:Z107" si="67">SUM(AA98:AB98)</f>
        <v>30000</v>
      </c>
      <c r="AA98" s="965"/>
      <c r="AB98" s="965">
        <v>30000</v>
      </c>
      <c r="AC98" s="1086"/>
      <c r="AE98" s="996">
        <f>V98</f>
        <v>30000</v>
      </c>
    </row>
    <row r="99" spans="1:42" ht="26.1" customHeight="1">
      <c r="A99" s="150">
        <v>2</v>
      </c>
      <c r="B99" s="151" t="s">
        <v>468</v>
      </c>
      <c r="C99" s="696" t="s">
        <v>71</v>
      </c>
      <c r="D99" s="172" t="s">
        <v>469</v>
      </c>
      <c r="E99" s="163" t="s">
        <v>163</v>
      </c>
      <c r="F99" s="693" t="s">
        <v>470</v>
      </c>
      <c r="G99" s="175">
        <v>48146</v>
      </c>
      <c r="H99" s="175">
        <v>48146</v>
      </c>
      <c r="I99" s="72"/>
      <c r="J99" s="72"/>
      <c r="K99" s="175">
        <v>48146</v>
      </c>
      <c r="L99" s="175">
        <v>48146</v>
      </c>
      <c r="M99" s="72"/>
      <c r="N99" s="965">
        <v>10000</v>
      </c>
      <c r="O99" s="965">
        <v>10000</v>
      </c>
      <c r="P99" s="965"/>
      <c r="Q99" s="965">
        <v>10000</v>
      </c>
      <c r="R99" s="965">
        <v>10000</v>
      </c>
      <c r="S99" s="965"/>
      <c r="T99" s="73">
        <f t="shared" si="66"/>
        <v>10000</v>
      </c>
      <c r="U99" s="1129"/>
      <c r="V99" s="73">
        <v>10000</v>
      </c>
      <c r="W99" s="513" t="s">
        <v>1524</v>
      </c>
      <c r="X99" s="24"/>
      <c r="Y99" s="73">
        <v>1</v>
      </c>
      <c r="Z99" s="965">
        <f t="shared" si="67"/>
        <v>10000</v>
      </c>
      <c r="AA99" s="965"/>
      <c r="AB99" s="965">
        <v>10000</v>
      </c>
      <c r="AC99" s="1086"/>
    </row>
    <row r="100" spans="1:42" s="194" customFormat="1" ht="30">
      <c r="A100" s="150">
        <v>3</v>
      </c>
      <c r="B100" s="280" t="s">
        <v>471</v>
      </c>
      <c r="C100" s="24" t="s">
        <v>29</v>
      </c>
      <c r="D100" s="70" t="s">
        <v>472</v>
      </c>
      <c r="E100" s="70" t="s">
        <v>120</v>
      </c>
      <c r="F100" s="24" t="s">
        <v>473</v>
      </c>
      <c r="G100" s="596">
        <v>6299</v>
      </c>
      <c r="H100" s="596">
        <v>6299</v>
      </c>
      <c r="I100" s="72"/>
      <c r="J100" s="72"/>
      <c r="K100" s="173">
        <v>5888</v>
      </c>
      <c r="L100" s="173">
        <v>5888</v>
      </c>
      <c r="M100" s="72"/>
      <c r="N100" s="1059">
        <v>5888</v>
      </c>
      <c r="O100" s="1059">
        <v>5888</v>
      </c>
      <c r="P100" s="1059"/>
      <c r="Q100" s="1059">
        <v>5888</v>
      </c>
      <c r="R100" s="1059">
        <v>5888</v>
      </c>
      <c r="S100" s="965"/>
      <c r="T100" s="73">
        <f t="shared" si="66"/>
        <v>5888</v>
      </c>
      <c r="U100" s="1149"/>
      <c r="V100" s="605">
        <v>5888</v>
      </c>
      <c r="W100" s="729" t="s">
        <v>1528</v>
      </c>
      <c r="X100" s="24"/>
      <c r="Y100" s="605">
        <v>1</v>
      </c>
      <c r="Z100" s="965">
        <f t="shared" si="67"/>
        <v>5888</v>
      </c>
      <c r="AA100" s="1059"/>
      <c r="AB100" s="1059">
        <v>5888</v>
      </c>
      <c r="AC100" s="1105"/>
      <c r="AD100" s="657"/>
      <c r="AE100" s="990"/>
      <c r="AF100" s="811"/>
      <c r="AG100" s="551"/>
      <c r="AH100" s="551"/>
      <c r="AI100" s="551"/>
    </row>
    <row r="101" spans="1:42" ht="30">
      <c r="A101" s="150">
        <v>4</v>
      </c>
      <c r="B101" s="280" t="s">
        <v>1617</v>
      </c>
      <c r="C101" s="24" t="s">
        <v>29</v>
      </c>
      <c r="D101" s="70" t="s">
        <v>1618</v>
      </c>
      <c r="E101" s="70" t="s">
        <v>30</v>
      </c>
      <c r="F101" s="24" t="s">
        <v>1619</v>
      </c>
      <c r="G101" s="596">
        <v>14626</v>
      </c>
      <c r="H101" s="596">
        <v>6943</v>
      </c>
      <c r="I101" s="72"/>
      <c r="J101" s="72"/>
      <c r="K101" s="173">
        <v>14626</v>
      </c>
      <c r="L101" s="173">
        <v>6943</v>
      </c>
      <c r="M101" s="72"/>
      <c r="N101" s="1059">
        <v>5000</v>
      </c>
      <c r="O101" s="1059">
        <v>3000</v>
      </c>
      <c r="P101" s="1059"/>
      <c r="Q101" s="965">
        <f>SUM(R101:S101)</f>
        <v>3000</v>
      </c>
      <c r="R101" s="1059">
        <v>3000</v>
      </c>
      <c r="S101" s="965"/>
      <c r="T101" s="73">
        <f t="shared" si="66"/>
        <v>3000</v>
      </c>
      <c r="U101" s="1149"/>
      <c r="V101" s="605">
        <v>3000</v>
      </c>
      <c r="W101" s="729" t="s">
        <v>1620</v>
      </c>
      <c r="X101" s="24"/>
      <c r="Y101" s="605">
        <v>1</v>
      </c>
      <c r="Z101" s="965">
        <f t="shared" si="67"/>
        <v>3000</v>
      </c>
      <c r="AA101" s="1059"/>
      <c r="AB101" s="1059">
        <v>3000</v>
      </c>
      <c r="AC101" s="1105"/>
    </row>
    <row r="102" spans="1:42" s="194" customFormat="1" ht="102">
      <c r="A102" s="150">
        <v>5</v>
      </c>
      <c r="B102" s="280" t="s">
        <v>474</v>
      </c>
      <c r="C102" s="24" t="s">
        <v>112</v>
      </c>
      <c r="D102" s="70" t="s">
        <v>475</v>
      </c>
      <c r="E102" s="307" t="s">
        <v>30</v>
      </c>
      <c r="F102" s="24" t="s">
        <v>476</v>
      </c>
      <c r="G102" s="596">
        <v>19245</v>
      </c>
      <c r="H102" s="596">
        <v>9623</v>
      </c>
      <c r="I102" s="72"/>
      <c r="J102" s="72"/>
      <c r="K102" s="173"/>
      <c r="L102" s="173"/>
      <c r="M102" s="72"/>
      <c r="N102" s="1059">
        <v>11723</v>
      </c>
      <c r="O102" s="1059">
        <v>7200</v>
      </c>
      <c r="P102" s="1059"/>
      <c r="Q102" s="1059">
        <v>3000</v>
      </c>
      <c r="R102" s="1059">
        <v>3000</v>
      </c>
      <c r="S102" s="965"/>
      <c r="T102" s="73">
        <f t="shared" si="66"/>
        <v>3000</v>
      </c>
      <c r="U102" s="1149"/>
      <c r="V102" s="605">
        <v>3000</v>
      </c>
      <c r="W102" s="513" t="s">
        <v>1529</v>
      </c>
      <c r="X102" s="24"/>
      <c r="Y102" s="605">
        <v>1</v>
      </c>
      <c r="Z102" s="965">
        <f t="shared" si="67"/>
        <v>3000</v>
      </c>
      <c r="AA102" s="1059"/>
      <c r="AB102" s="1059">
        <v>3000</v>
      </c>
      <c r="AC102" s="1105"/>
      <c r="AD102" s="657"/>
      <c r="AE102" s="996">
        <f t="shared" ref="AE102:AE107" si="68">V102</f>
        <v>3000</v>
      </c>
      <c r="AF102" s="811"/>
      <c r="AG102" s="551"/>
      <c r="AH102" s="551"/>
      <c r="AI102" s="551"/>
    </row>
    <row r="103" spans="1:42" ht="50.25" customHeight="1">
      <c r="A103" s="150">
        <v>6</v>
      </c>
      <c r="B103" s="151" t="s">
        <v>477</v>
      </c>
      <c r="C103" s="696" t="s">
        <v>112</v>
      </c>
      <c r="D103" s="606" t="s">
        <v>478</v>
      </c>
      <c r="E103" s="307" t="s">
        <v>166</v>
      </c>
      <c r="F103" s="696" t="s">
        <v>479</v>
      </c>
      <c r="G103" s="173">
        <v>5381</v>
      </c>
      <c r="H103" s="173">
        <v>5381</v>
      </c>
      <c r="I103" s="72">
        <v>100</v>
      </c>
      <c r="J103" s="72">
        <v>100</v>
      </c>
      <c r="K103" s="173">
        <v>5733</v>
      </c>
      <c r="L103" s="173">
        <v>5733</v>
      </c>
      <c r="M103" s="72"/>
      <c r="N103" s="965">
        <v>5281</v>
      </c>
      <c r="O103" s="965">
        <v>5281</v>
      </c>
      <c r="P103" s="965"/>
      <c r="Q103" s="965">
        <v>2000</v>
      </c>
      <c r="R103" s="965">
        <v>2000</v>
      </c>
      <c r="S103" s="965"/>
      <c r="T103" s="73">
        <f t="shared" si="66"/>
        <v>2000</v>
      </c>
      <c r="U103" s="1129"/>
      <c r="V103" s="73">
        <v>2000</v>
      </c>
      <c r="W103" s="513" t="s">
        <v>1529</v>
      </c>
      <c r="X103" s="24"/>
      <c r="Y103" s="73">
        <v>1</v>
      </c>
      <c r="Z103" s="965">
        <f t="shared" si="67"/>
        <v>2000</v>
      </c>
      <c r="AA103" s="965"/>
      <c r="AB103" s="965">
        <v>2000</v>
      </c>
      <c r="AC103" s="1086"/>
      <c r="AE103" s="996">
        <f t="shared" si="68"/>
        <v>2000</v>
      </c>
    </row>
    <row r="104" spans="1:42" ht="45">
      <c r="A104" s="150">
        <v>7</v>
      </c>
      <c r="B104" s="151" t="s">
        <v>480</v>
      </c>
      <c r="C104" s="696" t="s">
        <v>112</v>
      </c>
      <c r="D104" s="172" t="s">
        <v>481</v>
      </c>
      <c r="E104" s="163" t="s">
        <v>154</v>
      </c>
      <c r="F104" s="696" t="s">
        <v>482</v>
      </c>
      <c r="G104" s="173">
        <v>12030</v>
      </c>
      <c r="H104" s="173">
        <v>12030</v>
      </c>
      <c r="I104" s="72">
        <v>100</v>
      </c>
      <c r="J104" s="72">
        <v>100</v>
      </c>
      <c r="K104" s="173">
        <v>12030</v>
      </c>
      <c r="L104" s="173">
        <v>12030</v>
      </c>
      <c r="M104" s="72"/>
      <c r="N104" s="965">
        <v>8400</v>
      </c>
      <c r="O104" s="965">
        <v>8400</v>
      </c>
      <c r="P104" s="965"/>
      <c r="Q104" s="965">
        <v>2000</v>
      </c>
      <c r="R104" s="965">
        <v>2000</v>
      </c>
      <c r="S104" s="965"/>
      <c r="T104" s="73">
        <f t="shared" si="66"/>
        <v>2000</v>
      </c>
      <c r="U104" s="1129"/>
      <c r="V104" s="73">
        <v>2000</v>
      </c>
      <c r="W104" s="513" t="s">
        <v>1529</v>
      </c>
      <c r="X104" s="24"/>
      <c r="Y104" s="73">
        <v>1</v>
      </c>
      <c r="Z104" s="965">
        <f t="shared" si="67"/>
        <v>2000</v>
      </c>
      <c r="AA104" s="965"/>
      <c r="AB104" s="965">
        <v>2000</v>
      </c>
      <c r="AC104" s="1086"/>
      <c r="AE104" s="996">
        <f t="shared" si="68"/>
        <v>2000</v>
      </c>
    </row>
    <row r="105" spans="1:42" ht="45">
      <c r="A105" s="150">
        <v>8</v>
      </c>
      <c r="B105" s="93" t="s">
        <v>483</v>
      </c>
      <c r="C105" s="100" t="s">
        <v>484</v>
      </c>
      <c r="D105" s="606" t="s">
        <v>485</v>
      </c>
      <c r="E105" s="307" t="s">
        <v>30</v>
      </c>
      <c r="F105" s="685" t="s">
        <v>486</v>
      </c>
      <c r="G105" s="71">
        <v>6710</v>
      </c>
      <c r="H105" s="71">
        <v>6710</v>
      </c>
      <c r="I105" s="72"/>
      <c r="J105" s="72"/>
      <c r="K105" s="71">
        <v>6710</v>
      </c>
      <c r="L105" s="71">
        <v>6710</v>
      </c>
      <c r="M105" s="72"/>
      <c r="N105" s="965">
        <v>6743</v>
      </c>
      <c r="O105" s="965">
        <v>5404</v>
      </c>
      <c r="P105" s="965"/>
      <c r="Q105" s="965">
        <v>2000</v>
      </c>
      <c r="R105" s="965">
        <v>2000</v>
      </c>
      <c r="S105" s="965"/>
      <c r="T105" s="73">
        <f t="shared" si="66"/>
        <v>2000</v>
      </c>
      <c r="U105" s="1129"/>
      <c r="V105" s="73">
        <v>2000</v>
      </c>
      <c r="W105" s="513" t="s">
        <v>1529</v>
      </c>
      <c r="X105" s="744"/>
      <c r="Y105" s="73">
        <v>1</v>
      </c>
      <c r="Z105" s="965">
        <f t="shared" si="67"/>
        <v>2000</v>
      </c>
      <c r="AA105" s="965"/>
      <c r="AB105" s="965">
        <v>2000</v>
      </c>
      <c r="AC105" s="1086"/>
      <c r="AE105" s="996">
        <f t="shared" si="68"/>
        <v>2000</v>
      </c>
    </row>
    <row r="106" spans="1:42" s="195" customFormat="1" ht="30">
      <c r="A106" s="150">
        <v>9</v>
      </c>
      <c r="B106" s="607" t="s">
        <v>487</v>
      </c>
      <c r="C106" s="100" t="s">
        <v>112</v>
      </c>
      <c r="D106" s="606" t="s">
        <v>488</v>
      </c>
      <c r="E106" s="307" t="s">
        <v>489</v>
      </c>
      <c r="F106" s="696" t="s">
        <v>490</v>
      </c>
      <c r="G106" s="164">
        <v>39713</v>
      </c>
      <c r="H106" s="72">
        <v>31984</v>
      </c>
      <c r="I106" s="72"/>
      <c r="J106" s="72"/>
      <c r="K106" s="71">
        <v>39713</v>
      </c>
      <c r="L106" s="72">
        <v>31984</v>
      </c>
      <c r="M106" s="72"/>
      <c r="N106" s="1059">
        <v>15729</v>
      </c>
      <c r="O106" s="1035">
        <v>8000</v>
      </c>
      <c r="P106" s="1035"/>
      <c r="Q106" s="1035">
        <v>5000</v>
      </c>
      <c r="R106" s="1035">
        <v>5000</v>
      </c>
      <c r="S106" s="965"/>
      <c r="T106" s="73">
        <f t="shared" si="66"/>
        <v>5000</v>
      </c>
      <c r="U106" s="1137"/>
      <c r="V106" s="72">
        <v>5000</v>
      </c>
      <c r="W106" s="513" t="s">
        <v>1529</v>
      </c>
      <c r="X106" s="24"/>
      <c r="Y106" s="72">
        <v>1</v>
      </c>
      <c r="Z106" s="965">
        <f t="shared" si="67"/>
        <v>5000</v>
      </c>
      <c r="AA106" s="1035"/>
      <c r="AB106" s="1035">
        <v>5000</v>
      </c>
      <c r="AC106" s="1082"/>
      <c r="AD106" s="657"/>
      <c r="AE106" s="996">
        <f t="shared" si="68"/>
        <v>5000</v>
      </c>
      <c r="AF106" s="978"/>
      <c r="AG106" s="553"/>
      <c r="AH106" s="553"/>
      <c r="AI106" s="553"/>
    </row>
    <row r="107" spans="1:42" s="195" customFormat="1" ht="30">
      <c r="A107" s="150">
        <v>10</v>
      </c>
      <c r="B107" s="607" t="s">
        <v>493</v>
      </c>
      <c r="C107" s="100" t="s">
        <v>112</v>
      </c>
      <c r="D107" s="606" t="s">
        <v>494</v>
      </c>
      <c r="E107" s="307" t="s">
        <v>489</v>
      </c>
      <c r="F107" s="696" t="s">
        <v>495</v>
      </c>
      <c r="G107" s="164">
        <v>60293</v>
      </c>
      <c r="H107" s="72">
        <v>46098</v>
      </c>
      <c r="I107" s="72"/>
      <c r="J107" s="72"/>
      <c r="K107" s="71">
        <v>60410</v>
      </c>
      <c r="L107" s="72">
        <v>46098</v>
      </c>
      <c r="M107" s="72"/>
      <c r="N107" s="1059">
        <v>26195</v>
      </c>
      <c r="O107" s="1035">
        <v>12000</v>
      </c>
      <c r="P107" s="1035"/>
      <c r="Q107" s="1035">
        <v>5000</v>
      </c>
      <c r="R107" s="1035">
        <v>5000</v>
      </c>
      <c r="S107" s="965"/>
      <c r="T107" s="73">
        <f t="shared" si="66"/>
        <v>5000</v>
      </c>
      <c r="U107" s="1137"/>
      <c r="V107" s="72">
        <v>5000</v>
      </c>
      <c r="W107" s="513" t="s">
        <v>1529</v>
      </c>
      <c r="X107" s="24"/>
      <c r="Y107" s="72">
        <v>1</v>
      </c>
      <c r="Z107" s="965">
        <f t="shared" si="67"/>
        <v>5000</v>
      </c>
      <c r="AA107" s="1035"/>
      <c r="AB107" s="1035">
        <v>5000</v>
      </c>
      <c r="AC107" s="1082"/>
      <c r="AD107" s="657"/>
      <c r="AE107" s="996">
        <f t="shared" si="68"/>
        <v>5000</v>
      </c>
      <c r="AF107" s="978"/>
      <c r="AG107" s="553"/>
      <c r="AH107" s="553"/>
      <c r="AI107" s="553"/>
    </row>
    <row r="108" spans="1:42" s="633" customFormat="1" ht="27.75" customHeight="1">
      <c r="A108" s="630" t="s">
        <v>498</v>
      </c>
      <c r="B108" s="618" t="s">
        <v>1144</v>
      </c>
      <c r="C108" s="690"/>
      <c r="D108" s="625"/>
      <c r="E108" s="626"/>
      <c r="F108" s="690"/>
      <c r="G108" s="627">
        <f t="shared" ref="G108:V108" si="69">G109+G111</f>
        <v>204304</v>
      </c>
      <c r="H108" s="627">
        <f t="shared" si="69"/>
        <v>191678</v>
      </c>
      <c r="I108" s="627">
        <f t="shared" si="69"/>
        <v>18626</v>
      </c>
      <c r="J108" s="627">
        <f t="shared" si="69"/>
        <v>6000</v>
      </c>
      <c r="K108" s="627">
        <f t="shared" si="69"/>
        <v>193804</v>
      </c>
      <c r="L108" s="627">
        <f t="shared" si="69"/>
        <v>191178</v>
      </c>
      <c r="M108" s="627">
        <f t="shared" si="69"/>
        <v>0</v>
      </c>
      <c r="N108" s="1049">
        <f t="shared" si="69"/>
        <v>57014</v>
      </c>
      <c r="O108" s="1049">
        <f t="shared" si="69"/>
        <v>57014</v>
      </c>
      <c r="P108" s="1049">
        <f t="shared" si="69"/>
        <v>0</v>
      </c>
      <c r="Q108" s="1049">
        <f t="shared" si="69"/>
        <v>35300</v>
      </c>
      <c r="R108" s="1049">
        <f t="shared" si="69"/>
        <v>29300</v>
      </c>
      <c r="S108" s="1049">
        <f t="shared" si="69"/>
        <v>6000</v>
      </c>
      <c r="T108" s="627">
        <f t="shared" si="69"/>
        <v>33300</v>
      </c>
      <c r="U108" s="1140">
        <f t="shared" si="69"/>
        <v>33300</v>
      </c>
      <c r="V108" s="627">
        <f t="shared" si="69"/>
        <v>0</v>
      </c>
      <c r="W108" s="734"/>
      <c r="X108" s="734"/>
      <c r="Y108" s="627">
        <f>Y109+Y111</f>
        <v>4</v>
      </c>
      <c r="Z108" s="1049">
        <f t="shared" ref="Z108:AB108" si="70">Z109+Z111</f>
        <v>33300</v>
      </c>
      <c r="AA108" s="1049">
        <f t="shared" si="70"/>
        <v>33300</v>
      </c>
      <c r="AB108" s="1049">
        <f t="shared" si="70"/>
        <v>0</v>
      </c>
      <c r="AC108" s="1097"/>
      <c r="AD108" s="662"/>
      <c r="AE108" s="990"/>
      <c r="AF108" s="811"/>
      <c r="AG108" s="628"/>
      <c r="AH108" s="628"/>
      <c r="AI108" s="628"/>
      <c r="AK108" s="629"/>
      <c r="AL108" s="629"/>
      <c r="AM108" s="629"/>
      <c r="AN108" s="629"/>
      <c r="AO108" s="629"/>
      <c r="AP108" s="629"/>
    </row>
    <row r="109" spans="1:42" s="721" customFormat="1" ht="27.75" customHeight="1">
      <c r="A109" s="715" t="s">
        <v>525</v>
      </c>
      <c r="B109" s="65" t="s">
        <v>26</v>
      </c>
      <c r="C109" s="767"/>
      <c r="D109" s="716"/>
      <c r="E109" s="717"/>
      <c r="F109" s="767"/>
      <c r="G109" s="718">
        <f t="shared" ref="G109:V109" si="71">SUM(G110:G110)</f>
        <v>0</v>
      </c>
      <c r="H109" s="718">
        <f t="shared" si="71"/>
        <v>0</v>
      </c>
      <c r="I109" s="718">
        <f t="shared" si="71"/>
        <v>0</v>
      </c>
      <c r="J109" s="718">
        <f t="shared" si="71"/>
        <v>0</v>
      </c>
      <c r="K109" s="718">
        <f t="shared" si="71"/>
        <v>0</v>
      </c>
      <c r="L109" s="718">
        <f t="shared" si="71"/>
        <v>0</v>
      </c>
      <c r="M109" s="718">
        <f t="shared" si="71"/>
        <v>0</v>
      </c>
      <c r="N109" s="1060">
        <f t="shared" si="71"/>
        <v>500</v>
      </c>
      <c r="O109" s="1060">
        <f t="shared" si="71"/>
        <v>500</v>
      </c>
      <c r="P109" s="1060">
        <f t="shared" si="71"/>
        <v>0</v>
      </c>
      <c r="Q109" s="1060">
        <f t="shared" si="71"/>
        <v>300</v>
      </c>
      <c r="R109" s="1060">
        <f t="shared" si="71"/>
        <v>300</v>
      </c>
      <c r="S109" s="1060">
        <f t="shared" si="71"/>
        <v>0</v>
      </c>
      <c r="T109" s="718">
        <f t="shared" si="71"/>
        <v>300</v>
      </c>
      <c r="U109" s="1150">
        <f t="shared" si="71"/>
        <v>300</v>
      </c>
      <c r="V109" s="718">
        <f t="shared" si="71"/>
        <v>0</v>
      </c>
      <c r="W109" s="736"/>
      <c r="X109" s="736"/>
      <c r="Y109" s="718">
        <f>SUM(Y110:Y110)</f>
        <v>1</v>
      </c>
      <c r="Z109" s="1060">
        <f t="shared" ref="Z109:AB109" si="72">SUM(Z110:Z110)</f>
        <v>300</v>
      </c>
      <c r="AA109" s="1060">
        <f t="shared" si="72"/>
        <v>300</v>
      </c>
      <c r="AB109" s="1060">
        <f t="shared" si="72"/>
        <v>0</v>
      </c>
      <c r="AC109" s="1106"/>
      <c r="AD109" s="719"/>
      <c r="AE109" s="990"/>
      <c r="AF109" s="811"/>
      <c r="AG109" s="720"/>
      <c r="AH109" s="720"/>
      <c r="AI109" s="720"/>
      <c r="AK109" s="194"/>
      <c r="AL109" s="194"/>
      <c r="AM109" s="194"/>
      <c r="AN109" s="194"/>
      <c r="AO109" s="194"/>
      <c r="AP109" s="194"/>
    </row>
    <row r="110" spans="1:42" s="54" customFormat="1" ht="30">
      <c r="A110" s="215">
        <v>1</v>
      </c>
      <c r="B110" s="282" t="s">
        <v>1506</v>
      </c>
      <c r="C110" s="691" t="s">
        <v>1507</v>
      </c>
      <c r="D110" s="101" t="s">
        <v>1508</v>
      </c>
      <c r="E110" s="39" t="s">
        <v>489</v>
      </c>
      <c r="F110" s="100"/>
      <c r="G110" s="22"/>
      <c r="H110" s="22"/>
      <c r="I110" s="22"/>
      <c r="J110" s="22"/>
      <c r="K110" s="22"/>
      <c r="L110" s="22"/>
      <c r="M110" s="22"/>
      <c r="N110" s="1061">
        <v>500</v>
      </c>
      <c r="O110" s="1061">
        <v>500</v>
      </c>
      <c r="P110" s="1198"/>
      <c r="Q110" s="1061">
        <v>300</v>
      </c>
      <c r="R110" s="1061">
        <v>300</v>
      </c>
      <c r="S110" s="1061"/>
      <c r="T110" s="73">
        <v>300</v>
      </c>
      <c r="U110" s="1151">
        <v>300</v>
      </c>
      <c r="V110" s="22"/>
      <c r="W110" s="691" t="s">
        <v>1530</v>
      </c>
      <c r="X110" s="24"/>
      <c r="Y110" s="22">
        <v>1</v>
      </c>
      <c r="Z110" s="965">
        <v>300</v>
      </c>
      <c r="AA110" s="1061">
        <v>300</v>
      </c>
      <c r="AB110" s="1061"/>
      <c r="AC110" s="1107"/>
      <c r="AD110" s="657"/>
      <c r="AE110" s="990"/>
      <c r="AF110" s="811"/>
      <c r="AG110" s="551"/>
      <c r="AH110" s="551"/>
      <c r="AI110" s="551"/>
      <c r="AK110" s="57"/>
      <c r="AL110" s="57"/>
      <c r="AM110" s="57"/>
      <c r="AN110" s="57"/>
      <c r="AO110" s="57"/>
      <c r="AP110" s="57"/>
    </row>
    <row r="111" spans="1:42" s="266" customFormat="1">
      <c r="A111" s="82" t="s">
        <v>499</v>
      </c>
      <c r="B111" s="586" t="s">
        <v>31</v>
      </c>
      <c r="C111" s="352"/>
      <c r="D111" s="350"/>
      <c r="E111" s="351"/>
      <c r="F111" s="352"/>
      <c r="G111" s="597">
        <f>G112+G114</f>
        <v>204304</v>
      </c>
      <c r="H111" s="597">
        <f t="shared" ref="H111:AB111" si="73">H112+H114</f>
        <v>191678</v>
      </c>
      <c r="I111" s="597">
        <f t="shared" si="73"/>
        <v>18626</v>
      </c>
      <c r="J111" s="597">
        <f t="shared" si="73"/>
        <v>6000</v>
      </c>
      <c r="K111" s="597">
        <f t="shared" si="73"/>
        <v>193804</v>
      </c>
      <c r="L111" s="597">
        <f t="shared" si="73"/>
        <v>191178</v>
      </c>
      <c r="M111" s="597">
        <f t="shared" si="73"/>
        <v>0</v>
      </c>
      <c r="N111" s="1052">
        <f t="shared" si="73"/>
        <v>56514</v>
      </c>
      <c r="O111" s="1052">
        <f t="shared" si="73"/>
        <v>56514</v>
      </c>
      <c r="P111" s="1052">
        <f t="shared" si="73"/>
        <v>0</v>
      </c>
      <c r="Q111" s="1052">
        <f t="shared" si="73"/>
        <v>35000</v>
      </c>
      <c r="R111" s="1052">
        <f t="shared" si="73"/>
        <v>29000</v>
      </c>
      <c r="S111" s="1052">
        <f t="shared" si="73"/>
        <v>6000</v>
      </c>
      <c r="T111" s="597">
        <f t="shared" si="73"/>
        <v>33000</v>
      </c>
      <c r="U111" s="1143">
        <f t="shared" si="73"/>
        <v>33000</v>
      </c>
      <c r="V111" s="597">
        <f t="shared" si="73"/>
        <v>0</v>
      </c>
      <c r="W111" s="597"/>
      <c r="X111" s="597"/>
      <c r="Y111" s="597">
        <f t="shared" si="73"/>
        <v>3</v>
      </c>
      <c r="Z111" s="1052">
        <f t="shared" si="73"/>
        <v>33000</v>
      </c>
      <c r="AA111" s="1052">
        <f t="shared" si="73"/>
        <v>33000</v>
      </c>
      <c r="AB111" s="1052">
        <f t="shared" si="73"/>
        <v>0</v>
      </c>
      <c r="AC111" s="1100"/>
      <c r="AD111" s="657"/>
      <c r="AE111" s="990"/>
      <c r="AF111" s="811"/>
      <c r="AG111" s="551"/>
      <c r="AH111" s="551"/>
      <c r="AI111" s="551"/>
      <c r="AK111" s="265"/>
      <c r="AL111" s="265"/>
      <c r="AM111" s="265"/>
      <c r="AN111" s="265"/>
      <c r="AO111" s="265"/>
      <c r="AP111" s="265"/>
    </row>
    <row r="112" spans="1:42" s="54" customFormat="1">
      <c r="A112" s="11" t="s">
        <v>78</v>
      </c>
      <c r="B112" s="65" t="s">
        <v>79</v>
      </c>
      <c r="C112" s="80"/>
      <c r="D112" s="19"/>
      <c r="E112" s="70"/>
      <c r="F112" s="80"/>
      <c r="G112" s="199">
        <f t="shared" ref="G112:V112" si="74">G113</f>
        <v>29725</v>
      </c>
      <c r="H112" s="199">
        <f t="shared" si="74"/>
        <v>17099</v>
      </c>
      <c r="I112" s="199">
        <f t="shared" si="74"/>
        <v>17626</v>
      </c>
      <c r="J112" s="199">
        <f t="shared" si="74"/>
        <v>5000</v>
      </c>
      <c r="K112" s="199">
        <f t="shared" si="74"/>
        <v>19225</v>
      </c>
      <c r="L112" s="199">
        <f t="shared" si="74"/>
        <v>16599</v>
      </c>
      <c r="M112" s="199">
        <f t="shared" si="74"/>
        <v>0</v>
      </c>
      <c r="N112" s="1062">
        <f t="shared" si="74"/>
        <v>4000</v>
      </c>
      <c r="O112" s="1062">
        <f t="shared" si="74"/>
        <v>4000</v>
      </c>
      <c r="P112" s="1062">
        <f t="shared" si="74"/>
        <v>0</v>
      </c>
      <c r="Q112" s="1062">
        <f t="shared" si="74"/>
        <v>4000</v>
      </c>
      <c r="R112" s="1062">
        <f t="shared" si="74"/>
        <v>4000</v>
      </c>
      <c r="S112" s="1062">
        <f t="shared" si="74"/>
        <v>0</v>
      </c>
      <c r="T112" s="199">
        <f t="shared" si="74"/>
        <v>4000</v>
      </c>
      <c r="U112" s="1152">
        <f t="shared" si="74"/>
        <v>4000</v>
      </c>
      <c r="V112" s="199">
        <f t="shared" si="74"/>
        <v>0</v>
      </c>
      <c r="W112" s="699"/>
      <c r="X112" s="699"/>
      <c r="Y112" s="199">
        <f>Y113</f>
        <v>1</v>
      </c>
      <c r="Z112" s="1062">
        <f t="shared" ref="Z112:AB112" si="75">Z113</f>
        <v>4000</v>
      </c>
      <c r="AA112" s="1062">
        <f t="shared" si="75"/>
        <v>4000</v>
      </c>
      <c r="AB112" s="1062">
        <f t="shared" si="75"/>
        <v>0</v>
      </c>
      <c r="AC112" s="1108"/>
      <c r="AD112" s="657"/>
      <c r="AE112" s="990"/>
      <c r="AF112" s="811"/>
      <c r="AG112" s="551"/>
      <c r="AH112" s="551"/>
      <c r="AI112" s="551"/>
      <c r="AK112" s="57"/>
      <c r="AL112" s="57"/>
      <c r="AM112" s="57"/>
      <c r="AN112" s="57"/>
      <c r="AO112" s="57"/>
      <c r="AP112" s="57"/>
    </row>
    <row r="113" spans="1:42" s="54" customFormat="1" ht="25.5">
      <c r="A113" s="215" t="s">
        <v>27</v>
      </c>
      <c r="B113" s="282" t="s">
        <v>737</v>
      </c>
      <c r="C113" s="691" t="s">
        <v>738</v>
      </c>
      <c r="D113" s="101" t="s">
        <v>739</v>
      </c>
      <c r="E113" s="39" t="s">
        <v>87</v>
      </c>
      <c r="F113" s="100" t="s">
        <v>740</v>
      </c>
      <c r="G113" s="22">
        <v>29725</v>
      </c>
      <c r="H113" s="22">
        <f>G113-12626</f>
        <v>17099</v>
      </c>
      <c r="I113" s="22">
        <f>10000+500+4500+2626</f>
        <v>17626</v>
      </c>
      <c r="J113" s="22">
        <v>5000</v>
      </c>
      <c r="K113" s="22">
        <f>G113-10000-500</f>
        <v>19225</v>
      </c>
      <c r="L113" s="22">
        <f>K113-2626</f>
        <v>16599</v>
      </c>
      <c r="M113" s="22"/>
      <c r="N113" s="1061">
        <v>4000</v>
      </c>
      <c r="O113" s="1061">
        <v>4000</v>
      </c>
      <c r="P113" s="1198"/>
      <c r="Q113" s="1061">
        <f>SUM(R113:S113)</f>
        <v>4000</v>
      </c>
      <c r="R113" s="1061">
        <v>4000</v>
      </c>
      <c r="S113" s="1061"/>
      <c r="T113" s="73">
        <f>SUM(U113:V113)</f>
        <v>4000</v>
      </c>
      <c r="U113" s="1151">
        <v>4000</v>
      </c>
      <c r="V113" s="22"/>
      <c r="W113" s="691" t="s">
        <v>1526</v>
      </c>
      <c r="X113" s="24"/>
      <c r="Y113" s="22">
        <v>1</v>
      </c>
      <c r="Z113" s="965">
        <f>SUM(AA113:AB113)</f>
        <v>4000</v>
      </c>
      <c r="AA113" s="1061">
        <v>4000</v>
      </c>
      <c r="AB113" s="1061"/>
      <c r="AC113" s="1107"/>
      <c r="AD113" s="657"/>
      <c r="AE113" s="990"/>
      <c r="AF113" s="811"/>
      <c r="AG113" s="551"/>
      <c r="AH113" s="551"/>
      <c r="AI113" s="551"/>
      <c r="AK113" s="57"/>
      <c r="AL113" s="57"/>
      <c r="AM113" s="57"/>
      <c r="AN113" s="57"/>
      <c r="AO113" s="57"/>
      <c r="AP113" s="57"/>
    </row>
    <row r="114" spans="1:42" s="54" customFormat="1">
      <c r="A114" s="64" t="s">
        <v>150</v>
      </c>
      <c r="B114" s="197" t="s">
        <v>632</v>
      </c>
      <c r="C114" s="700"/>
      <c r="D114" s="19"/>
      <c r="E114" s="95"/>
      <c r="F114" s="80"/>
      <c r="G114" s="199">
        <f t="shared" ref="G114:V114" si="76">SUM(G115:G117)</f>
        <v>174579</v>
      </c>
      <c r="H114" s="199">
        <f t="shared" si="76"/>
        <v>174579</v>
      </c>
      <c r="I114" s="199">
        <f t="shared" si="76"/>
        <v>1000</v>
      </c>
      <c r="J114" s="199">
        <f t="shared" si="76"/>
        <v>1000</v>
      </c>
      <c r="K114" s="199">
        <f t="shared" si="76"/>
        <v>174579</v>
      </c>
      <c r="L114" s="199">
        <f t="shared" si="76"/>
        <v>174579</v>
      </c>
      <c r="M114" s="199">
        <f t="shared" si="76"/>
        <v>0</v>
      </c>
      <c r="N114" s="1062">
        <f t="shared" si="76"/>
        <v>52514</v>
      </c>
      <c r="O114" s="1062">
        <f t="shared" si="76"/>
        <v>52514</v>
      </c>
      <c r="P114" s="1062">
        <f t="shared" si="76"/>
        <v>0</v>
      </c>
      <c r="Q114" s="1062">
        <f t="shared" si="76"/>
        <v>31000</v>
      </c>
      <c r="R114" s="1062">
        <f t="shared" si="76"/>
        <v>25000</v>
      </c>
      <c r="S114" s="1062">
        <f t="shared" si="76"/>
        <v>6000</v>
      </c>
      <c r="T114" s="199">
        <f t="shared" si="76"/>
        <v>29000</v>
      </c>
      <c r="U114" s="1152">
        <f t="shared" si="76"/>
        <v>29000</v>
      </c>
      <c r="V114" s="199">
        <f t="shared" si="76"/>
        <v>0</v>
      </c>
      <c r="W114" s="732"/>
      <c r="X114" s="732"/>
      <c r="Y114" s="199">
        <f>SUM(Y115:Y116)</f>
        <v>2</v>
      </c>
      <c r="Z114" s="1062">
        <f t="shared" ref="Z114:AB114" si="77">SUM(Z115:Z117)</f>
        <v>29000</v>
      </c>
      <c r="AA114" s="1062">
        <f t="shared" si="77"/>
        <v>29000</v>
      </c>
      <c r="AB114" s="1062">
        <f t="shared" si="77"/>
        <v>0</v>
      </c>
      <c r="AC114" s="1108"/>
      <c r="AD114" s="657"/>
      <c r="AE114" s="990"/>
      <c r="AF114" s="811"/>
      <c r="AG114" s="551"/>
      <c r="AH114" s="551"/>
      <c r="AI114" s="551"/>
      <c r="AK114" s="57"/>
      <c r="AL114" s="57"/>
      <c r="AM114" s="57"/>
      <c r="AN114" s="57"/>
      <c r="AO114" s="57"/>
      <c r="AP114" s="57"/>
    </row>
    <row r="115" spans="1:42" s="54" customFormat="1" ht="25.5">
      <c r="A115" s="97" t="s">
        <v>27</v>
      </c>
      <c r="B115" s="68" t="s">
        <v>745</v>
      </c>
      <c r="C115" s="80" t="s">
        <v>5</v>
      </c>
      <c r="D115" s="19"/>
      <c r="E115" s="129"/>
      <c r="F115" s="691" t="s">
        <v>1733</v>
      </c>
      <c r="G115" s="22">
        <v>73948</v>
      </c>
      <c r="H115" s="22">
        <v>73948</v>
      </c>
      <c r="I115" s="22">
        <v>500</v>
      </c>
      <c r="J115" s="22">
        <v>500</v>
      </c>
      <c r="K115" s="22">
        <v>73948</v>
      </c>
      <c r="L115" s="22">
        <v>73948</v>
      </c>
      <c r="M115" s="22"/>
      <c r="N115" s="1061">
        <v>6500</v>
      </c>
      <c r="O115" s="1061">
        <v>6500</v>
      </c>
      <c r="P115" s="1198"/>
      <c r="Q115" s="1061">
        <f>SUM(R115:S115)</f>
        <v>6000</v>
      </c>
      <c r="R115" s="1061"/>
      <c r="S115" s="1061">
        <v>6000</v>
      </c>
      <c r="T115" s="73">
        <f>SUM(U115:V115)</f>
        <v>6000</v>
      </c>
      <c r="U115" s="1151">
        <v>6000</v>
      </c>
      <c r="V115" s="22"/>
      <c r="W115" s="691" t="s">
        <v>1521</v>
      </c>
      <c r="X115" s="24"/>
      <c r="Y115" s="22">
        <v>1</v>
      </c>
      <c r="Z115" s="965">
        <f>SUM(AA115:AB115)</f>
        <v>6000</v>
      </c>
      <c r="AA115" s="1061">
        <v>6000</v>
      </c>
      <c r="AB115" s="1061"/>
      <c r="AC115" s="1107"/>
      <c r="AD115" s="657"/>
      <c r="AE115" s="990"/>
      <c r="AF115" s="811"/>
      <c r="AG115" s="551"/>
      <c r="AH115" s="551"/>
      <c r="AI115" s="551"/>
      <c r="AK115" s="2"/>
      <c r="AL115" s="2"/>
      <c r="AM115" s="2"/>
      <c r="AN115" s="2"/>
      <c r="AO115" s="2"/>
      <c r="AP115" s="2"/>
    </row>
    <row r="116" spans="1:42" s="960" customFormat="1" ht="25.5">
      <c r="A116" s="97" t="s">
        <v>41</v>
      </c>
      <c r="B116" s="68" t="s">
        <v>1509</v>
      </c>
      <c r="C116" s="80" t="s">
        <v>43</v>
      </c>
      <c r="D116" s="962" t="s">
        <v>1622</v>
      </c>
      <c r="E116" s="70" t="s">
        <v>355</v>
      </c>
      <c r="F116" s="691" t="s">
        <v>1756</v>
      </c>
      <c r="G116" s="22">
        <v>84475</v>
      </c>
      <c r="H116" s="22">
        <v>84475</v>
      </c>
      <c r="I116" s="22">
        <v>500</v>
      </c>
      <c r="J116" s="22">
        <v>500</v>
      </c>
      <c r="K116" s="22">
        <v>84475</v>
      </c>
      <c r="L116" s="22">
        <v>84475</v>
      </c>
      <c r="M116" s="22"/>
      <c r="N116" s="1199">
        <v>29857</v>
      </c>
      <c r="O116" s="1199">
        <v>29857</v>
      </c>
      <c r="P116" s="1198"/>
      <c r="Q116" s="1061">
        <f>SUM(R116:S116)</f>
        <v>15000</v>
      </c>
      <c r="R116" s="1061">
        <v>15000</v>
      </c>
      <c r="S116" s="1061"/>
      <c r="T116" s="22">
        <f>SUM(U116:V116)</f>
        <v>18000</v>
      </c>
      <c r="U116" s="1151">
        <v>18000</v>
      </c>
      <c r="V116" s="22"/>
      <c r="W116" s="691" t="s">
        <v>1530</v>
      </c>
      <c r="X116" s="80"/>
      <c r="Y116" s="22">
        <v>1</v>
      </c>
      <c r="Z116" s="1061">
        <f>SUM(AA116:AB116)</f>
        <v>18000</v>
      </c>
      <c r="AA116" s="1061">
        <v>18000</v>
      </c>
      <c r="AB116" s="1061"/>
      <c r="AC116" s="1107"/>
      <c r="AD116" s="714"/>
      <c r="AE116" s="990"/>
      <c r="AF116" s="980"/>
      <c r="AG116" s="959"/>
      <c r="AH116" s="959"/>
      <c r="AI116" s="959"/>
      <c r="AK116" s="124"/>
      <c r="AL116" s="124"/>
      <c r="AM116" s="124"/>
      <c r="AN116" s="124"/>
      <c r="AO116" s="124"/>
      <c r="AP116" s="124"/>
    </row>
    <row r="117" spans="1:42" s="960" customFormat="1" ht="30">
      <c r="A117" s="97" t="s">
        <v>58</v>
      </c>
      <c r="B117" s="68" t="s">
        <v>1504</v>
      </c>
      <c r="C117" s="80" t="s">
        <v>43</v>
      </c>
      <c r="D117" s="962" t="s">
        <v>1505</v>
      </c>
      <c r="E117" s="70" t="s">
        <v>163</v>
      </c>
      <c r="F117" s="691" t="s">
        <v>1757</v>
      </c>
      <c r="G117" s="22">
        <v>16156</v>
      </c>
      <c r="H117" s="22">
        <v>16156</v>
      </c>
      <c r="I117" s="22"/>
      <c r="J117" s="22"/>
      <c r="K117" s="22">
        <v>16156</v>
      </c>
      <c r="L117" s="22">
        <v>16156</v>
      </c>
      <c r="M117" s="22"/>
      <c r="N117" s="1199">
        <v>16157</v>
      </c>
      <c r="O117" s="1199">
        <v>16157</v>
      </c>
      <c r="P117" s="1198"/>
      <c r="Q117" s="1061">
        <v>10000</v>
      </c>
      <c r="R117" s="1061">
        <v>10000</v>
      </c>
      <c r="S117" s="1061"/>
      <c r="T117" s="22">
        <f>SUM(U117:V117)</f>
        <v>5000</v>
      </c>
      <c r="U117" s="1151">
        <v>5000</v>
      </c>
      <c r="V117" s="22"/>
      <c r="W117" s="691" t="s">
        <v>1530</v>
      </c>
      <c r="X117" s="80"/>
      <c r="Y117" s="22">
        <v>1</v>
      </c>
      <c r="Z117" s="1061">
        <f>SUM(AA117:AB117)</f>
        <v>5000</v>
      </c>
      <c r="AA117" s="1061">
        <v>5000</v>
      </c>
      <c r="AB117" s="1061"/>
      <c r="AC117" s="1107"/>
      <c r="AD117" s="714"/>
      <c r="AE117" s="990"/>
      <c r="AF117" s="980"/>
      <c r="AG117" s="959"/>
      <c r="AH117" s="959"/>
      <c r="AI117" s="959"/>
      <c r="AK117" s="124"/>
      <c r="AL117" s="124"/>
      <c r="AM117" s="124"/>
      <c r="AN117" s="124"/>
      <c r="AO117" s="124"/>
      <c r="AP117" s="124"/>
    </row>
    <row r="118" spans="1:42" s="633" customFormat="1" ht="34.5" customHeight="1">
      <c r="A118" s="630" t="s">
        <v>524</v>
      </c>
      <c r="B118" s="618" t="s">
        <v>1143</v>
      </c>
      <c r="C118" s="690"/>
      <c r="D118" s="625"/>
      <c r="E118" s="626"/>
      <c r="F118" s="690"/>
      <c r="G118" s="627">
        <f t="shared" ref="G118:V118" si="78">+G119</f>
        <v>385656</v>
      </c>
      <c r="H118" s="627">
        <f t="shared" si="78"/>
        <v>383923</v>
      </c>
      <c r="I118" s="627">
        <f t="shared" si="78"/>
        <v>146570</v>
      </c>
      <c r="J118" s="627">
        <f t="shared" si="78"/>
        <v>146570</v>
      </c>
      <c r="K118" s="627">
        <f t="shared" si="78"/>
        <v>226740</v>
      </c>
      <c r="L118" s="627">
        <f t="shared" si="78"/>
        <v>225007</v>
      </c>
      <c r="M118" s="627">
        <f t="shared" si="78"/>
        <v>0</v>
      </c>
      <c r="N118" s="1049">
        <f t="shared" si="78"/>
        <v>84800</v>
      </c>
      <c r="O118" s="1049">
        <f t="shared" si="78"/>
        <v>84700</v>
      </c>
      <c r="P118" s="1049">
        <f t="shared" si="78"/>
        <v>0</v>
      </c>
      <c r="Q118" s="1049">
        <f t="shared" si="78"/>
        <v>85200</v>
      </c>
      <c r="R118" s="1049">
        <f t="shared" si="78"/>
        <v>85200</v>
      </c>
      <c r="S118" s="1049">
        <f t="shared" si="78"/>
        <v>0</v>
      </c>
      <c r="T118" s="627">
        <f t="shared" si="78"/>
        <v>85200</v>
      </c>
      <c r="U118" s="1140">
        <f t="shared" si="78"/>
        <v>85200</v>
      </c>
      <c r="V118" s="627">
        <f t="shared" si="78"/>
        <v>0</v>
      </c>
      <c r="W118" s="734"/>
      <c r="X118" s="734"/>
      <c r="Y118" s="627">
        <f>+Y119</f>
        <v>4</v>
      </c>
      <c r="Z118" s="1049">
        <f t="shared" ref="Z118:AB118" si="79">+Z119</f>
        <v>85200</v>
      </c>
      <c r="AA118" s="1049">
        <f t="shared" si="79"/>
        <v>85200</v>
      </c>
      <c r="AB118" s="1049">
        <f t="shared" si="79"/>
        <v>0</v>
      </c>
      <c r="AC118" s="1097"/>
      <c r="AD118" s="662"/>
      <c r="AE118" s="990"/>
      <c r="AF118" s="811"/>
      <c r="AG118" s="628"/>
      <c r="AH118" s="628"/>
      <c r="AI118" s="628"/>
      <c r="AK118" s="629"/>
      <c r="AL118" s="629"/>
      <c r="AM118" s="629"/>
      <c r="AN118" s="629"/>
      <c r="AO118" s="629"/>
      <c r="AP118" s="629"/>
    </row>
    <row r="119" spans="1:42" s="266" customFormat="1" ht="32.25" customHeight="1">
      <c r="A119" s="11"/>
      <c r="B119" s="586" t="s">
        <v>31</v>
      </c>
      <c r="C119" s="89"/>
      <c r="D119" s="13"/>
      <c r="E119" s="14"/>
      <c r="F119" s="89"/>
      <c r="G119" s="90">
        <f t="shared" ref="G119:V119" si="80">SUM(G120,G122,G125)</f>
        <v>385656</v>
      </c>
      <c r="H119" s="90">
        <f t="shared" si="80"/>
        <v>383923</v>
      </c>
      <c r="I119" s="90">
        <f t="shared" si="80"/>
        <v>146570</v>
      </c>
      <c r="J119" s="90">
        <f t="shared" si="80"/>
        <v>146570</v>
      </c>
      <c r="K119" s="90">
        <f t="shared" si="80"/>
        <v>226740</v>
      </c>
      <c r="L119" s="90">
        <f t="shared" si="80"/>
        <v>225007</v>
      </c>
      <c r="M119" s="90">
        <f t="shared" si="80"/>
        <v>0</v>
      </c>
      <c r="N119" s="1038">
        <f t="shared" si="80"/>
        <v>84800</v>
      </c>
      <c r="O119" s="1038">
        <f t="shared" si="80"/>
        <v>84700</v>
      </c>
      <c r="P119" s="1038">
        <f t="shared" si="80"/>
        <v>0</v>
      </c>
      <c r="Q119" s="1038">
        <f t="shared" si="80"/>
        <v>85200</v>
      </c>
      <c r="R119" s="1038">
        <f t="shared" si="80"/>
        <v>85200</v>
      </c>
      <c r="S119" s="1038">
        <f t="shared" si="80"/>
        <v>0</v>
      </c>
      <c r="T119" s="90">
        <f t="shared" si="80"/>
        <v>85200</v>
      </c>
      <c r="U119" s="1130">
        <f t="shared" si="80"/>
        <v>85200</v>
      </c>
      <c r="V119" s="90">
        <f t="shared" si="80"/>
        <v>0</v>
      </c>
      <c r="W119" s="699"/>
      <c r="X119" s="699"/>
      <c r="Y119" s="90">
        <f>SUM(Y120,Y122,Y125)</f>
        <v>4</v>
      </c>
      <c r="Z119" s="1038">
        <f t="shared" ref="Z119:AB119" si="81">SUM(Z120,Z122,Z125)</f>
        <v>85200</v>
      </c>
      <c r="AA119" s="1038">
        <f t="shared" si="81"/>
        <v>85200</v>
      </c>
      <c r="AB119" s="1038">
        <f t="shared" si="81"/>
        <v>0</v>
      </c>
      <c r="AC119" s="1087"/>
      <c r="AD119" s="657"/>
      <c r="AE119" s="990"/>
      <c r="AF119" s="811"/>
      <c r="AG119" s="551"/>
      <c r="AH119" s="551"/>
      <c r="AI119" s="551"/>
      <c r="AK119" s="265"/>
      <c r="AL119" s="265"/>
      <c r="AM119" s="265"/>
      <c r="AN119" s="265"/>
      <c r="AO119" s="265"/>
      <c r="AP119" s="265"/>
    </row>
    <row r="120" spans="1:42" s="54" customFormat="1" ht="28.5">
      <c r="A120" s="158" t="s">
        <v>78</v>
      </c>
      <c r="B120" s="159" t="s">
        <v>747</v>
      </c>
      <c r="C120" s="699"/>
      <c r="D120" s="301"/>
      <c r="E120" s="882"/>
      <c r="F120" s="700"/>
      <c r="G120" s="90">
        <f t="shared" ref="G120:V120" si="82">G121</f>
        <v>265838</v>
      </c>
      <c r="H120" s="90">
        <f t="shared" si="82"/>
        <v>265838</v>
      </c>
      <c r="I120" s="90">
        <f t="shared" si="82"/>
        <v>133070</v>
      </c>
      <c r="J120" s="90">
        <f t="shared" si="82"/>
        <v>133070</v>
      </c>
      <c r="K120" s="90">
        <f t="shared" si="82"/>
        <v>106922</v>
      </c>
      <c r="L120" s="90">
        <f t="shared" si="82"/>
        <v>106922</v>
      </c>
      <c r="M120" s="90">
        <f t="shared" si="82"/>
        <v>0</v>
      </c>
      <c r="N120" s="1038">
        <f t="shared" si="82"/>
        <v>51100</v>
      </c>
      <c r="O120" s="1038">
        <f t="shared" si="82"/>
        <v>51000</v>
      </c>
      <c r="P120" s="1038">
        <f t="shared" si="82"/>
        <v>0</v>
      </c>
      <c r="Q120" s="1038">
        <f t="shared" si="82"/>
        <v>51000</v>
      </c>
      <c r="R120" s="1038">
        <f t="shared" si="82"/>
        <v>51000</v>
      </c>
      <c r="S120" s="1038">
        <f t="shared" si="82"/>
        <v>0</v>
      </c>
      <c r="T120" s="90">
        <f t="shared" si="82"/>
        <v>51000</v>
      </c>
      <c r="U120" s="1130">
        <f t="shared" si="82"/>
        <v>51000</v>
      </c>
      <c r="V120" s="90">
        <f t="shared" si="82"/>
        <v>0</v>
      </c>
      <c r="W120" s="699"/>
      <c r="X120" s="699"/>
      <c r="Y120" s="90">
        <f>Y121</f>
        <v>1</v>
      </c>
      <c r="Z120" s="1038">
        <f t="shared" ref="Z120:AB120" si="83">Z121</f>
        <v>51000</v>
      </c>
      <c r="AA120" s="1038">
        <f t="shared" si="83"/>
        <v>51000</v>
      </c>
      <c r="AB120" s="1038">
        <f t="shared" si="83"/>
        <v>0</v>
      </c>
      <c r="AC120" s="1087"/>
      <c r="AD120" s="657"/>
      <c r="AE120" s="990"/>
      <c r="AF120" s="811"/>
      <c r="AG120" s="551"/>
      <c r="AH120" s="551"/>
      <c r="AI120" s="551"/>
      <c r="AK120" s="57"/>
      <c r="AL120" s="57"/>
      <c r="AM120" s="57"/>
      <c r="AN120" s="57"/>
      <c r="AO120" s="57"/>
      <c r="AP120" s="57"/>
    </row>
    <row r="121" spans="1:42" s="54" customFormat="1" ht="25.5">
      <c r="A121" s="215">
        <v>1</v>
      </c>
      <c r="B121" s="282" t="s">
        <v>748</v>
      </c>
      <c r="C121" s="691" t="s">
        <v>112</v>
      </c>
      <c r="D121" s="101" t="s">
        <v>749</v>
      </c>
      <c r="E121" s="39" t="s">
        <v>750</v>
      </c>
      <c r="F121" s="100" t="s">
        <v>751</v>
      </c>
      <c r="G121" s="22">
        <v>265838</v>
      </c>
      <c r="H121" s="22">
        <v>265838</v>
      </c>
      <c r="I121" s="22">
        <f>108858+33212-9000</f>
        <v>133070</v>
      </c>
      <c r="J121" s="22">
        <f>108858+33212-9000</f>
        <v>133070</v>
      </c>
      <c r="K121" s="22">
        <v>106922</v>
      </c>
      <c r="L121" s="22">
        <v>106922</v>
      </c>
      <c r="M121" s="22"/>
      <c r="N121" s="1061">
        <v>51100</v>
      </c>
      <c r="O121" s="1061">
        <v>51000</v>
      </c>
      <c r="P121" s="1198"/>
      <c r="Q121" s="965">
        <f>SUM(R121:S121)</f>
        <v>51000</v>
      </c>
      <c r="R121" s="1061">
        <v>51000</v>
      </c>
      <c r="S121" s="1061"/>
      <c r="T121" s="73">
        <f>SUM(U121:V121)</f>
        <v>51000</v>
      </c>
      <c r="U121" s="1151">
        <v>51000</v>
      </c>
      <c r="V121" s="22"/>
      <c r="W121" s="691" t="s">
        <v>1531</v>
      </c>
      <c r="X121" s="24"/>
      <c r="Y121" s="22">
        <v>1</v>
      </c>
      <c r="Z121" s="965">
        <f>SUM(AA121:AB121)</f>
        <v>51000</v>
      </c>
      <c r="AA121" s="1061">
        <v>51000</v>
      </c>
      <c r="AB121" s="1061"/>
      <c r="AC121" s="1107"/>
      <c r="AD121" s="657"/>
      <c r="AE121" s="990"/>
      <c r="AF121" s="811"/>
      <c r="AG121" s="551"/>
      <c r="AH121" s="551"/>
      <c r="AI121" s="551"/>
      <c r="AK121" s="57"/>
      <c r="AL121" s="57"/>
      <c r="AM121" s="57"/>
      <c r="AN121" s="57"/>
      <c r="AO121" s="57"/>
      <c r="AP121" s="57"/>
    </row>
    <row r="122" spans="1:42" s="54" customFormat="1" ht="28.5">
      <c r="A122" s="158" t="s">
        <v>116</v>
      </c>
      <c r="B122" s="159" t="s">
        <v>117</v>
      </c>
      <c r="C122" s="699"/>
      <c r="D122" s="301"/>
      <c r="E122" s="882"/>
      <c r="F122" s="700"/>
      <c r="G122" s="90">
        <f t="shared" ref="G122:V122" si="84">SUM(G123:G124)</f>
        <v>107277</v>
      </c>
      <c r="H122" s="90">
        <f t="shared" si="84"/>
        <v>105544</v>
      </c>
      <c r="I122" s="90">
        <f t="shared" si="84"/>
        <v>13300</v>
      </c>
      <c r="J122" s="90">
        <f t="shared" si="84"/>
        <v>13300</v>
      </c>
      <c r="K122" s="90">
        <f t="shared" si="84"/>
        <v>107277</v>
      </c>
      <c r="L122" s="90">
        <f t="shared" si="84"/>
        <v>105544</v>
      </c>
      <c r="M122" s="90">
        <f t="shared" si="84"/>
        <v>0</v>
      </c>
      <c r="N122" s="1038">
        <f t="shared" si="84"/>
        <v>29700</v>
      </c>
      <c r="O122" s="1038">
        <f t="shared" si="84"/>
        <v>29700</v>
      </c>
      <c r="P122" s="1038">
        <f t="shared" si="84"/>
        <v>0</v>
      </c>
      <c r="Q122" s="1038">
        <f t="shared" si="84"/>
        <v>30200</v>
      </c>
      <c r="R122" s="1038">
        <f t="shared" si="84"/>
        <v>30200</v>
      </c>
      <c r="S122" s="1038">
        <f t="shared" si="84"/>
        <v>0</v>
      </c>
      <c r="T122" s="90">
        <f t="shared" si="84"/>
        <v>30200</v>
      </c>
      <c r="U122" s="1130">
        <f t="shared" si="84"/>
        <v>30200</v>
      </c>
      <c r="V122" s="90">
        <f t="shared" si="84"/>
        <v>0</v>
      </c>
      <c r="W122" s="699"/>
      <c r="X122" s="699"/>
      <c r="Y122" s="90">
        <f>SUM(Y123:Y124)</f>
        <v>2</v>
      </c>
      <c r="Z122" s="1038">
        <f t="shared" ref="Z122:AB122" si="85">SUM(Z123:Z124)</f>
        <v>30200</v>
      </c>
      <c r="AA122" s="1038">
        <f t="shared" si="85"/>
        <v>30200</v>
      </c>
      <c r="AB122" s="1038">
        <f t="shared" si="85"/>
        <v>0</v>
      </c>
      <c r="AC122" s="1087"/>
      <c r="AD122" s="657"/>
      <c r="AE122" s="990"/>
      <c r="AF122" s="811"/>
      <c r="AG122" s="551"/>
      <c r="AH122" s="551"/>
      <c r="AI122" s="551"/>
      <c r="AK122" s="57"/>
      <c r="AL122" s="57"/>
      <c r="AM122" s="57"/>
      <c r="AN122" s="57"/>
      <c r="AO122" s="57"/>
      <c r="AP122" s="57"/>
    </row>
    <row r="123" spans="1:42" s="54" customFormat="1" ht="38.25">
      <c r="A123" s="215">
        <v>1</v>
      </c>
      <c r="B123" s="282" t="s">
        <v>752</v>
      </c>
      <c r="C123" s="691" t="s">
        <v>112</v>
      </c>
      <c r="D123" s="101" t="s">
        <v>753</v>
      </c>
      <c r="E123" s="39" t="s">
        <v>120</v>
      </c>
      <c r="F123" s="100" t="s">
        <v>754</v>
      </c>
      <c r="G123" s="22">
        <v>91967</v>
      </c>
      <c r="H123" s="22">
        <v>91967</v>
      </c>
      <c r="I123" s="22">
        <v>10000</v>
      </c>
      <c r="J123" s="22">
        <v>10000</v>
      </c>
      <c r="K123" s="22">
        <v>91967</v>
      </c>
      <c r="L123" s="22">
        <v>91967</v>
      </c>
      <c r="M123" s="22"/>
      <c r="N123" s="1061">
        <v>22500</v>
      </c>
      <c r="O123" s="1061">
        <v>22500</v>
      </c>
      <c r="P123" s="1198"/>
      <c r="Q123" s="965">
        <f>+R123</f>
        <v>23000</v>
      </c>
      <c r="R123" s="965">
        <v>23000</v>
      </c>
      <c r="S123" s="1061"/>
      <c r="T123" s="73">
        <f>SUM(U123:V123)</f>
        <v>23000</v>
      </c>
      <c r="U123" s="1129">
        <v>23000</v>
      </c>
      <c r="V123" s="22"/>
      <c r="W123" s="691" t="s">
        <v>1532</v>
      </c>
      <c r="X123" s="24"/>
      <c r="Y123" s="22">
        <v>1</v>
      </c>
      <c r="Z123" s="965">
        <f>SUM(AA123:AB123)</f>
        <v>23000</v>
      </c>
      <c r="AA123" s="965">
        <v>23000</v>
      </c>
      <c r="AB123" s="1061"/>
      <c r="AC123" s="1107"/>
      <c r="AD123" s="657"/>
      <c r="AE123" s="990"/>
      <c r="AF123" s="811"/>
      <c r="AG123" s="551"/>
      <c r="AH123" s="551"/>
      <c r="AI123" s="551"/>
      <c r="AK123" s="57"/>
      <c r="AL123" s="57"/>
      <c r="AM123" s="57"/>
      <c r="AN123" s="57"/>
      <c r="AO123" s="57"/>
      <c r="AP123" s="57"/>
    </row>
    <row r="124" spans="1:42" s="54" customFormat="1" ht="30">
      <c r="A124" s="215">
        <v>2</v>
      </c>
      <c r="B124" s="282" t="s">
        <v>755</v>
      </c>
      <c r="C124" s="691" t="s">
        <v>29</v>
      </c>
      <c r="D124" s="101" t="s">
        <v>753</v>
      </c>
      <c r="E124" s="39" t="s">
        <v>120</v>
      </c>
      <c r="F124" s="100" t="s">
        <v>756</v>
      </c>
      <c r="G124" s="22">
        <v>15310</v>
      </c>
      <c r="H124" s="22">
        <v>13577</v>
      </c>
      <c r="I124" s="22">
        <v>3300</v>
      </c>
      <c r="J124" s="22">
        <v>3300</v>
      </c>
      <c r="K124" s="22">
        <v>15310</v>
      </c>
      <c r="L124" s="22">
        <v>13577</v>
      </c>
      <c r="M124" s="22"/>
      <c r="N124" s="1061">
        <v>7200</v>
      </c>
      <c r="O124" s="1061">
        <v>7200</v>
      </c>
      <c r="P124" s="1198"/>
      <c r="Q124" s="965">
        <f>SUM(R124:S124)</f>
        <v>7200</v>
      </c>
      <c r="R124" s="1061">
        <v>7200</v>
      </c>
      <c r="S124" s="1061"/>
      <c r="T124" s="73">
        <f>SUM(U124:V124)</f>
        <v>7200</v>
      </c>
      <c r="U124" s="1151">
        <v>7200</v>
      </c>
      <c r="V124" s="22"/>
      <c r="W124" s="691" t="s">
        <v>1533</v>
      </c>
      <c r="X124" s="24"/>
      <c r="Y124" s="22">
        <v>1</v>
      </c>
      <c r="Z124" s="965">
        <f>SUM(AA124:AB124)</f>
        <v>7200</v>
      </c>
      <c r="AA124" s="1061">
        <v>7200</v>
      </c>
      <c r="AB124" s="1061"/>
      <c r="AC124" s="1107"/>
      <c r="AD124" s="657"/>
      <c r="AE124" s="990"/>
      <c r="AF124" s="811"/>
      <c r="AG124" s="551"/>
      <c r="AH124" s="551"/>
      <c r="AI124" s="551"/>
      <c r="AK124" s="57"/>
      <c r="AL124" s="57"/>
      <c r="AM124" s="57"/>
      <c r="AN124" s="57"/>
      <c r="AO124" s="57"/>
      <c r="AP124" s="57"/>
    </row>
    <row r="125" spans="1:42" s="54" customFormat="1">
      <c r="A125" s="158" t="s">
        <v>150</v>
      </c>
      <c r="B125" s="283" t="s">
        <v>151</v>
      </c>
      <c r="C125" s="691"/>
      <c r="D125" s="101"/>
      <c r="E125" s="39"/>
      <c r="F125" s="100"/>
      <c r="G125" s="90">
        <f t="shared" ref="G125:V125" si="86">G126</f>
        <v>12541</v>
      </c>
      <c r="H125" s="90">
        <f t="shared" si="86"/>
        <v>12541</v>
      </c>
      <c r="I125" s="90">
        <f t="shared" si="86"/>
        <v>200</v>
      </c>
      <c r="J125" s="90">
        <f t="shared" si="86"/>
        <v>200</v>
      </c>
      <c r="K125" s="90">
        <f t="shared" si="86"/>
        <v>12541</v>
      </c>
      <c r="L125" s="90">
        <f t="shared" si="86"/>
        <v>12541</v>
      </c>
      <c r="M125" s="90">
        <f t="shared" si="86"/>
        <v>0</v>
      </c>
      <c r="N125" s="1038">
        <f t="shared" si="86"/>
        <v>4000</v>
      </c>
      <c r="O125" s="1038">
        <f t="shared" si="86"/>
        <v>4000</v>
      </c>
      <c r="P125" s="1038">
        <f t="shared" si="86"/>
        <v>0</v>
      </c>
      <c r="Q125" s="1038">
        <f t="shared" si="86"/>
        <v>4000</v>
      </c>
      <c r="R125" s="1038">
        <f t="shared" si="86"/>
        <v>4000</v>
      </c>
      <c r="S125" s="1038">
        <f t="shared" si="86"/>
        <v>0</v>
      </c>
      <c r="T125" s="90">
        <f t="shared" si="86"/>
        <v>4000</v>
      </c>
      <c r="U125" s="1130">
        <f t="shared" si="86"/>
        <v>4000</v>
      </c>
      <c r="V125" s="90">
        <f t="shared" si="86"/>
        <v>0</v>
      </c>
      <c r="W125" s="699"/>
      <c r="X125" s="699"/>
      <c r="Y125" s="90">
        <f>Y126</f>
        <v>1</v>
      </c>
      <c r="Z125" s="1038">
        <f t="shared" ref="Z125:AB125" si="87">Z126</f>
        <v>4000</v>
      </c>
      <c r="AA125" s="1038">
        <f t="shared" si="87"/>
        <v>4000</v>
      </c>
      <c r="AB125" s="1038">
        <f t="shared" si="87"/>
        <v>0</v>
      </c>
      <c r="AC125" s="1087"/>
      <c r="AD125" s="657"/>
      <c r="AE125" s="990"/>
      <c r="AF125" s="811"/>
      <c r="AG125" s="551"/>
      <c r="AH125" s="551"/>
      <c r="AI125" s="551"/>
      <c r="AK125" s="57"/>
      <c r="AL125" s="57"/>
      <c r="AM125" s="57"/>
      <c r="AN125" s="57"/>
      <c r="AO125" s="57"/>
      <c r="AP125" s="57"/>
    </row>
    <row r="126" spans="1:42" s="54" customFormat="1" ht="60">
      <c r="A126" s="215">
        <v>1</v>
      </c>
      <c r="B126" s="282" t="s">
        <v>1495</v>
      </c>
      <c r="C126" s="691" t="s">
        <v>112</v>
      </c>
      <c r="D126" s="101" t="s">
        <v>758</v>
      </c>
      <c r="E126" s="39" t="s">
        <v>154</v>
      </c>
      <c r="F126" s="100" t="s">
        <v>759</v>
      </c>
      <c r="G126" s="22">
        <v>12541</v>
      </c>
      <c r="H126" s="22">
        <v>12541</v>
      </c>
      <c r="I126" s="22">
        <v>200</v>
      </c>
      <c r="J126" s="22">
        <v>200</v>
      </c>
      <c r="K126" s="22">
        <v>12541</v>
      </c>
      <c r="L126" s="22">
        <v>12541</v>
      </c>
      <c r="M126" s="22"/>
      <c r="N126" s="1061">
        <v>4000</v>
      </c>
      <c r="O126" s="1061">
        <v>4000</v>
      </c>
      <c r="P126" s="1198"/>
      <c r="Q126" s="1061">
        <f>SUM(R126:S126)</f>
        <v>4000</v>
      </c>
      <c r="R126" s="1061">
        <v>4000</v>
      </c>
      <c r="S126" s="1061"/>
      <c r="T126" s="73">
        <f>SUM(U126:V126)</f>
        <v>4000</v>
      </c>
      <c r="U126" s="1151">
        <v>4000</v>
      </c>
      <c r="V126" s="22"/>
      <c r="W126" s="691" t="s">
        <v>1534</v>
      </c>
      <c r="X126" s="24"/>
      <c r="Y126" s="22">
        <v>1</v>
      </c>
      <c r="Z126" s="965">
        <f>SUM(AA126:AB126)</f>
        <v>4000</v>
      </c>
      <c r="AA126" s="1061">
        <v>4000</v>
      </c>
      <c r="AB126" s="1061"/>
      <c r="AC126" s="1107"/>
      <c r="AD126" s="657"/>
      <c r="AE126" s="990"/>
      <c r="AF126" s="811"/>
      <c r="AG126" s="551"/>
      <c r="AH126" s="551"/>
      <c r="AI126" s="551"/>
      <c r="AK126" s="57"/>
      <c r="AL126" s="57"/>
      <c r="AM126" s="57"/>
      <c r="AN126" s="57"/>
      <c r="AO126" s="57"/>
      <c r="AP126" s="57"/>
    </row>
    <row r="127" spans="1:42" s="633" customFormat="1" ht="24.75" customHeight="1">
      <c r="A127" s="630" t="s">
        <v>526</v>
      </c>
      <c r="B127" s="618" t="s">
        <v>1490</v>
      </c>
      <c r="C127" s="690"/>
      <c r="D127" s="625"/>
      <c r="E127" s="626"/>
      <c r="F127" s="690"/>
      <c r="G127" s="636">
        <f t="shared" ref="G127:V127" si="88">SUM(G128,G132)</f>
        <v>333777</v>
      </c>
      <c r="H127" s="636">
        <f t="shared" si="88"/>
        <v>192879</v>
      </c>
      <c r="I127" s="636">
        <f t="shared" si="88"/>
        <v>8324</v>
      </c>
      <c r="J127" s="636">
        <f t="shared" si="88"/>
        <v>8324</v>
      </c>
      <c r="K127" s="636">
        <f t="shared" si="88"/>
        <v>239990.33333333334</v>
      </c>
      <c r="L127" s="636">
        <f t="shared" si="88"/>
        <v>176360.33333333334</v>
      </c>
      <c r="M127" s="636">
        <f t="shared" si="88"/>
        <v>0</v>
      </c>
      <c r="N127" s="1063">
        <f t="shared" si="88"/>
        <v>70151</v>
      </c>
      <c r="O127" s="1063">
        <f t="shared" si="88"/>
        <v>63875</v>
      </c>
      <c r="P127" s="1063">
        <f t="shared" si="88"/>
        <v>0</v>
      </c>
      <c r="Q127" s="1063">
        <f t="shared" si="88"/>
        <v>61775</v>
      </c>
      <c r="R127" s="1063">
        <f t="shared" si="88"/>
        <v>36575</v>
      </c>
      <c r="S127" s="1063">
        <f t="shared" si="88"/>
        <v>25200</v>
      </c>
      <c r="T127" s="636">
        <f t="shared" si="88"/>
        <v>59375</v>
      </c>
      <c r="U127" s="1153">
        <f t="shared" si="88"/>
        <v>59375</v>
      </c>
      <c r="V127" s="636">
        <f t="shared" si="88"/>
        <v>0</v>
      </c>
      <c r="W127" s="690"/>
      <c r="X127" s="690"/>
      <c r="Y127" s="636">
        <f>SUM(Y128,Y132)</f>
        <v>16</v>
      </c>
      <c r="Z127" s="1063">
        <f t="shared" ref="Z127:AB127" si="89">SUM(Z128,Z132)</f>
        <v>59375</v>
      </c>
      <c r="AA127" s="1063">
        <f t="shared" si="89"/>
        <v>59375</v>
      </c>
      <c r="AB127" s="1063">
        <f t="shared" si="89"/>
        <v>0</v>
      </c>
      <c r="AC127" s="1109"/>
      <c r="AD127" s="662"/>
      <c r="AE127" s="990"/>
      <c r="AF127" s="811"/>
      <c r="AG127" s="628"/>
      <c r="AH127" s="628"/>
      <c r="AI127" s="628"/>
      <c r="AK127" s="629"/>
      <c r="AL127" s="629"/>
      <c r="AM127" s="629"/>
      <c r="AN127" s="629"/>
      <c r="AO127" s="629"/>
      <c r="AP127" s="629"/>
    </row>
    <row r="128" spans="1:42" s="266" customFormat="1">
      <c r="A128" s="82" t="s">
        <v>525</v>
      </c>
      <c r="B128" s="608" t="s">
        <v>26</v>
      </c>
      <c r="C128" s="352"/>
      <c r="D128" s="350"/>
      <c r="E128" s="351"/>
      <c r="F128" s="352"/>
      <c r="G128" s="609">
        <f t="shared" ref="G128:V128" si="90">SUM(G129:G131)</f>
        <v>8274</v>
      </c>
      <c r="H128" s="609">
        <f t="shared" si="90"/>
        <v>8274</v>
      </c>
      <c r="I128" s="609">
        <f t="shared" si="90"/>
        <v>0</v>
      </c>
      <c r="J128" s="609">
        <f t="shared" si="90"/>
        <v>0</v>
      </c>
      <c r="K128" s="609">
        <f t="shared" si="90"/>
        <v>8274</v>
      </c>
      <c r="L128" s="609">
        <f t="shared" si="90"/>
        <v>8274</v>
      </c>
      <c r="M128" s="609">
        <f t="shared" si="90"/>
        <v>0</v>
      </c>
      <c r="N128" s="1064">
        <f t="shared" si="90"/>
        <v>230</v>
      </c>
      <c r="O128" s="1064">
        <f t="shared" si="90"/>
        <v>230</v>
      </c>
      <c r="P128" s="1064">
        <f t="shared" si="90"/>
        <v>0</v>
      </c>
      <c r="Q128" s="1064">
        <f t="shared" si="90"/>
        <v>230</v>
      </c>
      <c r="R128" s="1064">
        <f t="shared" si="90"/>
        <v>230</v>
      </c>
      <c r="S128" s="1064">
        <f t="shared" si="90"/>
        <v>0</v>
      </c>
      <c r="T128" s="609">
        <f t="shared" si="90"/>
        <v>230</v>
      </c>
      <c r="U128" s="1154">
        <f t="shared" si="90"/>
        <v>230</v>
      </c>
      <c r="V128" s="609">
        <f t="shared" si="90"/>
        <v>0</v>
      </c>
      <c r="W128" s="733"/>
      <c r="X128" s="733"/>
      <c r="Y128" s="609">
        <f>SUM(Y129:Y131)</f>
        <v>3</v>
      </c>
      <c r="Z128" s="1064">
        <f t="shared" ref="Z128:AB128" si="91">SUM(Z129:Z131)</f>
        <v>230</v>
      </c>
      <c r="AA128" s="1064">
        <f t="shared" si="91"/>
        <v>230</v>
      </c>
      <c r="AB128" s="1064">
        <f t="shared" si="91"/>
        <v>0</v>
      </c>
      <c r="AC128" s="1110"/>
      <c r="AD128" s="657"/>
      <c r="AE128" s="990"/>
      <c r="AF128" s="811"/>
      <c r="AG128" s="551"/>
      <c r="AH128" s="551"/>
      <c r="AI128" s="551"/>
      <c r="AK128" s="265"/>
      <c r="AL128" s="265"/>
      <c r="AM128" s="265"/>
      <c r="AN128" s="265"/>
      <c r="AO128" s="265"/>
      <c r="AP128" s="265"/>
    </row>
    <row r="129" spans="1:42" s="54" customFormat="1" ht="51">
      <c r="A129" s="97" t="s">
        <v>27</v>
      </c>
      <c r="B129" s="284" t="s">
        <v>761</v>
      </c>
      <c r="C129" s="728" t="s">
        <v>29</v>
      </c>
      <c r="D129" s="233" t="s">
        <v>762</v>
      </c>
      <c r="E129" s="39" t="s">
        <v>154</v>
      </c>
      <c r="F129" s="701"/>
      <c r="G129" s="217">
        <v>2317</v>
      </c>
      <c r="H129" s="217">
        <v>2317</v>
      </c>
      <c r="I129" s="217"/>
      <c r="J129" s="217"/>
      <c r="K129" s="217">
        <v>2317</v>
      </c>
      <c r="L129" s="217">
        <v>2317</v>
      </c>
      <c r="M129" s="217"/>
      <c r="N129" s="1065">
        <v>80</v>
      </c>
      <c r="O129" s="1065">
        <v>80</v>
      </c>
      <c r="P129" s="1198"/>
      <c r="Q129" s="1065">
        <f>SUM(R129:S129)</f>
        <v>80</v>
      </c>
      <c r="R129" s="1065">
        <v>80</v>
      </c>
      <c r="S129" s="1065"/>
      <c r="T129" s="73">
        <f>SUM(U129:V129)</f>
        <v>80</v>
      </c>
      <c r="U129" s="1155">
        <v>80</v>
      </c>
      <c r="V129" s="217"/>
      <c r="W129" s="728" t="s">
        <v>1535</v>
      </c>
      <c r="X129" s="98" t="s">
        <v>1089</v>
      </c>
      <c r="Y129" s="217">
        <v>1</v>
      </c>
      <c r="Z129" s="965">
        <f>SUM(AA129:AB129)</f>
        <v>80</v>
      </c>
      <c r="AA129" s="1065">
        <v>80</v>
      </c>
      <c r="AB129" s="1065"/>
      <c r="AC129" s="1111"/>
      <c r="AD129" s="657"/>
      <c r="AE129" s="990"/>
      <c r="AF129" s="811"/>
      <c r="AG129" s="551"/>
      <c r="AH129" s="551"/>
      <c r="AI129" s="551"/>
      <c r="AK129" s="57"/>
      <c r="AL129" s="57"/>
      <c r="AM129" s="57"/>
      <c r="AN129" s="57"/>
      <c r="AO129" s="57"/>
      <c r="AP129" s="57"/>
    </row>
    <row r="130" spans="1:42" s="54" customFormat="1" ht="51">
      <c r="A130" s="97" t="s">
        <v>41</v>
      </c>
      <c r="B130" s="284" t="s">
        <v>763</v>
      </c>
      <c r="C130" s="728" t="s">
        <v>29</v>
      </c>
      <c r="D130" s="233" t="s">
        <v>762</v>
      </c>
      <c r="E130" s="39" t="s">
        <v>519</v>
      </c>
      <c r="F130" s="701"/>
      <c r="G130" s="217">
        <v>1201</v>
      </c>
      <c r="H130" s="217">
        <v>1201</v>
      </c>
      <c r="I130" s="217"/>
      <c r="J130" s="217"/>
      <c r="K130" s="217">
        <v>1201</v>
      </c>
      <c r="L130" s="217">
        <v>1201</v>
      </c>
      <c r="M130" s="217"/>
      <c r="N130" s="1065">
        <v>50</v>
      </c>
      <c r="O130" s="1065">
        <v>50</v>
      </c>
      <c r="P130" s="1198"/>
      <c r="Q130" s="1065">
        <f>SUM(R130:S130)</f>
        <v>50</v>
      </c>
      <c r="R130" s="1065">
        <v>50</v>
      </c>
      <c r="S130" s="1065"/>
      <c r="T130" s="73">
        <f>SUM(U130:V130)</f>
        <v>50</v>
      </c>
      <c r="U130" s="1155">
        <v>50</v>
      </c>
      <c r="V130" s="217"/>
      <c r="W130" s="728" t="s">
        <v>1536</v>
      </c>
      <c r="X130" s="98" t="s">
        <v>1090</v>
      </c>
      <c r="Y130" s="217">
        <v>1</v>
      </c>
      <c r="Z130" s="965">
        <f>SUM(AA130:AB130)</f>
        <v>50</v>
      </c>
      <c r="AA130" s="1065">
        <v>50</v>
      </c>
      <c r="AB130" s="1065"/>
      <c r="AC130" s="1111"/>
      <c r="AD130" s="657"/>
      <c r="AE130" s="990"/>
      <c r="AF130" s="811"/>
      <c r="AG130" s="551"/>
      <c r="AH130" s="551"/>
      <c r="AI130" s="551"/>
      <c r="AK130" s="57"/>
      <c r="AL130" s="57"/>
      <c r="AM130" s="57"/>
      <c r="AN130" s="57"/>
      <c r="AO130" s="57"/>
      <c r="AP130" s="57"/>
    </row>
    <row r="131" spans="1:42" s="54" customFormat="1" ht="51">
      <c r="A131" s="97" t="s">
        <v>58</v>
      </c>
      <c r="B131" s="284" t="s">
        <v>764</v>
      </c>
      <c r="C131" s="728" t="s">
        <v>765</v>
      </c>
      <c r="D131" s="233" t="s">
        <v>762</v>
      </c>
      <c r="E131" s="39" t="s">
        <v>163</v>
      </c>
      <c r="F131" s="98"/>
      <c r="G131" s="217">
        <v>4756</v>
      </c>
      <c r="H131" s="217">
        <v>4756</v>
      </c>
      <c r="I131" s="217"/>
      <c r="J131" s="217"/>
      <c r="K131" s="217">
        <v>4756</v>
      </c>
      <c r="L131" s="217">
        <v>4756</v>
      </c>
      <c r="M131" s="217"/>
      <c r="N131" s="1065">
        <v>100</v>
      </c>
      <c r="O131" s="1065">
        <v>100</v>
      </c>
      <c r="P131" s="1198"/>
      <c r="Q131" s="1065">
        <f>SUM(R131:S131)</f>
        <v>100</v>
      </c>
      <c r="R131" s="1065">
        <v>100</v>
      </c>
      <c r="S131" s="1065"/>
      <c r="T131" s="73">
        <f>SUM(U131:V131)</f>
        <v>100</v>
      </c>
      <c r="U131" s="1155">
        <v>100</v>
      </c>
      <c r="V131" s="217"/>
      <c r="W131" s="728" t="s">
        <v>1537</v>
      </c>
      <c r="X131" s="98" t="s">
        <v>1091</v>
      </c>
      <c r="Y131" s="217">
        <v>1</v>
      </c>
      <c r="Z131" s="965">
        <f>SUM(AA131:AB131)</f>
        <v>100</v>
      </c>
      <c r="AA131" s="1065">
        <v>100</v>
      </c>
      <c r="AB131" s="1065"/>
      <c r="AC131" s="1111"/>
      <c r="AD131" s="657"/>
      <c r="AE131" s="990"/>
      <c r="AF131" s="811"/>
      <c r="AG131" s="551"/>
      <c r="AH131" s="551"/>
      <c r="AI131" s="551"/>
      <c r="AK131" s="57"/>
      <c r="AL131" s="57"/>
      <c r="AM131" s="57"/>
      <c r="AN131" s="57"/>
      <c r="AO131" s="57"/>
      <c r="AP131" s="57"/>
    </row>
    <row r="132" spans="1:42" s="54" customFormat="1">
      <c r="A132" s="158" t="s">
        <v>499</v>
      </c>
      <c r="B132" s="283" t="s">
        <v>31</v>
      </c>
      <c r="C132" s="737"/>
      <c r="D132" s="303"/>
      <c r="E132" s="882"/>
      <c r="F132" s="702"/>
      <c r="G132" s="219">
        <f t="shared" ref="G132:V132" si="92">SUM(G133,G137)</f>
        <v>325503</v>
      </c>
      <c r="H132" s="219">
        <f t="shared" si="92"/>
        <v>184605</v>
      </c>
      <c r="I132" s="219">
        <f t="shared" si="92"/>
        <v>8324</v>
      </c>
      <c r="J132" s="219">
        <f t="shared" si="92"/>
        <v>8324</v>
      </c>
      <c r="K132" s="219">
        <f t="shared" si="92"/>
        <v>231716.33333333334</v>
      </c>
      <c r="L132" s="219">
        <f t="shared" si="92"/>
        <v>168086.33333333334</v>
      </c>
      <c r="M132" s="219">
        <f t="shared" si="92"/>
        <v>0</v>
      </c>
      <c r="N132" s="1066">
        <f t="shared" si="92"/>
        <v>69921</v>
      </c>
      <c r="O132" s="1066">
        <f t="shared" si="92"/>
        <v>63645</v>
      </c>
      <c r="P132" s="1066">
        <f t="shared" si="92"/>
        <v>0</v>
      </c>
      <c r="Q132" s="1066">
        <f t="shared" si="92"/>
        <v>61545</v>
      </c>
      <c r="R132" s="1066">
        <f t="shared" si="92"/>
        <v>36345</v>
      </c>
      <c r="S132" s="1066">
        <f t="shared" si="92"/>
        <v>25200</v>
      </c>
      <c r="T132" s="219">
        <f t="shared" si="92"/>
        <v>59145</v>
      </c>
      <c r="U132" s="1156">
        <f t="shared" si="92"/>
        <v>59145</v>
      </c>
      <c r="V132" s="219">
        <f t="shared" si="92"/>
        <v>0</v>
      </c>
      <c r="W132" s="737"/>
      <c r="X132" s="737"/>
      <c r="Y132" s="219">
        <f>SUM(Y133,Y137)</f>
        <v>13</v>
      </c>
      <c r="Z132" s="1066">
        <f t="shared" ref="Z132:AB132" si="93">SUM(Z133,Z137)</f>
        <v>59145</v>
      </c>
      <c r="AA132" s="1066">
        <f t="shared" si="93"/>
        <v>59145</v>
      </c>
      <c r="AB132" s="1066">
        <f t="shared" si="93"/>
        <v>0</v>
      </c>
      <c r="AC132" s="1112"/>
      <c r="AD132" s="657"/>
      <c r="AE132" s="990"/>
      <c r="AF132" s="811"/>
      <c r="AG132" s="551"/>
      <c r="AH132" s="551"/>
      <c r="AI132" s="551"/>
      <c r="AK132" s="57"/>
      <c r="AL132" s="57"/>
      <c r="AM132" s="57"/>
      <c r="AN132" s="57"/>
      <c r="AO132" s="57"/>
      <c r="AP132" s="57"/>
    </row>
    <row r="133" spans="1:42" s="54" customFormat="1" ht="28.5">
      <c r="A133" s="158" t="s">
        <v>116</v>
      </c>
      <c r="B133" s="283" t="s">
        <v>117</v>
      </c>
      <c r="C133" s="737"/>
      <c r="D133" s="303"/>
      <c r="E133" s="882"/>
      <c r="F133" s="702"/>
      <c r="G133" s="219">
        <f t="shared" ref="G133:V133" si="94">SUM(G134:G136)</f>
        <v>32695</v>
      </c>
      <c r="H133" s="219">
        <f t="shared" si="94"/>
        <v>32695</v>
      </c>
      <c r="I133" s="219">
        <f t="shared" si="94"/>
        <v>7306</v>
      </c>
      <c r="J133" s="219">
        <f t="shared" si="94"/>
        <v>7306</v>
      </c>
      <c r="K133" s="219">
        <f t="shared" si="94"/>
        <v>32595</v>
      </c>
      <c r="L133" s="219">
        <f t="shared" si="94"/>
        <v>32595</v>
      </c>
      <c r="M133" s="219">
        <f t="shared" si="94"/>
        <v>0</v>
      </c>
      <c r="N133" s="1066">
        <f t="shared" si="94"/>
        <v>17000</v>
      </c>
      <c r="O133" s="1066">
        <f t="shared" si="94"/>
        <v>17000</v>
      </c>
      <c r="P133" s="1066">
        <f t="shared" si="94"/>
        <v>0</v>
      </c>
      <c r="Q133" s="1066">
        <f t="shared" si="94"/>
        <v>15200</v>
      </c>
      <c r="R133" s="1066">
        <f t="shared" si="94"/>
        <v>0</v>
      </c>
      <c r="S133" s="1066">
        <f t="shared" si="94"/>
        <v>15200</v>
      </c>
      <c r="T133" s="219">
        <f t="shared" si="94"/>
        <v>15200</v>
      </c>
      <c r="U133" s="1156">
        <f t="shared" si="94"/>
        <v>15200</v>
      </c>
      <c r="V133" s="219">
        <f t="shared" si="94"/>
        <v>0</v>
      </c>
      <c r="W133" s="737"/>
      <c r="X133" s="737"/>
      <c r="Y133" s="219">
        <f>SUM(Y134:Y136)</f>
        <v>3</v>
      </c>
      <c r="Z133" s="1066">
        <f t="shared" ref="Z133:AB133" si="95">SUM(Z134:Z136)</f>
        <v>15200</v>
      </c>
      <c r="AA133" s="1066">
        <f t="shared" si="95"/>
        <v>15200</v>
      </c>
      <c r="AB133" s="1066">
        <f t="shared" si="95"/>
        <v>0</v>
      </c>
      <c r="AC133" s="1112"/>
      <c r="AD133" s="657"/>
      <c r="AE133" s="990"/>
      <c r="AF133" s="811"/>
      <c r="AG133" s="551"/>
      <c r="AH133" s="551"/>
      <c r="AI133" s="551"/>
      <c r="AK133" s="57"/>
      <c r="AL133" s="57"/>
      <c r="AM133" s="57"/>
      <c r="AN133" s="57"/>
      <c r="AO133" s="57"/>
      <c r="AP133" s="57"/>
    </row>
    <row r="134" spans="1:42" s="54" customFormat="1" ht="38.25">
      <c r="A134" s="97" t="s">
        <v>27</v>
      </c>
      <c r="B134" s="284" t="s">
        <v>781</v>
      </c>
      <c r="C134" s="728" t="s">
        <v>278</v>
      </c>
      <c r="D134" s="233" t="s">
        <v>782</v>
      </c>
      <c r="E134" s="39" t="s">
        <v>30</v>
      </c>
      <c r="F134" s="98" t="s">
        <v>783</v>
      </c>
      <c r="G134" s="217">
        <v>11907</v>
      </c>
      <c r="H134" s="217">
        <v>11907</v>
      </c>
      <c r="I134" s="217">
        <v>1126</v>
      </c>
      <c r="J134" s="217">
        <f>126+1000</f>
        <v>1126</v>
      </c>
      <c r="K134" s="217">
        <v>11807</v>
      </c>
      <c r="L134" s="217">
        <v>11807</v>
      </c>
      <c r="M134" s="217"/>
      <c r="N134" s="1065">
        <v>6800</v>
      </c>
      <c r="O134" s="1065">
        <v>6800</v>
      </c>
      <c r="P134" s="1198"/>
      <c r="Q134" s="965">
        <f>SUM(R134:S134)</f>
        <v>5000</v>
      </c>
      <c r="R134" s="1065"/>
      <c r="S134" s="1065">
        <v>5000</v>
      </c>
      <c r="T134" s="73">
        <f>SUM(U134:V134)</f>
        <v>5000</v>
      </c>
      <c r="U134" s="1155">
        <v>5000</v>
      </c>
      <c r="V134" s="217"/>
      <c r="W134" s="728" t="s">
        <v>1537</v>
      </c>
      <c r="X134" s="24"/>
      <c r="Y134" s="217">
        <v>1</v>
      </c>
      <c r="Z134" s="965">
        <f>SUM(AA134:AB134)</f>
        <v>5000</v>
      </c>
      <c r="AA134" s="1065">
        <v>5000</v>
      </c>
      <c r="AB134" s="1065"/>
      <c r="AC134" s="1111"/>
      <c r="AD134" s="657"/>
      <c r="AE134" s="990"/>
      <c r="AF134" s="811"/>
      <c r="AG134" s="551"/>
      <c r="AH134" s="551"/>
      <c r="AI134" s="551"/>
      <c r="AK134" s="57"/>
      <c r="AL134" s="57"/>
      <c r="AM134" s="57"/>
      <c r="AN134" s="57"/>
      <c r="AO134" s="57"/>
      <c r="AP134" s="57"/>
    </row>
    <row r="135" spans="1:42" s="54" customFormat="1" ht="75">
      <c r="A135" s="97" t="s">
        <v>41</v>
      </c>
      <c r="B135" s="284" t="s">
        <v>784</v>
      </c>
      <c r="C135" s="728" t="s">
        <v>765</v>
      </c>
      <c r="D135" s="233" t="s">
        <v>785</v>
      </c>
      <c r="E135" s="39" t="s">
        <v>30</v>
      </c>
      <c r="F135" s="98" t="s">
        <v>786</v>
      </c>
      <c r="G135" s="217">
        <v>18000</v>
      </c>
      <c r="H135" s="217">
        <v>18000</v>
      </c>
      <c r="I135" s="217">
        <v>5800</v>
      </c>
      <c r="J135" s="217">
        <v>5800</v>
      </c>
      <c r="K135" s="217">
        <v>18000</v>
      </c>
      <c r="L135" s="217">
        <v>18000</v>
      </c>
      <c r="M135" s="217"/>
      <c r="N135" s="1065">
        <f>+O135</f>
        <v>9000</v>
      </c>
      <c r="O135" s="1065">
        <v>9000</v>
      </c>
      <c r="P135" s="1198"/>
      <c r="Q135" s="965">
        <f>SUM(R135:S135)</f>
        <v>9000</v>
      </c>
      <c r="R135" s="1065"/>
      <c r="S135" s="1065">
        <v>9000</v>
      </c>
      <c r="T135" s="73">
        <f>SUM(U135:V135)</f>
        <v>9000</v>
      </c>
      <c r="U135" s="1155">
        <v>9000</v>
      </c>
      <c r="V135" s="217"/>
      <c r="W135" s="728" t="s">
        <v>1539</v>
      </c>
      <c r="X135" s="24"/>
      <c r="Y135" s="217">
        <v>1</v>
      </c>
      <c r="Z135" s="965">
        <f>SUM(AA135:AB135)</f>
        <v>9000</v>
      </c>
      <c r="AA135" s="1065">
        <v>9000</v>
      </c>
      <c r="AB135" s="1065"/>
      <c r="AC135" s="1111"/>
      <c r="AD135" s="657"/>
      <c r="AE135" s="990"/>
      <c r="AF135" s="811"/>
      <c r="AG135" s="551"/>
      <c r="AH135" s="551"/>
      <c r="AI135" s="551"/>
      <c r="AK135" s="57"/>
      <c r="AL135" s="57"/>
      <c r="AM135" s="57"/>
      <c r="AN135" s="57"/>
      <c r="AO135" s="57"/>
      <c r="AP135" s="57"/>
    </row>
    <row r="136" spans="1:42" s="278" customFormat="1" ht="46.5" customHeight="1">
      <c r="A136" s="97" t="s">
        <v>58</v>
      </c>
      <c r="B136" s="68" t="s">
        <v>775</v>
      </c>
      <c r="C136" s="80" t="s">
        <v>29</v>
      </c>
      <c r="D136" s="19" t="s">
        <v>776</v>
      </c>
      <c r="E136" s="70" t="s">
        <v>30</v>
      </c>
      <c r="F136" s="80" t="s">
        <v>777</v>
      </c>
      <c r="G136" s="277">
        <v>2788</v>
      </c>
      <c r="H136" s="77">
        <v>2788</v>
      </c>
      <c r="I136" s="594">
        <v>380</v>
      </c>
      <c r="J136" s="594">
        <v>380</v>
      </c>
      <c r="K136" s="277">
        <v>2788</v>
      </c>
      <c r="L136" s="277">
        <v>2788</v>
      </c>
      <c r="M136" s="277"/>
      <c r="N136" s="1047">
        <v>1200</v>
      </c>
      <c r="O136" s="1047">
        <v>1200</v>
      </c>
      <c r="P136" s="1048"/>
      <c r="Q136" s="1047">
        <v>1200</v>
      </c>
      <c r="R136" s="1047"/>
      <c r="S136" s="1047">
        <v>1200</v>
      </c>
      <c r="T136" s="73">
        <f>SUM(U136:V136)</f>
        <v>1200</v>
      </c>
      <c r="U136" s="1139">
        <v>1200</v>
      </c>
      <c r="V136" s="277"/>
      <c r="W136" s="100" t="s">
        <v>1538</v>
      </c>
      <c r="X136" s="98"/>
      <c r="Y136" s="175">
        <v>1</v>
      </c>
      <c r="Z136" s="965">
        <f>SUM(AA136:AB136)</f>
        <v>1200</v>
      </c>
      <c r="AA136" s="1047">
        <v>1200</v>
      </c>
      <c r="AB136" s="1047"/>
      <c r="AC136" s="1095"/>
      <c r="AD136" s="661"/>
      <c r="AE136" s="997"/>
      <c r="AF136" s="979"/>
      <c r="AG136" s="555"/>
      <c r="AH136" s="555"/>
      <c r="AI136" s="555"/>
    </row>
    <row r="137" spans="1:42" s="54" customFormat="1">
      <c r="A137" s="158" t="s">
        <v>150</v>
      </c>
      <c r="B137" s="283" t="s">
        <v>151</v>
      </c>
      <c r="C137" s="737"/>
      <c r="D137" s="303"/>
      <c r="E137" s="882"/>
      <c r="F137" s="702"/>
      <c r="G137" s="219">
        <f t="shared" ref="G137:V137" si="96">SUM(G138:G147)</f>
        <v>292808</v>
      </c>
      <c r="H137" s="219">
        <f t="shared" si="96"/>
        <v>151910</v>
      </c>
      <c r="I137" s="219">
        <f t="shared" si="96"/>
        <v>1018</v>
      </c>
      <c r="J137" s="219">
        <f t="shared" si="96"/>
        <v>1018</v>
      </c>
      <c r="K137" s="219">
        <f t="shared" si="96"/>
        <v>199121.33333333334</v>
      </c>
      <c r="L137" s="219">
        <f t="shared" si="96"/>
        <v>135491.33333333334</v>
      </c>
      <c r="M137" s="219">
        <f t="shared" si="96"/>
        <v>0</v>
      </c>
      <c r="N137" s="1066">
        <f t="shared" si="96"/>
        <v>52921</v>
      </c>
      <c r="O137" s="1066">
        <f t="shared" si="96"/>
        <v>46645</v>
      </c>
      <c r="P137" s="1066">
        <f t="shared" si="96"/>
        <v>0</v>
      </c>
      <c r="Q137" s="1066">
        <f t="shared" si="96"/>
        <v>46345</v>
      </c>
      <c r="R137" s="1066">
        <f t="shared" si="96"/>
        <v>36345</v>
      </c>
      <c r="S137" s="1066">
        <f t="shared" si="96"/>
        <v>10000</v>
      </c>
      <c r="T137" s="219">
        <f t="shared" si="96"/>
        <v>43945</v>
      </c>
      <c r="U137" s="1156">
        <f t="shared" si="96"/>
        <v>43945</v>
      </c>
      <c r="V137" s="219">
        <f t="shared" si="96"/>
        <v>0</v>
      </c>
      <c r="W137" s="737"/>
      <c r="X137" s="737"/>
      <c r="Y137" s="219">
        <f>SUM(Y138:Y147)</f>
        <v>10</v>
      </c>
      <c r="Z137" s="1066">
        <f t="shared" ref="Z137:AB137" si="97">SUM(Z138:Z147)</f>
        <v>43945</v>
      </c>
      <c r="AA137" s="1066">
        <f t="shared" si="97"/>
        <v>43945</v>
      </c>
      <c r="AB137" s="1066">
        <f t="shared" si="97"/>
        <v>0</v>
      </c>
      <c r="AC137" s="1112"/>
      <c r="AD137" s="657"/>
      <c r="AE137" s="990"/>
      <c r="AF137" s="811"/>
      <c r="AG137" s="551"/>
      <c r="AH137" s="551"/>
      <c r="AI137" s="551"/>
      <c r="AK137" s="57"/>
      <c r="AL137" s="57"/>
      <c r="AM137" s="57"/>
      <c r="AN137" s="57"/>
      <c r="AO137" s="57"/>
      <c r="AP137" s="57"/>
    </row>
    <row r="138" spans="1:42" s="194" customFormat="1" ht="38.25">
      <c r="A138" s="97" t="s">
        <v>27</v>
      </c>
      <c r="B138" s="68" t="s">
        <v>1190</v>
      </c>
      <c r="C138" s="80" t="s">
        <v>1191</v>
      </c>
      <c r="D138" s="19"/>
      <c r="E138" s="70" t="s">
        <v>1192</v>
      </c>
      <c r="F138" s="80" t="s">
        <v>1590</v>
      </c>
      <c r="G138" s="23">
        <v>140425</v>
      </c>
      <c r="H138" s="23">
        <v>24523</v>
      </c>
      <c r="I138" s="21"/>
      <c r="J138" s="21"/>
      <c r="K138" s="23">
        <f>G138/3</f>
        <v>46808.333333333336</v>
      </c>
      <c r="L138" s="23">
        <f>H138/3</f>
        <v>8174.333333333333</v>
      </c>
      <c r="M138" s="591"/>
      <c r="N138" s="1039">
        <v>9421</v>
      </c>
      <c r="O138" s="1039">
        <v>3145</v>
      </c>
      <c r="P138" s="1194"/>
      <c r="Q138" s="1039">
        <v>3145</v>
      </c>
      <c r="R138" s="1039">
        <v>3145</v>
      </c>
      <c r="S138" s="1067"/>
      <c r="T138" s="73">
        <f t="shared" ref="T138:T147" si="98">SUM(U138:V138)</f>
        <v>3145</v>
      </c>
      <c r="U138" s="1131">
        <v>3145</v>
      </c>
      <c r="V138" s="591"/>
      <c r="W138" s="24" t="s">
        <v>1540</v>
      </c>
      <c r="X138" s="24"/>
      <c r="Y138" s="591">
        <v>1</v>
      </c>
      <c r="Z138" s="965">
        <f t="shared" ref="Z138:Z147" si="99">SUM(AA138:AB138)</f>
        <v>3145</v>
      </c>
      <c r="AA138" s="1039">
        <v>3145</v>
      </c>
      <c r="AB138" s="1067"/>
      <c r="AC138" s="1067"/>
      <c r="AD138" s="24" t="s">
        <v>1193</v>
      </c>
      <c r="AE138" s="990"/>
      <c r="AF138" s="811"/>
      <c r="AG138" s="551"/>
      <c r="AH138" s="551"/>
      <c r="AI138" s="551"/>
    </row>
    <row r="139" spans="1:42" s="54" customFormat="1" ht="51">
      <c r="A139" s="97" t="s">
        <v>41</v>
      </c>
      <c r="B139" s="284" t="s">
        <v>787</v>
      </c>
      <c r="C139" s="728" t="s">
        <v>29</v>
      </c>
      <c r="D139" s="233" t="s">
        <v>788</v>
      </c>
      <c r="E139" s="39" t="s">
        <v>355</v>
      </c>
      <c r="F139" s="98" t="s">
        <v>789</v>
      </c>
      <c r="G139" s="217">
        <v>49993</v>
      </c>
      <c r="H139" s="217">
        <v>24997</v>
      </c>
      <c r="I139" s="217"/>
      <c r="J139" s="217"/>
      <c r="K139" s="217">
        <f>G139-I139</f>
        <v>49993</v>
      </c>
      <c r="L139" s="217">
        <f>H139-J139</f>
        <v>24997</v>
      </c>
      <c r="M139" s="217"/>
      <c r="N139" s="1065">
        <v>10000</v>
      </c>
      <c r="O139" s="1065">
        <v>10000</v>
      </c>
      <c r="P139" s="1198"/>
      <c r="Q139" s="1065">
        <f t="shared" ref="Q139:Q144" si="100">SUM(R139:S139)</f>
        <v>10000</v>
      </c>
      <c r="R139" s="1065"/>
      <c r="S139" s="1065">
        <v>10000</v>
      </c>
      <c r="T139" s="73">
        <f t="shared" si="98"/>
        <v>10000</v>
      </c>
      <c r="U139" s="1155">
        <v>10000</v>
      </c>
      <c r="V139" s="217"/>
      <c r="W139" s="728" t="s">
        <v>1541</v>
      </c>
      <c r="X139" s="24" t="s">
        <v>1494</v>
      </c>
      <c r="Y139" s="217">
        <v>1</v>
      </c>
      <c r="Z139" s="965">
        <f t="shared" si="99"/>
        <v>10000</v>
      </c>
      <c r="AA139" s="1065">
        <v>10000</v>
      </c>
      <c r="AB139" s="1065"/>
      <c r="AC139" s="1111"/>
      <c r="AD139" s="657"/>
      <c r="AE139" s="990"/>
      <c r="AF139" s="811"/>
      <c r="AG139" s="551"/>
      <c r="AH139" s="551"/>
      <c r="AI139" s="551"/>
      <c r="AK139" s="57"/>
      <c r="AL139" s="57"/>
      <c r="AM139" s="57"/>
      <c r="AN139" s="57"/>
      <c r="AO139" s="57"/>
      <c r="AP139" s="57"/>
    </row>
    <row r="140" spans="1:42" s="54" customFormat="1" ht="30">
      <c r="A140" s="97" t="s">
        <v>58</v>
      </c>
      <c r="B140" s="284" t="s">
        <v>1672</v>
      </c>
      <c r="C140" s="728" t="s">
        <v>29</v>
      </c>
      <c r="D140" s="233" t="s">
        <v>762</v>
      </c>
      <c r="E140" s="883" t="s">
        <v>154</v>
      </c>
      <c r="F140" s="98" t="s">
        <v>791</v>
      </c>
      <c r="G140" s="217">
        <v>3906</v>
      </c>
      <c r="H140" s="217">
        <v>3906</v>
      </c>
      <c r="I140" s="217">
        <v>100</v>
      </c>
      <c r="J140" s="217">
        <v>100</v>
      </c>
      <c r="K140" s="217">
        <f>G140-100</f>
        <v>3806</v>
      </c>
      <c r="L140" s="217">
        <v>3806</v>
      </c>
      <c r="M140" s="217"/>
      <c r="N140" s="1065">
        <v>3000</v>
      </c>
      <c r="O140" s="1065">
        <v>3000</v>
      </c>
      <c r="P140" s="1198"/>
      <c r="Q140" s="1065">
        <f t="shared" si="100"/>
        <v>3000</v>
      </c>
      <c r="R140" s="1065">
        <v>3000</v>
      </c>
      <c r="S140" s="1065"/>
      <c r="T140" s="73">
        <f t="shared" si="98"/>
        <v>3000</v>
      </c>
      <c r="U140" s="1155">
        <v>3000</v>
      </c>
      <c r="V140" s="217"/>
      <c r="W140" s="728" t="s">
        <v>1537</v>
      </c>
      <c r="X140" s="24"/>
      <c r="Y140" s="217">
        <v>1</v>
      </c>
      <c r="Z140" s="965">
        <f t="shared" si="99"/>
        <v>3000</v>
      </c>
      <c r="AA140" s="1065">
        <v>3000</v>
      </c>
      <c r="AB140" s="1065"/>
      <c r="AC140" s="1111"/>
      <c r="AD140" s="657"/>
      <c r="AE140" s="990"/>
      <c r="AF140" s="811"/>
      <c r="AG140" s="551"/>
      <c r="AH140" s="551"/>
      <c r="AI140" s="551"/>
      <c r="AK140" s="57"/>
      <c r="AL140" s="57"/>
      <c r="AM140" s="57"/>
      <c r="AN140" s="57"/>
      <c r="AO140" s="57"/>
      <c r="AP140" s="57"/>
    </row>
    <row r="141" spans="1:42" s="54" customFormat="1" ht="45">
      <c r="A141" s="97" t="s">
        <v>58</v>
      </c>
      <c r="B141" s="284" t="s">
        <v>1587</v>
      </c>
      <c r="C141" s="728" t="s">
        <v>29</v>
      </c>
      <c r="D141" s="233" t="s">
        <v>1669</v>
      </c>
      <c r="E141" s="39" t="s">
        <v>120</v>
      </c>
      <c r="F141" s="98" t="s">
        <v>1670</v>
      </c>
      <c r="G141" s="217">
        <v>58270</v>
      </c>
      <c r="H141" s="217">
        <v>58270</v>
      </c>
      <c r="I141" s="217">
        <v>468</v>
      </c>
      <c r="J141" s="217">
        <v>468</v>
      </c>
      <c r="K141" s="217">
        <v>58300</v>
      </c>
      <c r="L141" s="217">
        <v>58300</v>
      </c>
      <c r="M141" s="217"/>
      <c r="N141" s="1065">
        <f>SUM(O141:P141)</f>
        <v>7000</v>
      </c>
      <c r="O141" s="1065">
        <v>7000</v>
      </c>
      <c r="P141" s="1198"/>
      <c r="Q141" s="1065">
        <f t="shared" si="100"/>
        <v>7000</v>
      </c>
      <c r="R141" s="1065">
        <v>7000</v>
      </c>
      <c r="S141" s="1065"/>
      <c r="T141" s="73">
        <f t="shared" si="98"/>
        <v>7000</v>
      </c>
      <c r="U141" s="1155">
        <v>7000</v>
      </c>
      <c r="V141" s="217"/>
      <c r="W141" s="728" t="s">
        <v>1537</v>
      </c>
      <c r="X141" s="24"/>
      <c r="Y141" s="217">
        <v>1</v>
      </c>
      <c r="Z141" s="965">
        <f t="shared" si="99"/>
        <v>7000</v>
      </c>
      <c r="AA141" s="1065">
        <v>7000</v>
      </c>
      <c r="AB141" s="1065"/>
      <c r="AC141" s="1111"/>
      <c r="AD141" s="657"/>
      <c r="AE141" s="990"/>
      <c r="AF141" s="811"/>
      <c r="AG141" s="551"/>
      <c r="AH141" s="551"/>
      <c r="AI141" s="551"/>
      <c r="AK141" s="57"/>
      <c r="AL141" s="57"/>
      <c r="AM141" s="57"/>
      <c r="AN141" s="57"/>
      <c r="AO141" s="57"/>
      <c r="AP141" s="57"/>
    </row>
    <row r="142" spans="1:42" s="54" customFormat="1" ht="30">
      <c r="A142" s="97" t="s">
        <v>64</v>
      </c>
      <c r="B142" s="284" t="s">
        <v>792</v>
      </c>
      <c r="C142" s="728" t="s">
        <v>29</v>
      </c>
      <c r="D142" s="233" t="s">
        <v>762</v>
      </c>
      <c r="E142" s="39" t="s">
        <v>30</v>
      </c>
      <c r="F142" s="98" t="s">
        <v>793</v>
      </c>
      <c r="G142" s="217">
        <v>1236</v>
      </c>
      <c r="H142" s="217">
        <v>1236</v>
      </c>
      <c r="I142" s="217">
        <v>50</v>
      </c>
      <c r="J142" s="217">
        <v>50</v>
      </c>
      <c r="K142" s="217">
        <v>1236</v>
      </c>
      <c r="L142" s="217">
        <v>1236</v>
      </c>
      <c r="M142" s="217"/>
      <c r="N142" s="1065">
        <v>1200</v>
      </c>
      <c r="O142" s="1065">
        <v>1200</v>
      </c>
      <c r="P142" s="1198"/>
      <c r="Q142" s="1065">
        <f t="shared" si="100"/>
        <v>1200</v>
      </c>
      <c r="R142" s="1065">
        <v>1200</v>
      </c>
      <c r="S142" s="1065"/>
      <c r="T142" s="73">
        <f t="shared" si="98"/>
        <v>1200</v>
      </c>
      <c r="U142" s="1155">
        <v>1200</v>
      </c>
      <c r="V142" s="217"/>
      <c r="W142" s="728" t="s">
        <v>1519</v>
      </c>
      <c r="X142" s="24"/>
      <c r="Y142" s="217">
        <v>1</v>
      </c>
      <c r="Z142" s="965">
        <f t="shared" si="99"/>
        <v>1200</v>
      </c>
      <c r="AA142" s="1065">
        <v>1200</v>
      </c>
      <c r="AB142" s="1065"/>
      <c r="AC142" s="1111"/>
      <c r="AD142" s="657"/>
      <c r="AE142" s="990"/>
      <c r="AF142" s="811"/>
      <c r="AG142" s="551"/>
      <c r="AH142" s="551"/>
      <c r="AI142" s="551"/>
      <c r="AK142" s="57"/>
      <c r="AL142" s="57"/>
      <c r="AM142" s="57"/>
      <c r="AN142" s="57"/>
      <c r="AO142" s="57"/>
      <c r="AP142" s="57"/>
    </row>
    <row r="143" spans="1:42" s="646" customFormat="1" ht="45">
      <c r="A143" s="650" t="s">
        <v>69</v>
      </c>
      <c r="B143" s="284" t="s">
        <v>1671</v>
      </c>
      <c r="C143" s="728" t="s">
        <v>29</v>
      </c>
      <c r="D143" s="233" t="s">
        <v>762</v>
      </c>
      <c r="E143" s="884">
        <v>2017</v>
      </c>
      <c r="F143" s="98" t="s">
        <v>795</v>
      </c>
      <c r="G143" s="667">
        <v>2909</v>
      </c>
      <c r="H143" s="667">
        <v>2909</v>
      </c>
      <c r="I143" s="667">
        <v>50</v>
      </c>
      <c r="J143" s="667">
        <v>50</v>
      </c>
      <c r="K143" s="667">
        <v>2909</v>
      </c>
      <c r="L143" s="667">
        <v>2909</v>
      </c>
      <c r="M143" s="667"/>
      <c r="N143" s="1065">
        <v>2700</v>
      </c>
      <c r="O143" s="1065">
        <v>2700</v>
      </c>
      <c r="P143" s="1198"/>
      <c r="Q143" s="1065">
        <f t="shared" si="100"/>
        <v>2700</v>
      </c>
      <c r="R143" s="1065">
        <v>2700</v>
      </c>
      <c r="S143" s="1065"/>
      <c r="T143" s="73">
        <f t="shared" si="98"/>
        <v>2700</v>
      </c>
      <c r="U143" s="1157">
        <v>2700</v>
      </c>
      <c r="V143" s="667"/>
      <c r="W143" s="728" t="s">
        <v>1542</v>
      </c>
      <c r="X143" s="98"/>
      <c r="Y143" s="667">
        <v>1</v>
      </c>
      <c r="Z143" s="965">
        <f t="shared" si="99"/>
        <v>2700</v>
      </c>
      <c r="AA143" s="1065">
        <v>2700</v>
      </c>
      <c r="AB143" s="1065"/>
      <c r="AC143" s="1111"/>
      <c r="AD143" s="657"/>
      <c r="AE143" s="990"/>
      <c r="AF143" s="981"/>
      <c r="AG143" s="645"/>
      <c r="AH143" s="645"/>
      <c r="AI143" s="645"/>
      <c r="AK143" s="647"/>
      <c r="AL143" s="647"/>
      <c r="AM143" s="647"/>
      <c r="AN143" s="647"/>
      <c r="AO143" s="647"/>
      <c r="AP143" s="647"/>
    </row>
    <row r="144" spans="1:42" s="646" customFormat="1" ht="45">
      <c r="A144" s="650" t="s">
        <v>74</v>
      </c>
      <c r="B144" s="284" t="s">
        <v>796</v>
      </c>
      <c r="C144" s="728" t="s">
        <v>29</v>
      </c>
      <c r="D144" s="666" t="s">
        <v>797</v>
      </c>
      <c r="E144" s="884" t="s">
        <v>154</v>
      </c>
      <c r="F144" s="98" t="s">
        <v>798</v>
      </c>
      <c r="G144" s="667">
        <v>18499</v>
      </c>
      <c r="H144" s="667">
        <v>18499</v>
      </c>
      <c r="I144" s="667">
        <v>190</v>
      </c>
      <c r="J144" s="667">
        <v>190</v>
      </c>
      <c r="K144" s="667">
        <v>18499</v>
      </c>
      <c r="L144" s="667">
        <v>18499</v>
      </c>
      <c r="M144" s="667"/>
      <c r="N144" s="1065">
        <f>+O144</f>
        <v>11000</v>
      </c>
      <c r="O144" s="1065">
        <v>11000</v>
      </c>
      <c r="P144" s="1198"/>
      <c r="Q144" s="965">
        <f t="shared" si="100"/>
        <v>11000</v>
      </c>
      <c r="R144" s="1065">
        <v>11000</v>
      </c>
      <c r="S144" s="1065"/>
      <c r="T144" s="73">
        <f t="shared" si="98"/>
        <v>8600</v>
      </c>
      <c r="U144" s="1155">
        <f>11000-2400</f>
        <v>8600</v>
      </c>
      <c r="V144" s="667"/>
      <c r="W144" s="728" t="s">
        <v>1543</v>
      </c>
      <c r="X144" s="98"/>
      <c r="Y144" s="667">
        <v>1</v>
      </c>
      <c r="Z144" s="965">
        <f t="shared" si="99"/>
        <v>8600</v>
      </c>
      <c r="AA144" s="1065">
        <f>11000-2400</f>
        <v>8600</v>
      </c>
      <c r="AB144" s="1065"/>
      <c r="AC144" s="1111"/>
      <c r="AD144" s="657"/>
      <c r="AE144" s="990"/>
      <c r="AF144" s="981"/>
      <c r="AG144" s="645"/>
      <c r="AH144" s="645"/>
      <c r="AI144" s="645"/>
      <c r="AK144" s="647"/>
      <c r="AL144" s="647"/>
      <c r="AM144" s="647"/>
      <c r="AN144" s="647"/>
      <c r="AO144" s="647"/>
      <c r="AP144" s="647"/>
    </row>
    <row r="145" spans="1:42" s="54" customFormat="1" ht="45">
      <c r="A145" s="97" t="s">
        <v>141</v>
      </c>
      <c r="B145" s="284" t="s">
        <v>799</v>
      </c>
      <c r="C145" s="728" t="s">
        <v>29</v>
      </c>
      <c r="D145" s="233" t="s">
        <v>762</v>
      </c>
      <c r="E145" s="884" t="s">
        <v>154</v>
      </c>
      <c r="F145" s="703" t="s">
        <v>800</v>
      </c>
      <c r="G145" s="217">
        <v>1890</v>
      </c>
      <c r="H145" s="217">
        <v>1890</v>
      </c>
      <c r="I145" s="217">
        <v>45</v>
      </c>
      <c r="J145" s="217">
        <v>45</v>
      </c>
      <c r="K145" s="217">
        <v>1890</v>
      </c>
      <c r="L145" s="217">
        <v>1890</v>
      </c>
      <c r="M145" s="217"/>
      <c r="N145" s="1065">
        <v>1600</v>
      </c>
      <c r="O145" s="1065">
        <v>1600</v>
      </c>
      <c r="P145" s="1198"/>
      <c r="Q145" s="1065">
        <v>1300</v>
      </c>
      <c r="R145" s="1065">
        <v>1300</v>
      </c>
      <c r="S145" s="1065"/>
      <c r="T145" s="73">
        <f t="shared" si="98"/>
        <v>1300</v>
      </c>
      <c r="U145" s="1155">
        <v>1300</v>
      </c>
      <c r="V145" s="217"/>
      <c r="W145" s="728" t="s">
        <v>1544</v>
      </c>
      <c r="X145" s="98"/>
      <c r="Y145" s="217">
        <v>1</v>
      </c>
      <c r="Z145" s="965">
        <f t="shared" si="99"/>
        <v>1300</v>
      </c>
      <c r="AA145" s="1065">
        <v>1300</v>
      </c>
      <c r="AB145" s="1065"/>
      <c r="AC145" s="1111"/>
      <c r="AD145" s="657"/>
      <c r="AE145" s="990"/>
      <c r="AF145" s="811"/>
      <c r="AG145" s="551"/>
      <c r="AH145" s="551"/>
      <c r="AI145" s="551"/>
      <c r="AK145" s="57"/>
      <c r="AL145" s="57"/>
      <c r="AM145" s="57"/>
      <c r="AN145" s="57"/>
      <c r="AO145" s="57"/>
      <c r="AP145" s="57"/>
    </row>
    <row r="146" spans="1:42" s="54" customFormat="1" ht="30">
      <c r="A146" s="97" t="s">
        <v>146</v>
      </c>
      <c r="B146" s="93" t="s">
        <v>801</v>
      </c>
      <c r="C146" s="100" t="s">
        <v>29</v>
      </c>
      <c r="D146" s="233" t="s">
        <v>782</v>
      </c>
      <c r="E146" s="95" t="s">
        <v>163</v>
      </c>
      <c r="F146" s="703" t="s">
        <v>802</v>
      </c>
      <c r="G146" s="96">
        <v>5683</v>
      </c>
      <c r="H146" s="96">
        <v>5683</v>
      </c>
      <c r="I146" s="21">
        <v>115</v>
      </c>
      <c r="J146" s="21">
        <v>115</v>
      </c>
      <c r="K146" s="21">
        <f>+G146</f>
        <v>5683</v>
      </c>
      <c r="L146" s="21">
        <f>+K146</f>
        <v>5683</v>
      </c>
      <c r="M146" s="21"/>
      <c r="N146" s="1061">
        <v>2000</v>
      </c>
      <c r="O146" s="1065">
        <v>2000</v>
      </c>
      <c r="P146" s="1198"/>
      <c r="Q146" s="1065">
        <f>SUM(R146:S146)</f>
        <v>2000</v>
      </c>
      <c r="R146" s="1061">
        <v>2000</v>
      </c>
      <c r="S146" s="1061"/>
      <c r="T146" s="73">
        <f t="shared" si="98"/>
        <v>2000</v>
      </c>
      <c r="U146" s="1151">
        <v>2000</v>
      </c>
      <c r="V146" s="22"/>
      <c r="W146" s="691" t="s">
        <v>1514</v>
      </c>
      <c r="X146" s="80"/>
      <c r="Y146" s="22">
        <v>1</v>
      </c>
      <c r="Z146" s="965">
        <f t="shared" si="99"/>
        <v>2000</v>
      </c>
      <c r="AA146" s="1061">
        <v>2000</v>
      </c>
      <c r="AB146" s="1061"/>
      <c r="AC146" s="1107"/>
      <c r="AD146" s="657"/>
      <c r="AE146" s="990"/>
      <c r="AF146" s="811"/>
      <c r="AG146" s="551"/>
      <c r="AH146" s="551"/>
      <c r="AI146" s="551"/>
      <c r="AK146" s="57"/>
      <c r="AL146" s="57"/>
      <c r="AM146" s="57"/>
      <c r="AN146" s="57"/>
      <c r="AO146" s="57"/>
      <c r="AP146" s="57"/>
    </row>
    <row r="147" spans="1:42" s="54" customFormat="1" ht="30">
      <c r="A147" s="97" t="s">
        <v>179</v>
      </c>
      <c r="B147" s="282" t="s">
        <v>803</v>
      </c>
      <c r="C147" s="691" t="s">
        <v>29</v>
      </c>
      <c r="D147" s="101" t="s">
        <v>804</v>
      </c>
      <c r="E147" s="39" t="s">
        <v>154</v>
      </c>
      <c r="F147" s="703" t="s">
        <v>805</v>
      </c>
      <c r="G147" s="22">
        <v>9997</v>
      </c>
      <c r="H147" s="22">
        <v>9997</v>
      </c>
      <c r="I147" s="22"/>
      <c r="J147" s="22"/>
      <c r="K147" s="22">
        <f>G147-I147</f>
        <v>9997</v>
      </c>
      <c r="L147" s="22">
        <f>H147-J147</f>
        <v>9997</v>
      </c>
      <c r="M147" s="22"/>
      <c r="N147" s="1061">
        <v>5000</v>
      </c>
      <c r="O147" s="1065">
        <v>5000</v>
      </c>
      <c r="P147" s="1198"/>
      <c r="Q147" s="1065">
        <f>SUM(R147:S147)</f>
        <v>5000</v>
      </c>
      <c r="R147" s="1061">
        <v>5000</v>
      </c>
      <c r="S147" s="1061"/>
      <c r="T147" s="73">
        <f t="shared" si="98"/>
        <v>5000</v>
      </c>
      <c r="U147" s="1151">
        <v>5000</v>
      </c>
      <c r="V147" s="22"/>
      <c r="W147" s="691" t="s">
        <v>1541</v>
      </c>
      <c r="X147" s="80"/>
      <c r="Y147" s="22">
        <v>1</v>
      </c>
      <c r="Z147" s="965">
        <f t="shared" si="99"/>
        <v>5000</v>
      </c>
      <c r="AA147" s="1061">
        <v>5000</v>
      </c>
      <c r="AB147" s="1061"/>
      <c r="AC147" s="1107"/>
      <c r="AD147" s="657"/>
      <c r="AE147" s="990"/>
      <c r="AF147" s="811"/>
      <c r="AG147" s="551"/>
      <c r="AH147" s="551"/>
      <c r="AI147" s="551"/>
      <c r="AK147" s="57"/>
      <c r="AL147" s="57"/>
      <c r="AM147" s="57"/>
      <c r="AN147" s="57"/>
      <c r="AO147" s="57"/>
      <c r="AP147" s="57"/>
    </row>
    <row r="148" spans="1:42" s="54" customFormat="1">
      <c r="A148" s="215"/>
      <c r="B148" s="282"/>
      <c r="C148" s="691"/>
      <c r="D148" s="101"/>
      <c r="E148" s="39"/>
      <c r="F148" s="703"/>
      <c r="G148" s="22"/>
      <c r="H148" s="22"/>
      <c r="I148" s="22"/>
      <c r="J148" s="22"/>
      <c r="K148" s="22"/>
      <c r="L148" s="22"/>
      <c r="M148" s="22"/>
      <c r="N148" s="1061"/>
      <c r="O148" s="1065"/>
      <c r="P148" s="1198"/>
      <c r="Q148" s="1065"/>
      <c r="R148" s="1061">
        <f>968968*0.2-R149</f>
        <v>-18231.399999999994</v>
      </c>
      <c r="S148" s="1061"/>
      <c r="T148" s="217"/>
      <c r="U148" s="1151">
        <f>968968*0.2-U149</f>
        <v>-0.39999999999417923</v>
      </c>
      <c r="V148" s="22"/>
      <c r="W148" s="691"/>
      <c r="X148" s="80"/>
      <c r="Y148" s="22"/>
      <c r="Z148" s="1065"/>
      <c r="AA148" s="1061">
        <f>968968*0.2-AA149</f>
        <v>-0.39999999999417923</v>
      </c>
      <c r="AB148" s="1061"/>
      <c r="AC148" s="1107"/>
      <c r="AD148" s="657">
        <f>AD149-1177000*0.5</f>
        <v>878</v>
      </c>
      <c r="AE148" s="990"/>
      <c r="AF148" s="811"/>
      <c r="AG148" s="551"/>
      <c r="AH148" s="551"/>
      <c r="AI148" s="551"/>
      <c r="AK148" s="57"/>
      <c r="AL148" s="57"/>
      <c r="AM148" s="57"/>
      <c r="AN148" s="57"/>
      <c r="AO148" s="57"/>
      <c r="AP148" s="57"/>
    </row>
    <row r="149" spans="1:42" s="633" customFormat="1" ht="28.5" customHeight="1">
      <c r="A149" s="630" t="s">
        <v>546</v>
      </c>
      <c r="B149" s="618" t="s">
        <v>1145</v>
      </c>
      <c r="C149" s="692"/>
      <c r="D149" s="631"/>
      <c r="E149" s="632"/>
      <c r="F149" s="692"/>
      <c r="G149" s="636">
        <f t="shared" ref="G149:V149" si="101">SUM(G150,G159)</f>
        <v>3073976</v>
      </c>
      <c r="H149" s="636">
        <f t="shared" si="101"/>
        <v>2323807</v>
      </c>
      <c r="I149" s="636">
        <f t="shared" si="101"/>
        <v>253054</v>
      </c>
      <c r="J149" s="636">
        <f t="shared" si="101"/>
        <v>192204</v>
      </c>
      <c r="K149" s="636">
        <f t="shared" si="101"/>
        <v>2825206</v>
      </c>
      <c r="L149" s="636">
        <f t="shared" si="101"/>
        <v>2209443</v>
      </c>
      <c r="M149" s="636">
        <f t="shared" si="101"/>
        <v>0</v>
      </c>
      <c r="N149" s="1063">
        <f t="shared" si="101"/>
        <v>806068</v>
      </c>
      <c r="O149" s="1063">
        <f t="shared" si="101"/>
        <v>726639</v>
      </c>
      <c r="P149" s="1063">
        <f t="shared" si="101"/>
        <v>0</v>
      </c>
      <c r="Q149" s="1063">
        <f t="shared" si="101"/>
        <v>621425</v>
      </c>
      <c r="R149" s="1063">
        <f t="shared" si="101"/>
        <v>212025</v>
      </c>
      <c r="S149" s="1063">
        <f t="shared" si="101"/>
        <v>409400</v>
      </c>
      <c r="T149" s="636">
        <f t="shared" si="101"/>
        <v>580667</v>
      </c>
      <c r="U149" s="1153">
        <f t="shared" si="101"/>
        <v>193794</v>
      </c>
      <c r="V149" s="636">
        <f t="shared" si="101"/>
        <v>386873</v>
      </c>
      <c r="W149" s="690"/>
      <c r="X149" s="690"/>
      <c r="Y149" s="636">
        <f>SUM(Y150,Y159)</f>
        <v>23</v>
      </c>
      <c r="Z149" s="1063">
        <f t="shared" ref="Z149:AB149" si="102">SUM(Z150,Z159)</f>
        <v>580667</v>
      </c>
      <c r="AA149" s="1063">
        <f t="shared" si="102"/>
        <v>193794</v>
      </c>
      <c r="AB149" s="1063">
        <f t="shared" si="102"/>
        <v>386873</v>
      </c>
      <c r="AC149" s="1109"/>
      <c r="AD149" s="662">
        <f>V149+V178</f>
        <v>589378</v>
      </c>
      <c r="AE149" s="990"/>
      <c r="AF149" s="811"/>
      <c r="AG149" s="628"/>
      <c r="AH149" s="628"/>
      <c r="AI149" s="628"/>
      <c r="AK149" s="629"/>
      <c r="AL149" s="629"/>
      <c r="AM149" s="629"/>
      <c r="AN149" s="629"/>
      <c r="AO149" s="629"/>
      <c r="AP149" s="629"/>
    </row>
    <row r="150" spans="1:42" s="266" customFormat="1" ht="25.5" customHeight="1">
      <c r="A150" s="11" t="s">
        <v>525</v>
      </c>
      <c r="B150" s="65" t="s">
        <v>26</v>
      </c>
      <c r="C150" s="80"/>
      <c r="D150" s="19"/>
      <c r="E150" s="70"/>
      <c r="F150" s="80"/>
      <c r="G150" s="15">
        <f t="shared" ref="G150:V150" si="103">SUM(G151:G158)</f>
        <v>237126</v>
      </c>
      <c r="H150" s="15">
        <f t="shared" si="103"/>
        <v>223418</v>
      </c>
      <c r="I150" s="15">
        <f t="shared" si="103"/>
        <v>500</v>
      </c>
      <c r="J150" s="15">
        <f t="shared" si="103"/>
        <v>500</v>
      </c>
      <c r="K150" s="15">
        <f t="shared" si="103"/>
        <v>237026</v>
      </c>
      <c r="L150" s="15">
        <f t="shared" si="103"/>
        <v>223318</v>
      </c>
      <c r="M150" s="15">
        <f t="shared" si="103"/>
        <v>0</v>
      </c>
      <c r="N150" s="1053">
        <f t="shared" si="103"/>
        <v>1600</v>
      </c>
      <c r="O150" s="1053">
        <f t="shared" si="103"/>
        <v>1600</v>
      </c>
      <c r="P150" s="1053">
        <f t="shared" si="103"/>
        <v>0</v>
      </c>
      <c r="Q150" s="1053">
        <f t="shared" si="103"/>
        <v>1300</v>
      </c>
      <c r="R150" s="1053">
        <f t="shared" si="103"/>
        <v>900</v>
      </c>
      <c r="S150" s="1053">
        <f t="shared" si="103"/>
        <v>400</v>
      </c>
      <c r="T150" s="15">
        <f t="shared" si="103"/>
        <v>1300</v>
      </c>
      <c r="U150" s="1145">
        <f t="shared" si="103"/>
        <v>1300</v>
      </c>
      <c r="V150" s="15">
        <f t="shared" si="103"/>
        <v>0</v>
      </c>
      <c r="W150" s="89"/>
      <c r="X150" s="89"/>
      <c r="Y150" s="15">
        <f>SUM(Y151:Y158)</f>
        <v>8</v>
      </c>
      <c r="Z150" s="1053">
        <f t="shared" ref="Z150:AB150" si="104">SUM(Z151:Z158)</f>
        <v>1300</v>
      </c>
      <c r="AA150" s="1053">
        <f t="shared" si="104"/>
        <v>1300</v>
      </c>
      <c r="AB150" s="1053">
        <f t="shared" si="104"/>
        <v>0</v>
      </c>
      <c r="AC150" s="1101"/>
      <c r="AD150" s="663"/>
      <c r="AE150" s="990"/>
      <c r="AF150" s="811"/>
      <c r="AG150" s="551"/>
      <c r="AH150" s="551"/>
      <c r="AI150" s="551"/>
      <c r="AK150" s="265"/>
      <c r="AL150" s="265"/>
      <c r="AM150" s="265"/>
      <c r="AN150" s="265"/>
      <c r="AO150" s="265"/>
      <c r="AP150" s="265"/>
    </row>
    <row r="151" spans="1:42" s="54" customFormat="1" ht="38.25">
      <c r="A151" s="222">
        <v>1</v>
      </c>
      <c r="B151" s="68" t="s">
        <v>808</v>
      </c>
      <c r="C151" s="80" t="s">
        <v>29</v>
      </c>
      <c r="D151" s="19"/>
      <c r="E151" s="70" t="s">
        <v>355</v>
      </c>
      <c r="F151" s="705"/>
      <c r="G151" s="23">
        <f>H151</f>
        <v>19776</v>
      </c>
      <c r="H151" s="23">
        <v>19776</v>
      </c>
      <c r="I151" s="23">
        <f>J151</f>
        <v>200</v>
      </c>
      <c r="J151" s="23">
        <v>200</v>
      </c>
      <c r="K151" s="23">
        <v>19776</v>
      </c>
      <c r="L151" s="23">
        <v>19776</v>
      </c>
      <c r="M151" s="23"/>
      <c r="N151" s="1068">
        <v>200</v>
      </c>
      <c r="O151" s="1068">
        <v>200</v>
      </c>
      <c r="P151" s="1198"/>
      <c r="Q151" s="1068">
        <v>200</v>
      </c>
      <c r="R151" s="1068"/>
      <c r="S151" s="1068">
        <v>200</v>
      </c>
      <c r="T151" s="73">
        <f t="shared" ref="T151:T158" si="105">SUM(U151:V151)</f>
        <v>200</v>
      </c>
      <c r="U151" s="1158">
        <v>200</v>
      </c>
      <c r="V151" s="23"/>
      <c r="W151" s="80" t="s">
        <v>1546</v>
      </c>
      <c r="X151" s="741" t="s">
        <v>1096</v>
      </c>
      <c r="Y151" s="23">
        <v>1</v>
      </c>
      <c r="Z151" s="965">
        <f t="shared" ref="Z151:Z158" si="106">SUM(AA151:AB151)</f>
        <v>200</v>
      </c>
      <c r="AA151" s="1068">
        <v>200</v>
      </c>
      <c r="AB151" s="1068"/>
      <c r="AC151" s="1113"/>
      <c r="AD151" s="657"/>
      <c r="AE151" s="990"/>
      <c r="AF151" s="811"/>
      <c r="AG151" s="551"/>
      <c r="AH151" s="551"/>
      <c r="AI151" s="551"/>
      <c r="AK151" s="57"/>
      <c r="AL151" s="57"/>
      <c r="AM151" s="57"/>
      <c r="AN151" s="57"/>
      <c r="AO151" s="57"/>
      <c r="AP151" s="57"/>
    </row>
    <row r="152" spans="1:42" s="54" customFormat="1" ht="30">
      <c r="A152" s="222">
        <v>2</v>
      </c>
      <c r="B152" s="68" t="s">
        <v>809</v>
      </c>
      <c r="C152" s="80" t="s">
        <v>43</v>
      </c>
      <c r="D152" s="19" t="s">
        <v>810</v>
      </c>
      <c r="E152" s="70" t="s">
        <v>163</v>
      </c>
      <c r="F152" s="705"/>
      <c r="G152" s="23">
        <v>65795</v>
      </c>
      <c r="H152" s="23">
        <v>54977</v>
      </c>
      <c r="I152" s="23">
        <v>100</v>
      </c>
      <c r="J152" s="23">
        <v>100</v>
      </c>
      <c r="K152" s="23">
        <v>65795</v>
      </c>
      <c r="L152" s="23">
        <v>54977</v>
      </c>
      <c r="M152" s="23"/>
      <c r="N152" s="1068">
        <v>100</v>
      </c>
      <c r="O152" s="1068">
        <v>100</v>
      </c>
      <c r="P152" s="1198"/>
      <c r="Q152" s="1068">
        <v>100</v>
      </c>
      <c r="R152" s="1068"/>
      <c r="S152" s="1068">
        <v>100</v>
      </c>
      <c r="T152" s="73">
        <f t="shared" si="105"/>
        <v>100</v>
      </c>
      <c r="U152" s="1158">
        <v>100</v>
      </c>
      <c r="V152" s="23"/>
      <c r="W152" s="80" t="s">
        <v>1544</v>
      </c>
      <c r="X152" s="741" t="s">
        <v>1097</v>
      </c>
      <c r="Y152" s="23">
        <v>1</v>
      </c>
      <c r="Z152" s="965">
        <f t="shared" si="106"/>
        <v>100</v>
      </c>
      <c r="AA152" s="1068">
        <v>100</v>
      </c>
      <c r="AB152" s="1068"/>
      <c r="AC152" s="1113"/>
      <c r="AD152" s="657"/>
      <c r="AE152" s="990"/>
      <c r="AF152" s="811"/>
      <c r="AG152" s="551"/>
      <c r="AH152" s="551"/>
      <c r="AI152" s="551"/>
      <c r="AK152" s="57"/>
      <c r="AL152" s="57"/>
      <c r="AM152" s="57"/>
      <c r="AN152" s="57"/>
      <c r="AO152" s="57"/>
      <c r="AP152" s="57"/>
    </row>
    <row r="153" spans="1:42" s="54" customFormat="1" ht="38.25">
      <c r="A153" s="222">
        <v>3</v>
      </c>
      <c r="B153" s="68" t="s">
        <v>811</v>
      </c>
      <c r="C153" s="80" t="s">
        <v>173</v>
      </c>
      <c r="D153" s="19" t="s">
        <v>810</v>
      </c>
      <c r="E153" s="70" t="s">
        <v>163</v>
      </c>
      <c r="F153" s="705"/>
      <c r="G153" s="23">
        <v>23414</v>
      </c>
      <c r="H153" s="23">
        <v>20524</v>
      </c>
      <c r="I153" s="23">
        <v>100</v>
      </c>
      <c r="J153" s="23">
        <v>100</v>
      </c>
      <c r="K153" s="23">
        <v>23414</v>
      </c>
      <c r="L153" s="23">
        <v>20524</v>
      </c>
      <c r="M153" s="23"/>
      <c r="N153" s="1068">
        <v>100</v>
      </c>
      <c r="O153" s="1068">
        <v>100</v>
      </c>
      <c r="P153" s="1198"/>
      <c r="Q153" s="1068">
        <v>100</v>
      </c>
      <c r="R153" s="1068"/>
      <c r="S153" s="1068">
        <v>100</v>
      </c>
      <c r="T153" s="73">
        <f t="shared" si="105"/>
        <v>100</v>
      </c>
      <c r="U153" s="1158">
        <v>100</v>
      </c>
      <c r="V153" s="23"/>
      <c r="W153" s="80" t="s">
        <v>1544</v>
      </c>
      <c r="X153" s="741" t="s">
        <v>1098</v>
      </c>
      <c r="Y153" s="23">
        <v>1</v>
      </c>
      <c r="Z153" s="965">
        <f t="shared" si="106"/>
        <v>100</v>
      </c>
      <c r="AA153" s="1068">
        <v>100</v>
      </c>
      <c r="AB153" s="1068"/>
      <c r="AC153" s="1113"/>
      <c r="AD153" s="657"/>
      <c r="AE153" s="990"/>
      <c r="AF153" s="811"/>
      <c r="AG153" s="551"/>
      <c r="AH153" s="551"/>
      <c r="AI153" s="551"/>
      <c r="AK153" s="57"/>
      <c r="AL153" s="57"/>
      <c r="AM153" s="57"/>
      <c r="AN153" s="57"/>
      <c r="AO153" s="57"/>
      <c r="AP153" s="57"/>
    </row>
    <row r="154" spans="1:42" s="54" customFormat="1" ht="38.25">
      <c r="A154" s="222">
        <v>4</v>
      </c>
      <c r="B154" s="68" t="s">
        <v>812</v>
      </c>
      <c r="C154" s="80" t="s">
        <v>260</v>
      </c>
      <c r="D154" s="19" t="s">
        <v>813</v>
      </c>
      <c r="E154" s="70" t="s">
        <v>120</v>
      </c>
      <c r="F154" s="80"/>
      <c r="G154" s="223">
        <v>17264</v>
      </c>
      <c r="H154" s="223">
        <v>17264</v>
      </c>
      <c r="I154" s="23">
        <f>J154</f>
        <v>100</v>
      </c>
      <c r="J154" s="23">
        <v>100</v>
      </c>
      <c r="K154" s="72">
        <f t="shared" ref="K154:L158" si="107">G154-I154</f>
        <v>17164</v>
      </c>
      <c r="L154" s="72">
        <f t="shared" si="107"/>
        <v>17164</v>
      </c>
      <c r="M154" s="23"/>
      <c r="N154" s="1068">
        <v>150</v>
      </c>
      <c r="O154" s="1068">
        <v>150</v>
      </c>
      <c r="P154" s="1198"/>
      <c r="Q154" s="1068">
        <f>SUM(R154:S154)</f>
        <v>150</v>
      </c>
      <c r="R154" s="1068">
        <v>150</v>
      </c>
      <c r="S154" s="1068"/>
      <c r="T154" s="73">
        <f t="shared" si="105"/>
        <v>150</v>
      </c>
      <c r="U154" s="1158">
        <v>150</v>
      </c>
      <c r="V154" s="23"/>
      <c r="W154" s="80" t="s">
        <v>1545</v>
      </c>
      <c r="X154" s="80" t="s">
        <v>1099</v>
      </c>
      <c r="Y154" s="23">
        <v>1</v>
      </c>
      <c r="Z154" s="965">
        <f t="shared" si="106"/>
        <v>150</v>
      </c>
      <c r="AA154" s="1068">
        <v>150</v>
      </c>
      <c r="AB154" s="1068"/>
      <c r="AC154" s="1113"/>
      <c r="AD154" s="657"/>
      <c r="AE154" s="990"/>
      <c r="AF154" s="811"/>
      <c r="AG154" s="551"/>
      <c r="AH154" s="551"/>
      <c r="AI154" s="551"/>
      <c r="AK154" s="57"/>
      <c r="AL154" s="57"/>
      <c r="AM154" s="57"/>
      <c r="AN154" s="57"/>
      <c r="AO154" s="57"/>
      <c r="AP154" s="57"/>
    </row>
    <row r="155" spans="1:42" s="54" customFormat="1" ht="90">
      <c r="A155" s="222">
        <v>5</v>
      </c>
      <c r="B155" s="68" t="s">
        <v>815</v>
      </c>
      <c r="C155" s="80" t="s">
        <v>143</v>
      </c>
      <c r="D155" s="19" t="s">
        <v>816</v>
      </c>
      <c r="E155" s="70" t="s">
        <v>120</v>
      </c>
      <c r="F155" s="80"/>
      <c r="G155" s="223">
        <v>13476</v>
      </c>
      <c r="H155" s="223">
        <v>13476</v>
      </c>
      <c r="I155" s="23"/>
      <c r="J155" s="23"/>
      <c r="K155" s="72">
        <f t="shared" si="107"/>
        <v>13476</v>
      </c>
      <c r="L155" s="72">
        <f t="shared" si="107"/>
        <v>13476</v>
      </c>
      <c r="M155" s="23"/>
      <c r="N155" s="1068">
        <v>700</v>
      </c>
      <c r="O155" s="1068">
        <v>700</v>
      </c>
      <c r="P155" s="1198"/>
      <c r="Q155" s="1068">
        <f>SUM(R155:S155)</f>
        <v>400</v>
      </c>
      <c r="R155" s="1068">
        <v>400</v>
      </c>
      <c r="S155" s="1068"/>
      <c r="T155" s="73">
        <f t="shared" si="105"/>
        <v>400</v>
      </c>
      <c r="U155" s="1158">
        <v>400</v>
      </c>
      <c r="V155" s="23"/>
      <c r="W155" s="80" t="s">
        <v>1545</v>
      </c>
      <c r="X155" s="80" t="s">
        <v>1100</v>
      </c>
      <c r="Y155" s="23">
        <v>1</v>
      </c>
      <c r="Z155" s="965">
        <f t="shared" si="106"/>
        <v>400</v>
      </c>
      <c r="AA155" s="1068">
        <v>400</v>
      </c>
      <c r="AB155" s="1068"/>
      <c r="AC155" s="1113"/>
      <c r="AD155" s="657"/>
      <c r="AE155" s="990"/>
      <c r="AF155" s="811"/>
      <c r="AG155" s="551"/>
      <c r="AH155" s="551"/>
      <c r="AI155" s="551"/>
      <c r="AK155" s="57"/>
      <c r="AL155" s="57"/>
      <c r="AM155" s="57"/>
      <c r="AN155" s="57"/>
      <c r="AO155" s="57"/>
      <c r="AP155" s="57"/>
    </row>
    <row r="156" spans="1:42" s="54" customFormat="1" ht="90">
      <c r="A156" s="222">
        <v>6</v>
      </c>
      <c r="B156" s="68" t="s">
        <v>817</v>
      </c>
      <c r="C156" s="80" t="s">
        <v>5</v>
      </c>
      <c r="D156" s="19" t="s">
        <v>818</v>
      </c>
      <c r="E156" s="70" t="s">
        <v>355</v>
      </c>
      <c r="F156" s="80"/>
      <c r="G156" s="72">
        <v>50535</v>
      </c>
      <c r="H156" s="72">
        <v>50535</v>
      </c>
      <c r="I156" s="23"/>
      <c r="J156" s="23"/>
      <c r="K156" s="72">
        <f t="shared" si="107"/>
        <v>50535</v>
      </c>
      <c r="L156" s="72">
        <f t="shared" si="107"/>
        <v>50535</v>
      </c>
      <c r="M156" s="23"/>
      <c r="N156" s="1068">
        <v>150</v>
      </c>
      <c r="O156" s="1068">
        <v>150</v>
      </c>
      <c r="P156" s="1198"/>
      <c r="Q156" s="1068">
        <f>SUM(R156:S156)</f>
        <v>150</v>
      </c>
      <c r="R156" s="1068">
        <v>150</v>
      </c>
      <c r="S156" s="1068"/>
      <c r="T156" s="73">
        <f t="shared" si="105"/>
        <v>150</v>
      </c>
      <c r="U156" s="1158">
        <v>150</v>
      </c>
      <c r="V156" s="23"/>
      <c r="W156" s="80" t="s">
        <v>1545</v>
      </c>
      <c r="X156" s="80" t="s">
        <v>1101</v>
      </c>
      <c r="Y156" s="23">
        <v>1</v>
      </c>
      <c r="Z156" s="965">
        <f t="shared" si="106"/>
        <v>150</v>
      </c>
      <c r="AA156" s="1068">
        <v>150</v>
      </c>
      <c r="AB156" s="1068"/>
      <c r="AC156" s="1113"/>
      <c r="AD156" s="657"/>
      <c r="AE156" s="990"/>
      <c r="AF156" s="811"/>
      <c r="AG156" s="551"/>
      <c r="AH156" s="551"/>
      <c r="AI156" s="551"/>
      <c r="AK156" s="57"/>
      <c r="AL156" s="57"/>
      <c r="AM156" s="57"/>
      <c r="AN156" s="57"/>
      <c r="AO156" s="57"/>
      <c r="AP156" s="57"/>
    </row>
    <row r="157" spans="1:42" s="54" customFormat="1" ht="75">
      <c r="A157" s="222">
        <v>7</v>
      </c>
      <c r="B157" s="68" t="s">
        <v>820</v>
      </c>
      <c r="C157" s="80" t="s">
        <v>60</v>
      </c>
      <c r="D157" s="19" t="s">
        <v>821</v>
      </c>
      <c r="E157" s="70" t="s">
        <v>120</v>
      </c>
      <c r="F157" s="80"/>
      <c r="G157" s="72">
        <v>13500</v>
      </c>
      <c r="H157" s="72">
        <v>13500</v>
      </c>
      <c r="I157" s="23"/>
      <c r="J157" s="23"/>
      <c r="K157" s="72">
        <f t="shared" si="107"/>
        <v>13500</v>
      </c>
      <c r="L157" s="72">
        <f t="shared" si="107"/>
        <v>13500</v>
      </c>
      <c r="M157" s="23"/>
      <c r="N157" s="1068">
        <v>100</v>
      </c>
      <c r="O157" s="1068">
        <v>100</v>
      </c>
      <c r="P157" s="1198"/>
      <c r="Q157" s="1068">
        <f>SUM(R157:S157)</f>
        <v>100</v>
      </c>
      <c r="R157" s="1068">
        <v>100</v>
      </c>
      <c r="S157" s="1068"/>
      <c r="T157" s="73">
        <f t="shared" si="105"/>
        <v>100</v>
      </c>
      <c r="U157" s="1158">
        <v>100</v>
      </c>
      <c r="V157" s="23"/>
      <c r="W157" s="80" t="s">
        <v>1545</v>
      </c>
      <c r="X157" s="80" t="s">
        <v>1102</v>
      </c>
      <c r="Y157" s="23">
        <v>1</v>
      </c>
      <c r="Z157" s="965">
        <f t="shared" si="106"/>
        <v>100</v>
      </c>
      <c r="AA157" s="1068">
        <v>100</v>
      </c>
      <c r="AB157" s="1068"/>
      <c r="AC157" s="1113"/>
      <c r="AD157" s="657"/>
      <c r="AE157" s="990"/>
      <c r="AF157" s="811"/>
      <c r="AG157" s="551"/>
      <c r="AH157" s="551"/>
      <c r="AI157" s="551"/>
      <c r="AK157" s="57"/>
      <c r="AL157" s="57"/>
      <c r="AM157" s="57"/>
      <c r="AN157" s="57"/>
      <c r="AO157" s="57"/>
      <c r="AP157" s="57"/>
    </row>
    <row r="158" spans="1:42" s="54" customFormat="1" ht="38.25">
      <c r="A158" s="222">
        <v>8</v>
      </c>
      <c r="B158" s="68" t="s">
        <v>822</v>
      </c>
      <c r="C158" s="80" t="s">
        <v>5</v>
      </c>
      <c r="D158" s="19" t="s">
        <v>823</v>
      </c>
      <c r="E158" s="70" t="s">
        <v>355</v>
      </c>
      <c r="F158" s="80"/>
      <c r="G158" s="72">
        <v>33366</v>
      </c>
      <c r="H158" s="72">
        <v>33366</v>
      </c>
      <c r="I158" s="23"/>
      <c r="J158" s="23"/>
      <c r="K158" s="72">
        <f t="shared" si="107"/>
        <v>33366</v>
      </c>
      <c r="L158" s="72">
        <f t="shared" si="107"/>
        <v>33366</v>
      </c>
      <c r="M158" s="23"/>
      <c r="N158" s="1068">
        <v>100</v>
      </c>
      <c r="O158" s="1068">
        <v>100</v>
      </c>
      <c r="P158" s="1198"/>
      <c r="Q158" s="1068">
        <f>SUM(R158:S158)</f>
        <v>100</v>
      </c>
      <c r="R158" s="1068">
        <v>100</v>
      </c>
      <c r="S158" s="1068"/>
      <c r="T158" s="73">
        <f t="shared" si="105"/>
        <v>100</v>
      </c>
      <c r="U158" s="1158">
        <v>100</v>
      </c>
      <c r="V158" s="23"/>
      <c r="W158" s="80" t="s">
        <v>1545</v>
      </c>
      <c r="X158" s="80" t="s">
        <v>1103</v>
      </c>
      <c r="Y158" s="23">
        <v>1</v>
      </c>
      <c r="Z158" s="965">
        <f t="shared" si="106"/>
        <v>100</v>
      </c>
      <c r="AA158" s="1068">
        <v>100</v>
      </c>
      <c r="AB158" s="1068"/>
      <c r="AC158" s="1113"/>
      <c r="AD158" s="657"/>
      <c r="AE158" s="990"/>
      <c r="AF158" s="811"/>
      <c r="AG158" s="551"/>
      <c r="AH158" s="551"/>
      <c r="AI158" s="551"/>
      <c r="AK158" s="57"/>
      <c r="AL158" s="57"/>
      <c r="AM158" s="57"/>
      <c r="AN158" s="57"/>
      <c r="AO158" s="57"/>
      <c r="AP158" s="57"/>
    </row>
    <row r="159" spans="1:42" s="266" customFormat="1">
      <c r="A159" s="11" t="s">
        <v>499</v>
      </c>
      <c r="B159" s="65" t="s">
        <v>31</v>
      </c>
      <c r="C159" s="80"/>
      <c r="D159" s="19"/>
      <c r="E159" s="70"/>
      <c r="F159" s="80"/>
      <c r="G159" s="15">
        <f t="shared" ref="G159:V159" si="108">SUM(G160,G162,G172)</f>
        <v>2836850</v>
      </c>
      <c r="H159" s="15">
        <f t="shared" si="108"/>
        <v>2100389</v>
      </c>
      <c r="I159" s="15">
        <f t="shared" si="108"/>
        <v>252554</v>
      </c>
      <c r="J159" s="15">
        <f t="shared" si="108"/>
        <v>191704</v>
      </c>
      <c r="K159" s="15">
        <f t="shared" si="108"/>
        <v>2588180</v>
      </c>
      <c r="L159" s="15">
        <f t="shared" si="108"/>
        <v>1986125</v>
      </c>
      <c r="M159" s="15">
        <f t="shared" si="108"/>
        <v>0</v>
      </c>
      <c r="N159" s="1053">
        <f t="shared" si="108"/>
        <v>804468</v>
      </c>
      <c r="O159" s="1053">
        <f t="shared" si="108"/>
        <v>725039</v>
      </c>
      <c r="P159" s="1053">
        <f t="shared" si="108"/>
        <v>0</v>
      </c>
      <c r="Q159" s="1053">
        <f t="shared" si="108"/>
        <v>620125</v>
      </c>
      <c r="R159" s="1053">
        <f t="shared" si="108"/>
        <v>211125</v>
      </c>
      <c r="S159" s="1053">
        <f t="shared" si="108"/>
        <v>409000</v>
      </c>
      <c r="T159" s="15">
        <f t="shared" si="108"/>
        <v>579367</v>
      </c>
      <c r="U159" s="1145">
        <f t="shared" si="108"/>
        <v>192494</v>
      </c>
      <c r="V159" s="15">
        <f t="shared" si="108"/>
        <v>386873</v>
      </c>
      <c r="W159" s="15"/>
      <c r="X159" s="15"/>
      <c r="Y159" s="15">
        <f>SUM(Y160,Y162,Y172)</f>
        <v>15</v>
      </c>
      <c r="Z159" s="1053">
        <f t="shared" ref="Z159:AB159" si="109">SUM(Z160,Z162,Z172)</f>
        <v>579367</v>
      </c>
      <c r="AA159" s="1053">
        <f t="shared" si="109"/>
        <v>192494</v>
      </c>
      <c r="AB159" s="1053">
        <f t="shared" si="109"/>
        <v>386873</v>
      </c>
      <c r="AC159" s="1101"/>
      <c r="AD159" s="657"/>
      <c r="AE159" s="990"/>
      <c r="AF159" s="811"/>
      <c r="AG159" s="551"/>
      <c r="AH159" s="551"/>
      <c r="AI159" s="551"/>
      <c r="AK159" s="265"/>
      <c r="AL159" s="265"/>
      <c r="AM159" s="265"/>
      <c r="AN159" s="265"/>
      <c r="AO159" s="265"/>
      <c r="AP159" s="265"/>
    </row>
    <row r="160" spans="1:42" s="54" customFormat="1">
      <c r="A160" s="11" t="s">
        <v>78</v>
      </c>
      <c r="B160" s="65" t="s">
        <v>79</v>
      </c>
      <c r="C160" s="80"/>
      <c r="D160" s="19"/>
      <c r="E160" s="70"/>
      <c r="F160" s="80"/>
      <c r="G160" s="15">
        <f t="shared" ref="G160:V160" si="110">SUM(G161:G161)</f>
        <v>116950</v>
      </c>
      <c r="H160" s="15">
        <f t="shared" si="110"/>
        <v>62705</v>
      </c>
      <c r="I160" s="15">
        <f t="shared" si="110"/>
        <v>92228</v>
      </c>
      <c r="J160" s="15">
        <f t="shared" si="110"/>
        <v>62132</v>
      </c>
      <c r="K160" s="15">
        <f t="shared" si="110"/>
        <v>24722</v>
      </c>
      <c r="L160" s="15">
        <f t="shared" si="110"/>
        <v>15848</v>
      </c>
      <c r="M160" s="15">
        <f t="shared" si="110"/>
        <v>0</v>
      </c>
      <c r="N160" s="1053">
        <f t="shared" si="110"/>
        <v>11700</v>
      </c>
      <c r="O160" s="1053">
        <f t="shared" si="110"/>
        <v>4125</v>
      </c>
      <c r="P160" s="1053">
        <f t="shared" si="110"/>
        <v>0</v>
      </c>
      <c r="Q160" s="1053">
        <f t="shared" si="110"/>
        <v>4125</v>
      </c>
      <c r="R160" s="1053">
        <f t="shared" si="110"/>
        <v>4125</v>
      </c>
      <c r="S160" s="1053">
        <f t="shared" si="110"/>
        <v>0</v>
      </c>
      <c r="T160" s="15">
        <f t="shared" si="110"/>
        <v>4125</v>
      </c>
      <c r="U160" s="1145">
        <f t="shared" si="110"/>
        <v>4125</v>
      </c>
      <c r="V160" s="15">
        <f t="shared" si="110"/>
        <v>0</v>
      </c>
      <c r="W160" s="89"/>
      <c r="X160" s="89"/>
      <c r="Y160" s="15">
        <f>SUM(Y161:Y161)</f>
        <v>1</v>
      </c>
      <c r="Z160" s="1053">
        <f t="shared" ref="Z160:AB160" si="111">SUM(Z161:Z161)</f>
        <v>4125</v>
      </c>
      <c r="AA160" s="1053">
        <f t="shared" si="111"/>
        <v>4125</v>
      </c>
      <c r="AB160" s="1053">
        <f t="shared" si="111"/>
        <v>0</v>
      </c>
      <c r="AC160" s="1101"/>
      <c r="AD160" s="657"/>
      <c r="AE160" s="990"/>
      <c r="AF160" s="811"/>
      <c r="AG160" s="551"/>
      <c r="AH160" s="551"/>
      <c r="AI160" s="551"/>
      <c r="AK160" s="57"/>
      <c r="AL160" s="57"/>
      <c r="AM160" s="57"/>
      <c r="AN160" s="57"/>
      <c r="AO160" s="57"/>
      <c r="AP160" s="57"/>
    </row>
    <row r="161" spans="1:42" s="54" customFormat="1" ht="105">
      <c r="A161" s="97" t="s">
        <v>27</v>
      </c>
      <c r="B161" s="179" t="s">
        <v>830</v>
      </c>
      <c r="C161" s="100" t="s">
        <v>43</v>
      </c>
      <c r="D161" s="19" t="s">
        <v>831</v>
      </c>
      <c r="E161" s="70" t="s">
        <v>235</v>
      </c>
      <c r="F161" s="100" t="s">
        <v>832</v>
      </c>
      <c r="G161" s="23">
        <v>116950</v>
      </c>
      <c r="H161" s="226">
        <v>62705</v>
      </c>
      <c r="I161" s="72">
        <v>92228</v>
      </c>
      <c r="J161" s="23">
        <f>50982+11150</f>
        <v>62132</v>
      </c>
      <c r="K161" s="23">
        <f>G161-I161</f>
        <v>24722</v>
      </c>
      <c r="L161" s="23">
        <f>H161-50982+4125</f>
        <v>15848</v>
      </c>
      <c r="M161" s="23"/>
      <c r="N161" s="1068">
        <v>11700</v>
      </c>
      <c r="O161" s="1068">
        <v>4125</v>
      </c>
      <c r="P161" s="1198"/>
      <c r="Q161" s="1068">
        <f>SUM(R161:S161)</f>
        <v>4125</v>
      </c>
      <c r="R161" s="1068">
        <v>4125</v>
      </c>
      <c r="S161" s="1068"/>
      <c r="T161" s="73">
        <f>SUM(U161:V161)</f>
        <v>4125</v>
      </c>
      <c r="U161" s="1158">
        <v>4125</v>
      </c>
      <c r="V161" s="23"/>
      <c r="W161" s="80" t="s">
        <v>1545</v>
      </c>
      <c r="X161" s="80"/>
      <c r="Y161" s="23">
        <v>1</v>
      </c>
      <c r="Z161" s="965">
        <f>SUM(AA161:AB161)</f>
        <v>4125</v>
      </c>
      <c r="AA161" s="1068">
        <v>4125</v>
      </c>
      <c r="AB161" s="1068"/>
      <c r="AC161" s="1113"/>
      <c r="AD161" s="657"/>
      <c r="AE161" s="990"/>
      <c r="AF161" s="811"/>
      <c r="AG161" s="551"/>
      <c r="AH161" s="551"/>
      <c r="AI161" s="551"/>
      <c r="AK161" s="57"/>
      <c r="AL161" s="57"/>
      <c r="AM161" s="57"/>
      <c r="AN161" s="57"/>
      <c r="AO161" s="57"/>
      <c r="AP161" s="57"/>
    </row>
    <row r="162" spans="1:42" s="54" customFormat="1" ht="28.5">
      <c r="A162" s="11" t="s">
        <v>116</v>
      </c>
      <c r="B162" s="65" t="s">
        <v>117</v>
      </c>
      <c r="C162" s="80"/>
      <c r="D162" s="19"/>
      <c r="E162" s="70"/>
      <c r="F162" s="80"/>
      <c r="G162" s="15">
        <f t="shared" ref="G162:V162" si="112">SUM(G163:G171)</f>
        <v>1028953</v>
      </c>
      <c r="H162" s="15">
        <f t="shared" si="112"/>
        <v>767653</v>
      </c>
      <c r="I162" s="15">
        <f t="shared" si="112"/>
        <v>154866</v>
      </c>
      <c r="J162" s="15">
        <f t="shared" si="112"/>
        <v>124112</v>
      </c>
      <c r="K162" s="15">
        <f t="shared" si="112"/>
        <v>985712</v>
      </c>
      <c r="L162" s="15">
        <f t="shared" si="112"/>
        <v>736760</v>
      </c>
      <c r="M162" s="15">
        <f t="shared" si="112"/>
        <v>0</v>
      </c>
      <c r="N162" s="1053">
        <f t="shared" si="112"/>
        <v>256664</v>
      </c>
      <c r="O162" s="1053">
        <f t="shared" si="112"/>
        <v>236800</v>
      </c>
      <c r="P162" s="1053">
        <f t="shared" si="112"/>
        <v>0</v>
      </c>
      <c r="Q162" s="1053">
        <f t="shared" si="112"/>
        <v>242000</v>
      </c>
      <c r="R162" s="1053">
        <f t="shared" si="112"/>
        <v>87000</v>
      </c>
      <c r="S162" s="1053">
        <f t="shared" si="112"/>
        <v>155000</v>
      </c>
      <c r="T162" s="15">
        <f t="shared" si="112"/>
        <v>216000</v>
      </c>
      <c r="U162" s="1145">
        <f t="shared" si="112"/>
        <v>87000</v>
      </c>
      <c r="V162" s="15">
        <f t="shared" si="112"/>
        <v>129000</v>
      </c>
      <c r="W162" s="89"/>
      <c r="X162" s="89"/>
      <c r="Y162" s="15">
        <f>SUM(Y163:Y171)</f>
        <v>9</v>
      </c>
      <c r="Z162" s="1053">
        <f t="shared" ref="Z162:AB162" si="113">SUM(Z163:Z171)</f>
        <v>216000</v>
      </c>
      <c r="AA162" s="1053">
        <f t="shared" si="113"/>
        <v>87000</v>
      </c>
      <c r="AB162" s="1053">
        <f t="shared" si="113"/>
        <v>129000</v>
      </c>
      <c r="AC162" s="1101"/>
      <c r="AD162" s="657"/>
      <c r="AE162" s="990"/>
      <c r="AF162" s="811"/>
      <c r="AG162" s="551"/>
      <c r="AH162" s="551"/>
      <c r="AI162" s="551"/>
      <c r="AK162" s="57"/>
      <c r="AL162" s="57"/>
      <c r="AM162" s="57"/>
      <c r="AN162" s="57"/>
      <c r="AO162" s="57"/>
      <c r="AP162" s="57"/>
    </row>
    <row r="163" spans="1:42" s="54" customFormat="1" ht="30">
      <c r="A163" s="97" t="s">
        <v>27</v>
      </c>
      <c r="B163" s="179" t="s">
        <v>854</v>
      </c>
      <c r="C163" s="100" t="s">
        <v>60</v>
      </c>
      <c r="D163" s="297" t="s">
        <v>855</v>
      </c>
      <c r="E163" s="505" t="s">
        <v>856</v>
      </c>
      <c r="F163" s="80" t="s">
        <v>857</v>
      </c>
      <c r="G163" s="72">
        <v>71396</v>
      </c>
      <c r="H163" s="72">
        <v>33160</v>
      </c>
      <c r="I163" s="72">
        <f>4160+18000+J163</f>
        <v>23530</v>
      </c>
      <c r="J163" s="23">
        <f>970+400</f>
        <v>1370</v>
      </c>
      <c r="K163" s="23">
        <f>G163-I163</f>
        <v>47866</v>
      </c>
      <c r="L163" s="23">
        <f>H163-J163</f>
        <v>31790</v>
      </c>
      <c r="M163" s="23"/>
      <c r="N163" s="1068">
        <v>27684</v>
      </c>
      <c r="O163" s="1068">
        <v>20000</v>
      </c>
      <c r="P163" s="1198"/>
      <c r="Q163" s="965">
        <f>SUM(R163:S163)</f>
        <v>10000</v>
      </c>
      <c r="R163" s="1068">
        <v>10000</v>
      </c>
      <c r="S163" s="1068"/>
      <c r="T163" s="73">
        <f>SUM(U163:V163)</f>
        <v>10000</v>
      </c>
      <c r="U163" s="1158">
        <v>10000</v>
      </c>
      <c r="V163" s="23"/>
      <c r="W163" s="80" t="s">
        <v>1545</v>
      </c>
      <c r="X163" s="24"/>
      <c r="Y163" s="23">
        <v>1</v>
      </c>
      <c r="Z163" s="965">
        <f>SUM(AA163:AB163)</f>
        <v>10000</v>
      </c>
      <c r="AA163" s="1068">
        <v>10000</v>
      </c>
      <c r="AB163" s="1068"/>
      <c r="AC163" s="1113"/>
      <c r="AD163" s="657"/>
      <c r="AE163" s="990"/>
      <c r="AF163" s="811"/>
      <c r="AG163" s="551"/>
      <c r="AH163" s="551"/>
      <c r="AI163" s="551"/>
      <c r="AK163" s="57"/>
      <c r="AL163" s="57"/>
      <c r="AM163" s="57"/>
      <c r="AN163" s="57"/>
      <c r="AO163" s="57"/>
      <c r="AP163" s="57"/>
    </row>
    <row r="164" spans="1:42" s="54" customFormat="1" ht="30">
      <c r="A164" s="97" t="s">
        <v>41</v>
      </c>
      <c r="B164" s="179" t="s">
        <v>858</v>
      </c>
      <c r="C164" s="100" t="s">
        <v>85</v>
      </c>
      <c r="D164" s="101" t="s">
        <v>859</v>
      </c>
      <c r="E164" s="95" t="s">
        <v>1673</v>
      </c>
      <c r="F164" s="100" t="s">
        <v>861</v>
      </c>
      <c r="G164" s="21">
        <v>83956</v>
      </c>
      <c r="H164" s="226">
        <f>G164</f>
        <v>83956</v>
      </c>
      <c r="I164" s="23">
        <f t="shared" ref="I164:I169" si="114">J164</f>
        <v>43505</v>
      </c>
      <c r="J164" s="23">
        <f>13505+30000</f>
        <v>43505</v>
      </c>
      <c r="K164" s="23">
        <f>L164</f>
        <v>70451</v>
      </c>
      <c r="L164" s="23">
        <f>H164-13505</f>
        <v>70451</v>
      </c>
      <c r="M164" s="23"/>
      <c r="N164" s="1068">
        <v>25000</v>
      </c>
      <c r="O164" s="1068">
        <v>25000</v>
      </c>
      <c r="P164" s="1198"/>
      <c r="Q164" s="965">
        <f>SUM(R164:S164)</f>
        <v>15000</v>
      </c>
      <c r="R164" s="1068">
        <v>15000</v>
      </c>
      <c r="S164" s="1068"/>
      <c r="T164" s="73">
        <f>SUM(U164:V164)</f>
        <v>15000</v>
      </c>
      <c r="U164" s="1158">
        <v>15000</v>
      </c>
      <c r="V164" s="23"/>
      <c r="W164" s="80" t="s">
        <v>1545</v>
      </c>
      <c r="X164" s="24"/>
      <c r="Y164" s="23">
        <v>1</v>
      </c>
      <c r="Z164" s="965">
        <f>SUM(AA164:AB164)</f>
        <v>15000</v>
      </c>
      <c r="AA164" s="1068">
        <v>15000</v>
      </c>
      <c r="AB164" s="1068"/>
      <c r="AC164" s="1113"/>
      <c r="AD164" s="657"/>
      <c r="AE164" s="990"/>
      <c r="AF164" s="811"/>
      <c r="AG164" s="551"/>
      <c r="AH164" s="551"/>
      <c r="AI164" s="551"/>
      <c r="AK164" s="57"/>
      <c r="AL164" s="57"/>
      <c r="AM164" s="57"/>
      <c r="AN164" s="57"/>
      <c r="AO164" s="57"/>
      <c r="AP164" s="57"/>
    </row>
    <row r="165" spans="1:42" s="54" customFormat="1" ht="25.5">
      <c r="A165" s="97" t="s">
        <v>58</v>
      </c>
      <c r="B165" s="68" t="s">
        <v>864</v>
      </c>
      <c r="C165" s="80" t="s">
        <v>43</v>
      </c>
      <c r="D165" s="19" t="s">
        <v>865</v>
      </c>
      <c r="E165" s="44" t="s">
        <v>120</v>
      </c>
      <c r="F165" s="80" t="s">
        <v>866</v>
      </c>
      <c r="G165" s="23">
        <v>74513</v>
      </c>
      <c r="H165" s="23">
        <v>74513</v>
      </c>
      <c r="I165" s="23">
        <f t="shared" si="114"/>
        <v>1149</v>
      </c>
      <c r="J165" s="23">
        <f>299+850</f>
        <v>1149</v>
      </c>
      <c r="K165" s="23">
        <f>L165</f>
        <v>74214</v>
      </c>
      <c r="L165" s="23">
        <f>H165-299</f>
        <v>74214</v>
      </c>
      <c r="M165" s="23"/>
      <c r="N165" s="1068">
        <v>20000</v>
      </c>
      <c r="O165" s="1068">
        <v>20000</v>
      </c>
      <c r="P165" s="1198"/>
      <c r="Q165" s="965">
        <v>15000</v>
      </c>
      <c r="R165" s="1068">
        <v>15000</v>
      </c>
      <c r="S165" s="1068"/>
      <c r="T165" s="73">
        <v>15000</v>
      </c>
      <c r="U165" s="1158">
        <v>15000</v>
      </c>
      <c r="V165" s="23"/>
      <c r="W165" s="80" t="s">
        <v>1545</v>
      </c>
      <c r="X165" s="24"/>
      <c r="Y165" s="23">
        <v>1</v>
      </c>
      <c r="Z165" s="965">
        <v>15000</v>
      </c>
      <c r="AA165" s="1068">
        <v>15000</v>
      </c>
      <c r="AB165" s="1068"/>
      <c r="AC165" s="1113"/>
      <c r="AD165" s="657"/>
      <c r="AE165" s="990"/>
      <c r="AF165" s="811"/>
      <c r="AG165" s="551"/>
      <c r="AH165" s="551"/>
      <c r="AI165" s="551"/>
      <c r="AK165" s="57"/>
      <c r="AL165" s="57"/>
      <c r="AM165" s="57"/>
      <c r="AN165" s="57"/>
      <c r="AO165" s="57"/>
      <c r="AP165" s="57"/>
    </row>
    <row r="166" spans="1:42" s="54" customFormat="1" ht="30">
      <c r="A166" s="97" t="s">
        <v>64</v>
      </c>
      <c r="B166" s="68" t="s">
        <v>867</v>
      </c>
      <c r="C166" s="80" t="s">
        <v>143</v>
      </c>
      <c r="D166" s="19" t="s">
        <v>868</v>
      </c>
      <c r="E166" s="44" t="s">
        <v>120</v>
      </c>
      <c r="F166" s="80" t="s">
        <v>869</v>
      </c>
      <c r="G166" s="23">
        <v>67415</v>
      </c>
      <c r="H166" s="23">
        <v>67415</v>
      </c>
      <c r="I166" s="23">
        <f t="shared" si="114"/>
        <v>700</v>
      </c>
      <c r="J166" s="23">
        <v>700</v>
      </c>
      <c r="K166" s="23">
        <f>L166</f>
        <v>67415</v>
      </c>
      <c r="L166" s="23">
        <f>H166</f>
        <v>67415</v>
      </c>
      <c r="M166" s="23"/>
      <c r="N166" s="1068">
        <v>30000</v>
      </c>
      <c r="O166" s="1068">
        <v>30000</v>
      </c>
      <c r="P166" s="1198"/>
      <c r="Q166" s="965">
        <f t="shared" ref="Q166:Q171" si="115">SUM(R166:S166)</f>
        <v>10000</v>
      </c>
      <c r="R166" s="1068">
        <v>10000</v>
      </c>
      <c r="S166" s="1068"/>
      <c r="T166" s="73">
        <f t="shared" ref="T166:T171" si="116">SUM(U166:V166)</f>
        <v>10000</v>
      </c>
      <c r="U166" s="1158">
        <v>10000</v>
      </c>
      <c r="V166" s="23"/>
      <c r="W166" s="80" t="s">
        <v>1545</v>
      </c>
      <c r="X166" s="24"/>
      <c r="Y166" s="23">
        <v>1</v>
      </c>
      <c r="Z166" s="965">
        <f t="shared" ref="Z166:Z171" si="117">SUM(AA166:AB166)</f>
        <v>10000</v>
      </c>
      <c r="AA166" s="1068">
        <v>10000</v>
      </c>
      <c r="AB166" s="1068"/>
      <c r="AC166" s="1113"/>
      <c r="AD166" s="657"/>
      <c r="AE166" s="990"/>
      <c r="AF166" s="811"/>
      <c r="AG166" s="551"/>
      <c r="AH166" s="551"/>
      <c r="AI166" s="551"/>
      <c r="AK166" s="57"/>
      <c r="AL166" s="57"/>
      <c r="AM166" s="57"/>
      <c r="AN166" s="57"/>
      <c r="AO166" s="57"/>
      <c r="AP166" s="57"/>
    </row>
    <row r="167" spans="1:42" s="54" customFormat="1" ht="30">
      <c r="A167" s="97" t="s">
        <v>69</v>
      </c>
      <c r="B167" s="93" t="s">
        <v>874</v>
      </c>
      <c r="C167" s="1187" t="s">
        <v>85</v>
      </c>
      <c r="D167" s="101" t="s">
        <v>875</v>
      </c>
      <c r="E167" s="312" t="s">
        <v>30</v>
      </c>
      <c r="F167" s="100" t="s">
        <v>877</v>
      </c>
      <c r="G167" s="226">
        <v>16000</v>
      </c>
      <c r="H167" s="226">
        <f>G167</f>
        <v>16000</v>
      </c>
      <c r="I167" s="23">
        <f t="shared" si="114"/>
        <v>680</v>
      </c>
      <c r="J167" s="23">
        <v>680</v>
      </c>
      <c r="K167" s="23">
        <v>16000</v>
      </c>
      <c r="L167" s="23">
        <v>16000</v>
      </c>
      <c r="M167" s="23"/>
      <c r="N167" s="1068">
        <v>10000</v>
      </c>
      <c r="O167" s="1068">
        <v>10000</v>
      </c>
      <c r="P167" s="1198"/>
      <c r="Q167" s="965">
        <f t="shared" si="115"/>
        <v>7000</v>
      </c>
      <c r="R167" s="1068">
        <v>7000</v>
      </c>
      <c r="S167" s="1068"/>
      <c r="T167" s="73">
        <f t="shared" si="116"/>
        <v>7000</v>
      </c>
      <c r="U167" s="1158">
        <v>7000</v>
      </c>
      <c r="V167" s="23"/>
      <c r="W167" s="80" t="s">
        <v>1545</v>
      </c>
      <c r="X167" s="24"/>
      <c r="Y167" s="23">
        <v>1</v>
      </c>
      <c r="Z167" s="965">
        <f t="shared" si="117"/>
        <v>7000</v>
      </c>
      <c r="AA167" s="1068">
        <v>7000</v>
      </c>
      <c r="AB167" s="1068"/>
      <c r="AC167" s="1113"/>
      <c r="AD167" s="657"/>
      <c r="AE167" s="990"/>
      <c r="AF167" s="811"/>
      <c r="AG167" s="551"/>
      <c r="AH167" s="551"/>
      <c r="AI167" s="551"/>
      <c r="AK167" s="57"/>
      <c r="AL167" s="57"/>
      <c r="AM167" s="57"/>
      <c r="AN167" s="57"/>
      <c r="AO167" s="57"/>
      <c r="AP167" s="57"/>
    </row>
    <row r="168" spans="1:42" s="54" customFormat="1" ht="30">
      <c r="A168" s="97" t="s">
        <v>74</v>
      </c>
      <c r="B168" s="93" t="s">
        <v>878</v>
      </c>
      <c r="C168" s="100" t="s">
        <v>173</v>
      </c>
      <c r="D168" s="101" t="s">
        <v>879</v>
      </c>
      <c r="E168" s="312" t="s">
        <v>30</v>
      </c>
      <c r="F168" s="763" t="s">
        <v>880</v>
      </c>
      <c r="G168" s="764">
        <v>7400</v>
      </c>
      <c r="H168" s="764">
        <f>G168</f>
        <v>7400</v>
      </c>
      <c r="I168" s="23">
        <f t="shared" si="114"/>
        <v>500</v>
      </c>
      <c r="J168" s="23">
        <v>500</v>
      </c>
      <c r="K168" s="23">
        <v>7400</v>
      </c>
      <c r="L168" s="23">
        <v>7400</v>
      </c>
      <c r="M168" s="23"/>
      <c r="N168" s="1068">
        <v>3000</v>
      </c>
      <c r="O168" s="1068">
        <v>3000</v>
      </c>
      <c r="P168" s="1198"/>
      <c r="Q168" s="965">
        <f t="shared" si="115"/>
        <v>2000</v>
      </c>
      <c r="R168" s="1068">
        <v>2000</v>
      </c>
      <c r="S168" s="1068"/>
      <c r="T168" s="73">
        <f t="shared" si="116"/>
        <v>2000</v>
      </c>
      <c r="U168" s="1158">
        <v>2000</v>
      </c>
      <c r="V168" s="23"/>
      <c r="W168" s="80" t="s">
        <v>1545</v>
      </c>
      <c r="X168" s="24"/>
      <c r="Y168" s="23">
        <v>1</v>
      </c>
      <c r="Z168" s="965">
        <f t="shared" si="117"/>
        <v>2000</v>
      </c>
      <c r="AA168" s="1068">
        <v>2000</v>
      </c>
      <c r="AB168" s="1068"/>
      <c r="AC168" s="1113"/>
      <c r="AD168" s="657"/>
      <c r="AE168" s="990"/>
      <c r="AF168" s="811"/>
      <c r="AG168" s="551"/>
      <c r="AH168" s="551"/>
      <c r="AI168" s="551"/>
      <c r="AK168" s="57"/>
      <c r="AL168" s="57"/>
      <c r="AM168" s="57"/>
      <c r="AN168" s="57"/>
      <c r="AO168" s="57"/>
      <c r="AP168" s="57"/>
    </row>
    <row r="169" spans="1:42" s="54" customFormat="1" ht="45">
      <c r="A169" s="97" t="s">
        <v>141</v>
      </c>
      <c r="B169" s="93" t="s">
        <v>881</v>
      </c>
      <c r="C169" s="1187" t="s">
        <v>66</v>
      </c>
      <c r="D169" s="101" t="s">
        <v>882</v>
      </c>
      <c r="E169" s="312" t="s">
        <v>30</v>
      </c>
      <c r="F169" s="100" t="s">
        <v>883</v>
      </c>
      <c r="G169" s="226">
        <f>H169</f>
        <v>6307</v>
      </c>
      <c r="H169" s="226">
        <v>6307</v>
      </c>
      <c r="I169" s="23">
        <f t="shared" si="114"/>
        <v>500</v>
      </c>
      <c r="J169" s="23">
        <v>500</v>
      </c>
      <c r="K169" s="226">
        <v>6307</v>
      </c>
      <c r="L169" s="226">
        <v>6307</v>
      </c>
      <c r="M169" s="23"/>
      <c r="N169" s="1068">
        <v>3000</v>
      </c>
      <c r="O169" s="1068">
        <v>3000</v>
      </c>
      <c r="P169" s="1198"/>
      <c r="Q169" s="965">
        <f t="shared" si="115"/>
        <v>2000</v>
      </c>
      <c r="R169" s="1068">
        <v>2000</v>
      </c>
      <c r="S169" s="1068"/>
      <c r="T169" s="73">
        <f t="shared" si="116"/>
        <v>2000</v>
      </c>
      <c r="U169" s="1158">
        <v>2000</v>
      </c>
      <c r="V169" s="23"/>
      <c r="W169" s="80" t="s">
        <v>1545</v>
      </c>
      <c r="X169" s="24"/>
      <c r="Y169" s="23">
        <v>1</v>
      </c>
      <c r="Z169" s="965">
        <f t="shared" si="117"/>
        <v>2000</v>
      </c>
      <c r="AA169" s="1068">
        <v>2000</v>
      </c>
      <c r="AB169" s="1068"/>
      <c r="AC169" s="1113"/>
      <c r="AD169" s="657"/>
      <c r="AE169" s="990"/>
      <c r="AF169" s="811"/>
      <c r="AG169" s="551"/>
      <c r="AH169" s="551"/>
      <c r="AI169" s="551"/>
      <c r="AK169" s="57"/>
      <c r="AL169" s="57"/>
      <c r="AM169" s="57"/>
      <c r="AN169" s="57"/>
      <c r="AO169" s="57"/>
      <c r="AP169" s="57"/>
    </row>
    <row r="170" spans="1:42" s="54" customFormat="1" ht="25.5">
      <c r="A170" s="97" t="s">
        <v>146</v>
      </c>
      <c r="B170" s="286" t="s">
        <v>848</v>
      </c>
      <c r="C170" s="1188" t="s">
        <v>222</v>
      </c>
      <c r="D170" s="305"/>
      <c r="E170" s="885"/>
      <c r="F170" s="704"/>
      <c r="G170" s="228">
        <v>66092</v>
      </c>
      <c r="H170" s="228">
        <v>35358</v>
      </c>
      <c r="I170" s="23">
        <v>4302</v>
      </c>
      <c r="J170" s="23">
        <v>4302</v>
      </c>
      <c r="K170" s="23">
        <v>61790</v>
      </c>
      <c r="L170" s="23">
        <v>31056</v>
      </c>
      <c r="M170" s="23">
        <v>0</v>
      </c>
      <c r="N170" s="1068">
        <v>11700</v>
      </c>
      <c r="O170" s="1068">
        <v>11000</v>
      </c>
      <c r="P170" s="1198"/>
      <c r="Q170" s="965">
        <f t="shared" si="115"/>
        <v>16000</v>
      </c>
      <c r="R170" s="1068"/>
      <c r="S170" s="1068">
        <v>16000</v>
      </c>
      <c r="T170" s="73">
        <f t="shared" si="116"/>
        <v>16000</v>
      </c>
      <c r="U170" s="1158"/>
      <c r="V170" s="23">
        <v>16000</v>
      </c>
      <c r="W170" s="80" t="s">
        <v>1548</v>
      </c>
      <c r="X170" s="24"/>
      <c r="Y170" s="23">
        <v>1</v>
      </c>
      <c r="Z170" s="965">
        <f t="shared" si="117"/>
        <v>16000</v>
      </c>
      <c r="AA170" s="1068"/>
      <c r="AB170" s="1068">
        <v>16000</v>
      </c>
      <c r="AC170" s="1113"/>
      <c r="AD170" s="657"/>
      <c r="AE170" s="990"/>
      <c r="AF170" s="811"/>
      <c r="AG170" s="551"/>
      <c r="AH170" s="551"/>
      <c r="AI170" s="551"/>
      <c r="AK170" s="57"/>
      <c r="AL170" s="57"/>
      <c r="AM170" s="57"/>
      <c r="AN170" s="57"/>
      <c r="AO170" s="57"/>
      <c r="AP170" s="57"/>
    </row>
    <row r="171" spans="1:42" s="54" customFormat="1" ht="51">
      <c r="A171" s="97" t="s">
        <v>179</v>
      </c>
      <c r="B171" s="93" t="s">
        <v>829</v>
      </c>
      <c r="C171" s="1187" t="s">
        <v>222</v>
      </c>
      <c r="D171" s="101"/>
      <c r="E171" s="312"/>
      <c r="F171" s="100"/>
      <c r="G171" s="226">
        <v>635874</v>
      </c>
      <c r="H171" s="226">
        <v>443544</v>
      </c>
      <c r="I171" s="23">
        <v>80000</v>
      </c>
      <c r="J171" s="23">
        <v>71406</v>
      </c>
      <c r="K171" s="23">
        <v>634269</v>
      </c>
      <c r="L171" s="23">
        <v>432127</v>
      </c>
      <c r="M171" s="23">
        <v>0</v>
      </c>
      <c r="N171" s="1068">
        <v>126280</v>
      </c>
      <c r="O171" s="1068">
        <v>114800</v>
      </c>
      <c r="P171" s="1198"/>
      <c r="Q171" s="965">
        <f t="shared" si="115"/>
        <v>165000</v>
      </c>
      <c r="R171" s="1068">
        <v>26000</v>
      </c>
      <c r="S171" s="1068">
        <v>139000</v>
      </c>
      <c r="T171" s="73">
        <f t="shared" si="116"/>
        <v>139000</v>
      </c>
      <c r="U171" s="1158">
        <v>26000</v>
      </c>
      <c r="V171" s="23">
        <v>113000</v>
      </c>
      <c r="W171" s="80" t="s">
        <v>1547</v>
      </c>
      <c r="X171" s="24"/>
      <c r="Y171" s="23">
        <v>1</v>
      </c>
      <c r="Z171" s="965">
        <f t="shared" si="117"/>
        <v>139000</v>
      </c>
      <c r="AA171" s="1068">
        <v>26000</v>
      </c>
      <c r="AB171" s="1068">
        <v>113000</v>
      </c>
      <c r="AC171" s="1113"/>
      <c r="AD171" s="657"/>
      <c r="AE171" s="990"/>
      <c r="AF171" s="811"/>
      <c r="AG171" s="551"/>
      <c r="AH171" s="551"/>
      <c r="AI171" s="551"/>
      <c r="AK171" s="57"/>
      <c r="AL171" s="57"/>
      <c r="AM171" s="57"/>
      <c r="AN171" s="57"/>
      <c r="AO171" s="57"/>
      <c r="AP171" s="57"/>
    </row>
    <row r="172" spans="1:42" s="54" customFormat="1">
      <c r="A172" s="11" t="s">
        <v>150</v>
      </c>
      <c r="B172" s="65" t="s">
        <v>151</v>
      </c>
      <c r="C172" s="80"/>
      <c r="D172" s="19"/>
      <c r="E172" s="70"/>
      <c r="F172" s="80"/>
      <c r="G172" s="15">
        <f t="shared" ref="G172:V172" si="118">SUM(G173:G177)</f>
        <v>1690947</v>
      </c>
      <c r="H172" s="15">
        <f t="shared" si="118"/>
        <v>1270031</v>
      </c>
      <c r="I172" s="15">
        <f t="shared" si="118"/>
        <v>5460</v>
      </c>
      <c r="J172" s="15">
        <f t="shared" si="118"/>
        <v>5460</v>
      </c>
      <c r="K172" s="15">
        <f t="shared" si="118"/>
        <v>1577746</v>
      </c>
      <c r="L172" s="15">
        <f t="shared" si="118"/>
        <v>1233517</v>
      </c>
      <c r="M172" s="15">
        <f t="shared" si="118"/>
        <v>0</v>
      </c>
      <c r="N172" s="1053">
        <f t="shared" si="118"/>
        <v>536104</v>
      </c>
      <c r="O172" s="1053">
        <f t="shared" si="118"/>
        <v>484114</v>
      </c>
      <c r="P172" s="1053">
        <f t="shared" si="118"/>
        <v>0</v>
      </c>
      <c r="Q172" s="1053">
        <f t="shared" si="118"/>
        <v>374000</v>
      </c>
      <c r="R172" s="1053">
        <f t="shared" si="118"/>
        <v>120000</v>
      </c>
      <c r="S172" s="1053">
        <f t="shared" si="118"/>
        <v>254000</v>
      </c>
      <c r="T172" s="15">
        <f t="shared" si="118"/>
        <v>359242</v>
      </c>
      <c r="U172" s="1145">
        <f t="shared" si="118"/>
        <v>101369</v>
      </c>
      <c r="V172" s="15">
        <f t="shared" si="118"/>
        <v>257873</v>
      </c>
      <c r="W172" s="89"/>
      <c r="X172" s="89"/>
      <c r="Y172" s="15">
        <f>SUM(Y173:Y177)</f>
        <v>5</v>
      </c>
      <c r="Z172" s="1053">
        <f t="shared" ref="Z172:AB172" si="119">SUM(Z173:Z177)</f>
        <v>359242</v>
      </c>
      <c r="AA172" s="1053">
        <f t="shared" si="119"/>
        <v>101369</v>
      </c>
      <c r="AB172" s="1053">
        <f t="shared" si="119"/>
        <v>257873</v>
      </c>
      <c r="AC172" s="1101"/>
      <c r="AD172" s="657"/>
      <c r="AE172" s="990"/>
      <c r="AF172" s="811"/>
      <c r="AG172" s="551"/>
      <c r="AH172" s="551"/>
      <c r="AI172" s="551"/>
      <c r="AK172" s="57"/>
      <c r="AL172" s="57"/>
      <c r="AM172" s="57"/>
      <c r="AN172" s="57"/>
      <c r="AO172" s="57"/>
      <c r="AP172" s="57"/>
    </row>
    <row r="173" spans="1:42" s="54" customFormat="1" ht="105">
      <c r="A173" s="97" t="s">
        <v>27</v>
      </c>
      <c r="B173" s="93" t="s">
        <v>884</v>
      </c>
      <c r="C173" s="1187" t="s">
        <v>29</v>
      </c>
      <c r="D173" s="101" t="s">
        <v>885</v>
      </c>
      <c r="E173" s="312" t="s">
        <v>355</v>
      </c>
      <c r="F173" s="100" t="s">
        <v>886</v>
      </c>
      <c r="G173" s="226">
        <v>104310</v>
      </c>
      <c r="H173" s="226">
        <v>104310</v>
      </c>
      <c r="I173" s="23">
        <v>750</v>
      </c>
      <c r="J173" s="23">
        <v>750</v>
      </c>
      <c r="K173" s="23">
        <v>104310</v>
      </c>
      <c r="L173" s="23">
        <v>104310</v>
      </c>
      <c r="M173" s="23"/>
      <c r="N173" s="1068">
        <v>30000</v>
      </c>
      <c r="O173" s="1068">
        <v>30000</v>
      </c>
      <c r="P173" s="1198"/>
      <c r="Q173" s="965">
        <f>SUM(R173:S173)</f>
        <v>20000</v>
      </c>
      <c r="R173" s="1068">
        <v>20000</v>
      </c>
      <c r="S173" s="1068"/>
      <c r="T173" s="73">
        <f>SUM(U173:V173)</f>
        <v>20000</v>
      </c>
      <c r="U173" s="1158">
        <v>20000</v>
      </c>
      <c r="V173" s="23"/>
      <c r="W173" s="80" t="s">
        <v>1549</v>
      </c>
      <c r="X173" s="24"/>
      <c r="Y173" s="23">
        <v>1</v>
      </c>
      <c r="Z173" s="965">
        <f>SUM(AA173:AB173)</f>
        <v>20000</v>
      </c>
      <c r="AA173" s="1068">
        <v>20000</v>
      </c>
      <c r="AB173" s="1068"/>
      <c r="AC173" s="1113"/>
      <c r="AD173" s="657"/>
      <c r="AE173" s="990"/>
      <c r="AF173" s="811"/>
      <c r="AG173" s="551"/>
      <c r="AH173" s="551"/>
      <c r="AI173" s="551"/>
      <c r="AK173" s="57"/>
      <c r="AL173" s="57"/>
      <c r="AM173" s="57"/>
      <c r="AN173" s="57"/>
      <c r="AO173" s="57"/>
      <c r="AP173" s="57"/>
    </row>
    <row r="174" spans="1:42" s="54" customFormat="1" ht="45">
      <c r="A174" s="97" t="s">
        <v>41</v>
      </c>
      <c r="B174" s="68" t="s">
        <v>887</v>
      </c>
      <c r="C174" s="80" t="s">
        <v>5</v>
      </c>
      <c r="D174" s="19" t="s">
        <v>888</v>
      </c>
      <c r="E174" s="312" t="s">
        <v>120</v>
      </c>
      <c r="F174" s="80" t="s">
        <v>889</v>
      </c>
      <c r="G174" s="23">
        <f>H174</f>
        <v>81155</v>
      </c>
      <c r="H174" s="23">
        <v>81155</v>
      </c>
      <c r="I174" s="23">
        <f>J174</f>
        <v>127</v>
      </c>
      <c r="J174" s="23">
        <v>127</v>
      </c>
      <c r="K174" s="23">
        <f>L174</f>
        <v>81155</v>
      </c>
      <c r="L174" s="23">
        <v>81155</v>
      </c>
      <c r="M174" s="23"/>
      <c r="N174" s="1068">
        <v>18405</v>
      </c>
      <c r="O174" s="1068">
        <v>18405</v>
      </c>
      <c r="P174" s="1198"/>
      <c r="Q174" s="965">
        <f>SUM(R174:S174)</f>
        <v>16000</v>
      </c>
      <c r="R174" s="1068">
        <v>16000</v>
      </c>
      <c r="S174" s="1068"/>
      <c r="T174" s="73">
        <f>SUM(U174:V174)</f>
        <v>16000</v>
      </c>
      <c r="U174" s="1158">
        <v>16000</v>
      </c>
      <c r="V174" s="23"/>
      <c r="W174" s="80" t="s">
        <v>1545</v>
      </c>
      <c r="X174" s="80"/>
      <c r="Y174" s="23">
        <v>1</v>
      </c>
      <c r="Z174" s="965">
        <f>SUM(AA174:AB174)</f>
        <v>16000</v>
      </c>
      <c r="AA174" s="1068">
        <v>16000</v>
      </c>
      <c r="AB174" s="1068"/>
      <c r="AC174" s="1113"/>
      <c r="AD174" s="657"/>
      <c r="AE174" s="990"/>
      <c r="AF174" s="811"/>
      <c r="AG174" s="551"/>
      <c r="AH174" s="551"/>
      <c r="AI174" s="551"/>
      <c r="AK174" s="57"/>
      <c r="AL174" s="57"/>
      <c r="AM174" s="57"/>
      <c r="AN174" s="57"/>
      <c r="AO174" s="57"/>
      <c r="AP174" s="57"/>
    </row>
    <row r="175" spans="1:42" s="54" customFormat="1" ht="45">
      <c r="A175" s="97" t="s">
        <v>58</v>
      </c>
      <c r="B175" s="68" t="s">
        <v>890</v>
      </c>
      <c r="C175" s="80" t="s">
        <v>5</v>
      </c>
      <c r="D175" s="19" t="s">
        <v>891</v>
      </c>
      <c r="E175" s="312" t="s">
        <v>489</v>
      </c>
      <c r="F175" s="80" t="s">
        <v>892</v>
      </c>
      <c r="G175" s="23">
        <f>H175</f>
        <v>16628</v>
      </c>
      <c r="H175" s="23">
        <v>16628</v>
      </c>
      <c r="I175" s="23">
        <f>J175</f>
        <v>32</v>
      </c>
      <c r="J175" s="23">
        <v>32</v>
      </c>
      <c r="K175" s="23">
        <v>16628</v>
      </c>
      <c r="L175" s="23">
        <v>16628</v>
      </c>
      <c r="M175" s="23">
        <v>0</v>
      </c>
      <c r="N175" s="1068">
        <v>4809</v>
      </c>
      <c r="O175" s="1068">
        <v>4809</v>
      </c>
      <c r="P175" s="1198"/>
      <c r="Q175" s="965">
        <v>4000</v>
      </c>
      <c r="R175" s="965">
        <v>4000</v>
      </c>
      <c r="S175" s="1068"/>
      <c r="T175" s="73">
        <v>4000</v>
      </c>
      <c r="U175" s="1129">
        <v>4000</v>
      </c>
      <c r="V175" s="23"/>
      <c r="W175" s="80" t="s">
        <v>1545</v>
      </c>
      <c r="X175" s="100"/>
      <c r="Y175" s="23">
        <v>1</v>
      </c>
      <c r="Z175" s="965">
        <v>4000</v>
      </c>
      <c r="AA175" s="965">
        <v>4000</v>
      </c>
      <c r="AB175" s="1068"/>
      <c r="AC175" s="1113"/>
      <c r="AD175" s="657"/>
      <c r="AE175" s="990"/>
      <c r="AF175" s="811"/>
      <c r="AG175" s="551"/>
      <c r="AH175" s="551"/>
      <c r="AI175" s="551"/>
      <c r="AK175" s="57"/>
      <c r="AL175" s="57"/>
      <c r="AM175" s="57"/>
      <c r="AN175" s="57"/>
      <c r="AO175" s="57"/>
      <c r="AP175" s="57"/>
    </row>
    <row r="176" spans="1:42" s="54" customFormat="1" ht="25.5">
      <c r="A176" s="97" t="s">
        <v>64</v>
      </c>
      <c r="B176" s="286" t="s">
        <v>848</v>
      </c>
      <c r="C176" s="1188" t="s">
        <v>222</v>
      </c>
      <c r="D176" s="305"/>
      <c r="E176" s="885"/>
      <c r="F176" s="704"/>
      <c r="G176" s="228">
        <v>236823</v>
      </c>
      <c r="H176" s="228">
        <v>188151</v>
      </c>
      <c r="I176" s="23">
        <v>1380</v>
      </c>
      <c r="J176" s="23">
        <v>1380</v>
      </c>
      <c r="K176" s="23">
        <v>225653</v>
      </c>
      <c r="L176" s="23">
        <v>181424</v>
      </c>
      <c r="M176" s="23">
        <v>0</v>
      </c>
      <c r="N176" s="1068">
        <v>55100</v>
      </c>
      <c r="O176" s="1068">
        <v>42000</v>
      </c>
      <c r="P176" s="1198"/>
      <c r="Q176" s="965">
        <f>SUM(R176:S176)</f>
        <v>54000</v>
      </c>
      <c r="R176" s="965"/>
      <c r="S176" s="1068">
        <v>54000</v>
      </c>
      <c r="T176" s="73">
        <f>SUM(U176:V176)</f>
        <v>54000</v>
      </c>
      <c r="U176" s="1129"/>
      <c r="V176" s="23">
        <v>54000</v>
      </c>
      <c r="W176" s="80" t="s">
        <v>1548</v>
      </c>
      <c r="X176" s="24"/>
      <c r="Y176" s="23">
        <v>1</v>
      </c>
      <c r="Z176" s="965">
        <f>SUM(AA176:AB176)</f>
        <v>54000</v>
      </c>
      <c r="AA176" s="965"/>
      <c r="AB176" s="1068">
        <v>54000</v>
      </c>
      <c r="AC176" s="1113"/>
      <c r="AD176" s="657">
        <f>T176+T170</f>
        <v>70000</v>
      </c>
      <c r="AE176" s="990"/>
      <c r="AF176" s="811"/>
      <c r="AG176" s="551"/>
      <c r="AH176" s="551"/>
      <c r="AI176" s="551"/>
      <c r="AK176" s="57"/>
      <c r="AL176" s="57"/>
      <c r="AM176" s="57"/>
      <c r="AN176" s="57"/>
      <c r="AO176" s="57"/>
      <c r="AP176" s="57"/>
    </row>
    <row r="177" spans="1:42" s="54" customFormat="1" ht="33" customHeight="1">
      <c r="A177" s="97" t="s">
        <v>69</v>
      </c>
      <c r="B177" s="68" t="s">
        <v>829</v>
      </c>
      <c r="C177" s="80"/>
      <c r="D177" s="19"/>
      <c r="E177" s="70"/>
      <c r="F177" s="80"/>
      <c r="G177" s="23">
        <v>1252031</v>
      </c>
      <c r="H177" s="23">
        <v>879787</v>
      </c>
      <c r="I177" s="223">
        <v>3171</v>
      </c>
      <c r="J177" s="223">
        <v>3171</v>
      </c>
      <c r="K177" s="23">
        <v>1150000</v>
      </c>
      <c r="L177" s="23">
        <v>850000</v>
      </c>
      <c r="M177" s="23"/>
      <c r="N177" s="1068">
        <v>427790</v>
      </c>
      <c r="O177" s="1068">
        <v>388900</v>
      </c>
      <c r="P177" s="1198"/>
      <c r="Q177" s="965">
        <f>SUM(R177:S177)</f>
        <v>280000</v>
      </c>
      <c r="R177" s="965">
        <v>80000</v>
      </c>
      <c r="S177" s="1068">
        <v>200000</v>
      </c>
      <c r="T177" s="73">
        <f>SUM(U177:V177)</f>
        <v>265242</v>
      </c>
      <c r="U177" s="1129">
        <v>61369</v>
      </c>
      <c r="V177" s="23">
        <v>203873</v>
      </c>
      <c r="W177" s="80" t="s">
        <v>1547</v>
      </c>
      <c r="X177" s="100"/>
      <c r="Y177" s="23">
        <v>1</v>
      </c>
      <c r="Z177" s="965">
        <f>SUM(AA177:AB177)</f>
        <v>265242</v>
      </c>
      <c r="AA177" s="965">
        <v>61369</v>
      </c>
      <c r="AB177" s="1068">
        <v>203873</v>
      </c>
      <c r="AC177" s="1113"/>
      <c r="AD177" s="657">
        <f>T177+T171</f>
        <v>404242</v>
      </c>
      <c r="AE177" s="990"/>
      <c r="AF177" s="811"/>
      <c r="AG177" s="551"/>
      <c r="AH177" s="551"/>
      <c r="AI177" s="551"/>
      <c r="AK177" s="57"/>
      <c r="AL177" s="57"/>
      <c r="AM177" s="57"/>
      <c r="AN177" s="57"/>
      <c r="AO177" s="57"/>
      <c r="AP177" s="57"/>
    </row>
    <row r="178" spans="1:42" s="633" customFormat="1" ht="33" customHeight="1">
      <c r="A178" s="630" t="s">
        <v>556</v>
      </c>
      <c r="B178" s="618" t="s">
        <v>1146</v>
      </c>
      <c r="C178" s="690"/>
      <c r="D178" s="625"/>
      <c r="E178" s="626"/>
      <c r="F178" s="690"/>
      <c r="G178" s="636">
        <f t="shared" ref="G178:V178" si="120">G179+G196</f>
        <v>1886529</v>
      </c>
      <c r="H178" s="636">
        <f t="shared" si="120"/>
        <v>1367251</v>
      </c>
      <c r="I178" s="636">
        <f t="shared" si="120"/>
        <v>431762</v>
      </c>
      <c r="J178" s="636">
        <f t="shared" si="120"/>
        <v>264928</v>
      </c>
      <c r="K178" s="636">
        <f t="shared" si="120"/>
        <v>1511591.7200000002</v>
      </c>
      <c r="L178" s="636">
        <f t="shared" si="120"/>
        <v>1175637.7</v>
      </c>
      <c r="M178" s="636">
        <f t="shared" si="120"/>
        <v>0</v>
      </c>
      <c r="N178" s="1063">
        <f t="shared" si="120"/>
        <v>585721</v>
      </c>
      <c r="O178" s="1063">
        <f t="shared" si="120"/>
        <v>265418</v>
      </c>
      <c r="P178" s="1063">
        <f t="shared" si="120"/>
        <v>0</v>
      </c>
      <c r="Q178" s="1063">
        <f t="shared" si="120"/>
        <v>202505</v>
      </c>
      <c r="R178" s="1063">
        <f t="shared" si="120"/>
        <v>19186</v>
      </c>
      <c r="S178" s="1063">
        <f t="shared" si="120"/>
        <v>183319</v>
      </c>
      <c r="T178" s="636">
        <f t="shared" si="120"/>
        <v>202505</v>
      </c>
      <c r="U178" s="1153">
        <f t="shared" si="120"/>
        <v>0</v>
      </c>
      <c r="V178" s="636">
        <f t="shared" si="120"/>
        <v>202505</v>
      </c>
      <c r="W178" s="690"/>
      <c r="X178" s="690"/>
      <c r="Y178" s="636">
        <f>Y179+Y196</f>
        <v>56</v>
      </c>
      <c r="Z178" s="1063">
        <f t="shared" ref="Z178:AB178" si="121">Z179+Z196</f>
        <v>202505</v>
      </c>
      <c r="AA178" s="1063">
        <f t="shared" si="121"/>
        <v>0</v>
      </c>
      <c r="AB178" s="1063">
        <f t="shared" si="121"/>
        <v>202505</v>
      </c>
      <c r="AC178" s="1109"/>
      <c r="AD178" s="664">
        <f>V178/1177000*100</f>
        <v>17.205182667799491</v>
      </c>
      <c r="AE178" s="990"/>
      <c r="AF178" s="811"/>
      <c r="AG178" s="628"/>
      <c r="AH178" s="628"/>
      <c r="AI178" s="628"/>
      <c r="AK178" s="629"/>
      <c r="AL178" s="629"/>
      <c r="AM178" s="629"/>
      <c r="AN178" s="629"/>
      <c r="AO178" s="629"/>
      <c r="AP178" s="629"/>
    </row>
    <row r="179" spans="1:42" s="266" customFormat="1">
      <c r="A179" s="64" t="s">
        <v>525</v>
      </c>
      <c r="B179" s="65" t="s">
        <v>26</v>
      </c>
      <c r="C179" s="1031"/>
      <c r="D179" s="635"/>
      <c r="E179" s="44"/>
      <c r="F179" s="762"/>
      <c r="G179" s="45">
        <f t="shared" ref="G179:V179" si="122">SUM(G180:G195)</f>
        <v>560496</v>
      </c>
      <c r="H179" s="45">
        <f t="shared" si="122"/>
        <v>493896</v>
      </c>
      <c r="I179" s="45">
        <f t="shared" si="122"/>
        <v>0</v>
      </c>
      <c r="J179" s="45">
        <f t="shared" si="122"/>
        <v>0</v>
      </c>
      <c r="K179" s="45">
        <f t="shared" si="122"/>
        <v>563034</v>
      </c>
      <c r="L179" s="45">
        <f t="shared" si="122"/>
        <v>496431</v>
      </c>
      <c r="M179" s="45">
        <f t="shared" si="122"/>
        <v>0</v>
      </c>
      <c r="N179" s="1037">
        <f t="shared" si="122"/>
        <v>6086</v>
      </c>
      <c r="O179" s="1037">
        <f t="shared" si="122"/>
        <v>6086</v>
      </c>
      <c r="P179" s="1037">
        <f t="shared" si="122"/>
        <v>0</v>
      </c>
      <c r="Q179" s="1037">
        <f t="shared" si="122"/>
        <v>5086</v>
      </c>
      <c r="R179" s="1037">
        <f t="shared" si="122"/>
        <v>3386</v>
      </c>
      <c r="S179" s="1037">
        <f t="shared" si="122"/>
        <v>1700</v>
      </c>
      <c r="T179" s="45">
        <f t="shared" si="122"/>
        <v>5086</v>
      </c>
      <c r="U179" s="1128">
        <f t="shared" si="122"/>
        <v>0</v>
      </c>
      <c r="V179" s="45">
        <f t="shared" si="122"/>
        <v>5086</v>
      </c>
      <c r="W179" s="352"/>
      <c r="X179" s="352"/>
      <c r="Y179" s="45">
        <f>SUM(Y180:Y195)</f>
        <v>16</v>
      </c>
      <c r="Z179" s="1037">
        <f t="shared" ref="Z179:AB179" si="123">SUM(Z180:Z195)</f>
        <v>5086</v>
      </c>
      <c r="AA179" s="1037">
        <f t="shared" si="123"/>
        <v>0</v>
      </c>
      <c r="AB179" s="1037">
        <f t="shared" si="123"/>
        <v>5086</v>
      </c>
      <c r="AC179" s="1085"/>
      <c r="AD179" s="657"/>
      <c r="AE179" s="990"/>
      <c r="AF179" s="811"/>
      <c r="AG179" s="551"/>
      <c r="AH179" s="551"/>
      <c r="AI179" s="551"/>
      <c r="AK179" s="265"/>
      <c r="AL179" s="265"/>
      <c r="AM179" s="265"/>
      <c r="AN179" s="265"/>
      <c r="AO179" s="265"/>
      <c r="AP179" s="265"/>
    </row>
    <row r="180" spans="1:42" s="54" customFormat="1" ht="40.5" customHeight="1">
      <c r="A180" s="190" t="s">
        <v>27</v>
      </c>
      <c r="B180" s="287" t="s">
        <v>894</v>
      </c>
      <c r="C180" s="80" t="s">
        <v>66</v>
      </c>
      <c r="D180" s="635"/>
      <c r="E180" s="44"/>
      <c r="F180" s="80" t="s">
        <v>895</v>
      </c>
      <c r="G180" s="223">
        <v>24740</v>
      </c>
      <c r="H180" s="223">
        <v>24740</v>
      </c>
      <c r="I180" s="72"/>
      <c r="J180" s="72"/>
      <c r="K180" s="72">
        <v>24740</v>
      </c>
      <c r="L180" s="72">
        <v>24740</v>
      </c>
      <c r="M180" s="72"/>
      <c r="N180" s="1035">
        <v>886</v>
      </c>
      <c r="O180" s="1035">
        <v>886</v>
      </c>
      <c r="P180" s="1198"/>
      <c r="Q180" s="1035">
        <f t="shared" ref="Q180:Q185" si="124">SUM(R180:S180)</f>
        <v>886</v>
      </c>
      <c r="R180" s="1035">
        <v>886</v>
      </c>
      <c r="S180" s="1035"/>
      <c r="T180" s="73">
        <f t="shared" ref="T180:T195" si="125">SUM(U180:V180)</f>
        <v>886</v>
      </c>
      <c r="U180" s="1137"/>
      <c r="V180" s="72">
        <v>886</v>
      </c>
      <c r="W180" s="744" t="s">
        <v>1550</v>
      </c>
      <c r="X180" s="744"/>
      <c r="Y180" s="72">
        <v>1</v>
      </c>
      <c r="Z180" s="965">
        <f t="shared" ref="Z180:Z195" si="126">SUM(AA180:AB180)</f>
        <v>886</v>
      </c>
      <c r="AA180" s="1035"/>
      <c r="AB180" s="1035">
        <v>886</v>
      </c>
      <c r="AC180" s="1082"/>
      <c r="AD180" s="657"/>
      <c r="AE180" s="990"/>
      <c r="AF180" s="811"/>
      <c r="AG180" s="551"/>
      <c r="AH180" s="551"/>
      <c r="AI180" s="551"/>
      <c r="AK180" s="57"/>
      <c r="AL180" s="57"/>
      <c r="AM180" s="57"/>
      <c r="AN180" s="57"/>
      <c r="AO180" s="57"/>
      <c r="AP180" s="57"/>
    </row>
    <row r="181" spans="1:42" s="54" customFormat="1">
      <c r="A181" s="190" t="s">
        <v>41</v>
      </c>
      <c r="B181" s="287" t="s">
        <v>917</v>
      </c>
      <c r="C181" s="80" t="s">
        <v>29</v>
      </c>
      <c r="D181" s="635" t="s">
        <v>918</v>
      </c>
      <c r="E181" s="44" t="s">
        <v>120</v>
      </c>
      <c r="F181" s="762"/>
      <c r="G181" s="72">
        <v>178812</v>
      </c>
      <c r="H181" s="72">
        <v>112212</v>
      </c>
      <c r="I181" s="72"/>
      <c r="J181" s="72"/>
      <c r="K181" s="72">
        <v>178812</v>
      </c>
      <c r="L181" s="72">
        <v>112212</v>
      </c>
      <c r="M181" s="72"/>
      <c r="N181" s="1035">
        <v>2000</v>
      </c>
      <c r="O181" s="1035">
        <v>2000</v>
      </c>
      <c r="P181" s="1198"/>
      <c r="Q181" s="1035">
        <f t="shared" si="124"/>
        <v>1000</v>
      </c>
      <c r="R181" s="1035">
        <v>1000</v>
      </c>
      <c r="S181" s="1035"/>
      <c r="T181" s="73">
        <f t="shared" si="125"/>
        <v>1000</v>
      </c>
      <c r="U181" s="1137"/>
      <c r="V181" s="72">
        <v>1000</v>
      </c>
      <c r="W181" s="744" t="s">
        <v>1550</v>
      </c>
      <c r="X181" s="80"/>
      <c r="Y181" s="72">
        <v>1</v>
      </c>
      <c r="Z181" s="965">
        <f t="shared" si="126"/>
        <v>1000</v>
      </c>
      <c r="AA181" s="1035"/>
      <c r="AB181" s="1035">
        <v>1000</v>
      </c>
      <c r="AC181" s="1082"/>
      <c r="AD181" s="657"/>
      <c r="AE181" s="990"/>
      <c r="AF181" s="811"/>
      <c r="AG181" s="551"/>
      <c r="AH181" s="551"/>
      <c r="AI181" s="551"/>
      <c r="AK181" s="57"/>
      <c r="AL181" s="57"/>
      <c r="AM181" s="57"/>
      <c r="AN181" s="57"/>
      <c r="AO181" s="57"/>
      <c r="AP181" s="57"/>
    </row>
    <row r="182" spans="1:42" s="54" customFormat="1" ht="90">
      <c r="A182" s="190" t="s">
        <v>58</v>
      </c>
      <c r="B182" s="287" t="s">
        <v>920</v>
      </c>
      <c r="C182" s="80" t="s">
        <v>29</v>
      </c>
      <c r="D182" s="635" t="s">
        <v>921</v>
      </c>
      <c r="E182" s="44" t="s">
        <v>154</v>
      </c>
      <c r="F182" s="706"/>
      <c r="G182" s="72">
        <v>19000</v>
      </c>
      <c r="H182" s="72">
        <v>19000</v>
      </c>
      <c r="I182" s="72"/>
      <c r="J182" s="72"/>
      <c r="K182" s="72">
        <v>19000</v>
      </c>
      <c r="L182" s="72">
        <v>19000</v>
      </c>
      <c r="M182" s="72"/>
      <c r="N182" s="1035">
        <v>300</v>
      </c>
      <c r="O182" s="1035">
        <v>300</v>
      </c>
      <c r="P182" s="1198"/>
      <c r="Q182" s="1035">
        <f t="shared" si="124"/>
        <v>300</v>
      </c>
      <c r="R182" s="1035"/>
      <c r="S182" s="1035">
        <v>300</v>
      </c>
      <c r="T182" s="73">
        <f t="shared" si="125"/>
        <v>300</v>
      </c>
      <c r="U182" s="1137"/>
      <c r="V182" s="72">
        <v>300</v>
      </c>
      <c r="W182" s="744" t="s">
        <v>1550</v>
      </c>
      <c r="X182" s="744" t="s">
        <v>1113</v>
      </c>
      <c r="Y182" s="72">
        <v>1</v>
      </c>
      <c r="Z182" s="965">
        <f t="shared" si="126"/>
        <v>300</v>
      </c>
      <c r="AA182" s="1035"/>
      <c r="AB182" s="1035">
        <v>300</v>
      </c>
      <c r="AC182" s="1082"/>
      <c r="AD182" s="657"/>
      <c r="AE182" s="990"/>
      <c r="AF182" s="811"/>
      <c r="AG182" s="551"/>
      <c r="AH182" s="551"/>
      <c r="AI182" s="551"/>
      <c r="AK182" s="57"/>
      <c r="AL182" s="57"/>
      <c r="AM182" s="57"/>
      <c r="AN182" s="57"/>
      <c r="AO182" s="57"/>
      <c r="AP182" s="57"/>
    </row>
    <row r="183" spans="1:42" s="54" customFormat="1" ht="105">
      <c r="A183" s="190" t="s">
        <v>64</v>
      </c>
      <c r="B183" s="287" t="s">
        <v>922</v>
      </c>
      <c r="C183" s="80" t="s">
        <v>29</v>
      </c>
      <c r="D183" s="635" t="s">
        <v>923</v>
      </c>
      <c r="E183" s="44" t="s">
        <v>355</v>
      </c>
      <c r="F183" s="707"/>
      <c r="G183" s="72">
        <v>265048</v>
      </c>
      <c r="H183" s="72">
        <v>265048</v>
      </c>
      <c r="I183" s="72"/>
      <c r="J183" s="72"/>
      <c r="K183" s="72">
        <v>265048</v>
      </c>
      <c r="L183" s="72">
        <v>265048</v>
      </c>
      <c r="M183" s="72"/>
      <c r="N183" s="1035">
        <v>1000</v>
      </c>
      <c r="O183" s="1035">
        <v>1000</v>
      </c>
      <c r="P183" s="1198"/>
      <c r="Q183" s="1035">
        <f t="shared" si="124"/>
        <v>1000</v>
      </c>
      <c r="R183" s="1035"/>
      <c r="S183" s="1035">
        <v>1000</v>
      </c>
      <c r="T183" s="73">
        <f t="shared" si="125"/>
        <v>1000</v>
      </c>
      <c r="U183" s="1137"/>
      <c r="V183" s="72">
        <v>1000</v>
      </c>
      <c r="W183" s="744" t="s">
        <v>1550</v>
      </c>
      <c r="X183" s="744" t="s">
        <v>1114</v>
      </c>
      <c r="Y183" s="72">
        <v>1</v>
      </c>
      <c r="Z183" s="965">
        <f t="shared" si="126"/>
        <v>1000</v>
      </c>
      <c r="AA183" s="1035"/>
      <c r="AB183" s="1035">
        <v>1000</v>
      </c>
      <c r="AC183" s="1082"/>
      <c r="AD183" s="657"/>
      <c r="AE183" s="990"/>
      <c r="AF183" s="811"/>
      <c r="AG183" s="551"/>
      <c r="AH183" s="551"/>
      <c r="AI183" s="551"/>
      <c r="AK183" s="57"/>
      <c r="AL183" s="57"/>
      <c r="AM183" s="57"/>
      <c r="AN183" s="57"/>
      <c r="AO183" s="57"/>
      <c r="AP183" s="57"/>
    </row>
    <row r="184" spans="1:42" s="54" customFormat="1" ht="51">
      <c r="A184" s="190" t="s">
        <v>69</v>
      </c>
      <c r="B184" s="288" t="s">
        <v>898</v>
      </c>
      <c r="C184" s="80" t="s">
        <v>29</v>
      </c>
      <c r="D184" s="19" t="s">
        <v>899</v>
      </c>
      <c r="E184" s="70" t="s">
        <v>120</v>
      </c>
      <c r="F184" s="706"/>
      <c r="G184" s="72">
        <v>6414</v>
      </c>
      <c r="H184" s="72">
        <v>6414</v>
      </c>
      <c r="I184" s="72"/>
      <c r="J184" s="72"/>
      <c r="K184" s="72">
        <v>6414</v>
      </c>
      <c r="L184" s="72">
        <v>6414</v>
      </c>
      <c r="M184" s="72"/>
      <c r="N184" s="1035">
        <v>200</v>
      </c>
      <c r="O184" s="1035">
        <v>200</v>
      </c>
      <c r="P184" s="1198"/>
      <c r="Q184" s="1035">
        <f t="shared" si="124"/>
        <v>200</v>
      </c>
      <c r="R184" s="1035"/>
      <c r="S184" s="1035">
        <v>200</v>
      </c>
      <c r="T184" s="73">
        <f t="shared" si="125"/>
        <v>200</v>
      </c>
      <c r="U184" s="1137"/>
      <c r="V184" s="72">
        <v>200</v>
      </c>
      <c r="W184" s="744" t="s">
        <v>1527</v>
      </c>
      <c r="X184" s="80" t="s">
        <v>1105</v>
      </c>
      <c r="Y184" s="72">
        <v>1</v>
      </c>
      <c r="Z184" s="965">
        <f t="shared" si="126"/>
        <v>200</v>
      </c>
      <c r="AA184" s="1035"/>
      <c r="AB184" s="1035">
        <v>200</v>
      </c>
      <c r="AC184" s="1082"/>
      <c r="AD184" s="657"/>
      <c r="AE184" s="990"/>
      <c r="AF184" s="811"/>
      <c r="AG184" s="551"/>
      <c r="AH184" s="551"/>
      <c r="AI184" s="551"/>
      <c r="AK184" s="57"/>
      <c r="AL184" s="57"/>
      <c r="AM184" s="57"/>
      <c r="AN184" s="57"/>
      <c r="AO184" s="57"/>
      <c r="AP184" s="57"/>
    </row>
    <row r="185" spans="1:42" s="54" customFormat="1" ht="51">
      <c r="A185" s="190" t="s">
        <v>74</v>
      </c>
      <c r="B185" s="288" t="s">
        <v>900</v>
      </c>
      <c r="C185" s="80" t="s">
        <v>85</v>
      </c>
      <c r="D185" s="19" t="s">
        <v>901</v>
      </c>
      <c r="E185" s="44" t="s">
        <v>163</v>
      </c>
      <c r="F185" s="80"/>
      <c r="G185" s="72">
        <v>6133</v>
      </c>
      <c r="H185" s="72">
        <v>6133</v>
      </c>
      <c r="I185" s="72"/>
      <c r="J185" s="72"/>
      <c r="K185" s="72">
        <v>6133</v>
      </c>
      <c r="L185" s="72">
        <v>6133</v>
      </c>
      <c r="M185" s="72"/>
      <c r="N185" s="1035">
        <v>200</v>
      </c>
      <c r="O185" s="1035">
        <v>200</v>
      </c>
      <c r="P185" s="1198"/>
      <c r="Q185" s="1035">
        <f t="shared" si="124"/>
        <v>200</v>
      </c>
      <c r="R185" s="1035"/>
      <c r="S185" s="1035">
        <v>200</v>
      </c>
      <c r="T185" s="73">
        <f t="shared" si="125"/>
        <v>200</v>
      </c>
      <c r="U185" s="1137"/>
      <c r="V185" s="72">
        <v>200</v>
      </c>
      <c r="W185" s="744" t="s">
        <v>1525</v>
      </c>
      <c r="X185" s="80" t="s">
        <v>1106</v>
      </c>
      <c r="Y185" s="72">
        <v>1</v>
      </c>
      <c r="Z185" s="965">
        <f t="shared" si="126"/>
        <v>200</v>
      </c>
      <c r="AA185" s="1035"/>
      <c r="AB185" s="1035">
        <v>200</v>
      </c>
      <c r="AC185" s="1082"/>
      <c r="AD185" s="657"/>
      <c r="AE185" s="990"/>
      <c r="AF185" s="811"/>
      <c r="AG185" s="551"/>
      <c r="AH185" s="551"/>
      <c r="AI185" s="551"/>
      <c r="AK185" s="57"/>
      <c r="AL185" s="57"/>
      <c r="AM185" s="57"/>
      <c r="AN185" s="57"/>
      <c r="AO185" s="57"/>
      <c r="AP185" s="57"/>
    </row>
    <row r="186" spans="1:42" s="54" customFormat="1" ht="51">
      <c r="A186" s="190" t="s">
        <v>141</v>
      </c>
      <c r="B186" s="288" t="s">
        <v>905</v>
      </c>
      <c r="C186" s="80" t="s">
        <v>143</v>
      </c>
      <c r="D186" s="19" t="s">
        <v>906</v>
      </c>
      <c r="E186" s="70" t="s">
        <v>355</v>
      </c>
      <c r="F186" s="706"/>
      <c r="G186" s="72">
        <v>6249</v>
      </c>
      <c r="H186" s="72">
        <v>6249</v>
      </c>
      <c r="I186" s="72"/>
      <c r="J186" s="72"/>
      <c r="K186" s="72">
        <v>6249</v>
      </c>
      <c r="L186" s="72">
        <v>6249</v>
      </c>
      <c r="M186" s="72"/>
      <c r="N186" s="1035">
        <v>200</v>
      </c>
      <c r="O186" s="1035">
        <v>200</v>
      </c>
      <c r="P186" s="1198"/>
      <c r="Q186" s="1035">
        <v>200</v>
      </c>
      <c r="R186" s="1035">
        <v>200</v>
      </c>
      <c r="S186" s="1035"/>
      <c r="T186" s="73">
        <f t="shared" si="125"/>
        <v>200</v>
      </c>
      <c r="U186" s="1137"/>
      <c r="V186" s="72">
        <v>200</v>
      </c>
      <c r="W186" s="744" t="s">
        <v>1518</v>
      </c>
      <c r="X186" s="80" t="s">
        <v>1109</v>
      </c>
      <c r="Y186" s="72">
        <v>1</v>
      </c>
      <c r="Z186" s="965">
        <f t="shared" si="126"/>
        <v>200</v>
      </c>
      <c r="AA186" s="1035"/>
      <c r="AB186" s="1035">
        <v>200</v>
      </c>
      <c r="AC186" s="1082"/>
      <c r="AD186" s="657"/>
      <c r="AE186" s="990"/>
      <c r="AF186" s="811"/>
      <c r="AG186" s="551"/>
      <c r="AH186" s="551"/>
      <c r="AI186" s="551"/>
      <c r="AK186" s="57"/>
      <c r="AL186" s="57"/>
      <c r="AM186" s="57"/>
      <c r="AN186" s="57"/>
      <c r="AO186" s="57"/>
      <c r="AP186" s="57"/>
    </row>
    <row r="187" spans="1:42" s="54" customFormat="1" ht="30">
      <c r="A187" s="190" t="s">
        <v>146</v>
      </c>
      <c r="B187" s="288" t="s">
        <v>907</v>
      </c>
      <c r="C187" s="80" t="s">
        <v>143</v>
      </c>
      <c r="D187" s="19" t="s">
        <v>1676</v>
      </c>
      <c r="E187" s="70" t="s">
        <v>355</v>
      </c>
      <c r="F187" s="80"/>
      <c r="G187" s="72">
        <v>3459</v>
      </c>
      <c r="H187" s="72">
        <v>3459</v>
      </c>
      <c r="I187" s="72"/>
      <c r="J187" s="72"/>
      <c r="K187" s="72">
        <v>3459</v>
      </c>
      <c r="L187" s="72">
        <v>3459</v>
      </c>
      <c r="M187" s="72"/>
      <c r="N187" s="1035">
        <v>50</v>
      </c>
      <c r="O187" s="1035">
        <v>50</v>
      </c>
      <c r="P187" s="1198"/>
      <c r="Q187" s="1035">
        <f t="shared" ref="Q187:Q195" si="127">SUM(R187:S187)</f>
        <v>50</v>
      </c>
      <c r="R187" s="1035">
        <v>50</v>
      </c>
      <c r="S187" s="1035"/>
      <c r="T187" s="73">
        <f t="shared" si="125"/>
        <v>50</v>
      </c>
      <c r="U187" s="1137"/>
      <c r="V187" s="72">
        <v>50</v>
      </c>
      <c r="W187" s="744" t="s">
        <v>1518</v>
      </c>
      <c r="X187" s="80" t="s">
        <v>1582</v>
      </c>
      <c r="Y187" s="72">
        <v>1</v>
      </c>
      <c r="Z187" s="965">
        <f t="shared" si="126"/>
        <v>50</v>
      </c>
      <c r="AA187" s="1035"/>
      <c r="AB187" s="1035">
        <v>50</v>
      </c>
      <c r="AC187" s="1082"/>
      <c r="AD187" s="657"/>
      <c r="AE187" s="990"/>
      <c r="AF187" s="811"/>
      <c r="AG187" s="551"/>
      <c r="AH187" s="551"/>
      <c r="AI187" s="551"/>
      <c r="AK187" s="57"/>
      <c r="AL187" s="57"/>
      <c r="AM187" s="57"/>
      <c r="AN187" s="57"/>
      <c r="AO187" s="57"/>
      <c r="AP187" s="57"/>
    </row>
    <row r="188" spans="1:42" s="54" customFormat="1" ht="30">
      <c r="A188" s="190" t="s">
        <v>179</v>
      </c>
      <c r="B188" s="288" t="s">
        <v>1675</v>
      </c>
      <c r="C188" s="80" t="s">
        <v>143</v>
      </c>
      <c r="D188" s="19" t="s">
        <v>1676</v>
      </c>
      <c r="E188" s="70" t="s">
        <v>355</v>
      </c>
      <c r="F188" s="80"/>
      <c r="G188" s="72">
        <v>2990</v>
      </c>
      <c r="H188" s="72">
        <v>2990</v>
      </c>
      <c r="I188" s="72"/>
      <c r="J188" s="72"/>
      <c r="K188" s="72">
        <v>2990</v>
      </c>
      <c r="L188" s="72">
        <v>2990</v>
      </c>
      <c r="M188" s="72"/>
      <c r="N188" s="1035">
        <v>50</v>
      </c>
      <c r="O188" s="1035">
        <v>50</v>
      </c>
      <c r="P188" s="1198"/>
      <c r="Q188" s="1035">
        <f t="shared" si="127"/>
        <v>50</v>
      </c>
      <c r="R188" s="1035">
        <v>50</v>
      </c>
      <c r="S188" s="1035"/>
      <c r="T188" s="73">
        <f t="shared" si="125"/>
        <v>50</v>
      </c>
      <c r="U188" s="1137"/>
      <c r="V188" s="72">
        <v>50</v>
      </c>
      <c r="W188" s="876" t="s">
        <v>1518</v>
      </c>
      <c r="X188" s="80" t="s">
        <v>1582</v>
      </c>
      <c r="Y188" s="72">
        <v>1</v>
      </c>
      <c r="Z188" s="965">
        <f t="shared" si="126"/>
        <v>50</v>
      </c>
      <c r="AA188" s="1035"/>
      <c r="AB188" s="1035">
        <v>50</v>
      </c>
      <c r="AC188" s="1082"/>
      <c r="AD188" s="657"/>
      <c r="AE188" s="990"/>
      <c r="AF188" s="811"/>
      <c r="AG188" s="551"/>
      <c r="AH188" s="551"/>
      <c r="AI188" s="551"/>
      <c r="AK188" s="57"/>
      <c r="AL188" s="57"/>
      <c r="AM188" s="57"/>
      <c r="AN188" s="57"/>
      <c r="AO188" s="57"/>
      <c r="AP188" s="57"/>
    </row>
    <row r="189" spans="1:42" s="54" customFormat="1" ht="51">
      <c r="A189" s="190" t="s">
        <v>182</v>
      </c>
      <c r="B189" s="287" t="s">
        <v>896</v>
      </c>
      <c r="C189" s="80" t="s">
        <v>173</v>
      </c>
      <c r="D189" s="19" t="s">
        <v>913</v>
      </c>
      <c r="E189" s="44" t="s">
        <v>163</v>
      </c>
      <c r="F189" s="762"/>
      <c r="G189" s="72">
        <v>8242</v>
      </c>
      <c r="H189" s="72">
        <v>8242</v>
      </c>
      <c r="I189" s="72"/>
      <c r="J189" s="72"/>
      <c r="K189" s="72">
        <v>8212</v>
      </c>
      <c r="L189" s="72">
        <v>8212</v>
      </c>
      <c r="M189" s="72"/>
      <c r="N189" s="1035">
        <v>200</v>
      </c>
      <c r="O189" s="1035">
        <v>200</v>
      </c>
      <c r="P189" s="1198"/>
      <c r="Q189" s="1035">
        <f t="shared" si="127"/>
        <v>200</v>
      </c>
      <c r="R189" s="1035">
        <v>200</v>
      </c>
      <c r="S189" s="1035"/>
      <c r="T189" s="73">
        <f t="shared" si="125"/>
        <v>200</v>
      </c>
      <c r="U189" s="1137"/>
      <c r="V189" s="72">
        <v>200</v>
      </c>
      <c r="W189" s="744" t="s">
        <v>1551</v>
      </c>
      <c r="X189" s="80" t="s">
        <v>1104</v>
      </c>
      <c r="Y189" s="72">
        <v>1</v>
      </c>
      <c r="Z189" s="965">
        <f t="shared" si="126"/>
        <v>200</v>
      </c>
      <c r="AA189" s="1035"/>
      <c r="AB189" s="1035">
        <v>200</v>
      </c>
      <c r="AC189" s="1082"/>
      <c r="AD189" s="657"/>
      <c r="AE189" s="990"/>
      <c r="AF189" s="811"/>
      <c r="AG189" s="551"/>
      <c r="AH189" s="551"/>
      <c r="AI189" s="551"/>
      <c r="AK189" s="57"/>
      <c r="AL189" s="57"/>
      <c r="AM189" s="57"/>
      <c r="AN189" s="57"/>
      <c r="AO189" s="57"/>
      <c r="AP189" s="57"/>
    </row>
    <row r="190" spans="1:42" s="54" customFormat="1" ht="38.25">
      <c r="A190" s="190" t="s">
        <v>187</v>
      </c>
      <c r="B190" s="288" t="s">
        <v>902</v>
      </c>
      <c r="C190" s="80" t="s">
        <v>112</v>
      </c>
      <c r="D190" s="19"/>
      <c r="E190" s="70" t="s">
        <v>163</v>
      </c>
      <c r="F190" s="706"/>
      <c r="G190" s="72">
        <v>6640</v>
      </c>
      <c r="H190" s="72">
        <v>6640</v>
      </c>
      <c r="I190" s="72"/>
      <c r="J190" s="72"/>
      <c r="K190" s="72">
        <v>6640</v>
      </c>
      <c r="L190" s="72">
        <v>6640</v>
      </c>
      <c r="M190" s="72"/>
      <c r="N190" s="1035">
        <v>200</v>
      </c>
      <c r="O190" s="1035">
        <v>200</v>
      </c>
      <c r="P190" s="1198"/>
      <c r="Q190" s="1035">
        <f t="shared" si="127"/>
        <v>200</v>
      </c>
      <c r="R190" s="1035">
        <v>200</v>
      </c>
      <c r="S190" s="1035"/>
      <c r="T190" s="73">
        <f t="shared" si="125"/>
        <v>200</v>
      </c>
      <c r="U190" s="1137"/>
      <c r="V190" s="72">
        <v>200</v>
      </c>
      <c r="W190" s="744" t="s">
        <v>1551</v>
      </c>
      <c r="X190" s="80" t="s">
        <v>1107</v>
      </c>
      <c r="Y190" s="72">
        <v>1</v>
      </c>
      <c r="Z190" s="965">
        <f t="shared" si="126"/>
        <v>200</v>
      </c>
      <c r="AA190" s="1035"/>
      <c r="AB190" s="1035">
        <v>200</v>
      </c>
      <c r="AC190" s="1082"/>
      <c r="AD190" s="657"/>
      <c r="AE190" s="990"/>
      <c r="AF190" s="811"/>
      <c r="AG190" s="551"/>
      <c r="AH190" s="551"/>
      <c r="AI190" s="551"/>
      <c r="AK190" s="57"/>
      <c r="AL190" s="57"/>
      <c r="AM190" s="57"/>
      <c r="AN190" s="57"/>
      <c r="AO190" s="57"/>
      <c r="AP190" s="57"/>
    </row>
    <row r="191" spans="1:42" s="54" customFormat="1" ht="75">
      <c r="A191" s="190" t="s">
        <v>191</v>
      </c>
      <c r="B191" s="288" t="s">
        <v>903</v>
      </c>
      <c r="C191" s="80" t="s">
        <v>260</v>
      </c>
      <c r="D191" s="19" t="s">
        <v>904</v>
      </c>
      <c r="E191" s="70" t="s">
        <v>163</v>
      </c>
      <c r="F191" s="706"/>
      <c r="G191" s="72">
        <v>5806</v>
      </c>
      <c r="H191" s="72">
        <v>5806</v>
      </c>
      <c r="I191" s="72"/>
      <c r="J191" s="72"/>
      <c r="K191" s="72">
        <v>5806</v>
      </c>
      <c r="L191" s="72">
        <v>5806</v>
      </c>
      <c r="M191" s="72"/>
      <c r="N191" s="1035">
        <v>150</v>
      </c>
      <c r="O191" s="1035">
        <v>150</v>
      </c>
      <c r="P191" s="1198"/>
      <c r="Q191" s="1035">
        <f t="shared" si="127"/>
        <v>150</v>
      </c>
      <c r="R191" s="1035">
        <v>150</v>
      </c>
      <c r="S191" s="1035"/>
      <c r="T191" s="73">
        <f t="shared" si="125"/>
        <v>150</v>
      </c>
      <c r="U191" s="1137"/>
      <c r="V191" s="72">
        <v>150</v>
      </c>
      <c r="W191" s="744" t="s">
        <v>1551</v>
      </c>
      <c r="X191" s="80" t="s">
        <v>1108</v>
      </c>
      <c r="Y191" s="72">
        <v>1</v>
      </c>
      <c r="Z191" s="965">
        <f t="shared" si="126"/>
        <v>150</v>
      </c>
      <c r="AA191" s="1035"/>
      <c r="AB191" s="1035">
        <v>150</v>
      </c>
      <c r="AC191" s="1082"/>
      <c r="AD191" s="657"/>
      <c r="AE191" s="990"/>
      <c r="AF191" s="811"/>
      <c r="AG191" s="551"/>
      <c r="AH191" s="551"/>
      <c r="AI191" s="551"/>
      <c r="AK191" s="57"/>
      <c r="AL191" s="57"/>
      <c r="AM191" s="57"/>
      <c r="AN191" s="57"/>
      <c r="AO191" s="57"/>
      <c r="AP191" s="57"/>
    </row>
    <row r="192" spans="1:42" s="54" customFormat="1" ht="51">
      <c r="A192" s="190" t="s">
        <v>195</v>
      </c>
      <c r="B192" s="288" t="s">
        <v>908</v>
      </c>
      <c r="C192" s="80" t="s">
        <v>71</v>
      </c>
      <c r="D192" s="19" t="s">
        <v>909</v>
      </c>
      <c r="E192" s="70" t="s">
        <v>154</v>
      </c>
      <c r="F192" s="706"/>
      <c r="G192" s="72">
        <v>5839</v>
      </c>
      <c r="H192" s="72">
        <v>5839</v>
      </c>
      <c r="I192" s="72"/>
      <c r="J192" s="72"/>
      <c r="K192" s="72">
        <v>5839</v>
      </c>
      <c r="L192" s="72">
        <v>5839</v>
      </c>
      <c r="M192" s="72"/>
      <c r="N192" s="1035">
        <v>150</v>
      </c>
      <c r="O192" s="1035">
        <v>150</v>
      </c>
      <c r="P192" s="1198"/>
      <c r="Q192" s="1035">
        <f t="shared" si="127"/>
        <v>150</v>
      </c>
      <c r="R192" s="1035">
        <v>150</v>
      </c>
      <c r="S192" s="1035"/>
      <c r="T192" s="73">
        <f t="shared" si="125"/>
        <v>150</v>
      </c>
      <c r="U192" s="1137"/>
      <c r="V192" s="72">
        <v>150</v>
      </c>
      <c r="W192" s="744" t="s">
        <v>1516</v>
      </c>
      <c r="X192" s="80" t="s">
        <v>1110</v>
      </c>
      <c r="Y192" s="72">
        <v>1</v>
      </c>
      <c r="Z192" s="965">
        <f t="shared" si="126"/>
        <v>150</v>
      </c>
      <c r="AA192" s="1035"/>
      <c r="AB192" s="1035">
        <v>150</v>
      </c>
      <c r="AC192" s="1082"/>
      <c r="AD192" s="657"/>
      <c r="AE192" s="990"/>
      <c r="AF192" s="811"/>
      <c r="AG192" s="551"/>
      <c r="AH192" s="551"/>
      <c r="AI192" s="551"/>
      <c r="AK192" s="57"/>
      <c r="AL192" s="57"/>
      <c r="AM192" s="57"/>
      <c r="AN192" s="57"/>
      <c r="AO192" s="57"/>
      <c r="AP192" s="57"/>
    </row>
    <row r="193" spans="1:42" s="54" customFormat="1" ht="51">
      <c r="A193" s="190" t="s">
        <v>590</v>
      </c>
      <c r="B193" s="288" t="s">
        <v>910</v>
      </c>
      <c r="C193" s="80" t="s">
        <v>71</v>
      </c>
      <c r="D193" s="19" t="s">
        <v>911</v>
      </c>
      <c r="E193" s="70" t="s">
        <v>154</v>
      </c>
      <c r="F193" s="706"/>
      <c r="G193" s="72">
        <v>6838</v>
      </c>
      <c r="H193" s="72">
        <v>6838</v>
      </c>
      <c r="I193" s="72"/>
      <c r="J193" s="72"/>
      <c r="K193" s="72">
        <v>6838</v>
      </c>
      <c r="L193" s="72">
        <v>6838</v>
      </c>
      <c r="M193" s="72"/>
      <c r="N193" s="1035">
        <v>200</v>
      </c>
      <c r="O193" s="1035">
        <v>200</v>
      </c>
      <c r="P193" s="1198"/>
      <c r="Q193" s="1035">
        <f t="shared" si="127"/>
        <v>200</v>
      </c>
      <c r="R193" s="1035">
        <v>200</v>
      </c>
      <c r="S193" s="1035"/>
      <c r="T193" s="73">
        <f t="shared" si="125"/>
        <v>200</v>
      </c>
      <c r="U193" s="1137"/>
      <c r="V193" s="72">
        <v>200</v>
      </c>
      <c r="W193" s="744" t="s">
        <v>1516</v>
      </c>
      <c r="X193" s="80" t="s">
        <v>1110</v>
      </c>
      <c r="Y193" s="72">
        <v>1</v>
      </c>
      <c r="Z193" s="965">
        <f t="shared" si="126"/>
        <v>200</v>
      </c>
      <c r="AA193" s="1035"/>
      <c r="AB193" s="1035">
        <v>200</v>
      </c>
      <c r="AC193" s="1082"/>
      <c r="AD193" s="657"/>
      <c r="AE193" s="990"/>
      <c r="AF193" s="811"/>
      <c r="AG193" s="551"/>
      <c r="AH193" s="551"/>
      <c r="AI193" s="551"/>
      <c r="AK193" s="57"/>
      <c r="AL193" s="57"/>
      <c r="AM193" s="57"/>
      <c r="AN193" s="57"/>
      <c r="AO193" s="57"/>
      <c r="AP193" s="57"/>
    </row>
    <row r="194" spans="1:42" s="54" customFormat="1">
      <c r="A194" s="190" t="s">
        <v>591</v>
      </c>
      <c r="B194" s="287" t="s">
        <v>897</v>
      </c>
      <c r="C194" s="80" t="s">
        <v>60</v>
      </c>
      <c r="D194" s="635"/>
      <c r="E194" s="44"/>
      <c r="F194" s="762"/>
      <c r="G194" s="72">
        <v>6000</v>
      </c>
      <c r="H194" s="72">
        <v>6000</v>
      </c>
      <c r="I194" s="72"/>
      <c r="J194" s="72"/>
      <c r="K194" s="72">
        <v>8568</v>
      </c>
      <c r="L194" s="72">
        <v>8565</v>
      </c>
      <c r="M194" s="72"/>
      <c r="N194" s="1035">
        <v>100</v>
      </c>
      <c r="O194" s="1035">
        <v>100</v>
      </c>
      <c r="P194" s="1198"/>
      <c r="Q194" s="1035">
        <f t="shared" si="127"/>
        <v>100</v>
      </c>
      <c r="R194" s="1035">
        <v>100</v>
      </c>
      <c r="S194" s="1035"/>
      <c r="T194" s="73">
        <f t="shared" si="125"/>
        <v>100</v>
      </c>
      <c r="U194" s="1137"/>
      <c r="V194" s="72">
        <v>100</v>
      </c>
      <c r="W194" s="513" t="s">
        <v>1517</v>
      </c>
      <c r="X194" s="80" t="s">
        <v>1582</v>
      </c>
      <c r="Y194" s="72">
        <v>1</v>
      </c>
      <c r="Z194" s="965">
        <f t="shared" si="126"/>
        <v>100</v>
      </c>
      <c r="AA194" s="1035"/>
      <c r="AB194" s="1035">
        <v>100</v>
      </c>
      <c r="AC194" s="1082"/>
      <c r="AD194" s="657"/>
      <c r="AE194" s="990"/>
      <c r="AF194" s="811"/>
      <c r="AG194" s="551"/>
      <c r="AH194" s="551"/>
      <c r="AI194" s="551"/>
      <c r="AK194" s="57"/>
      <c r="AL194" s="57"/>
      <c r="AM194" s="57"/>
      <c r="AN194" s="57"/>
      <c r="AO194" s="57"/>
      <c r="AP194" s="57"/>
    </row>
    <row r="195" spans="1:42" s="54" customFormat="1" ht="51">
      <c r="A195" s="190" t="s">
        <v>916</v>
      </c>
      <c r="B195" s="288" t="s">
        <v>912</v>
      </c>
      <c r="C195" s="80" t="s">
        <v>60</v>
      </c>
      <c r="D195" s="19" t="s">
        <v>913</v>
      </c>
      <c r="E195" s="70" t="s">
        <v>154</v>
      </c>
      <c r="F195" s="706"/>
      <c r="G195" s="72">
        <v>8286</v>
      </c>
      <c r="H195" s="72">
        <v>8286</v>
      </c>
      <c r="I195" s="72"/>
      <c r="J195" s="72"/>
      <c r="K195" s="72">
        <v>8286</v>
      </c>
      <c r="L195" s="72">
        <v>8286</v>
      </c>
      <c r="M195" s="72"/>
      <c r="N195" s="1035">
        <v>200</v>
      </c>
      <c r="O195" s="1035">
        <v>200</v>
      </c>
      <c r="P195" s="1198"/>
      <c r="Q195" s="1035">
        <f t="shared" si="127"/>
        <v>200</v>
      </c>
      <c r="R195" s="1035">
        <v>200</v>
      </c>
      <c r="S195" s="1035"/>
      <c r="T195" s="73">
        <f t="shared" si="125"/>
        <v>200</v>
      </c>
      <c r="U195" s="1137"/>
      <c r="V195" s="72">
        <v>200</v>
      </c>
      <c r="W195" s="513" t="s">
        <v>1517</v>
      </c>
      <c r="X195" s="80" t="s">
        <v>1111</v>
      </c>
      <c r="Y195" s="72">
        <v>1</v>
      </c>
      <c r="Z195" s="965">
        <f t="shared" si="126"/>
        <v>200</v>
      </c>
      <c r="AA195" s="1035"/>
      <c r="AB195" s="1035">
        <v>200</v>
      </c>
      <c r="AC195" s="1082"/>
      <c r="AD195" s="657"/>
      <c r="AE195" s="990"/>
      <c r="AF195" s="811"/>
      <c r="AG195" s="551"/>
      <c r="AH195" s="551"/>
      <c r="AI195" s="551"/>
      <c r="AK195" s="57"/>
      <c r="AL195" s="57"/>
      <c r="AM195" s="57"/>
      <c r="AN195" s="57"/>
      <c r="AO195" s="57"/>
      <c r="AP195" s="57"/>
    </row>
    <row r="196" spans="1:42" s="266" customFormat="1">
      <c r="A196" s="11" t="s">
        <v>499</v>
      </c>
      <c r="B196" s="65" t="s">
        <v>31</v>
      </c>
      <c r="C196" s="89"/>
      <c r="D196" s="13"/>
      <c r="E196" s="14"/>
      <c r="F196" s="89"/>
      <c r="G196" s="15">
        <f t="shared" ref="G196:V196" si="128">SUM(G197,G206,G213)</f>
        <v>1326033</v>
      </c>
      <c r="H196" s="15">
        <f t="shared" si="128"/>
        <v>873355</v>
      </c>
      <c r="I196" s="15">
        <f t="shared" si="128"/>
        <v>431762</v>
      </c>
      <c r="J196" s="15">
        <f t="shared" si="128"/>
        <v>264928</v>
      </c>
      <c r="K196" s="15">
        <f t="shared" si="128"/>
        <v>948557.72000000009</v>
      </c>
      <c r="L196" s="15">
        <f t="shared" si="128"/>
        <v>679206.7</v>
      </c>
      <c r="M196" s="15">
        <f t="shared" si="128"/>
        <v>0</v>
      </c>
      <c r="N196" s="1053">
        <f t="shared" si="128"/>
        <v>579635</v>
      </c>
      <c r="O196" s="1053">
        <f t="shared" si="128"/>
        <v>259332</v>
      </c>
      <c r="P196" s="1053">
        <f t="shared" si="128"/>
        <v>0</v>
      </c>
      <c r="Q196" s="1053">
        <f t="shared" si="128"/>
        <v>197419</v>
      </c>
      <c r="R196" s="1053">
        <f t="shared" si="128"/>
        <v>15800</v>
      </c>
      <c r="S196" s="1053">
        <f t="shared" si="128"/>
        <v>181619</v>
      </c>
      <c r="T196" s="15">
        <f t="shared" si="128"/>
        <v>197419</v>
      </c>
      <c r="U196" s="1145">
        <f t="shared" si="128"/>
        <v>0</v>
      </c>
      <c r="V196" s="15">
        <f t="shared" si="128"/>
        <v>197419</v>
      </c>
      <c r="W196" s="89"/>
      <c r="X196" s="89"/>
      <c r="Y196" s="15">
        <f>SUM(Y197,Y206,Y213)</f>
        <v>40</v>
      </c>
      <c r="Z196" s="1053">
        <f t="shared" ref="Z196:AB196" si="129">SUM(Z197,Z206,Z213)</f>
        <v>197419</v>
      </c>
      <c r="AA196" s="1053">
        <f t="shared" si="129"/>
        <v>0</v>
      </c>
      <c r="AB196" s="1053">
        <f t="shared" si="129"/>
        <v>197419</v>
      </c>
      <c r="AC196" s="1101"/>
      <c r="AD196" s="657"/>
      <c r="AE196" s="990"/>
      <c r="AF196" s="811"/>
      <c r="AG196" s="551"/>
      <c r="AH196" s="551"/>
      <c r="AI196" s="551"/>
      <c r="AK196" s="265"/>
      <c r="AL196" s="265"/>
      <c r="AM196" s="265"/>
      <c r="AN196" s="265"/>
      <c r="AO196" s="265"/>
      <c r="AP196" s="265"/>
    </row>
    <row r="197" spans="1:42" s="54" customFormat="1">
      <c r="A197" s="11" t="s">
        <v>78</v>
      </c>
      <c r="B197" s="65" t="s">
        <v>79</v>
      </c>
      <c r="C197" s="80"/>
      <c r="D197" s="19"/>
      <c r="E197" s="70"/>
      <c r="F197" s="80"/>
      <c r="G197" s="15">
        <f t="shared" ref="G197:V197" si="130">SUM(G198:G205)</f>
        <v>480921</v>
      </c>
      <c r="H197" s="15">
        <f t="shared" si="130"/>
        <v>352833</v>
      </c>
      <c r="I197" s="15">
        <f t="shared" si="130"/>
        <v>365760</v>
      </c>
      <c r="J197" s="15">
        <f t="shared" si="130"/>
        <v>237926</v>
      </c>
      <c r="K197" s="15">
        <f t="shared" si="130"/>
        <v>171020</v>
      </c>
      <c r="L197" s="15">
        <f t="shared" si="130"/>
        <v>171020</v>
      </c>
      <c r="M197" s="15">
        <f t="shared" si="130"/>
        <v>0</v>
      </c>
      <c r="N197" s="1053">
        <f t="shared" si="130"/>
        <v>40300</v>
      </c>
      <c r="O197" s="1053">
        <f t="shared" si="130"/>
        <v>40300</v>
      </c>
      <c r="P197" s="1053">
        <f t="shared" si="130"/>
        <v>0</v>
      </c>
      <c r="Q197" s="1053">
        <f t="shared" si="130"/>
        <v>39400</v>
      </c>
      <c r="R197" s="1053">
        <f t="shared" si="130"/>
        <v>0</v>
      </c>
      <c r="S197" s="1053">
        <f t="shared" si="130"/>
        <v>39400</v>
      </c>
      <c r="T197" s="15">
        <f t="shared" si="130"/>
        <v>39400</v>
      </c>
      <c r="U197" s="1145">
        <f t="shared" si="130"/>
        <v>0</v>
      </c>
      <c r="V197" s="15">
        <f t="shared" si="130"/>
        <v>39400</v>
      </c>
      <c r="W197" s="89"/>
      <c r="X197" s="89"/>
      <c r="Y197" s="15">
        <f>SUM(Y198:Y205)</f>
        <v>8</v>
      </c>
      <c r="Z197" s="1053">
        <f t="shared" ref="Z197:AB197" si="131">SUM(Z198:Z205)</f>
        <v>39400</v>
      </c>
      <c r="AA197" s="1053">
        <f t="shared" si="131"/>
        <v>0</v>
      </c>
      <c r="AB197" s="1053">
        <f t="shared" si="131"/>
        <v>39400</v>
      </c>
      <c r="AC197" s="1101"/>
      <c r="AD197" s="657"/>
      <c r="AE197" s="990"/>
      <c r="AF197" s="811"/>
      <c r="AG197" s="551"/>
      <c r="AH197" s="551"/>
      <c r="AI197" s="551"/>
      <c r="AK197" s="57"/>
      <c r="AL197" s="57"/>
      <c r="AM197" s="57"/>
      <c r="AN197" s="57"/>
      <c r="AO197" s="57"/>
      <c r="AP197" s="57"/>
    </row>
    <row r="198" spans="1:42" s="54" customFormat="1" ht="25.5">
      <c r="A198" s="97" t="s">
        <v>27</v>
      </c>
      <c r="B198" s="289" t="s">
        <v>952</v>
      </c>
      <c r="C198" s="80" t="s">
        <v>43</v>
      </c>
      <c r="D198" s="19" t="s">
        <v>953</v>
      </c>
      <c r="E198" s="70" t="s">
        <v>82</v>
      </c>
      <c r="F198" s="100" t="s">
        <v>954</v>
      </c>
      <c r="G198" s="22">
        <v>375073</v>
      </c>
      <c r="H198" s="22">
        <f>+G198-108435</f>
        <v>266638</v>
      </c>
      <c r="I198" s="22">
        <f>271207+33161</f>
        <v>304368</v>
      </c>
      <c r="J198" s="22">
        <f>162773+33161</f>
        <v>195934</v>
      </c>
      <c r="K198" s="22">
        <v>103865</v>
      </c>
      <c r="L198" s="22">
        <f>H198-162773</f>
        <v>103865</v>
      </c>
      <c r="M198" s="22">
        <v>0</v>
      </c>
      <c r="N198" s="1061">
        <v>16000</v>
      </c>
      <c r="O198" s="1061">
        <v>16000</v>
      </c>
      <c r="P198" s="1198"/>
      <c r="Q198" s="965">
        <f t="shared" ref="Q198:Q205" si="132">SUM(R198:S198)</f>
        <v>16000</v>
      </c>
      <c r="R198" s="1061"/>
      <c r="S198" s="1061">
        <v>16000</v>
      </c>
      <c r="T198" s="73">
        <f t="shared" ref="T198:T205" si="133">SUM(U198:V198)</f>
        <v>16000</v>
      </c>
      <c r="U198" s="1151"/>
      <c r="V198" s="22">
        <v>16000</v>
      </c>
      <c r="W198" s="744" t="s">
        <v>1550</v>
      </c>
      <c r="X198" s="24" t="s">
        <v>1677</v>
      </c>
      <c r="Y198" s="22">
        <v>1</v>
      </c>
      <c r="Z198" s="965">
        <f t="shared" ref="Z198:Z205" si="134">SUM(AA198:AB198)</f>
        <v>16000</v>
      </c>
      <c r="AA198" s="1061"/>
      <c r="AB198" s="1061">
        <v>16000</v>
      </c>
      <c r="AC198" s="1107"/>
      <c r="AD198" s="657"/>
      <c r="AE198" s="990"/>
      <c r="AF198" s="811"/>
      <c r="AG198" s="551"/>
      <c r="AH198" s="551"/>
      <c r="AI198" s="551"/>
      <c r="AK198" s="57"/>
      <c r="AL198" s="57"/>
      <c r="AM198" s="57"/>
      <c r="AN198" s="57"/>
      <c r="AO198" s="57"/>
      <c r="AP198" s="57"/>
    </row>
    <row r="199" spans="1:42" s="54" customFormat="1" ht="30">
      <c r="A199" s="97" t="s">
        <v>41</v>
      </c>
      <c r="B199" s="289" t="s">
        <v>955</v>
      </c>
      <c r="C199" s="80" t="s">
        <v>29</v>
      </c>
      <c r="D199" s="19" t="s">
        <v>929</v>
      </c>
      <c r="E199" s="70" t="s">
        <v>30</v>
      </c>
      <c r="F199" s="100" t="s">
        <v>956</v>
      </c>
      <c r="G199" s="22">
        <v>35299</v>
      </c>
      <c r="H199" s="22">
        <v>35299</v>
      </c>
      <c r="I199" s="22">
        <v>25000</v>
      </c>
      <c r="J199" s="22">
        <v>25000</v>
      </c>
      <c r="K199" s="22">
        <v>35299</v>
      </c>
      <c r="L199" s="22">
        <v>35299</v>
      </c>
      <c r="M199" s="22"/>
      <c r="N199" s="1061">
        <v>10300</v>
      </c>
      <c r="O199" s="1061">
        <v>10300</v>
      </c>
      <c r="P199" s="1198"/>
      <c r="Q199" s="965">
        <f t="shared" si="132"/>
        <v>10000</v>
      </c>
      <c r="R199" s="1061"/>
      <c r="S199" s="1061">
        <v>10000</v>
      </c>
      <c r="T199" s="73">
        <f t="shared" si="133"/>
        <v>10000</v>
      </c>
      <c r="U199" s="1151"/>
      <c r="V199" s="22">
        <v>10000</v>
      </c>
      <c r="W199" s="744" t="s">
        <v>1550</v>
      </c>
      <c r="X199" s="24" t="s">
        <v>1677</v>
      </c>
      <c r="Y199" s="22">
        <v>1</v>
      </c>
      <c r="Z199" s="965">
        <f t="shared" si="134"/>
        <v>10000</v>
      </c>
      <c r="AA199" s="1061"/>
      <c r="AB199" s="1061">
        <v>10000</v>
      </c>
      <c r="AC199" s="1107"/>
      <c r="AD199" s="657"/>
      <c r="AE199" s="990"/>
      <c r="AF199" s="811"/>
      <c r="AG199" s="551"/>
      <c r="AH199" s="551"/>
      <c r="AI199" s="551"/>
      <c r="AK199" s="57"/>
      <c r="AL199" s="57"/>
      <c r="AM199" s="57"/>
      <c r="AN199" s="57"/>
      <c r="AO199" s="57"/>
      <c r="AP199" s="57"/>
    </row>
    <row r="200" spans="1:42" s="54" customFormat="1" ht="30">
      <c r="A200" s="97" t="s">
        <v>58</v>
      </c>
      <c r="B200" s="289" t="s">
        <v>957</v>
      </c>
      <c r="C200" s="80" t="s">
        <v>143</v>
      </c>
      <c r="D200" s="19" t="s">
        <v>958</v>
      </c>
      <c r="E200" s="44" t="s">
        <v>411</v>
      </c>
      <c r="F200" s="100" t="s">
        <v>959</v>
      </c>
      <c r="G200" s="22">
        <v>43690</v>
      </c>
      <c r="H200" s="22">
        <v>24037</v>
      </c>
      <c r="I200" s="77">
        <f>99+1795+19400</f>
        <v>21294</v>
      </c>
      <c r="J200" s="77">
        <f>99+1795</f>
        <v>1894</v>
      </c>
      <c r="K200" s="22">
        <v>5595</v>
      </c>
      <c r="L200" s="22">
        <f>1795+3800</f>
        <v>5595</v>
      </c>
      <c r="M200" s="22"/>
      <c r="N200" s="1061">
        <v>3800</v>
      </c>
      <c r="O200" s="1061">
        <v>3800</v>
      </c>
      <c r="P200" s="1198"/>
      <c r="Q200" s="1061">
        <f t="shared" si="132"/>
        <v>3800</v>
      </c>
      <c r="R200" s="1061"/>
      <c r="S200" s="1061">
        <v>3800</v>
      </c>
      <c r="T200" s="73">
        <f t="shared" si="133"/>
        <v>3800</v>
      </c>
      <c r="U200" s="1151"/>
      <c r="V200" s="22">
        <v>3800</v>
      </c>
      <c r="W200" s="744" t="s">
        <v>1550</v>
      </c>
      <c r="X200" s="24" t="s">
        <v>1677</v>
      </c>
      <c r="Y200" s="22">
        <v>1</v>
      </c>
      <c r="Z200" s="965">
        <f t="shared" si="134"/>
        <v>3800</v>
      </c>
      <c r="AA200" s="1061"/>
      <c r="AB200" s="1061">
        <v>3800</v>
      </c>
      <c r="AC200" s="1107"/>
      <c r="AD200" s="657"/>
      <c r="AE200" s="990"/>
      <c r="AF200" s="811"/>
      <c r="AG200" s="551"/>
      <c r="AH200" s="551"/>
      <c r="AI200" s="551"/>
      <c r="AK200" s="57"/>
      <c r="AL200" s="57"/>
      <c r="AM200" s="57"/>
      <c r="AN200" s="57"/>
      <c r="AO200" s="57"/>
      <c r="AP200" s="57"/>
    </row>
    <row r="201" spans="1:42" s="54" customFormat="1" ht="30">
      <c r="A201" s="97" t="s">
        <v>64</v>
      </c>
      <c r="B201" s="289" t="s">
        <v>960</v>
      </c>
      <c r="C201" s="80" t="s">
        <v>85</v>
      </c>
      <c r="D201" s="19" t="s">
        <v>961</v>
      </c>
      <c r="E201" s="70" t="s">
        <v>30</v>
      </c>
      <c r="F201" s="100" t="s">
        <v>962</v>
      </c>
      <c r="G201" s="22">
        <v>5337</v>
      </c>
      <c r="H201" s="22">
        <v>5337</v>
      </c>
      <c r="I201" s="22">
        <v>3604</v>
      </c>
      <c r="J201" s="22">
        <v>3604</v>
      </c>
      <c r="K201" s="22">
        <f>5337-104</f>
        <v>5233</v>
      </c>
      <c r="L201" s="22">
        <f>H201-104</f>
        <v>5233</v>
      </c>
      <c r="M201" s="22"/>
      <c r="N201" s="1061">
        <v>1200</v>
      </c>
      <c r="O201" s="1061">
        <v>1200</v>
      </c>
      <c r="P201" s="1198"/>
      <c r="Q201" s="1061">
        <f t="shared" si="132"/>
        <v>1200</v>
      </c>
      <c r="R201" s="1061"/>
      <c r="S201" s="1061">
        <v>1200</v>
      </c>
      <c r="T201" s="73">
        <f t="shared" si="133"/>
        <v>1200</v>
      </c>
      <c r="U201" s="1151"/>
      <c r="V201" s="22">
        <v>1200</v>
      </c>
      <c r="W201" s="691" t="s">
        <v>1525</v>
      </c>
      <c r="X201" s="24"/>
      <c r="Y201" s="22">
        <v>1</v>
      </c>
      <c r="Z201" s="965">
        <f t="shared" si="134"/>
        <v>1200</v>
      </c>
      <c r="AA201" s="1061"/>
      <c r="AB201" s="1061">
        <v>1200</v>
      </c>
      <c r="AC201" s="1107"/>
      <c r="AD201" s="657"/>
      <c r="AE201" s="990"/>
      <c r="AF201" s="811"/>
      <c r="AG201" s="551"/>
      <c r="AH201" s="551"/>
      <c r="AI201" s="551"/>
      <c r="AK201" s="57"/>
      <c r="AL201" s="57"/>
      <c r="AM201" s="57"/>
      <c r="AN201" s="57"/>
      <c r="AO201" s="57"/>
      <c r="AP201" s="57"/>
    </row>
    <row r="202" spans="1:42" s="54" customFormat="1" ht="45">
      <c r="A202" s="97" t="s">
        <v>69</v>
      </c>
      <c r="B202" s="68" t="s">
        <v>963</v>
      </c>
      <c r="C202" s="80" t="s">
        <v>260</v>
      </c>
      <c r="D202" s="19" t="s">
        <v>964</v>
      </c>
      <c r="E202" s="70" t="s">
        <v>30</v>
      </c>
      <c r="F202" s="80" t="s">
        <v>965</v>
      </c>
      <c r="G202" s="23">
        <v>4830</v>
      </c>
      <c r="H202" s="23">
        <v>4830</v>
      </c>
      <c r="I202" s="23">
        <v>3000</v>
      </c>
      <c r="J202" s="23">
        <v>3000</v>
      </c>
      <c r="K202" s="23">
        <v>4830</v>
      </c>
      <c r="L202" s="23">
        <v>4830</v>
      </c>
      <c r="M202" s="23"/>
      <c r="N202" s="1068">
        <v>2100</v>
      </c>
      <c r="O202" s="1061">
        <v>2100</v>
      </c>
      <c r="P202" s="1198"/>
      <c r="Q202" s="1061">
        <f t="shared" si="132"/>
        <v>1500</v>
      </c>
      <c r="R202" s="1068"/>
      <c r="S202" s="1061">
        <v>1500</v>
      </c>
      <c r="T202" s="73">
        <f t="shared" si="133"/>
        <v>1500</v>
      </c>
      <c r="U202" s="1158"/>
      <c r="V202" s="22">
        <v>1500</v>
      </c>
      <c r="W202" s="691" t="s">
        <v>1552</v>
      </c>
      <c r="X202" s="24"/>
      <c r="Y202" s="22">
        <v>1</v>
      </c>
      <c r="Z202" s="965">
        <f t="shared" si="134"/>
        <v>1500</v>
      </c>
      <c r="AA202" s="1068"/>
      <c r="AB202" s="1061">
        <v>1500</v>
      </c>
      <c r="AC202" s="1107"/>
      <c r="AD202" s="657"/>
      <c r="AE202" s="990"/>
      <c r="AF202" s="811"/>
      <c r="AG202" s="551"/>
      <c r="AH202" s="551"/>
      <c r="AI202" s="551"/>
      <c r="AK202" s="57"/>
      <c r="AL202" s="57"/>
      <c r="AM202" s="57"/>
      <c r="AN202" s="57"/>
      <c r="AO202" s="57"/>
      <c r="AP202" s="57"/>
    </row>
    <row r="203" spans="1:42" s="54" customFormat="1" ht="30">
      <c r="A203" s="97" t="s">
        <v>74</v>
      </c>
      <c r="B203" s="68" t="s">
        <v>966</v>
      </c>
      <c r="C203" s="80" t="s">
        <v>60</v>
      </c>
      <c r="D203" s="19" t="s">
        <v>967</v>
      </c>
      <c r="E203" s="70" t="s">
        <v>30</v>
      </c>
      <c r="F203" s="80" t="s">
        <v>968</v>
      </c>
      <c r="G203" s="23">
        <v>5696</v>
      </c>
      <c r="H203" s="23">
        <v>5696</v>
      </c>
      <c r="I203" s="23">
        <v>3173</v>
      </c>
      <c r="J203" s="23">
        <v>3173</v>
      </c>
      <c r="K203" s="23">
        <v>5523</v>
      </c>
      <c r="L203" s="23">
        <f>H203-173</f>
        <v>5523</v>
      </c>
      <c r="M203" s="23"/>
      <c r="N203" s="1068">
        <v>2200</v>
      </c>
      <c r="O203" s="1068">
        <v>2200</v>
      </c>
      <c r="P203" s="1198"/>
      <c r="Q203" s="1068">
        <f t="shared" si="132"/>
        <v>2200</v>
      </c>
      <c r="R203" s="1068"/>
      <c r="S203" s="1061">
        <v>2200</v>
      </c>
      <c r="T203" s="73">
        <f t="shared" si="133"/>
        <v>2200</v>
      </c>
      <c r="U203" s="1158"/>
      <c r="V203" s="22">
        <v>2200</v>
      </c>
      <c r="W203" s="513" t="s">
        <v>1517</v>
      </c>
      <c r="X203" s="24"/>
      <c r="Y203" s="22">
        <v>1</v>
      </c>
      <c r="Z203" s="965">
        <f t="shared" si="134"/>
        <v>2200</v>
      </c>
      <c r="AA203" s="1068"/>
      <c r="AB203" s="1061">
        <v>2200</v>
      </c>
      <c r="AC203" s="1107"/>
      <c r="AD203" s="657"/>
      <c r="AE203" s="990"/>
      <c r="AF203" s="811"/>
      <c r="AG203" s="551"/>
      <c r="AH203" s="551"/>
      <c r="AI203" s="551"/>
      <c r="AK203" s="57"/>
      <c r="AL203" s="57"/>
      <c r="AM203" s="57"/>
      <c r="AN203" s="57"/>
      <c r="AO203" s="57"/>
      <c r="AP203" s="57"/>
    </row>
    <row r="204" spans="1:42" s="54" customFormat="1" ht="30">
      <c r="A204" s="97" t="s">
        <v>141</v>
      </c>
      <c r="B204" s="68" t="s">
        <v>969</v>
      </c>
      <c r="C204" s="80" t="s">
        <v>60</v>
      </c>
      <c r="D204" s="19" t="s">
        <v>967</v>
      </c>
      <c r="E204" s="70" t="s">
        <v>30</v>
      </c>
      <c r="F204" s="80" t="s">
        <v>970</v>
      </c>
      <c r="G204" s="23">
        <v>5620</v>
      </c>
      <c r="H204" s="23">
        <v>5620</v>
      </c>
      <c r="I204" s="23">
        <v>3121</v>
      </c>
      <c r="J204" s="23">
        <v>3121</v>
      </c>
      <c r="K204" s="23">
        <v>5499</v>
      </c>
      <c r="L204" s="23">
        <f>H204-121</f>
        <v>5499</v>
      </c>
      <c r="M204" s="23"/>
      <c r="N204" s="1068">
        <v>2200</v>
      </c>
      <c r="O204" s="1068">
        <v>2200</v>
      </c>
      <c r="P204" s="1198"/>
      <c r="Q204" s="1068">
        <f t="shared" si="132"/>
        <v>2200</v>
      </c>
      <c r="R204" s="1068"/>
      <c r="S204" s="1061">
        <v>2200</v>
      </c>
      <c r="T204" s="73">
        <f t="shared" si="133"/>
        <v>2200</v>
      </c>
      <c r="U204" s="1158"/>
      <c r="V204" s="22">
        <v>2200</v>
      </c>
      <c r="W204" s="513" t="s">
        <v>1517</v>
      </c>
      <c r="X204" s="24"/>
      <c r="Y204" s="22">
        <v>1</v>
      </c>
      <c r="Z204" s="965">
        <f t="shared" si="134"/>
        <v>2200</v>
      </c>
      <c r="AA204" s="1068"/>
      <c r="AB204" s="1061">
        <v>2200</v>
      </c>
      <c r="AC204" s="1107"/>
      <c r="AD204" s="657"/>
      <c r="AE204" s="990"/>
      <c r="AF204" s="811"/>
      <c r="AG204" s="551"/>
      <c r="AH204" s="551"/>
      <c r="AI204" s="551"/>
      <c r="AK204" s="57"/>
      <c r="AL204" s="57"/>
      <c r="AM204" s="57"/>
      <c r="AN204" s="57"/>
      <c r="AO204" s="57"/>
      <c r="AP204" s="57"/>
    </row>
    <row r="205" spans="1:42" s="54" customFormat="1" ht="25.5">
      <c r="A205" s="97" t="s">
        <v>146</v>
      </c>
      <c r="B205" s="68" t="s">
        <v>971</v>
      </c>
      <c r="C205" s="80" t="s">
        <v>173</v>
      </c>
      <c r="D205" s="19" t="s">
        <v>972</v>
      </c>
      <c r="E205" s="70" t="s">
        <v>30</v>
      </c>
      <c r="F205" s="80" t="s">
        <v>973</v>
      </c>
      <c r="G205" s="23">
        <v>5376</v>
      </c>
      <c r="H205" s="23">
        <v>5376</v>
      </c>
      <c r="I205" s="23">
        <v>2200</v>
      </c>
      <c r="J205" s="23">
        <v>2200</v>
      </c>
      <c r="K205" s="23">
        <f>5376-200</f>
        <v>5176</v>
      </c>
      <c r="L205" s="23">
        <f>H205-200</f>
        <v>5176</v>
      </c>
      <c r="M205" s="23"/>
      <c r="N205" s="1068">
        <v>2500</v>
      </c>
      <c r="O205" s="1068">
        <v>2500</v>
      </c>
      <c r="P205" s="1198"/>
      <c r="Q205" s="1068">
        <f t="shared" si="132"/>
        <v>2500</v>
      </c>
      <c r="R205" s="1068"/>
      <c r="S205" s="1061">
        <v>2500</v>
      </c>
      <c r="T205" s="73">
        <f t="shared" si="133"/>
        <v>2500</v>
      </c>
      <c r="U205" s="1158"/>
      <c r="V205" s="22">
        <v>2500</v>
      </c>
      <c r="W205" s="691" t="s">
        <v>1551</v>
      </c>
      <c r="X205" s="24"/>
      <c r="Y205" s="22">
        <v>1</v>
      </c>
      <c r="Z205" s="965">
        <f t="shared" si="134"/>
        <v>2500</v>
      </c>
      <c r="AA205" s="1068"/>
      <c r="AB205" s="1061">
        <v>2500</v>
      </c>
      <c r="AC205" s="1107"/>
      <c r="AD205" s="657"/>
      <c r="AE205" s="990"/>
      <c r="AF205" s="811"/>
      <c r="AG205" s="551"/>
      <c r="AH205" s="551"/>
      <c r="AI205" s="551"/>
      <c r="AK205" s="57"/>
      <c r="AL205" s="57"/>
      <c r="AM205" s="57"/>
      <c r="AN205" s="57"/>
      <c r="AO205" s="57"/>
      <c r="AP205" s="57"/>
    </row>
    <row r="206" spans="1:42" s="54" customFormat="1" ht="28.5">
      <c r="A206" s="11" t="s">
        <v>116</v>
      </c>
      <c r="B206" s="65" t="s">
        <v>117</v>
      </c>
      <c r="C206" s="80"/>
      <c r="D206" s="19"/>
      <c r="E206" s="70"/>
      <c r="F206" s="80"/>
      <c r="G206" s="15">
        <f t="shared" ref="G206:V206" si="135">SUM(G207:G212)</f>
        <v>543158</v>
      </c>
      <c r="H206" s="15">
        <f t="shared" si="135"/>
        <v>285016</v>
      </c>
      <c r="I206" s="15">
        <f t="shared" si="135"/>
        <v>61533</v>
      </c>
      <c r="J206" s="15">
        <f t="shared" si="135"/>
        <v>22533</v>
      </c>
      <c r="K206" s="15">
        <f t="shared" si="135"/>
        <v>485395.82</v>
      </c>
      <c r="L206" s="15">
        <f t="shared" si="135"/>
        <v>276300.79999999999</v>
      </c>
      <c r="M206" s="15">
        <f t="shared" si="135"/>
        <v>0</v>
      </c>
      <c r="N206" s="1053">
        <f t="shared" si="135"/>
        <v>366014</v>
      </c>
      <c r="O206" s="1053">
        <f t="shared" si="135"/>
        <v>107872</v>
      </c>
      <c r="P206" s="1053">
        <f t="shared" si="135"/>
        <v>0</v>
      </c>
      <c r="Q206" s="1053">
        <f t="shared" si="135"/>
        <v>68000</v>
      </c>
      <c r="R206" s="1053">
        <f t="shared" si="135"/>
        <v>0</v>
      </c>
      <c r="S206" s="1053">
        <f t="shared" si="135"/>
        <v>68000</v>
      </c>
      <c r="T206" s="15">
        <f t="shared" si="135"/>
        <v>68000</v>
      </c>
      <c r="U206" s="1145">
        <f t="shared" si="135"/>
        <v>0</v>
      </c>
      <c r="V206" s="15">
        <f t="shared" si="135"/>
        <v>68000</v>
      </c>
      <c r="W206" s="89"/>
      <c r="X206" s="89"/>
      <c r="Y206" s="15">
        <f>SUM(Y207:Y212)</f>
        <v>6</v>
      </c>
      <c r="Z206" s="1053">
        <f t="shared" ref="Z206:AB206" si="136">SUM(Z207:Z212)</f>
        <v>68000</v>
      </c>
      <c r="AA206" s="1053">
        <f t="shared" si="136"/>
        <v>0</v>
      </c>
      <c r="AB206" s="1053">
        <f t="shared" si="136"/>
        <v>68000</v>
      </c>
      <c r="AC206" s="1101"/>
      <c r="AD206" s="657"/>
      <c r="AE206" s="990"/>
      <c r="AF206" s="811"/>
      <c r="AG206" s="551"/>
      <c r="AH206" s="551"/>
      <c r="AI206" s="551"/>
      <c r="AK206" s="57"/>
      <c r="AL206" s="57"/>
      <c r="AM206" s="57"/>
      <c r="AN206" s="57"/>
      <c r="AO206" s="57"/>
      <c r="AP206" s="57"/>
    </row>
    <row r="207" spans="1:42" s="656" customFormat="1" ht="51">
      <c r="A207" s="650" t="s">
        <v>27</v>
      </c>
      <c r="B207" s="68" t="s">
        <v>980</v>
      </c>
      <c r="C207" s="80" t="s">
        <v>43</v>
      </c>
      <c r="D207" s="644" t="s">
        <v>929</v>
      </c>
      <c r="E207" s="886" t="s">
        <v>30</v>
      </c>
      <c r="F207" s="80" t="s">
        <v>1592</v>
      </c>
      <c r="G207" s="651">
        <v>323714</v>
      </c>
      <c r="H207" s="651">
        <v>65572</v>
      </c>
      <c r="I207" s="651">
        <f>39000+J207</f>
        <v>41000</v>
      </c>
      <c r="J207" s="651">
        <v>2000</v>
      </c>
      <c r="K207" s="651">
        <v>267784.82</v>
      </c>
      <c r="L207" s="651">
        <v>58689.8</v>
      </c>
      <c r="M207" s="652"/>
      <c r="N207" s="1039">
        <v>321714</v>
      </c>
      <c r="O207" s="1039">
        <v>63572</v>
      </c>
      <c r="P207" s="1193"/>
      <c r="Q207" s="1068">
        <f t="shared" ref="Q207:Q212" si="137">SUM(R207:S207)</f>
        <v>30000</v>
      </c>
      <c r="R207" s="1068"/>
      <c r="S207" s="1068">
        <v>30000</v>
      </c>
      <c r="T207" s="73">
        <f t="shared" ref="T207:T212" si="138">SUM(U207:V207)</f>
        <v>30000</v>
      </c>
      <c r="U207" s="1159"/>
      <c r="V207" s="651">
        <v>30000</v>
      </c>
      <c r="W207" s="80" t="s">
        <v>1553</v>
      </c>
      <c r="X207" s="24" t="s">
        <v>1679</v>
      </c>
      <c r="Y207" s="651">
        <v>1</v>
      </c>
      <c r="Z207" s="965">
        <f t="shared" ref="Z207:Z212" si="139">SUM(AA207:AB207)</f>
        <v>30000</v>
      </c>
      <c r="AA207" s="1068"/>
      <c r="AB207" s="1068">
        <v>30000</v>
      </c>
      <c r="AC207" s="1113"/>
      <c r="AD207" s="657"/>
      <c r="AE207" s="991"/>
      <c r="AF207" s="982"/>
      <c r="AG207" s="655"/>
      <c r="AH207" s="655"/>
      <c r="AI207" s="655"/>
    </row>
    <row r="208" spans="1:42" s="54" customFormat="1" ht="45">
      <c r="A208" s="650" t="s">
        <v>41</v>
      </c>
      <c r="B208" s="282" t="s">
        <v>974</v>
      </c>
      <c r="C208" s="80" t="s">
        <v>29</v>
      </c>
      <c r="D208" s="19" t="s">
        <v>975</v>
      </c>
      <c r="E208" s="70" t="s">
        <v>30</v>
      </c>
      <c r="F208" s="80" t="s">
        <v>976</v>
      </c>
      <c r="G208" s="23">
        <v>58957</v>
      </c>
      <c r="H208" s="23">
        <v>58957</v>
      </c>
      <c r="I208" s="23">
        <v>10308</v>
      </c>
      <c r="J208" s="23">
        <f>10000+308</f>
        <v>10308</v>
      </c>
      <c r="K208" s="23">
        <v>58649</v>
      </c>
      <c r="L208" s="23">
        <f>H208-308</f>
        <v>58649</v>
      </c>
      <c r="M208" s="23"/>
      <c r="N208" s="1068">
        <v>15000</v>
      </c>
      <c r="O208" s="1068">
        <v>15000</v>
      </c>
      <c r="P208" s="1198"/>
      <c r="Q208" s="965">
        <f t="shared" si="137"/>
        <v>13000</v>
      </c>
      <c r="R208" s="1068"/>
      <c r="S208" s="1068">
        <v>13000</v>
      </c>
      <c r="T208" s="73">
        <f t="shared" si="138"/>
        <v>13000</v>
      </c>
      <c r="U208" s="1158"/>
      <c r="V208" s="23">
        <v>13000</v>
      </c>
      <c r="W208" s="744" t="s">
        <v>1550</v>
      </c>
      <c r="X208" s="513"/>
      <c r="Y208" s="23">
        <v>1</v>
      </c>
      <c r="Z208" s="965">
        <f t="shared" si="139"/>
        <v>13000</v>
      </c>
      <c r="AA208" s="1068"/>
      <c r="AB208" s="1068">
        <v>13000</v>
      </c>
      <c r="AC208" s="1113"/>
      <c r="AD208" s="657"/>
      <c r="AE208" s="990"/>
      <c r="AF208" s="811"/>
      <c r="AG208" s="551"/>
      <c r="AH208" s="551"/>
      <c r="AI208" s="551"/>
      <c r="AK208" s="57"/>
      <c r="AL208" s="57"/>
      <c r="AM208" s="57"/>
      <c r="AN208" s="57"/>
      <c r="AO208" s="57"/>
      <c r="AP208" s="57"/>
    </row>
    <row r="209" spans="1:42" s="54" customFormat="1" ht="38.25">
      <c r="A209" s="650" t="s">
        <v>58</v>
      </c>
      <c r="B209" s="282" t="s">
        <v>977</v>
      </c>
      <c r="C209" s="80" t="s">
        <v>29</v>
      </c>
      <c r="D209" s="19" t="s">
        <v>978</v>
      </c>
      <c r="E209" s="70" t="s">
        <v>30</v>
      </c>
      <c r="F209" s="80" t="s">
        <v>979</v>
      </c>
      <c r="G209" s="23">
        <v>116675</v>
      </c>
      <c r="H209" s="23">
        <v>116675</v>
      </c>
      <c r="I209" s="23">
        <f>837+2000</f>
        <v>2837</v>
      </c>
      <c r="J209" s="23">
        <v>2837</v>
      </c>
      <c r="K209" s="23">
        <f>116675-837</f>
        <v>115838</v>
      </c>
      <c r="L209" s="23">
        <f>H209-837</f>
        <v>115838</v>
      </c>
      <c r="M209" s="23"/>
      <c r="N209" s="1068">
        <v>18000</v>
      </c>
      <c r="O209" s="1068">
        <v>18000</v>
      </c>
      <c r="P209" s="1198"/>
      <c r="Q209" s="965">
        <f t="shared" si="137"/>
        <v>15000</v>
      </c>
      <c r="R209" s="1068"/>
      <c r="S209" s="1068">
        <v>15000</v>
      </c>
      <c r="T209" s="73">
        <f t="shared" si="138"/>
        <v>15000</v>
      </c>
      <c r="U209" s="1158"/>
      <c r="V209" s="23">
        <v>15000</v>
      </c>
      <c r="W209" s="744" t="s">
        <v>1550</v>
      </c>
      <c r="X209" s="513"/>
      <c r="Y209" s="23">
        <v>1</v>
      </c>
      <c r="Z209" s="965">
        <f t="shared" si="139"/>
        <v>15000</v>
      </c>
      <c r="AA209" s="1068"/>
      <c r="AB209" s="1068">
        <v>15000</v>
      </c>
      <c r="AC209" s="1113"/>
      <c r="AD209" s="657"/>
      <c r="AE209" s="990"/>
      <c r="AF209" s="811"/>
      <c r="AG209" s="551"/>
      <c r="AH209" s="551"/>
      <c r="AI209" s="551"/>
      <c r="AK209" s="57"/>
      <c r="AL209" s="57"/>
      <c r="AM209" s="57"/>
      <c r="AN209" s="57"/>
      <c r="AO209" s="57"/>
      <c r="AP209" s="57"/>
    </row>
    <row r="210" spans="1:42" s="54" customFormat="1" ht="45">
      <c r="A210" s="650" t="s">
        <v>64</v>
      </c>
      <c r="B210" s="68" t="s">
        <v>981</v>
      </c>
      <c r="C210" s="80" t="s">
        <v>260</v>
      </c>
      <c r="D210" s="19" t="s">
        <v>982</v>
      </c>
      <c r="E210" s="70" t="s">
        <v>30</v>
      </c>
      <c r="F210" s="80" t="s">
        <v>983</v>
      </c>
      <c r="G210" s="23">
        <v>22500</v>
      </c>
      <c r="H210" s="23">
        <v>22500</v>
      </c>
      <c r="I210" s="23">
        <v>700</v>
      </c>
      <c r="J210" s="23">
        <v>700</v>
      </c>
      <c r="K210" s="23">
        <f>22500-200</f>
        <v>22300</v>
      </c>
      <c r="L210" s="23">
        <v>22300</v>
      </c>
      <c r="M210" s="23"/>
      <c r="N210" s="1068">
        <v>5000</v>
      </c>
      <c r="O210" s="1068">
        <v>5000</v>
      </c>
      <c r="P210" s="1198"/>
      <c r="Q210" s="965">
        <f t="shared" si="137"/>
        <v>4000</v>
      </c>
      <c r="R210" s="1068"/>
      <c r="S210" s="1068">
        <v>4000</v>
      </c>
      <c r="T210" s="73">
        <f t="shared" si="138"/>
        <v>4000</v>
      </c>
      <c r="U210" s="1158"/>
      <c r="V210" s="23">
        <v>4000</v>
      </c>
      <c r="W210" s="80" t="s">
        <v>1552</v>
      </c>
      <c r="X210" s="24"/>
      <c r="Y210" s="23">
        <v>1</v>
      </c>
      <c r="Z210" s="965">
        <f t="shared" si="139"/>
        <v>4000</v>
      </c>
      <c r="AA210" s="1068"/>
      <c r="AB210" s="1068">
        <v>4000</v>
      </c>
      <c r="AC210" s="1113"/>
      <c r="AD210" s="657"/>
      <c r="AE210" s="990"/>
      <c r="AF210" s="811"/>
      <c r="AG210" s="551"/>
      <c r="AH210" s="551"/>
      <c r="AI210" s="551"/>
      <c r="AK210" s="57"/>
      <c r="AL210" s="57"/>
      <c r="AM210" s="57"/>
      <c r="AN210" s="57"/>
      <c r="AO210" s="57"/>
      <c r="AP210" s="57"/>
    </row>
    <row r="211" spans="1:42" s="54" customFormat="1" ht="75">
      <c r="A211" s="650" t="s">
        <v>69</v>
      </c>
      <c r="B211" s="68" t="s">
        <v>984</v>
      </c>
      <c r="C211" s="80" t="s">
        <v>60</v>
      </c>
      <c r="D211" s="19" t="s">
        <v>985</v>
      </c>
      <c r="E211" s="70" t="s">
        <v>30</v>
      </c>
      <c r="F211" s="80" t="s">
        <v>986</v>
      </c>
      <c r="G211" s="23">
        <v>11952</v>
      </c>
      <c r="H211" s="23">
        <v>11952</v>
      </c>
      <c r="I211" s="23">
        <v>3588</v>
      </c>
      <c r="J211" s="23">
        <f>288+3300</f>
        <v>3588</v>
      </c>
      <c r="K211" s="23">
        <v>11664</v>
      </c>
      <c r="L211" s="23">
        <f>H211-288</f>
        <v>11664</v>
      </c>
      <c r="M211" s="23"/>
      <c r="N211" s="1068">
        <v>3300</v>
      </c>
      <c r="O211" s="1068">
        <v>3300</v>
      </c>
      <c r="P211" s="1198"/>
      <c r="Q211" s="965">
        <f t="shared" si="137"/>
        <v>3000</v>
      </c>
      <c r="R211" s="1068"/>
      <c r="S211" s="1068">
        <v>3000</v>
      </c>
      <c r="T211" s="73">
        <f t="shared" si="138"/>
        <v>3000</v>
      </c>
      <c r="U211" s="1158"/>
      <c r="V211" s="23">
        <v>3000</v>
      </c>
      <c r="W211" s="513" t="s">
        <v>1517</v>
      </c>
      <c r="X211" s="24"/>
      <c r="Y211" s="23">
        <v>1</v>
      </c>
      <c r="Z211" s="965">
        <f t="shared" si="139"/>
        <v>3000</v>
      </c>
      <c r="AA211" s="1068"/>
      <c r="AB211" s="1068">
        <v>3000</v>
      </c>
      <c r="AC211" s="1113"/>
      <c r="AD211" s="657"/>
      <c r="AE211" s="990"/>
      <c r="AF211" s="811"/>
      <c r="AG211" s="551"/>
      <c r="AH211" s="551"/>
      <c r="AI211" s="551"/>
      <c r="AK211" s="57"/>
      <c r="AL211" s="57"/>
      <c r="AM211" s="57"/>
      <c r="AN211" s="57"/>
      <c r="AO211" s="57"/>
      <c r="AP211" s="57"/>
    </row>
    <row r="212" spans="1:42" s="54" customFormat="1" ht="60">
      <c r="A212" s="650" t="s">
        <v>74</v>
      </c>
      <c r="B212" s="68" t="s">
        <v>987</v>
      </c>
      <c r="C212" s="80" t="s">
        <v>173</v>
      </c>
      <c r="D212" s="19" t="s">
        <v>148</v>
      </c>
      <c r="E212" s="70" t="s">
        <v>30</v>
      </c>
      <c r="F212" s="80" t="s">
        <v>988</v>
      </c>
      <c r="G212" s="23">
        <v>9360</v>
      </c>
      <c r="H212" s="23">
        <v>9360</v>
      </c>
      <c r="I212" s="23">
        <v>3100</v>
      </c>
      <c r="J212" s="23">
        <f>2900+200</f>
        <v>3100</v>
      </c>
      <c r="K212" s="23">
        <v>9160</v>
      </c>
      <c r="L212" s="23">
        <f>H212-200</f>
        <v>9160</v>
      </c>
      <c r="M212" s="23"/>
      <c r="N212" s="1068">
        <v>3000</v>
      </c>
      <c r="O212" s="1068">
        <v>3000</v>
      </c>
      <c r="P212" s="1198"/>
      <c r="Q212" s="1068">
        <f t="shared" si="137"/>
        <v>3000</v>
      </c>
      <c r="R212" s="1068"/>
      <c r="S212" s="1068">
        <v>3000</v>
      </c>
      <c r="T212" s="73">
        <f t="shared" si="138"/>
        <v>3000</v>
      </c>
      <c r="U212" s="1158"/>
      <c r="V212" s="23">
        <v>3000</v>
      </c>
      <c r="W212" s="80" t="s">
        <v>1551</v>
      </c>
      <c r="X212" s="24"/>
      <c r="Y212" s="23">
        <v>1</v>
      </c>
      <c r="Z212" s="965">
        <f t="shared" si="139"/>
        <v>3000</v>
      </c>
      <c r="AA212" s="1068"/>
      <c r="AB212" s="1068">
        <v>3000</v>
      </c>
      <c r="AC212" s="1113"/>
      <c r="AD212" s="657"/>
      <c r="AE212" s="990"/>
      <c r="AF212" s="811"/>
      <c r="AG212" s="551"/>
      <c r="AH212" s="551"/>
      <c r="AI212" s="551"/>
      <c r="AK212" s="57"/>
      <c r="AL212" s="57"/>
      <c r="AM212" s="57"/>
      <c r="AN212" s="57"/>
      <c r="AO212" s="57"/>
      <c r="AP212" s="57"/>
    </row>
    <row r="213" spans="1:42" s="54" customFormat="1">
      <c r="A213" s="11" t="s">
        <v>150</v>
      </c>
      <c r="B213" s="65" t="s">
        <v>151</v>
      </c>
      <c r="C213" s="80"/>
      <c r="D213" s="19"/>
      <c r="E213" s="70"/>
      <c r="F213" s="80"/>
      <c r="G213" s="15">
        <f t="shared" ref="G213:V213" si="140">SUM(G214:G239)</f>
        <v>301954</v>
      </c>
      <c r="H213" s="15">
        <f t="shared" si="140"/>
        <v>235506</v>
      </c>
      <c r="I213" s="15">
        <f t="shared" si="140"/>
        <v>4469</v>
      </c>
      <c r="J213" s="15">
        <f t="shared" si="140"/>
        <v>4469</v>
      </c>
      <c r="K213" s="15">
        <f t="shared" si="140"/>
        <v>292141.90000000002</v>
      </c>
      <c r="L213" s="15">
        <f t="shared" si="140"/>
        <v>231885.9</v>
      </c>
      <c r="M213" s="15">
        <f t="shared" si="140"/>
        <v>0</v>
      </c>
      <c r="N213" s="1053">
        <f t="shared" si="140"/>
        <v>173321</v>
      </c>
      <c r="O213" s="1053">
        <f t="shared" si="140"/>
        <v>111160</v>
      </c>
      <c r="P213" s="1053">
        <f t="shared" si="140"/>
        <v>0</v>
      </c>
      <c r="Q213" s="1053">
        <f t="shared" si="140"/>
        <v>90019</v>
      </c>
      <c r="R213" s="1053">
        <f t="shared" si="140"/>
        <v>15800</v>
      </c>
      <c r="S213" s="1053">
        <f t="shared" si="140"/>
        <v>74219</v>
      </c>
      <c r="T213" s="15">
        <f t="shared" si="140"/>
        <v>90019</v>
      </c>
      <c r="U213" s="1145">
        <f t="shared" si="140"/>
        <v>0</v>
      </c>
      <c r="V213" s="15">
        <f t="shared" si="140"/>
        <v>90019</v>
      </c>
      <c r="W213" s="89"/>
      <c r="X213" s="89"/>
      <c r="Y213" s="15">
        <f>SUM(Y214:Y239)</f>
        <v>26</v>
      </c>
      <c r="Z213" s="1053">
        <f t="shared" ref="Z213:AB213" si="141">SUM(Z214:Z239)</f>
        <v>90019</v>
      </c>
      <c r="AA213" s="1053">
        <f t="shared" si="141"/>
        <v>0</v>
      </c>
      <c r="AB213" s="1053">
        <f t="shared" si="141"/>
        <v>90019</v>
      </c>
      <c r="AC213" s="1101"/>
      <c r="AD213" s="657"/>
      <c r="AE213" s="990"/>
      <c r="AF213" s="811"/>
      <c r="AG213" s="551"/>
      <c r="AH213" s="551"/>
      <c r="AI213" s="551"/>
      <c r="AK213" s="57"/>
      <c r="AL213" s="57"/>
      <c r="AM213" s="57"/>
      <c r="AN213" s="57"/>
      <c r="AO213" s="57"/>
      <c r="AP213" s="57"/>
    </row>
    <row r="214" spans="1:42" s="270" customFormat="1" ht="30">
      <c r="A214" s="97" t="s">
        <v>27</v>
      </c>
      <c r="B214" s="68" t="s">
        <v>991</v>
      </c>
      <c r="C214" s="80" t="s">
        <v>85</v>
      </c>
      <c r="D214" s="19" t="s">
        <v>929</v>
      </c>
      <c r="E214" s="70" t="s">
        <v>235</v>
      </c>
      <c r="F214" s="80" t="s">
        <v>992</v>
      </c>
      <c r="G214" s="23">
        <v>86471</v>
      </c>
      <c r="H214" s="23">
        <v>19631</v>
      </c>
      <c r="I214" s="21"/>
      <c r="J214" s="21"/>
      <c r="K214" s="23">
        <v>77823.899999999994</v>
      </c>
      <c r="L214" s="23">
        <v>17667.900000000001</v>
      </c>
      <c r="M214" s="588"/>
      <c r="N214" s="1039">
        <v>84023</v>
      </c>
      <c r="O214" s="1039">
        <v>21988</v>
      </c>
      <c r="P214" s="1193"/>
      <c r="Q214" s="965">
        <f t="shared" ref="Q214:Q238" si="142">SUM(R214:S214)</f>
        <v>17600</v>
      </c>
      <c r="R214" s="1068"/>
      <c r="S214" s="1068">
        <v>17600</v>
      </c>
      <c r="T214" s="73">
        <f t="shared" ref="T214:T239" si="143">SUM(U214:V214)</f>
        <v>17600</v>
      </c>
      <c r="U214" s="1158"/>
      <c r="V214" s="23">
        <v>17600</v>
      </c>
      <c r="W214" s="80" t="s">
        <v>1591</v>
      </c>
      <c r="X214" s="24" t="s">
        <v>1679</v>
      </c>
      <c r="Y214" s="23">
        <v>1</v>
      </c>
      <c r="Z214" s="965">
        <f t="shared" ref="Z214:Z239" si="144">SUM(AA214:AB214)</f>
        <v>17600</v>
      </c>
      <c r="AA214" s="1068"/>
      <c r="AB214" s="1068">
        <v>17600</v>
      </c>
      <c r="AC214" s="1113"/>
      <c r="AD214" s="657"/>
      <c r="AE214" s="991"/>
      <c r="AF214" s="970"/>
      <c r="AG214" s="550"/>
      <c r="AH214" s="550"/>
      <c r="AI214" s="550"/>
    </row>
    <row r="215" spans="1:42" s="54" customFormat="1" ht="30">
      <c r="A215" s="97" t="s">
        <v>41</v>
      </c>
      <c r="B215" s="68" t="s">
        <v>989</v>
      </c>
      <c r="C215" s="80" t="s">
        <v>85</v>
      </c>
      <c r="D215" s="19" t="s">
        <v>1678</v>
      </c>
      <c r="E215" s="70" t="s">
        <v>163</v>
      </c>
      <c r="F215" s="80" t="s">
        <v>990</v>
      </c>
      <c r="G215" s="23">
        <v>70715</v>
      </c>
      <c r="H215" s="23">
        <v>70715</v>
      </c>
      <c r="I215" s="23">
        <f>1319+75</f>
        <v>1394</v>
      </c>
      <c r="J215" s="23">
        <v>1394</v>
      </c>
      <c r="K215" s="23">
        <v>69396</v>
      </c>
      <c r="L215" s="23">
        <f>H215-1319</f>
        <v>69396</v>
      </c>
      <c r="M215" s="23"/>
      <c r="N215" s="1068">
        <v>17000</v>
      </c>
      <c r="O215" s="1068">
        <v>17000</v>
      </c>
      <c r="P215" s="1198"/>
      <c r="Q215" s="965">
        <f t="shared" si="142"/>
        <v>10000</v>
      </c>
      <c r="R215" s="1068"/>
      <c r="S215" s="1068">
        <v>10000</v>
      </c>
      <c r="T215" s="73">
        <f t="shared" si="143"/>
        <v>10000</v>
      </c>
      <c r="U215" s="1158"/>
      <c r="V215" s="23">
        <v>10000</v>
      </c>
      <c r="W215" s="744" t="s">
        <v>1550</v>
      </c>
      <c r="X215" s="24"/>
      <c r="Y215" s="23">
        <v>1</v>
      </c>
      <c r="Z215" s="965">
        <f t="shared" si="144"/>
        <v>10000</v>
      </c>
      <c r="AA215" s="1068"/>
      <c r="AB215" s="1068">
        <v>10000</v>
      </c>
      <c r="AC215" s="1113"/>
      <c r="AD215" s="657"/>
      <c r="AE215" s="990"/>
      <c r="AF215" s="811"/>
      <c r="AG215" s="551"/>
      <c r="AH215" s="551"/>
      <c r="AI215" s="551"/>
      <c r="AK215" s="57"/>
      <c r="AL215" s="57"/>
      <c r="AM215" s="57"/>
      <c r="AN215" s="57"/>
      <c r="AO215" s="57"/>
      <c r="AP215" s="57"/>
    </row>
    <row r="216" spans="1:42" s="54" customFormat="1" ht="60">
      <c r="A216" s="97" t="s">
        <v>58</v>
      </c>
      <c r="B216" s="68" t="s">
        <v>993</v>
      </c>
      <c r="C216" s="80" t="s">
        <v>29</v>
      </c>
      <c r="D216" s="19" t="s">
        <v>1680</v>
      </c>
      <c r="E216" s="70" t="s">
        <v>163</v>
      </c>
      <c r="F216" s="80" t="s">
        <v>994</v>
      </c>
      <c r="G216" s="23">
        <v>17837</v>
      </c>
      <c r="H216" s="23">
        <v>17837</v>
      </c>
      <c r="I216" s="23">
        <v>327</v>
      </c>
      <c r="J216" s="23">
        <f>241+86</f>
        <v>327</v>
      </c>
      <c r="K216" s="23">
        <v>17596</v>
      </c>
      <c r="L216" s="23">
        <f>H216-241</f>
        <v>17596</v>
      </c>
      <c r="M216" s="23"/>
      <c r="N216" s="1068">
        <v>6000</v>
      </c>
      <c r="O216" s="1068">
        <v>6000</v>
      </c>
      <c r="P216" s="1198"/>
      <c r="Q216" s="965">
        <f t="shared" si="142"/>
        <v>4000</v>
      </c>
      <c r="R216" s="1068"/>
      <c r="S216" s="1068">
        <v>4000</v>
      </c>
      <c r="T216" s="73">
        <f t="shared" si="143"/>
        <v>4000</v>
      </c>
      <c r="U216" s="1158"/>
      <c r="V216" s="23">
        <v>4000</v>
      </c>
      <c r="W216" s="744" t="s">
        <v>1550</v>
      </c>
      <c r="X216" s="24"/>
      <c r="Y216" s="23">
        <v>1</v>
      </c>
      <c r="Z216" s="965">
        <f t="shared" si="144"/>
        <v>4000</v>
      </c>
      <c r="AA216" s="1068"/>
      <c r="AB216" s="1068">
        <v>4000</v>
      </c>
      <c r="AC216" s="1113"/>
      <c r="AD216" s="657"/>
      <c r="AE216" s="990"/>
      <c r="AF216" s="811"/>
      <c r="AG216" s="551"/>
      <c r="AH216" s="551"/>
      <c r="AI216" s="551"/>
      <c r="AK216" s="57"/>
      <c r="AL216" s="57"/>
      <c r="AM216" s="57"/>
      <c r="AN216" s="57"/>
      <c r="AO216" s="57"/>
      <c r="AP216" s="57"/>
    </row>
    <row r="217" spans="1:42" s="54" customFormat="1" ht="30">
      <c r="A217" s="97" t="s">
        <v>64</v>
      </c>
      <c r="B217" s="93" t="s">
        <v>995</v>
      </c>
      <c r="C217" s="80" t="s">
        <v>29</v>
      </c>
      <c r="D217" s="19" t="s">
        <v>1681</v>
      </c>
      <c r="E217" s="44" t="s">
        <v>166</v>
      </c>
      <c r="F217" s="80" t="s">
        <v>996</v>
      </c>
      <c r="G217" s="72">
        <v>13689</v>
      </c>
      <c r="H217" s="72">
        <v>13689</v>
      </c>
      <c r="I217" s="72"/>
      <c r="J217" s="72"/>
      <c r="K217" s="72">
        <v>13689</v>
      </c>
      <c r="L217" s="72">
        <v>13689</v>
      </c>
      <c r="M217" s="72"/>
      <c r="N217" s="1035">
        <v>13000</v>
      </c>
      <c r="O217" s="1068">
        <v>13000</v>
      </c>
      <c r="P217" s="1198"/>
      <c r="Q217" s="965">
        <f t="shared" si="142"/>
        <v>12000</v>
      </c>
      <c r="R217" s="1035"/>
      <c r="S217" s="1035">
        <v>12000</v>
      </c>
      <c r="T217" s="73">
        <f t="shared" si="143"/>
        <v>12000</v>
      </c>
      <c r="U217" s="1137"/>
      <c r="V217" s="72">
        <v>12000</v>
      </c>
      <c r="W217" s="744" t="s">
        <v>1550</v>
      </c>
      <c r="X217" s="80"/>
      <c r="Y217" s="72">
        <v>1</v>
      </c>
      <c r="Z217" s="965">
        <f t="shared" si="144"/>
        <v>12000</v>
      </c>
      <c r="AA217" s="1035"/>
      <c r="AB217" s="1035">
        <v>12000</v>
      </c>
      <c r="AC217" s="1082"/>
      <c r="AD217" s="657"/>
      <c r="AE217" s="990"/>
      <c r="AF217" s="811"/>
      <c r="AG217" s="551"/>
      <c r="AH217" s="551"/>
      <c r="AI217" s="551"/>
      <c r="AK217" s="57"/>
      <c r="AL217" s="57"/>
      <c r="AM217" s="57"/>
      <c r="AN217" s="57"/>
      <c r="AO217" s="57"/>
      <c r="AP217" s="57"/>
    </row>
    <row r="218" spans="1:42" s="54" customFormat="1" ht="30">
      <c r="A218" s="97" t="s">
        <v>69</v>
      </c>
      <c r="B218" s="289" t="s">
        <v>997</v>
      </c>
      <c r="C218" s="80" t="s">
        <v>260</v>
      </c>
      <c r="D218" s="19" t="s">
        <v>1682</v>
      </c>
      <c r="E218" s="70" t="s">
        <v>154</v>
      </c>
      <c r="F218" s="80" t="s">
        <v>998</v>
      </c>
      <c r="G218" s="22">
        <v>993</v>
      </c>
      <c r="H218" s="22">
        <v>993</v>
      </c>
      <c r="I218" s="22">
        <v>40</v>
      </c>
      <c r="J218" s="22">
        <v>40</v>
      </c>
      <c r="K218" s="22">
        <v>993</v>
      </c>
      <c r="L218" s="22">
        <v>993</v>
      </c>
      <c r="M218" s="22"/>
      <c r="N218" s="1061">
        <v>953</v>
      </c>
      <c r="O218" s="1068">
        <v>953</v>
      </c>
      <c r="P218" s="1198"/>
      <c r="Q218" s="965">
        <f t="shared" si="142"/>
        <v>900</v>
      </c>
      <c r="R218" s="1061"/>
      <c r="S218" s="1061">
        <v>900</v>
      </c>
      <c r="T218" s="73">
        <f t="shared" si="143"/>
        <v>900</v>
      </c>
      <c r="U218" s="1151"/>
      <c r="V218" s="22">
        <v>900</v>
      </c>
      <c r="W218" s="744" t="s">
        <v>1550</v>
      </c>
      <c r="X218" s="24"/>
      <c r="Y218" s="22">
        <v>1</v>
      </c>
      <c r="Z218" s="965">
        <f t="shared" si="144"/>
        <v>900</v>
      </c>
      <c r="AA218" s="1061"/>
      <c r="AB218" s="1061">
        <v>900</v>
      </c>
      <c r="AC218" s="1107"/>
      <c r="AD218" s="657"/>
      <c r="AE218" s="990"/>
      <c r="AF218" s="811"/>
      <c r="AG218" s="551"/>
      <c r="AH218" s="551"/>
      <c r="AI218" s="551"/>
      <c r="AK218" s="57"/>
      <c r="AL218" s="57"/>
      <c r="AM218" s="57"/>
      <c r="AN218" s="57"/>
      <c r="AO218" s="57"/>
      <c r="AP218" s="57"/>
    </row>
    <row r="219" spans="1:42" s="54" customFormat="1" ht="30">
      <c r="A219" s="97" t="s">
        <v>74</v>
      </c>
      <c r="B219" s="282" t="s">
        <v>999</v>
      </c>
      <c r="C219" s="80" t="s">
        <v>29</v>
      </c>
      <c r="D219" s="19" t="s">
        <v>1000</v>
      </c>
      <c r="E219" s="70" t="s">
        <v>489</v>
      </c>
      <c r="F219" s="80" t="s">
        <v>1001</v>
      </c>
      <c r="G219" s="23">
        <v>19973</v>
      </c>
      <c r="H219" s="23">
        <v>19973</v>
      </c>
      <c r="I219" s="23">
        <v>220</v>
      </c>
      <c r="J219" s="23">
        <v>220</v>
      </c>
      <c r="K219" s="23">
        <v>19973</v>
      </c>
      <c r="L219" s="23">
        <v>19973</v>
      </c>
      <c r="M219" s="23"/>
      <c r="N219" s="1068">
        <v>9000</v>
      </c>
      <c r="O219" s="1068">
        <v>9000</v>
      </c>
      <c r="P219" s="1198"/>
      <c r="Q219" s="965">
        <f t="shared" si="142"/>
        <v>7000</v>
      </c>
      <c r="R219" s="1068"/>
      <c r="S219" s="1068">
        <v>7000</v>
      </c>
      <c r="T219" s="73">
        <f t="shared" si="143"/>
        <v>7000</v>
      </c>
      <c r="U219" s="1158"/>
      <c r="V219" s="23">
        <v>7000</v>
      </c>
      <c r="W219" s="80" t="s">
        <v>1543</v>
      </c>
      <c r="X219" s="24"/>
      <c r="Y219" s="23">
        <v>1</v>
      </c>
      <c r="Z219" s="965">
        <f t="shared" si="144"/>
        <v>7000</v>
      </c>
      <c r="AA219" s="1068"/>
      <c r="AB219" s="1068">
        <v>7000</v>
      </c>
      <c r="AC219" s="1113"/>
      <c r="AD219" s="657"/>
      <c r="AE219" s="990"/>
      <c r="AF219" s="811"/>
      <c r="AG219" s="551"/>
      <c r="AH219" s="551"/>
      <c r="AI219" s="551"/>
      <c r="AK219" s="57"/>
      <c r="AL219" s="57"/>
      <c r="AM219" s="57"/>
      <c r="AN219" s="57"/>
      <c r="AO219" s="57"/>
      <c r="AP219" s="57"/>
    </row>
    <row r="220" spans="1:42" s="54" customFormat="1" ht="38.25">
      <c r="A220" s="97" t="s">
        <v>141</v>
      </c>
      <c r="B220" s="68" t="s">
        <v>1002</v>
      </c>
      <c r="C220" s="80" t="s">
        <v>85</v>
      </c>
      <c r="D220" s="19" t="s">
        <v>1003</v>
      </c>
      <c r="E220" s="44" t="s">
        <v>321</v>
      </c>
      <c r="F220" s="80" t="s">
        <v>1510</v>
      </c>
      <c r="G220" s="23">
        <v>526</v>
      </c>
      <c r="H220" s="23">
        <f>526-126</f>
        <v>400</v>
      </c>
      <c r="I220" s="23">
        <v>75</v>
      </c>
      <c r="J220" s="23">
        <v>75</v>
      </c>
      <c r="K220" s="23">
        <v>616</v>
      </c>
      <c r="L220" s="23">
        <v>616</v>
      </c>
      <c r="M220" s="23"/>
      <c r="N220" s="1068">
        <v>414</v>
      </c>
      <c r="O220" s="1068">
        <v>288</v>
      </c>
      <c r="P220" s="1198"/>
      <c r="Q220" s="1068">
        <f t="shared" si="142"/>
        <v>288</v>
      </c>
      <c r="R220" s="1068"/>
      <c r="S220" s="1068">
        <v>288</v>
      </c>
      <c r="T220" s="73">
        <f t="shared" si="143"/>
        <v>288</v>
      </c>
      <c r="U220" s="1158"/>
      <c r="V220" s="23">
        <v>288</v>
      </c>
      <c r="W220" s="744" t="s">
        <v>1554</v>
      </c>
      <c r="X220" s="24"/>
      <c r="Y220" s="23">
        <v>1</v>
      </c>
      <c r="Z220" s="965">
        <f t="shared" si="144"/>
        <v>288</v>
      </c>
      <c r="AA220" s="1068"/>
      <c r="AB220" s="1068">
        <v>288</v>
      </c>
      <c r="AC220" s="1113"/>
      <c r="AD220" s="657"/>
      <c r="AE220" s="990"/>
      <c r="AF220" s="811"/>
      <c r="AG220" s="551"/>
      <c r="AH220" s="551"/>
      <c r="AI220" s="551"/>
      <c r="AK220" s="57"/>
      <c r="AL220" s="57"/>
      <c r="AM220" s="57"/>
      <c r="AN220" s="57"/>
      <c r="AO220" s="57"/>
      <c r="AP220" s="57"/>
    </row>
    <row r="221" spans="1:42" s="54" customFormat="1" ht="25.5">
      <c r="A221" s="97" t="s">
        <v>146</v>
      </c>
      <c r="B221" s="68" t="s">
        <v>1004</v>
      </c>
      <c r="C221" s="80" t="s">
        <v>85</v>
      </c>
      <c r="D221" s="19" t="s">
        <v>1005</v>
      </c>
      <c r="E221" s="70" t="s">
        <v>154</v>
      </c>
      <c r="F221" s="80" t="s">
        <v>1006</v>
      </c>
      <c r="G221" s="23">
        <v>4639</v>
      </c>
      <c r="H221" s="23">
        <v>4639</v>
      </c>
      <c r="I221" s="23">
        <v>240</v>
      </c>
      <c r="J221" s="23">
        <v>240</v>
      </c>
      <c r="K221" s="23">
        <v>4639</v>
      </c>
      <c r="L221" s="23">
        <v>4639</v>
      </c>
      <c r="M221" s="23"/>
      <c r="N221" s="1068">
        <v>2000</v>
      </c>
      <c r="O221" s="1068">
        <v>2000</v>
      </c>
      <c r="P221" s="1198"/>
      <c r="Q221" s="1068">
        <f t="shared" si="142"/>
        <v>2000</v>
      </c>
      <c r="R221" s="1068"/>
      <c r="S221" s="1068">
        <v>2000</v>
      </c>
      <c r="T221" s="73">
        <f t="shared" si="143"/>
        <v>2000</v>
      </c>
      <c r="U221" s="1158"/>
      <c r="V221" s="23">
        <v>2000</v>
      </c>
      <c r="W221" s="80" t="s">
        <v>1525</v>
      </c>
      <c r="X221" s="24"/>
      <c r="Y221" s="23">
        <v>1</v>
      </c>
      <c r="Z221" s="965">
        <f t="shared" si="144"/>
        <v>2000</v>
      </c>
      <c r="AA221" s="1068"/>
      <c r="AB221" s="1068">
        <v>2000</v>
      </c>
      <c r="AC221" s="1113"/>
      <c r="AD221" s="657"/>
      <c r="AE221" s="990"/>
      <c r="AF221" s="811"/>
      <c r="AG221" s="551"/>
      <c r="AH221" s="551"/>
      <c r="AI221" s="551"/>
      <c r="AK221" s="57"/>
      <c r="AL221" s="57"/>
      <c r="AM221" s="57"/>
      <c r="AN221" s="57"/>
      <c r="AO221" s="57"/>
      <c r="AP221" s="57"/>
    </row>
    <row r="222" spans="1:42" s="54" customFormat="1" ht="25.5">
      <c r="A222" s="97" t="s">
        <v>179</v>
      </c>
      <c r="B222" s="288" t="s">
        <v>1007</v>
      </c>
      <c r="C222" s="80" t="s">
        <v>85</v>
      </c>
      <c r="D222" s="19" t="s">
        <v>1683</v>
      </c>
      <c r="E222" s="70" t="s">
        <v>355</v>
      </c>
      <c r="F222" s="80" t="s">
        <v>1008</v>
      </c>
      <c r="G222" s="23">
        <v>5496</v>
      </c>
      <c r="H222" s="23">
        <v>5496</v>
      </c>
      <c r="I222" s="72">
        <v>100</v>
      </c>
      <c r="J222" s="72">
        <v>100</v>
      </c>
      <c r="K222" s="72">
        <v>5496</v>
      </c>
      <c r="L222" s="72">
        <v>5496</v>
      </c>
      <c r="M222" s="72"/>
      <c r="N222" s="1035">
        <v>2000</v>
      </c>
      <c r="O222" s="1068">
        <v>2000</v>
      </c>
      <c r="P222" s="1198"/>
      <c r="Q222" s="1068">
        <f t="shared" si="142"/>
        <v>2000</v>
      </c>
      <c r="R222" s="1035">
        <v>2000</v>
      </c>
      <c r="S222" s="1035"/>
      <c r="T222" s="73">
        <f t="shared" si="143"/>
        <v>2000</v>
      </c>
      <c r="U222" s="1137"/>
      <c r="V222" s="72">
        <v>2000</v>
      </c>
      <c r="W222" s="80" t="s">
        <v>1525</v>
      </c>
      <c r="X222" s="744"/>
      <c r="Y222" s="72">
        <v>1</v>
      </c>
      <c r="Z222" s="965">
        <f t="shared" si="144"/>
        <v>2000</v>
      </c>
      <c r="AA222" s="1035"/>
      <c r="AB222" s="1035">
        <v>2000</v>
      </c>
      <c r="AC222" s="1082"/>
      <c r="AD222" s="657"/>
      <c r="AE222" s="990"/>
      <c r="AF222" s="811"/>
      <c r="AG222" s="551"/>
      <c r="AH222" s="551"/>
      <c r="AI222" s="551"/>
      <c r="AK222" s="57"/>
      <c r="AL222" s="57"/>
      <c r="AM222" s="57"/>
      <c r="AN222" s="57"/>
      <c r="AO222" s="57"/>
      <c r="AP222" s="57"/>
    </row>
    <row r="223" spans="1:42" s="54" customFormat="1" ht="30">
      <c r="A223" s="97" t="s">
        <v>182</v>
      </c>
      <c r="B223" s="68" t="s">
        <v>1009</v>
      </c>
      <c r="C223" s="80" t="s">
        <v>112</v>
      </c>
      <c r="D223" s="19" t="s">
        <v>1010</v>
      </c>
      <c r="E223" s="70" t="s">
        <v>154</v>
      </c>
      <c r="F223" s="80" t="s">
        <v>1011</v>
      </c>
      <c r="G223" s="23">
        <v>5901</v>
      </c>
      <c r="H223" s="23">
        <v>5901</v>
      </c>
      <c r="I223" s="23">
        <f>+J223</f>
        <v>100</v>
      </c>
      <c r="J223" s="23">
        <v>100</v>
      </c>
      <c r="K223" s="23">
        <v>5901</v>
      </c>
      <c r="L223" s="23">
        <v>5901</v>
      </c>
      <c r="M223" s="23"/>
      <c r="N223" s="1068">
        <v>2000</v>
      </c>
      <c r="O223" s="1068">
        <v>2000</v>
      </c>
      <c r="P223" s="1198"/>
      <c r="Q223" s="1068">
        <f t="shared" si="142"/>
        <v>2000</v>
      </c>
      <c r="R223" s="1068"/>
      <c r="S223" s="1068">
        <v>2000</v>
      </c>
      <c r="T223" s="73">
        <f t="shared" si="143"/>
        <v>2000</v>
      </c>
      <c r="U223" s="1158"/>
      <c r="V223" s="23">
        <v>2000</v>
      </c>
      <c r="W223" s="80" t="s">
        <v>1529</v>
      </c>
      <c r="X223" s="80"/>
      <c r="Y223" s="23">
        <v>1</v>
      </c>
      <c r="Z223" s="965">
        <f t="shared" si="144"/>
        <v>2000</v>
      </c>
      <c r="AA223" s="1068"/>
      <c r="AB223" s="1068">
        <v>2000</v>
      </c>
      <c r="AC223" s="1113"/>
      <c r="AD223" s="657"/>
      <c r="AE223" s="990"/>
      <c r="AF223" s="811"/>
      <c r="AG223" s="551"/>
      <c r="AH223" s="551"/>
      <c r="AI223" s="551"/>
      <c r="AK223" s="57"/>
      <c r="AL223" s="57"/>
      <c r="AM223" s="57"/>
      <c r="AN223" s="57"/>
      <c r="AO223" s="57"/>
      <c r="AP223" s="57"/>
    </row>
    <row r="224" spans="1:42" s="54" customFormat="1" ht="45">
      <c r="A224" s="97" t="s">
        <v>187</v>
      </c>
      <c r="B224" s="68" t="s">
        <v>1012</v>
      </c>
      <c r="C224" s="80" t="s">
        <v>112</v>
      </c>
      <c r="D224" s="19" t="s">
        <v>1013</v>
      </c>
      <c r="E224" s="70" t="s">
        <v>489</v>
      </c>
      <c r="F224" s="80" t="s">
        <v>1014</v>
      </c>
      <c r="G224" s="23">
        <v>4936</v>
      </c>
      <c r="H224" s="23">
        <v>4936</v>
      </c>
      <c r="I224" s="23">
        <v>100</v>
      </c>
      <c r="J224" s="23">
        <v>100</v>
      </c>
      <c r="K224" s="23">
        <f>G224</f>
        <v>4936</v>
      </c>
      <c r="L224" s="23">
        <f>G224</f>
        <v>4936</v>
      </c>
      <c r="M224" s="23"/>
      <c r="N224" s="1068">
        <v>2000</v>
      </c>
      <c r="O224" s="1068">
        <v>2000</v>
      </c>
      <c r="P224" s="1198"/>
      <c r="Q224" s="1068">
        <f t="shared" si="142"/>
        <v>2000</v>
      </c>
      <c r="R224" s="1068">
        <v>2000</v>
      </c>
      <c r="S224" s="1068"/>
      <c r="T224" s="73">
        <f t="shared" si="143"/>
        <v>2000</v>
      </c>
      <c r="U224" s="1158"/>
      <c r="V224" s="23">
        <v>2000</v>
      </c>
      <c r="W224" s="80" t="s">
        <v>1529</v>
      </c>
      <c r="X224" s="24"/>
      <c r="Y224" s="23">
        <v>1</v>
      </c>
      <c r="Z224" s="965">
        <f t="shared" si="144"/>
        <v>2000</v>
      </c>
      <c r="AA224" s="1068"/>
      <c r="AB224" s="1068">
        <v>2000</v>
      </c>
      <c r="AC224" s="1113"/>
      <c r="AD224" s="657"/>
      <c r="AE224" s="990"/>
      <c r="AF224" s="811"/>
      <c r="AG224" s="551"/>
      <c r="AH224" s="551"/>
      <c r="AI224" s="551"/>
      <c r="AK224" s="57"/>
      <c r="AL224" s="57"/>
      <c r="AM224" s="57"/>
      <c r="AN224" s="57"/>
      <c r="AO224" s="57"/>
      <c r="AP224" s="57"/>
    </row>
    <row r="225" spans="1:42" s="54" customFormat="1" ht="25.5">
      <c r="A225" s="97" t="s">
        <v>191</v>
      </c>
      <c r="B225" s="288" t="s">
        <v>1015</v>
      </c>
      <c r="C225" s="80" t="s">
        <v>143</v>
      </c>
      <c r="D225" s="19" t="s">
        <v>1016</v>
      </c>
      <c r="E225" s="70" t="s">
        <v>163</v>
      </c>
      <c r="F225" s="80" t="s">
        <v>1017</v>
      </c>
      <c r="G225" s="72">
        <v>4332</v>
      </c>
      <c r="H225" s="72">
        <v>4332</v>
      </c>
      <c r="I225" s="72"/>
      <c r="J225" s="72"/>
      <c r="K225" s="72">
        <v>4126</v>
      </c>
      <c r="L225" s="72">
        <f>4332-206</f>
        <v>4126</v>
      </c>
      <c r="M225" s="72"/>
      <c r="N225" s="1035">
        <v>2000</v>
      </c>
      <c r="O225" s="1035">
        <v>2000</v>
      </c>
      <c r="P225" s="1198"/>
      <c r="Q225" s="1035">
        <f t="shared" si="142"/>
        <v>2000</v>
      </c>
      <c r="R225" s="1035">
        <v>2000</v>
      </c>
      <c r="S225" s="1035"/>
      <c r="T225" s="73">
        <f t="shared" si="143"/>
        <v>2000</v>
      </c>
      <c r="U225" s="1137"/>
      <c r="V225" s="72">
        <v>2000</v>
      </c>
      <c r="W225" s="744" t="s">
        <v>1518</v>
      </c>
      <c r="X225" s="80"/>
      <c r="Y225" s="72">
        <v>1</v>
      </c>
      <c r="Z225" s="965">
        <f t="shared" si="144"/>
        <v>2000</v>
      </c>
      <c r="AA225" s="1035"/>
      <c r="AB225" s="1035">
        <v>2000</v>
      </c>
      <c r="AC225" s="1082"/>
      <c r="AD225" s="657"/>
      <c r="AE225" s="990"/>
      <c r="AF225" s="811"/>
      <c r="AG225" s="551"/>
      <c r="AH225" s="551"/>
      <c r="AI225" s="551"/>
      <c r="AK225" s="57"/>
      <c r="AL225" s="57"/>
      <c r="AM225" s="57"/>
      <c r="AN225" s="57"/>
      <c r="AO225" s="57"/>
      <c r="AP225" s="57"/>
    </row>
    <row r="226" spans="1:42" s="54" customFormat="1" ht="25.5">
      <c r="A226" s="97" t="s">
        <v>195</v>
      </c>
      <c r="B226" s="288" t="s">
        <v>1018</v>
      </c>
      <c r="C226" s="80" t="s">
        <v>143</v>
      </c>
      <c r="D226" s="19" t="s">
        <v>1019</v>
      </c>
      <c r="E226" s="70" t="s">
        <v>154</v>
      </c>
      <c r="F226" s="80" t="s">
        <v>1020</v>
      </c>
      <c r="G226" s="72">
        <v>2253</v>
      </c>
      <c r="H226" s="72">
        <v>2253</v>
      </c>
      <c r="I226" s="72"/>
      <c r="J226" s="72"/>
      <c r="K226" s="72">
        <v>2146</v>
      </c>
      <c r="L226" s="72">
        <f>2253-107</f>
        <v>2146</v>
      </c>
      <c r="M226" s="72"/>
      <c r="N226" s="1035">
        <v>2000</v>
      </c>
      <c r="O226" s="1035">
        <v>2000</v>
      </c>
      <c r="P226" s="1198"/>
      <c r="Q226" s="1035">
        <f t="shared" si="142"/>
        <v>2000</v>
      </c>
      <c r="R226" s="1035">
        <v>2000</v>
      </c>
      <c r="S226" s="1035"/>
      <c r="T226" s="73">
        <f t="shared" si="143"/>
        <v>2000</v>
      </c>
      <c r="U226" s="1137"/>
      <c r="V226" s="72">
        <v>2000</v>
      </c>
      <c r="W226" s="744" t="s">
        <v>1518</v>
      </c>
      <c r="X226" s="80"/>
      <c r="Y226" s="72">
        <v>1</v>
      </c>
      <c r="Z226" s="965">
        <f t="shared" si="144"/>
        <v>2000</v>
      </c>
      <c r="AA226" s="1035"/>
      <c r="AB226" s="1035">
        <v>2000</v>
      </c>
      <c r="AC226" s="1082"/>
      <c r="AD226" s="657"/>
      <c r="AE226" s="990"/>
      <c r="AF226" s="811"/>
      <c r="AG226" s="551"/>
      <c r="AH226" s="551"/>
      <c r="AI226" s="551"/>
      <c r="AK226" s="57"/>
      <c r="AL226" s="57"/>
      <c r="AM226" s="57"/>
      <c r="AN226" s="57"/>
      <c r="AO226" s="57"/>
      <c r="AP226" s="57"/>
    </row>
    <row r="227" spans="1:42" s="54" customFormat="1" ht="30">
      <c r="A227" s="97" t="s">
        <v>590</v>
      </c>
      <c r="B227" s="68" t="s">
        <v>1021</v>
      </c>
      <c r="C227" s="80" t="s">
        <v>71</v>
      </c>
      <c r="D227" s="19" t="s">
        <v>1022</v>
      </c>
      <c r="E227" s="70" t="s">
        <v>154</v>
      </c>
      <c r="F227" s="80" t="s">
        <v>1023</v>
      </c>
      <c r="G227" s="23">
        <v>5450</v>
      </c>
      <c r="H227" s="23">
        <v>5450</v>
      </c>
      <c r="I227" s="23">
        <f t="shared" ref="I227:I238" si="145">+J227</f>
        <v>240</v>
      </c>
      <c r="J227" s="23">
        <v>240</v>
      </c>
      <c r="K227" s="23">
        <v>5450</v>
      </c>
      <c r="L227" s="23">
        <v>5450</v>
      </c>
      <c r="M227" s="23"/>
      <c r="N227" s="1068">
        <v>2000</v>
      </c>
      <c r="O227" s="1068">
        <v>2000</v>
      </c>
      <c r="P227" s="1198"/>
      <c r="Q227" s="1068">
        <f t="shared" si="142"/>
        <v>2000</v>
      </c>
      <c r="R227" s="1068"/>
      <c r="S227" s="1068">
        <v>2000</v>
      </c>
      <c r="T227" s="73">
        <f t="shared" si="143"/>
        <v>2000</v>
      </c>
      <c r="U227" s="1158"/>
      <c r="V227" s="23">
        <v>2000</v>
      </c>
      <c r="W227" s="80" t="s">
        <v>1516</v>
      </c>
      <c r="X227" s="80"/>
      <c r="Y227" s="23">
        <v>1</v>
      </c>
      <c r="Z227" s="965">
        <f t="shared" si="144"/>
        <v>2000</v>
      </c>
      <c r="AA227" s="1068"/>
      <c r="AB227" s="1068">
        <v>2000</v>
      </c>
      <c r="AC227" s="1113"/>
      <c r="AD227" s="657"/>
      <c r="AE227" s="990"/>
      <c r="AF227" s="811"/>
      <c r="AG227" s="551"/>
      <c r="AH227" s="551"/>
      <c r="AI227" s="551"/>
      <c r="AK227" s="57"/>
      <c r="AL227" s="57"/>
      <c r="AM227" s="57"/>
      <c r="AN227" s="57"/>
      <c r="AO227" s="57"/>
      <c r="AP227" s="57"/>
    </row>
    <row r="228" spans="1:42" s="54" customFormat="1" ht="30">
      <c r="A228" s="97" t="s">
        <v>591</v>
      </c>
      <c r="B228" s="68" t="s">
        <v>1024</v>
      </c>
      <c r="C228" s="80" t="s">
        <v>66</v>
      </c>
      <c r="D228" s="19" t="s">
        <v>1025</v>
      </c>
      <c r="E228" s="70" t="s">
        <v>154</v>
      </c>
      <c r="F228" s="80" t="s">
        <v>1026</v>
      </c>
      <c r="G228" s="23">
        <v>6705</v>
      </c>
      <c r="H228" s="23">
        <v>6705</v>
      </c>
      <c r="I228" s="23">
        <f t="shared" si="145"/>
        <v>200</v>
      </c>
      <c r="J228" s="23">
        <v>200</v>
      </c>
      <c r="K228" s="23">
        <v>6705</v>
      </c>
      <c r="L228" s="23">
        <v>6705</v>
      </c>
      <c r="M228" s="23"/>
      <c r="N228" s="1068">
        <v>2000</v>
      </c>
      <c r="O228" s="1068">
        <v>2000</v>
      </c>
      <c r="P228" s="1198"/>
      <c r="Q228" s="1068">
        <f t="shared" si="142"/>
        <v>2000</v>
      </c>
      <c r="R228" s="1068"/>
      <c r="S228" s="1068">
        <v>2000</v>
      </c>
      <c r="T228" s="73">
        <f t="shared" si="143"/>
        <v>2000</v>
      </c>
      <c r="U228" s="1158"/>
      <c r="V228" s="23">
        <v>2000</v>
      </c>
      <c r="W228" s="80" t="s">
        <v>1526</v>
      </c>
      <c r="X228" s="24"/>
      <c r="Y228" s="23">
        <v>1</v>
      </c>
      <c r="Z228" s="965">
        <f t="shared" si="144"/>
        <v>2000</v>
      </c>
      <c r="AA228" s="1068"/>
      <c r="AB228" s="1068">
        <v>2000</v>
      </c>
      <c r="AC228" s="1113"/>
      <c r="AD228" s="657"/>
      <c r="AE228" s="990"/>
      <c r="AF228" s="811"/>
      <c r="AG228" s="551"/>
      <c r="AH228" s="551"/>
      <c r="AI228" s="551"/>
      <c r="AK228" s="57"/>
      <c r="AL228" s="57"/>
      <c r="AM228" s="57"/>
      <c r="AN228" s="57"/>
      <c r="AO228" s="57"/>
      <c r="AP228" s="57"/>
    </row>
    <row r="229" spans="1:42" s="54" customFormat="1" ht="45">
      <c r="A229" s="97" t="s">
        <v>916</v>
      </c>
      <c r="B229" s="68" t="s">
        <v>1027</v>
      </c>
      <c r="C229" s="80" t="s">
        <v>260</v>
      </c>
      <c r="D229" s="19" t="s">
        <v>1684</v>
      </c>
      <c r="E229" s="70" t="s">
        <v>154</v>
      </c>
      <c r="F229" s="80" t="s">
        <v>1029</v>
      </c>
      <c r="G229" s="23">
        <v>6197</v>
      </c>
      <c r="H229" s="23">
        <v>6197</v>
      </c>
      <c r="I229" s="23">
        <f t="shared" si="145"/>
        <v>230</v>
      </c>
      <c r="J229" s="23">
        <v>230</v>
      </c>
      <c r="K229" s="23">
        <v>6197</v>
      </c>
      <c r="L229" s="23">
        <v>6197</v>
      </c>
      <c r="M229" s="23"/>
      <c r="N229" s="1068">
        <v>2000</v>
      </c>
      <c r="O229" s="1068">
        <v>2000</v>
      </c>
      <c r="P229" s="1198"/>
      <c r="Q229" s="1068">
        <f t="shared" si="142"/>
        <v>2000</v>
      </c>
      <c r="R229" s="1068"/>
      <c r="S229" s="1068">
        <v>2000</v>
      </c>
      <c r="T229" s="73">
        <f t="shared" si="143"/>
        <v>2000</v>
      </c>
      <c r="U229" s="1158"/>
      <c r="V229" s="23">
        <v>2000</v>
      </c>
      <c r="W229" s="80" t="s">
        <v>1552</v>
      </c>
      <c r="X229" s="80"/>
      <c r="Y229" s="23">
        <v>1</v>
      </c>
      <c r="Z229" s="965">
        <f t="shared" si="144"/>
        <v>2000</v>
      </c>
      <c r="AA229" s="1068"/>
      <c r="AB229" s="1068">
        <v>2000</v>
      </c>
      <c r="AC229" s="1113"/>
      <c r="AD229" s="657"/>
      <c r="AE229" s="990"/>
      <c r="AF229" s="811"/>
      <c r="AG229" s="551"/>
      <c r="AH229" s="551"/>
      <c r="AI229" s="551"/>
      <c r="AK229" s="57"/>
      <c r="AL229" s="57"/>
      <c r="AM229" s="57"/>
      <c r="AN229" s="57"/>
      <c r="AO229" s="57"/>
      <c r="AP229" s="57"/>
    </row>
    <row r="230" spans="1:42" s="54" customFormat="1" ht="25.5">
      <c r="A230" s="97" t="s">
        <v>919</v>
      </c>
      <c r="B230" s="68" t="s">
        <v>1030</v>
      </c>
      <c r="C230" s="80" t="s">
        <v>260</v>
      </c>
      <c r="D230" s="19" t="s">
        <v>1685</v>
      </c>
      <c r="E230" s="70" t="s">
        <v>154</v>
      </c>
      <c r="F230" s="80" t="s">
        <v>1031</v>
      </c>
      <c r="G230" s="23">
        <v>4369</v>
      </c>
      <c r="H230" s="23">
        <v>4369</v>
      </c>
      <c r="I230" s="23">
        <f t="shared" si="145"/>
        <v>180</v>
      </c>
      <c r="J230" s="23">
        <v>180</v>
      </c>
      <c r="K230" s="23">
        <v>4369</v>
      </c>
      <c r="L230" s="23">
        <v>4369</v>
      </c>
      <c r="M230" s="23"/>
      <c r="N230" s="1068">
        <v>2000</v>
      </c>
      <c r="O230" s="1068">
        <v>2000</v>
      </c>
      <c r="P230" s="1198"/>
      <c r="Q230" s="1068">
        <f t="shared" si="142"/>
        <v>2000</v>
      </c>
      <c r="R230" s="1068"/>
      <c r="S230" s="1068">
        <v>2000</v>
      </c>
      <c r="T230" s="73">
        <f t="shared" si="143"/>
        <v>2000</v>
      </c>
      <c r="U230" s="1158"/>
      <c r="V230" s="23">
        <v>2000</v>
      </c>
      <c r="W230" s="80" t="s">
        <v>1552</v>
      </c>
      <c r="X230" s="80"/>
      <c r="Y230" s="23">
        <v>1</v>
      </c>
      <c r="Z230" s="965">
        <f t="shared" si="144"/>
        <v>2000</v>
      </c>
      <c r="AA230" s="1068"/>
      <c r="AB230" s="1068">
        <v>2000</v>
      </c>
      <c r="AC230" s="1113"/>
      <c r="AD230" s="657"/>
      <c r="AE230" s="990"/>
      <c r="AF230" s="811"/>
      <c r="AG230" s="551"/>
      <c r="AH230" s="551"/>
      <c r="AI230" s="551"/>
      <c r="AK230" s="57"/>
      <c r="AL230" s="57"/>
      <c r="AM230" s="57"/>
      <c r="AN230" s="57"/>
      <c r="AO230" s="57"/>
      <c r="AP230" s="57"/>
    </row>
    <row r="231" spans="1:42" s="54" customFormat="1" ht="25.5">
      <c r="A231" s="97" t="s">
        <v>671</v>
      </c>
      <c r="B231" s="68" t="s">
        <v>1032</v>
      </c>
      <c r="C231" s="80" t="s">
        <v>260</v>
      </c>
      <c r="D231" s="19" t="s">
        <v>1686</v>
      </c>
      <c r="E231" s="70" t="s">
        <v>154</v>
      </c>
      <c r="F231" s="80" t="s">
        <v>1033</v>
      </c>
      <c r="G231" s="23">
        <v>5639</v>
      </c>
      <c r="H231" s="23">
        <v>5539</v>
      </c>
      <c r="I231" s="23">
        <f t="shared" si="145"/>
        <v>100</v>
      </c>
      <c r="J231" s="23">
        <v>100</v>
      </c>
      <c r="K231" s="23">
        <v>5639</v>
      </c>
      <c r="L231" s="23">
        <v>5539</v>
      </c>
      <c r="M231" s="23"/>
      <c r="N231" s="1068">
        <v>5000</v>
      </c>
      <c r="O231" s="1068">
        <v>5000</v>
      </c>
      <c r="P231" s="1198"/>
      <c r="Q231" s="965">
        <f t="shared" si="142"/>
        <v>2800</v>
      </c>
      <c r="R231" s="1068"/>
      <c r="S231" s="1068">
        <v>2800</v>
      </c>
      <c r="T231" s="73">
        <f t="shared" si="143"/>
        <v>2800</v>
      </c>
      <c r="U231" s="1158"/>
      <c r="V231" s="23">
        <v>2800</v>
      </c>
      <c r="W231" s="80" t="s">
        <v>1552</v>
      </c>
      <c r="X231" s="24"/>
      <c r="Y231" s="23">
        <v>1</v>
      </c>
      <c r="Z231" s="965">
        <f t="shared" si="144"/>
        <v>2800</v>
      </c>
      <c r="AA231" s="1068"/>
      <c r="AB231" s="1068">
        <v>2800</v>
      </c>
      <c r="AC231" s="1113"/>
      <c r="AD231" s="657"/>
      <c r="AE231" s="990"/>
      <c r="AF231" s="811"/>
      <c r="AG231" s="551"/>
      <c r="AH231" s="551"/>
      <c r="AI231" s="551"/>
      <c r="AK231" s="57"/>
      <c r="AL231" s="57"/>
      <c r="AM231" s="57"/>
      <c r="AN231" s="57"/>
      <c r="AO231" s="57"/>
      <c r="AP231" s="57"/>
    </row>
    <row r="232" spans="1:42" s="54" customFormat="1" ht="25.5">
      <c r="A232" s="97" t="s">
        <v>1041</v>
      </c>
      <c r="B232" s="68" t="s">
        <v>1034</v>
      </c>
      <c r="C232" s="80" t="s">
        <v>260</v>
      </c>
      <c r="D232" s="19" t="s">
        <v>1687</v>
      </c>
      <c r="E232" s="70" t="s">
        <v>154</v>
      </c>
      <c r="F232" s="80" t="s">
        <v>1035</v>
      </c>
      <c r="G232" s="23">
        <v>6961</v>
      </c>
      <c r="H232" s="23">
        <v>6961</v>
      </c>
      <c r="I232" s="23">
        <f t="shared" si="145"/>
        <v>100</v>
      </c>
      <c r="J232" s="23">
        <v>100</v>
      </c>
      <c r="K232" s="23">
        <v>6961</v>
      </c>
      <c r="L232" s="23">
        <v>6961</v>
      </c>
      <c r="M232" s="23"/>
      <c r="N232" s="1068">
        <v>5000</v>
      </c>
      <c r="O232" s="1068">
        <v>5000</v>
      </c>
      <c r="P232" s="1198"/>
      <c r="Q232" s="965">
        <f t="shared" si="142"/>
        <v>3000</v>
      </c>
      <c r="R232" s="1068"/>
      <c r="S232" s="1068">
        <v>3000</v>
      </c>
      <c r="T232" s="73">
        <f t="shared" si="143"/>
        <v>3000</v>
      </c>
      <c r="U232" s="1158"/>
      <c r="V232" s="23">
        <v>3000</v>
      </c>
      <c r="W232" s="80" t="s">
        <v>1552</v>
      </c>
      <c r="X232" s="24"/>
      <c r="Y232" s="23">
        <v>1</v>
      </c>
      <c r="Z232" s="965">
        <f t="shared" si="144"/>
        <v>3000</v>
      </c>
      <c r="AA232" s="1068"/>
      <c r="AB232" s="1068">
        <v>3000</v>
      </c>
      <c r="AC232" s="1113"/>
      <c r="AD232" s="657"/>
      <c r="AE232" s="990"/>
      <c r="AF232" s="811"/>
      <c r="AG232" s="551"/>
      <c r="AH232" s="551"/>
      <c r="AI232" s="551"/>
      <c r="AK232" s="57"/>
      <c r="AL232" s="57"/>
      <c r="AM232" s="57"/>
      <c r="AN232" s="57"/>
      <c r="AO232" s="57"/>
      <c r="AP232" s="57"/>
    </row>
    <row r="233" spans="1:42" s="54" customFormat="1" ht="45">
      <c r="A233" s="97" t="s">
        <v>1044</v>
      </c>
      <c r="B233" s="68" t="s">
        <v>1036</v>
      </c>
      <c r="C233" s="80" t="s">
        <v>29</v>
      </c>
      <c r="D233" s="19" t="s">
        <v>1688</v>
      </c>
      <c r="E233" s="70" t="s">
        <v>154</v>
      </c>
      <c r="F233" s="80" t="s">
        <v>1689</v>
      </c>
      <c r="G233" s="23">
        <v>5670</v>
      </c>
      <c r="H233" s="23">
        <v>5670</v>
      </c>
      <c r="I233" s="23">
        <f t="shared" si="145"/>
        <v>273</v>
      </c>
      <c r="J233" s="23">
        <v>273</v>
      </c>
      <c r="K233" s="23">
        <v>5670</v>
      </c>
      <c r="L233" s="23">
        <v>5670</v>
      </c>
      <c r="M233" s="23"/>
      <c r="N233" s="1068">
        <v>2000</v>
      </c>
      <c r="O233" s="1068">
        <v>2000</v>
      </c>
      <c r="P233" s="1198"/>
      <c r="Q233" s="965">
        <f t="shared" si="142"/>
        <v>2000</v>
      </c>
      <c r="R233" s="1068"/>
      <c r="S233" s="1068">
        <v>2000</v>
      </c>
      <c r="T233" s="73">
        <f t="shared" si="143"/>
        <v>2000</v>
      </c>
      <c r="U233" s="1158"/>
      <c r="V233" s="23">
        <v>2000</v>
      </c>
      <c r="W233" s="80" t="s">
        <v>1527</v>
      </c>
      <c r="X233" s="24"/>
      <c r="Y233" s="23">
        <v>1</v>
      </c>
      <c r="Z233" s="965">
        <f t="shared" si="144"/>
        <v>2000</v>
      </c>
      <c r="AA233" s="1068"/>
      <c r="AB233" s="1068">
        <v>2000</v>
      </c>
      <c r="AC233" s="1113"/>
      <c r="AD233" s="657"/>
      <c r="AE233" s="990"/>
      <c r="AF233" s="811"/>
      <c r="AG233" s="551"/>
      <c r="AH233" s="551"/>
      <c r="AI233" s="551"/>
      <c r="AK233" s="57"/>
      <c r="AL233" s="57"/>
      <c r="AM233" s="57"/>
      <c r="AN233" s="57"/>
      <c r="AO233" s="57"/>
      <c r="AP233" s="57"/>
    </row>
    <row r="234" spans="1:42" s="54" customFormat="1" ht="25.5">
      <c r="A234" s="97" t="s">
        <v>1189</v>
      </c>
      <c r="B234" s="68" t="s">
        <v>1037</v>
      </c>
      <c r="C234" s="80" t="s">
        <v>173</v>
      </c>
      <c r="D234" s="19" t="s">
        <v>1690</v>
      </c>
      <c r="E234" s="70" t="s">
        <v>166</v>
      </c>
      <c r="F234" s="80" t="s">
        <v>1038</v>
      </c>
      <c r="G234" s="23">
        <v>5237</v>
      </c>
      <c r="H234" s="23">
        <v>5237</v>
      </c>
      <c r="I234" s="23">
        <f t="shared" si="145"/>
        <v>150</v>
      </c>
      <c r="J234" s="23">
        <v>150</v>
      </c>
      <c r="K234" s="23">
        <v>5237</v>
      </c>
      <c r="L234" s="23">
        <v>5237</v>
      </c>
      <c r="M234" s="23"/>
      <c r="N234" s="1068">
        <v>3000</v>
      </c>
      <c r="O234" s="1068">
        <v>3000</v>
      </c>
      <c r="P234" s="1198"/>
      <c r="Q234" s="965">
        <f t="shared" si="142"/>
        <v>2500</v>
      </c>
      <c r="R234" s="1068"/>
      <c r="S234" s="1068">
        <v>2500</v>
      </c>
      <c r="T234" s="73">
        <f t="shared" si="143"/>
        <v>2500</v>
      </c>
      <c r="U234" s="1158"/>
      <c r="V234" s="23">
        <v>2500</v>
      </c>
      <c r="W234" s="80" t="s">
        <v>1551</v>
      </c>
      <c r="X234" s="24"/>
      <c r="Y234" s="23">
        <v>1</v>
      </c>
      <c r="Z234" s="965">
        <f t="shared" si="144"/>
        <v>2500</v>
      </c>
      <c r="AA234" s="1068"/>
      <c r="AB234" s="1068">
        <v>2500</v>
      </c>
      <c r="AC234" s="1113"/>
      <c r="AD234" s="657"/>
      <c r="AE234" s="990"/>
      <c r="AF234" s="811"/>
      <c r="AG234" s="551"/>
      <c r="AH234" s="551"/>
      <c r="AI234" s="551"/>
      <c r="AK234" s="57"/>
      <c r="AL234" s="57"/>
      <c r="AM234" s="57"/>
      <c r="AN234" s="57"/>
      <c r="AO234" s="57"/>
      <c r="AP234" s="57"/>
    </row>
    <row r="235" spans="1:42" s="54" customFormat="1" ht="25.5">
      <c r="A235" s="97" t="s">
        <v>1194</v>
      </c>
      <c r="B235" s="68" t="s">
        <v>1039</v>
      </c>
      <c r="C235" s="80" t="s">
        <v>5</v>
      </c>
      <c r="D235" s="19" t="s">
        <v>1691</v>
      </c>
      <c r="E235" s="70" t="s">
        <v>154</v>
      </c>
      <c r="F235" s="80" t="s">
        <v>1040</v>
      </c>
      <c r="G235" s="23">
        <v>4927</v>
      </c>
      <c r="H235" s="23">
        <v>4927</v>
      </c>
      <c r="I235" s="23">
        <f t="shared" si="145"/>
        <v>100</v>
      </c>
      <c r="J235" s="23">
        <v>100</v>
      </c>
      <c r="K235" s="23">
        <v>4927</v>
      </c>
      <c r="L235" s="23">
        <v>4927</v>
      </c>
      <c r="M235" s="23"/>
      <c r="N235" s="1068">
        <v>2000</v>
      </c>
      <c r="O235" s="1068">
        <v>2000</v>
      </c>
      <c r="P235" s="1198"/>
      <c r="Q235" s="1035">
        <f t="shared" si="142"/>
        <v>2000</v>
      </c>
      <c r="R235" s="1068">
        <v>2000</v>
      </c>
      <c r="S235" s="1068"/>
      <c r="T235" s="73">
        <f t="shared" si="143"/>
        <v>2000</v>
      </c>
      <c r="U235" s="1158"/>
      <c r="V235" s="23">
        <v>2000</v>
      </c>
      <c r="W235" s="80" t="s">
        <v>1521</v>
      </c>
      <c r="X235" s="80"/>
      <c r="Y235" s="23">
        <v>1</v>
      </c>
      <c r="Z235" s="965">
        <f t="shared" si="144"/>
        <v>2000</v>
      </c>
      <c r="AA235" s="1068"/>
      <c r="AB235" s="1068">
        <v>2000</v>
      </c>
      <c r="AC235" s="1113"/>
      <c r="AD235" s="657"/>
      <c r="AE235" s="990"/>
      <c r="AF235" s="811"/>
      <c r="AG235" s="551"/>
      <c r="AH235" s="551"/>
      <c r="AI235" s="551"/>
      <c r="AK235" s="57"/>
      <c r="AL235" s="57"/>
      <c r="AM235" s="57"/>
      <c r="AN235" s="57"/>
      <c r="AO235" s="57"/>
      <c r="AP235" s="57"/>
    </row>
    <row r="236" spans="1:42" s="54" customFormat="1" ht="25.5">
      <c r="A236" s="97" t="s">
        <v>1195</v>
      </c>
      <c r="B236" s="68" t="s">
        <v>1042</v>
      </c>
      <c r="C236" s="80" t="s">
        <v>5</v>
      </c>
      <c r="D236" s="19" t="s">
        <v>1692</v>
      </c>
      <c r="E236" s="70" t="s">
        <v>154</v>
      </c>
      <c r="F236" s="80" t="s">
        <v>1043</v>
      </c>
      <c r="G236" s="23">
        <v>4648</v>
      </c>
      <c r="H236" s="23">
        <v>4648</v>
      </c>
      <c r="I236" s="23">
        <f t="shared" si="145"/>
        <v>100</v>
      </c>
      <c r="J236" s="23">
        <v>100</v>
      </c>
      <c r="K236" s="23">
        <v>4648</v>
      </c>
      <c r="L236" s="23">
        <v>4648</v>
      </c>
      <c r="M236" s="23"/>
      <c r="N236" s="1068">
        <v>2000</v>
      </c>
      <c r="O236" s="1068">
        <v>2000</v>
      </c>
      <c r="P236" s="1198"/>
      <c r="Q236" s="1035">
        <f t="shared" si="142"/>
        <v>2000</v>
      </c>
      <c r="R236" s="1068">
        <v>2000</v>
      </c>
      <c r="S236" s="1068"/>
      <c r="T236" s="73">
        <f t="shared" si="143"/>
        <v>2000</v>
      </c>
      <c r="U236" s="1158"/>
      <c r="V236" s="23">
        <v>2000</v>
      </c>
      <c r="W236" s="80" t="s">
        <v>1521</v>
      </c>
      <c r="X236" s="80"/>
      <c r="Y236" s="23">
        <v>1</v>
      </c>
      <c r="Z236" s="965">
        <f t="shared" si="144"/>
        <v>2000</v>
      </c>
      <c r="AA236" s="1068"/>
      <c r="AB236" s="1068">
        <v>2000</v>
      </c>
      <c r="AC236" s="1113"/>
      <c r="AD236" s="657"/>
      <c r="AE236" s="990"/>
      <c r="AF236" s="811"/>
      <c r="AG236" s="551"/>
      <c r="AH236" s="551"/>
      <c r="AI236" s="551"/>
      <c r="AK236" s="57"/>
      <c r="AL236" s="57"/>
      <c r="AM236" s="57"/>
      <c r="AN236" s="57"/>
      <c r="AO236" s="57"/>
      <c r="AP236" s="57"/>
    </row>
    <row r="237" spans="1:42" s="54" customFormat="1" ht="30">
      <c r="A237" s="97" t="s">
        <v>1497</v>
      </c>
      <c r="B237" s="68" t="s">
        <v>1045</v>
      </c>
      <c r="C237" s="80" t="s">
        <v>5</v>
      </c>
      <c r="D237" s="19" t="s">
        <v>1693</v>
      </c>
      <c r="E237" s="70" t="s">
        <v>154</v>
      </c>
      <c r="F237" s="80" t="s">
        <v>1046</v>
      </c>
      <c r="G237" s="23">
        <v>1912</v>
      </c>
      <c r="H237" s="23">
        <v>1912</v>
      </c>
      <c r="I237" s="23">
        <f t="shared" si="145"/>
        <v>100</v>
      </c>
      <c r="J237" s="23">
        <v>100</v>
      </c>
      <c r="K237" s="23">
        <v>1912</v>
      </c>
      <c r="L237" s="23">
        <v>1912</v>
      </c>
      <c r="M237" s="23"/>
      <c r="N237" s="1068">
        <v>1800</v>
      </c>
      <c r="O237" s="1068">
        <v>1800</v>
      </c>
      <c r="P237" s="1198"/>
      <c r="Q237" s="1035">
        <f t="shared" si="142"/>
        <v>1800</v>
      </c>
      <c r="R237" s="1068">
        <v>1800</v>
      </c>
      <c r="S237" s="1068"/>
      <c r="T237" s="73">
        <f t="shared" si="143"/>
        <v>1800</v>
      </c>
      <c r="U237" s="1158"/>
      <c r="V237" s="23">
        <v>1800</v>
      </c>
      <c r="W237" s="80" t="s">
        <v>1521</v>
      </c>
      <c r="X237" s="80"/>
      <c r="Y237" s="23">
        <v>1</v>
      </c>
      <c r="Z237" s="965">
        <f t="shared" si="144"/>
        <v>1800</v>
      </c>
      <c r="AA237" s="1068"/>
      <c r="AB237" s="1068">
        <v>1800</v>
      </c>
      <c r="AC237" s="1113"/>
      <c r="AD237" s="657"/>
      <c r="AE237" s="990"/>
      <c r="AF237" s="811"/>
      <c r="AG237" s="551"/>
      <c r="AH237" s="551"/>
      <c r="AI237" s="551"/>
      <c r="AK237" s="57"/>
      <c r="AL237" s="57"/>
      <c r="AM237" s="57"/>
      <c r="AN237" s="57"/>
      <c r="AO237" s="57"/>
      <c r="AP237" s="57"/>
    </row>
    <row r="238" spans="1:42" s="54" customFormat="1" ht="25.5">
      <c r="A238" s="97" t="s">
        <v>1498</v>
      </c>
      <c r="B238" s="68" t="s">
        <v>914</v>
      </c>
      <c r="C238" s="80" t="s">
        <v>60</v>
      </c>
      <c r="D238" s="19" t="s">
        <v>915</v>
      </c>
      <c r="E238" s="70" t="s">
        <v>154</v>
      </c>
      <c r="F238" s="80" t="s">
        <v>1511</v>
      </c>
      <c r="G238" s="23">
        <v>6478</v>
      </c>
      <c r="H238" s="23">
        <v>6478</v>
      </c>
      <c r="I238" s="23">
        <f t="shared" si="145"/>
        <v>100</v>
      </c>
      <c r="J238" s="23">
        <v>100</v>
      </c>
      <c r="K238" s="23">
        <v>6478</v>
      </c>
      <c r="L238" s="23">
        <v>6478</v>
      </c>
      <c r="M238" s="23"/>
      <c r="N238" s="1068">
        <v>2000</v>
      </c>
      <c r="O238" s="1035">
        <v>2000</v>
      </c>
      <c r="P238" s="1198"/>
      <c r="Q238" s="1035">
        <f t="shared" si="142"/>
        <v>2000</v>
      </c>
      <c r="R238" s="1068">
        <v>2000</v>
      </c>
      <c r="S238" s="1068"/>
      <c r="T238" s="73">
        <f t="shared" si="143"/>
        <v>2000</v>
      </c>
      <c r="U238" s="1158"/>
      <c r="V238" s="23">
        <v>2000</v>
      </c>
      <c r="W238" s="513" t="s">
        <v>1517</v>
      </c>
      <c r="X238" s="80"/>
      <c r="Y238" s="23">
        <v>1</v>
      </c>
      <c r="Z238" s="965">
        <f t="shared" si="144"/>
        <v>2000</v>
      </c>
      <c r="AA238" s="1068"/>
      <c r="AB238" s="1068">
        <v>2000</v>
      </c>
      <c r="AC238" s="1113"/>
      <c r="AD238" s="657"/>
      <c r="AE238" s="990"/>
      <c r="AF238" s="811"/>
      <c r="AG238" s="551"/>
      <c r="AH238" s="551"/>
      <c r="AI238" s="551"/>
      <c r="AK238" s="57"/>
      <c r="AL238" s="57"/>
      <c r="AM238" s="57"/>
      <c r="AN238" s="57"/>
      <c r="AO238" s="57"/>
      <c r="AP238" s="57"/>
    </row>
    <row r="239" spans="1:42" s="54" customFormat="1" ht="51">
      <c r="A239" s="97" t="s">
        <v>1512</v>
      </c>
      <c r="B239" s="68" t="s">
        <v>1188</v>
      </c>
      <c r="C239" s="80" t="s">
        <v>648</v>
      </c>
      <c r="D239" s="19"/>
      <c r="E239" s="70" t="s">
        <v>313</v>
      </c>
      <c r="F239" s="80"/>
      <c r="G239" s="23"/>
      <c r="H239" s="23">
        <v>618</v>
      </c>
      <c r="I239" s="23"/>
      <c r="J239" s="23"/>
      <c r="K239" s="23">
        <v>618</v>
      </c>
      <c r="L239" s="23">
        <v>618</v>
      </c>
      <c r="M239" s="23"/>
      <c r="N239" s="1035">
        <v>131</v>
      </c>
      <c r="O239" s="1068">
        <v>131</v>
      </c>
      <c r="P239" s="1068"/>
      <c r="Q239" s="1035">
        <v>131</v>
      </c>
      <c r="R239" s="1068"/>
      <c r="S239" s="1068">
        <v>131</v>
      </c>
      <c r="T239" s="73">
        <f t="shared" si="143"/>
        <v>131</v>
      </c>
      <c r="U239" s="1158"/>
      <c r="V239" s="23">
        <v>131</v>
      </c>
      <c r="W239" s="80" t="s">
        <v>1550</v>
      </c>
      <c r="X239" s="80" t="s">
        <v>1196</v>
      </c>
      <c r="Y239" s="23">
        <v>1</v>
      </c>
      <c r="Z239" s="965">
        <f t="shared" si="144"/>
        <v>131</v>
      </c>
      <c r="AA239" s="1068"/>
      <c r="AB239" s="1068">
        <v>131</v>
      </c>
      <c r="AC239" s="1113"/>
      <c r="AD239" s="657"/>
      <c r="AE239" s="990"/>
      <c r="AF239" s="811"/>
      <c r="AG239" s="551"/>
      <c r="AH239" s="551"/>
      <c r="AI239" s="551"/>
      <c r="AK239" s="57"/>
      <c r="AL239" s="57"/>
      <c r="AM239" s="57"/>
      <c r="AN239" s="57"/>
      <c r="AO239" s="57"/>
      <c r="AP239" s="57"/>
    </row>
    <row r="240" spans="1:42" s="629" customFormat="1" ht="28.5">
      <c r="A240" s="630" t="s">
        <v>760</v>
      </c>
      <c r="B240" s="618" t="s">
        <v>1147</v>
      </c>
      <c r="C240" s="690"/>
      <c r="D240" s="625"/>
      <c r="E240" s="626"/>
      <c r="F240" s="690"/>
      <c r="G240" s="621">
        <f t="shared" ref="G240:V240" si="146">G242+G243</f>
        <v>2542536</v>
      </c>
      <c r="H240" s="621">
        <f t="shared" si="146"/>
        <v>504419</v>
      </c>
      <c r="I240" s="621">
        <f t="shared" si="146"/>
        <v>379166</v>
      </c>
      <c r="J240" s="621">
        <f t="shared" si="146"/>
        <v>156196</v>
      </c>
      <c r="K240" s="621">
        <f t="shared" si="146"/>
        <v>1144986</v>
      </c>
      <c r="L240" s="621">
        <f t="shared" si="146"/>
        <v>387139</v>
      </c>
      <c r="M240" s="621">
        <f t="shared" si="146"/>
        <v>0</v>
      </c>
      <c r="N240" s="1036">
        <f t="shared" si="146"/>
        <v>542311</v>
      </c>
      <c r="O240" s="1036">
        <f t="shared" si="146"/>
        <v>154737</v>
      </c>
      <c r="P240" s="1036">
        <f t="shared" si="146"/>
        <v>0</v>
      </c>
      <c r="Q240" s="1036">
        <f t="shared" si="146"/>
        <v>93500</v>
      </c>
      <c r="R240" s="1036">
        <f t="shared" si="146"/>
        <v>33500</v>
      </c>
      <c r="S240" s="1036">
        <f t="shared" si="146"/>
        <v>60000</v>
      </c>
      <c r="T240" s="621">
        <f t="shared" si="146"/>
        <v>83500</v>
      </c>
      <c r="U240" s="1127">
        <f t="shared" si="146"/>
        <v>33500</v>
      </c>
      <c r="V240" s="621">
        <f t="shared" si="146"/>
        <v>50000</v>
      </c>
      <c r="W240" s="684"/>
      <c r="X240" s="684"/>
      <c r="Y240" s="621">
        <f>Y242+Y243</f>
        <v>6</v>
      </c>
      <c r="Z240" s="1036">
        <f t="shared" ref="Z240:AB240" si="147">Z242+Z243</f>
        <v>83500</v>
      </c>
      <c r="AA240" s="1036">
        <f t="shared" si="147"/>
        <v>33500</v>
      </c>
      <c r="AB240" s="1036">
        <f t="shared" si="147"/>
        <v>50000</v>
      </c>
      <c r="AC240" s="1084"/>
      <c r="AD240" s="662"/>
      <c r="AE240" s="990"/>
      <c r="AF240" s="811"/>
      <c r="AG240" s="628"/>
      <c r="AH240" s="628"/>
      <c r="AI240" s="628"/>
    </row>
    <row r="241" spans="1:42" s="266" customFormat="1">
      <c r="A241" s="82" t="s">
        <v>525</v>
      </c>
      <c r="B241" s="65" t="s">
        <v>26</v>
      </c>
      <c r="C241" s="352"/>
      <c r="D241" s="350"/>
      <c r="E241" s="351"/>
      <c r="F241" s="352"/>
      <c r="G241" s="45">
        <f t="shared" ref="G241:V241" si="148">G242</f>
        <v>1085800</v>
      </c>
      <c r="H241" s="45">
        <f t="shared" si="148"/>
        <v>195800</v>
      </c>
      <c r="I241" s="45">
        <f t="shared" si="148"/>
        <v>0</v>
      </c>
      <c r="J241" s="45">
        <f t="shared" si="148"/>
        <v>0</v>
      </c>
      <c r="K241" s="45">
        <f t="shared" si="148"/>
        <v>191333</v>
      </c>
      <c r="L241" s="45">
        <f t="shared" si="148"/>
        <v>176220</v>
      </c>
      <c r="M241" s="45">
        <f t="shared" si="148"/>
        <v>0</v>
      </c>
      <c r="N241" s="1037">
        <f t="shared" si="148"/>
        <v>20000</v>
      </c>
      <c r="O241" s="1037">
        <f t="shared" si="148"/>
        <v>20000</v>
      </c>
      <c r="P241" s="1037">
        <f t="shared" si="148"/>
        <v>0</v>
      </c>
      <c r="Q241" s="1037">
        <f t="shared" si="148"/>
        <v>5000</v>
      </c>
      <c r="R241" s="1037">
        <f t="shared" si="148"/>
        <v>5000</v>
      </c>
      <c r="S241" s="1037">
        <f t="shared" si="148"/>
        <v>0</v>
      </c>
      <c r="T241" s="45">
        <f t="shared" si="148"/>
        <v>5000</v>
      </c>
      <c r="U241" s="1128">
        <f t="shared" si="148"/>
        <v>5000</v>
      </c>
      <c r="V241" s="45">
        <f t="shared" si="148"/>
        <v>0</v>
      </c>
      <c r="W241" s="352"/>
      <c r="X241" s="352"/>
      <c r="Y241" s="45">
        <f>Y242</f>
        <v>1</v>
      </c>
      <c r="Z241" s="1037">
        <f t="shared" ref="Z241:AB241" si="149">Z242</f>
        <v>5000</v>
      </c>
      <c r="AA241" s="1037">
        <f t="shared" si="149"/>
        <v>5000</v>
      </c>
      <c r="AB241" s="1037">
        <f t="shared" si="149"/>
        <v>0</v>
      </c>
      <c r="AC241" s="1085"/>
      <c r="AD241" s="657"/>
      <c r="AE241" s="990"/>
      <c r="AF241" s="811"/>
      <c r="AG241" s="551"/>
      <c r="AH241" s="551"/>
      <c r="AI241" s="551"/>
      <c r="AK241" s="265"/>
      <c r="AL241" s="265"/>
      <c r="AM241" s="265"/>
      <c r="AN241" s="265"/>
      <c r="AO241" s="265"/>
      <c r="AP241" s="265"/>
    </row>
    <row r="242" spans="1:42" s="270" customFormat="1" ht="76.5">
      <c r="A242" s="97" t="s">
        <v>27</v>
      </c>
      <c r="B242" s="68" t="s">
        <v>1181</v>
      </c>
      <c r="C242" s="80" t="s">
        <v>29</v>
      </c>
      <c r="D242" s="19"/>
      <c r="E242" s="70" t="s">
        <v>313</v>
      </c>
      <c r="F242" s="80" t="s">
        <v>1182</v>
      </c>
      <c r="G242" s="590">
        <v>1085800</v>
      </c>
      <c r="H242" s="590">
        <v>195800</v>
      </c>
      <c r="I242" s="21"/>
      <c r="J242" s="21"/>
      <c r="K242" s="590">
        <v>191333</v>
      </c>
      <c r="L242" s="590">
        <v>176220</v>
      </c>
      <c r="M242" s="588"/>
      <c r="N242" s="1042">
        <v>20000</v>
      </c>
      <c r="O242" s="1042">
        <v>20000</v>
      </c>
      <c r="P242" s="1042"/>
      <c r="Q242" s="1042">
        <f>SUM(R242:S242)</f>
        <v>5000</v>
      </c>
      <c r="R242" s="1042">
        <v>5000</v>
      </c>
      <c r="S242" s="1042"/>
      <c r="T242" s="21">
        <f>SUM(U242:V242)</f>
        <v>5000</v>
      </c>
      <c r="U242" s="1138">
        <v>5000</v>
      </c>
      <c r="V242" s="21"/>
      <c r="W242" s="691" t="s">
        <v>1527</v>
      </c>
      <c r="X242" s="24" t="s">
        <v>1679</v>
      </c>
      <c r="Y242" s="21">
        <v>1</v>
      </c>
      <c r="Z242" s="1042">
        <f>SUM(AA242:AB242)</f>
        <v>5000</v>
      </c>
      <c r="AA242" s="1042">
        <v>5000</v>
      </c>
      <c r="AB242" s="1042"/>
      <c r="AC242" s="1091"/>
      <c r="AD242" s="657"/>
      <c r="AE242" s="991"/>
      <c r="AF242" s="970"/>
      <c r="AG242" s="550"/>
      <c r="AH242" s="550"/>
      <c r="AI242" s="550"/>
    </row>
    <row r="243" spans="1:42" s="265" customFormat="1" ht="26.1" customHeight="1">
      <c r="A243" s="82" t="s">
        <v>499</v>
      </c>
      <c r="B243" s="197" t="s">
        <v>31</v>
      </c>
      <c r="C243" s="1031"/>
      <c r="D243" s="635"/>
      <c r="E243" s="44"/>
      <c r="F243" s="762"/>
      <c r="G243" s="45">
        <f t="shared" ref="G243:V243" si="150">G244+G249</f>
        <v>1456736</v>
      </c>
      <c r="H243" s="45">
        <f t="shared" si="150"/>
        <v>308619</v>
      </c>
      <c r="I243" s="45">
        <f t="shared" si="150"/>
        <v>379166</v>
      </c>
      <c r="J243" s="45">
        <f t="shared" si="150"/>
        <v>156196</v>
      </c>
      <c r="K243" s="45">
        <f t="shared" si="150"/>
        <v>953653</v>
      </c>
      <c r="L243" s="45">
        <f t="shared" si="150"/>
        <v>210919</v>
      </c>
      <c r="M243" s="45">
        <f t="shared" si="150"/>
        <v>0</v>
      </c>
      <c r="N243" s="1037">
        <f t="shared" si="150"/>
        <v>522311</v>
      </c>
      <c r="O243" s="1037">
        <f t="shared" si="150"/>
        <v>134737</v>
      </c>
      <c r="P243" s="1037">
        <f t="shared" si="150"/>
        <v>0</v>
      </c>
      <c r="Q243" s="1037">
        <f t="shared" si="150"/>
        <v>88500</v>
      </c>
      <c r="R243" s="1037">
        <f t="shared" si="150"/>
        <v>28500</v>
      </c>
      <c r="S243" s="1037">
        <f t="shared" si="150"/>
        <v>60000</v>
      </c>
      <c r="T243" s="45">
        <f t="shared" si="150"/>
        <v>78500</v>
      </c>
      <c r="U243" s="1128">
        <f t="shared" si="150"/>
        <v>28500</v>
      </c>
      <c r="V243" s="45">
        <f t="shared" si="150"/>
        <v>50000</v>
      </c>
      <c r="W243" s="352"/>
      <c r="X243" s="352"/>
      <c r="Y243" s="45">
        <f>Y244+Y249</f>
        <v>5</v>
      </c>
      <c r="Z243" s="1037">
        <f t="shared" ref="Z243:AB243" si="151">Z244+Z249</f>
        <v>78500</v>
      </c>
      <c r="AA243" s="1037">
        <f t="shared" si="151"/>
        <v>28500</v>
      </c>
      <c r="AB243" s="1037">
        <f t="shared" si="151"/>
        <v>50000</v>
      </c>
      <c r="AC243" s="1085"/>
      <c r="AD243" s="657"/>
      <c r="AE243" s="990"/>
      <c r="AF243" s="811"/>
      <c r="AG243" s="551"/>
      <c r="AH243" s="551"/>
      <c r="AI243" s="551"/>
    </row>
    <row r="244" spans="1:42">
      <c r="A244" s="64" t="s">
        <v>78</v>
      </c>
      <c r="B244" s="197" t="s">
        <v>79</v>
      </c>
      <c r="C244" s="700"/>
      <c r="D244" s="19"/>
      <c r="E244" s="95"/>
      <c r="F244" s="80"/>
      <c r="G244" s="199">
        <f t="shared" ref="G244:V244" si="152">SUM(G245:G248)</f>
        <v>111896</v>
      </c>
      <c r="H244" s="199">
        <f t="shared" si="152"/>
        <v>107699</v>
      </c>
      <c r="I244" s="199">
        <f t="shared" si="152"/>
        <v>69751</v>
      </c>
      <c r="J244" s="199">
        <f t="shared" si="152"/>
        <v>69751</v>
      </c>
      <c r="K244" s="199">
        <f t="shared" si="152"/>
        <v>60733</v>
      </c>
      <c r="L244" s="199">
        <f t="shared" si="152"/>
        <v>56536</v>
      </c>
      <c r="M244" s="199">
        <f t="shared" si="152"/>
        <v>0</v>
      </c>
      <c r="N244" s="1062">
        <f t="shared" si="152"/>
        <v>77167</v>
      </c>
      <c r="O244" s="1062">
        <f t="shared" si="152"/>
        <v>74737</v>
      </c>
      <c r="P244" s="1062">
        <f t="shared" si="152"/>
        <v>0</v>
      </c>
      <c r="Q244" s="1062">
        <f t="shared" si="152"/>
        <v>28500</v>
      </c>
      <c r="R244" s="1062">
        <f t="shared" si="152"/>
        <v>28500</v>
      </c>
      <c r="S244" s="1062">
        <f t="shared" si="152"/>
        <v>0</v>
      </c>
      <c r="T244" s="199">
        <f t="shared" si="152"/>
        <v>28500</v>
      </c>
      <c r="U244" s="1152">
        <f t="shared" si="152"/>
        <v>28500</v>
      </c>
      <c r="V244" s="199">
        <f t="shared" si="152"/>
        <v>0</v>
      </c>
      <c r="W244" s="732"/>
      <c r="X244" s="732"/>
      <c r="Y244" s="199">
        <f>SUM(Y245:Y248)</f>
        <v>4</v>
      </c>
      <c r="Z244" s="1062">
        <f t="shared" ref="Z244:AB244" si="153">SUM(Z245:Z248)</f>
        <v>28500</v>
      </c>
      <c r="AA244" s="1062">
        <f t="shared" si="153"/>
        <v>28500</v>
      </c>
      <c r="AB244" s="1062">
        <f t="shared" si="153"/>
        <v>0</v>
      </c>
      <c r="AC244" s="1108"/>
    </row>
    <row r="245" spans="1:42" ht="30">
      <c r="A245" s="97" t="s">
        <v>27</v>
      </c>
      <c r="B245" s="68" t="s">
        <v>500</v>
      </c>
      <c r="C245" s="80" t="s">
        <v>112</v>
      </c>
      <c r="D245" s="19" t="s">
        <v>501</v>
      </c>
      <c r="E245" s="70" t="s">
        <v>235</v>
      </c>
      <c r="F245" s="80" t="s">
        <v>502</v>
      </c>
      <c r="G245" s="21">
        <v>101712</v>
      </c>
      <c r="H245" s="21">
        <v>101712</v>
      </c>
      <c r="I245" s="21">
        <f>51024+18000</f>
        <v>69024</v>
      </c>
      <c r="J245" s="21">
        <f>51024+18000</f>
        <v>69024</v>
      </c>
      <c r="K245" s="21">
        <f>+G245-51024</f>
        <v>50688</v>
      </c>
      <c r="L245" s="21">
        <f>H245-51024</f>
        <v>50688</v>
      </c>
      <c r="M245" s="21"/>
      <c r="N245" s="1043">
        <v>69712</v>
      </c>
      <c r="O245" s="1043">
        <v>69712</v>
      </c>
      <c r="P245" s="1043"/>
      <c r="Q245" s="1043">
        <v>23475</v>
      </c>
      <c r="R245" s="1043">
        <v>23475</v>
      </c>
      <c r="S245" s="1043"/>
      <c r="T245" s="73">
        <f>SUM(U245:V245)</f>
        <v>23475</v>
      </c>
      <c r="U245" s="1133">
        <v>23475</v>
      </c>
      <c r="V245" s="81"/>
      <c r="W245" s="729" t="s">
        <v>1556</v>
      </c>
      <c r="X245" s="24"/>
      <c r="Y245" s="81">
        <v>1</v>
      </c>
      <c r="Z245" s="965">
        <f>SUM(AA245:AB245)</f>
        <v>23475</v>
      </c>
      <c r="AA245" s="1043">
        <v>23475</v>
      </c>
      <c r="AB245" s="1043"/>
      <c r="AC245" s="1092"/>
    </row>
    <row r="246" spans="1:42" ht="25.5">
      <c r="A246" s="97" t="s">
        <v>41</v>
      </c>
      <c r="B246" s="68" t="s">
        <v>503</v>
      </c>
      <c r="C246" s="80" t="s">
        <v>29</v>
      </c>
      <c r="D246" s="19" t="s">
        <v>504</v>
      </c>
      <c r="E246" s="70"/>
      <c r="F246" s="80" t="s">
        <v>505</v>
      </c>
      <c r="G246" s="21">
        <v>2762</v>
      </c>
      <c r="H246" s="21">
        <f>+G246</f>
        <v>2762</v>
      </c>
      <c r="I246" s="21">
        <f>157+570</f>
        <v>727</v>
      </c>
      <c r="J246" s="21">
        <f>157+570</f>
        <v>727</v>
      </c>
      <c r="K246" s="21">
        <f>L246</f>
        <v>2623</v>
      </c>
      <c r="L246" s="21">
        <f>+G246-139</f>
        <v>2623</v>
      </c>
      <c r="M246" s="21"/>
      <c r="N246" s="1043">
        <v>1800</v>
      </c>
      <c r="O246" s="1043">
        <v>1800</v>
      </c>
      <c r="P246" s="1043"/>
      <c r="Q246" s="1043">
        <v>1800</v>
      </c>
      <c r="R246" s="1043">
        <v>1800</v>
      </c>
      <c r="S246" s="1043"/>
      <c r="T246" s="73">
        <f>SUM(U246:V246)</f>
        <v>1800</v>
      </c>
      <c r="U246" s="1133">
        <v>1800</v>
      </c>
      <c r="V246" s="81"/>
      <c r="W246" s="729" t="s">
        <v>1555</v>
      </c>
      <c r="X246" s="24"/>
      <c r="Y246" s="81">
        <v>1</v>
      </c>
      <c r="Z246" s="965">
        <f>SUM(AA246:AB246)</f>
        <v>1800</v>
      </c>
      <c r="AA246" s="1043">
        <v>1800</v>
      </c>
      <c r="AB246" s="1043"/>
      <c r="AC246" s="1092"/>
    </row>
    <row r="247" spans="1:42" ht="25.5">
      <c r="A247" s="97" t="s">
        <v>58</v>
      </c>
      <c r="B247" s="68" t="s">
        <v>510</v>
      </c>
      <c r="C247" s="80" t="s">
        <v>66</v>
      </c>
      <c r="D247" s="19" t="s">
        <v>511</v>
      </c>
      <c r="E247" s="70" t="s">
        <v>45</v>
      </c>
      <c r="F247" s="80" t="s">
        <v>512</v>
      </c>
      <c r="G247" s="205">
        <v>2492</v>
      </c>
      <c r="H247" s="205">
        <v>725</v>
      </c>
      <c r="I247" s="21"/>
      <c r="J247" s="21"/>
      <c r="K247" s="205">
        <f>+G247</f>
        <v>2492</v>
      </c>
      <c r="L247" s="205">
        <f>+H247</f>
        <v>725</v>
      </c>
      <c r="M247" s="21"/>
      <c r="N247" s="1043">
        <v>725</v>
      </c>
      <c r="O247" s="1043">
        <v>725</v>
      </c>
      <c r="P247" s="1043"/>
      <c r="Q247" s="1043">
        <v>725</v>
      </c>
      <c r="R247" s="1043">
        <v>725</v>
      </c>
      <c r="S247" s="1043"/>
      <c r="T247" s="73">
        <f>SUM(U247:V247)</f>
        <v>725</v>
      </c>
      <c r="U247" s="1133">
        <v>725</v>
      </c>
      <c r="V247" s="81"/>
      <c r="W247" s="729" t="s">
        <v>1526</v>
      </c>
      <c r="X247" s="24"/>
      <c r="Y247" s="81">
        <v>1</v>
      </c>
      <c r="Z247" s="965">
        <f>SUM(AA247:AB247)</f>
        <v>725</v>
      </c>
      <c r="AA247" s="1043">
        <v>725</v>
      </c>
      <c r="AB247" s="1043"/>
      <c r="AC247" s="1092"/>
    </row>
    <row r="248" spans="1:42" ht="25.5">
      <c r="A248" s="97" t="s">
        <v>64</v>
      </c>
      <c r="B248" s="68" t="s">
        <v>513</v>
      </c>
      <c r="C248" s="80" t="s">
        <v>5</v>
      </c>
      <c r="D248" s="19" t="s">
        <v>514</v>
      </c>
      <c r="E248" s="70" t="s">
        <v>94</v>
      </c>
      <c r="F248" s="80" t="s">
        <v>515</v>
      </c>
      <c r="G248" s="205">
        <v>4930</v>
      </c>
      <c r="H248" s="205">
        <v>2500</v>
      </c>
      <c r="I248" s="21"/>
      <c r="J248" s="21"/>
      <c r="K248" s="205">
        <v>4930</v>
      </c>
      <c r="L248" s="205">
        <v>2500</v>
      </c>
      <c r="M248" s="21"/>
      <c r="N248" s="1043">
        <v>4930</v>
      </c>
      <c r="O248" s="1043">
        <v>2500</v>
      </c>
      <c r="P248" s="1043"/>
      <c r="Q248" s="1043">
        <v>2500</v>
      </c>
      <c r="R248" s="1043">
        <v>2500</v>
      </c>
      <c r="S248" s="1043"/>
      <c r="T248" s="73">
        <f>SUM(U248:V248)</f>
        <v>2500</v>
      </c>
      <c r="U248" s="1133">
        <v>2500</v>
      </c>
      <c r="V248" s="81"/>
      <c r="W248" s="729" t="s">
        <v>1521</v>
      </c>
      <c r="X248" s="24"/>
      <c r="Y248" s="81">
        <v>1</v>
      </c>
      <c r="Z248" s="965">
        <f>SUM(AA248:AB248)</f>
        <v>2500</v>
      </c>
      <c r="AA248" s="1043">
        <v>2500</v>
      </c>
      <c r="AB248" s="1043"/>
      <c r="AC248" s="1092"/>
    </row>
    <row r="249" spans="1:42" s="51" customFormat="1" ht="36" customHeight="1">
      <c r="A249" s="64" t="s">
        <v>116</v>
      </c>
      <c r="B249" s="197" t="s">
        <v>516</v>
      </c>
      <c r="C249" s="89"/>
      <c r="D249" s="13"/>
      <c r="E249" s="14"/>
      <c r="F249" s="89"/>
      <c r="G249" s="33">
        <f t="shared" ref="G249:V249" si="154">SUM(G250:G250)</f>
        <v>1344840</v>
      </c>
      <c r="H249" s="33">
        <f t="shared" si="154"/>
        <v>200920</v>
      </c>
      <c r="I249" s="33">
        <f t="shared" si="154"/>
        <v>309415</v>
      </c>
      <c r="J249" s="33">
        <f t="shared" si="154"/>
        <v>86445</v>
      </c>
      <c r="K249" s="33">
        <f t="shared" si="154"/>
        <v>892920</v>
      </c>
      <c r="L249" s="33">
        <f t="shared" si="154"/>
        <v>154383</v>
      </c>
      <c r="M249" s="33">
        <f t="shared" si="154"/>
        <v>0</v>
      </c>
      <c r="N249" s="1050">
        <f t="shared" si="154"/>
        <v>445144</v>
      </c>
      <c r="O249" s="1050">
        <f t="shared" si="154"/>
        <v>60000</v>
      </c>
      <c r="P249" s="1050">
        <f t="shared" si="154"/>
        <v>0</v>
      </c>
      <c r="Q249" s="1050">
        <f t="shared" si="154"/>
        <v>60000</v>
      </c>
      <c r="R249" s="1050">
        <f t="shared" si="154"/>
        <v>0</v>
      </c>
      <c r="S249" s="1050">
        <f t="shared" si="154"/>
        <v>60000</v>
      </c>
      <c r="T249" s="33">
        <f t="shared" si="154"/>
        <v>50000</v>
      </c>
      <c r="U249" s="1141">
        <f t="shared" si="154"/>
        <v>0</v>
      </c>
      <c r="V249" s="33">
        <f t="shared" si="154"/>
        <v>50000</v>
      </c>
      <c r="W249" s="699"/>
      <c r="X249" s="699"/>
      <c r="Y249" s="33">
        <f>SUM(Y250:Y250)</f>
        <v>1</v>
      </c>
      <c r="Z249" s="1050">
        <f t="shared" ref="Z249:AB249" si="155">SUM(Z250:Z250)</f>
        <v>50000</v>
      </c>
      <c r="AA249" s="1050">
        <f t="shared" si="155"/>
        <v>0</v>
      </c>
      <c r="AB249" s="1050">
        <f t="shared" si="155"/>
        <v>50000</v>
      </c>
      <c r="AC249" s="1098"/>
      <c r="AD249" s="660"/>
      <c r="AE249" s="990"/>
      <c r="AF249" s="976"/>
      <c r="AG249" s="552"/>
      <c r="AH249" s="552"/>
      <c r="AI249" s="552"/>
    </row>
    <row r="250" spans="1:42" s="270" customFormat="1" ht="30">
      <c r="A250" s="97" t="s">
        <v>27</v>
      </c>
      <c r="B250" s="68" t="s">
        <v>1585</v>
      </c>
      <c r="C250" s="80" t="s">
        <v>29</v>
      </c>
      <c r="D250" s="19" t="s">
        <v>1178</v>
      </c>
      <c r="E250" s="70" t="s">
        <v>1179</v>
      </c>
      <c r="F250" s="80" t="s">
        <v>1180</v>
      </c>
      <c r="G250" s="21">
        <v>1344840</v>
      </c>
      <c r="H250" s="21">
        <v>200920</v>
      </c>
      <c r="I250" s="21">
        <f>J250+5000+23000+25000+10000+25000+10000+124970</f>
        <v>309415</v>
      </c>
      <c r="J250" s="21">
        <f>623+19438+5500+60000+884</f>
        <v>86445</v>
      </c>
      <c r="K250" s="21">
        <v>892920</v>
      </c>
      <c r="L250" s="21">
        <v>154383</v>
      </c>
      <c r="M250" s="588"/>
      <c r="N250" s="1042">
        <v>445144</v>
      </c>
      <c r="O250" s="1042">
        <v>60000</v>
      </c>
      <c r="P250" s="1193"/>
      <c r="Q250" s="1042">
        <v>60000</v>
      </c>
      <c r="R250" s="1042"/>
      <c r="S250" s="1042">
        <v>60000</v>
      </c>
      <c r="T250" s="73">
        <f>SUM(U250:V250)</f>
        <v>50000</v>
      </c>
      <c r="U250" s="1138"/>
      <c r="V250" s="21">
        <v>50000</v>
      </c>
      <c r="W250" s="729" t="s">
        <v>1555</v>
      </c>
      <c r="X250" s="24" t="s">
        <v>1679</v>
      </c>
      <c r="Y250" s="21">
        <v>1</v>
      </c>
      <c r="Z250" s="965">
        <f>SUM(AA250:AB250)</f>
        <v>50000</v>
      </c>
      <c r="AA250" s="1042"/>
      <c r="AB250" s="1042">
        <v>50000</v>
      </c>
      <c r="AC250" s="1091"/>
      <c r="AD250" s="657"/>
      <c r="AE250" s="991"/>
      <c r="AF250" s="970"/>
      <c r="AG250" s="550"/>
      <c r="AH250" s="550"/>
      <c r="AI250" s="550"/>
    </row>
    <row r="251" spans="1:42" s="623" customFormat="1" ht="23.25" customHeight="1">
      <c r="A251" s="630" t="s">
        <v>806</v>
      </c>
      <c r="B251" s="618" t="s">
        <v>1148</v>
      </c>
      <c r="C251" s="690"/>
      <c r="D251" s="625"/>
      <c r="E251" s="626"/>
      <c r="F251" s="690"/>
      <c r="G251" s="636">
        <f t="shared" ref="G251:V251" si="156">SUM(G252,G255)</f>
        <v>180996</v>
      </c>
      <c r="H251" s="636">
        <f t="shared" si="156"/>
        <v>113936.6</v>
      </c>
      <c r="I251" s="636">
        <f t="shared" si="156"/>
        <v>34432</v>
      </c>
      <c r="J251" s="636">
        <f t="shared" si="156"/>
        <v>32752</v>
      </c>
      <c r="K251" s="636">
        <f t="shared" si="156"/>
        <v>477290.4</v>
      </c>
      <c r="L251" s="636">
        <f t="shared" si="156"/>
        <v>368209.6</v>
      </c>
      <c r="M251" s="636">
        <f t="shared" si="156"/>
        <v>0</v>
      </c>
      <c r="N251" s="1063">
        <f t="shared" si="156"/>
        <v>95755.3</v>
      </c>
      <c r="O251" s="1063">
        <f t="shared" si="156"/>
        <v>49261</v>
      </c>
      <c r="P251" s="1063">
        <f t="shared" si="156"/>
        <v>0</v>
      </c>
      <c r="Q251" s="1063">
        <f t="shared" si="156"/>
        <v>45665</v>
      </c>
      <c r="R251" s="1063">
        <f t="shared" si="156"/>
        <v>0</v>
      </c>
      <c r="S251" s="1063">
        <f t="shared" si="156"/>
        <v>45665</v>
      </c>
      <c r="T251" s="636">
        <f t="shared" si="156"/>
        <v>52568</v>
      </c>
      <c r="U251" s="1153">
        <f t="shared" si="156"/>
        <v>0</v>
      </c>
      <c r="V251" s="636">
        <f t="shared" si="156"/>
        <v>52568</v>
      </c>
      <c r="W251" s="690"/>
      <c r="X251" s="690"/>
      <c r="Y251" s="636">
        <f>SUM(Y252,Y255)</f>
        <v>17</v>
      </c>
      <c r="Z251" s="1063">
        <f t="shared" ref="Z251:AB251" si="157">SUM(Z252,Z255)</f>
        <v>45665</v>
      </c>
      <c r="AA251" s="1063">
        <f t="shared" si="157"/>
        <v>0</v>
      </c>
      <c r="AB251" s="1063">
        <f t="shared" si="157"/>
        <v>45665</v>
      </c>
      <c r="AC251" s="1109"/>
      <c r="AD251" s="659">
        <f>+V251-V253-V254-V259-V266-V267-V268-V269-V270-V271</f>
        <v>35465</v>
      </c>
      <c r="AE251" s="998"/>
      <c r="AF251" s="983"/>
      <c r="AG251" s="637"/>
      <c r="AH251" s="637"/>
      <c r="AI251" s="637"/>
      <c r="AJ251" s="638"/>
      <c r="AK251" s="637"/>
      <c r="AL251" s="637"/>
      <c r="AM251" s="637"/>
      <c r="AN251" s="637"/>
      <c r="AO251" s="637"/>
      <c r="AP251" s="637"/>
    </row>
    <row r="252" spans="1:42" s="266" customFormat="1">
      <c r="A252" s="82" t="s">
        <v>525</v>
      </c>
      <c r="B252" s="65" t="s">
        <v>26</v>
      </c>
      <c r="C252" s="352"/>
      <c r="D252" s="350"/>
      <c r="E252" s="351"/>
      <c r="F252" s="352"/>
      <c r="G252" s="45">
        <f t="shared" ref="G252:V252" si="158">SUM(G253:G254)</f>
        <v>0</v>
      </c>
      <c r="H252" s="45">
        <f t="shared" si="158"/>
        <v>0</v>
      </c>
      <c r="I252" s="45">
        <f t="shared" si="158"/>
        <v>0</v>
      </c>
      <c r="J252" s="45">
        <f t="shared" si="158"/>
        <v>0</v>
      </c>
      <c r="K252" s="45">
        <f t="shared" si="158"/>
        <v>308000</v>
      </c>
      <c r="L252" s="45">
        <f t="shared" si="158"/>
        <v>263000</v>
      </c>
      <c r="M252" s="45">
        <f t="shared" si="158"/>
        <v>0</v>
      </c>
      <c r="N252" s="1037">
        <f t="shared" si="158"/>
        <v>1000</v>
      </c>
      <c r="O252" s="1037">
        <f t="shared" si="158"/>
        <v>1000</v>
      </c>
      <c r="P252" s="1037">
        <f t="shared" si="158"/>
        <v>0</v>
      </c>
      <c r="Q252" s="1037">
        <f t="shared" si="158"/>
        <v>1000</v>
      </c>
      <c r="R252" s="1037">
        <f t="shared" si="158"/>
        <v>0</v>
      </c>
      <c r="S252" s="1037">
        <f t="shared" si="158"/>
        <v>1000</v>
      </c>
      <c r="T252" s="45">
        <f t="shared" si="158"/>
        <v>1000</v>
      </c>
      <c r="U252" s="1128">
        <f t="shared" si="158"/>
        <v>0</v>
      </c>
      <c r="V252" s="45">
        <f t="shared" si="158"/>
        <v>1000</v>
      </c>
      <c r="W252" s="352"/>
      <c r="X252" s="352"/>
      <c r="Y252" s="45">
        <f>SUM(Y253:Y254)</f>
        <v>2</v>
      </c>
      <c r="Z252" s="1037">
        <f t="shared" ref="Z252:AB252" si="159">SUM(Z253:Z254)</f>
        <v>1000</v>
      </c>
      <c r="AA252" s="1037">
        <f t="shared" si="159"/>
        <v>0</v>
      </c>
      <c r="AB252" s="1037">
        <f t="shared" si="159"/>
        <v>1000</v>
      </c>
      <c r="AC252" s="1085"/>
      <c r="AD252" s="657"/>
      <c r="AE252" s="990"/>
      <c r="AF252" s="811"/>
      <c r="AG252" s="551"/>
      <c r="AH252" s="551"/>
      <c r="AI252" s="551"/>
      <c r="AK252" s="265"/>
      <c r="AL252" s="265"/>
      <c r="AM252" s="265"/>
      <c r="AN252" s="265"/>
      <c r="AO252" s="265"/>
      <c r="AP252" s="265"/>
    </row>
    <row r="253" spans="1:42" s="54" customFormat="1" ht="63.75">
      <c r="A253" s="97" t="s">
        <v>27</v>
      </c>
      <c r="B253" s="68" t="s">
        <v>592</v>
      </c>
      <c r="C253" s="100" t="s">
        <v>29</v>
      </c>
      <c r="D253" s="19" t="s">
        <v>593</v>
      </c>
      <c r="E253" s="95" t="s">
        <v>355</v>
      </c>
      <c r="F253" s="80"/>
      <c r="G253" s="71"/>
      <c r="H253" s="71"/>
      <c r="I253" s="175"/>
      <c r="J253" s="23"/>
      <c r="K253" s="71">
        <v>50000</v>
      </c>
      <c r="L253" s="71">
        <v>5000</v>
      </c>
      <c r="M253" s="23"/>
      <c r="N253" s="1069">
        <v>500</v>
      </c>
      <c r="O253" s="1069">
        <v>500</v>
      </c>
      <c r="P253" s="1198"/>
      <c r="Q253" s="1069">
        <f>SUM(R253:S253)</f>
        <v>500</v>
      </c>
      <c r="R253" s="1069"/>
      <c r="S253" s="1069">
        <v>500</v>
      </c>
      <c r="T253" s="73">
        <f>SUM(U253:V253)</f>
        <v>500</v>
      </c>
      <c r="U253" s="595"/>
      <c r="V253" s="175">
        <v>500</v>
      </c>
      <c r="W253" s="100" t="s">
        <v>1557</v>
      </c>
      <c r="X253" s="744" t="s">
        <v>1078</v>
      </c>
      <c r="Y253" s="175">
        <v>1</v>
      </c>
      <c r="Z253" s="965">
        <f>SUM(AA253:AB253)</f>
        <v>500</v>
      </c>
      <c r="AA253" s="1069"/>
      <c r="AB253" s="1069">
        <v>500</v>
      </c>
      <c r="AC253" s="1114"/>
      <c r="AD253" s="657"/>
      <c r="AE253" s="990"/>
      <c r="AF253" s="811"/>
      <c r="AG253" s="551"/>
      <c r="AH253" s="551"/>
      <c r="AI253" s="551"/>
      <c r="AK253" s="57"/>
      <c r="AL253" s="57"/>
      <c r="AM253" s="57"/>
      <c r="AN253" s="57"/>
      <c r="AO253" s="57"/>
      <c r="AP253" s="57"/>
    </row>
    <row r="254" spans="1:42" s="54" customFormat="1" ht="38.25">
      <c r="A254" s="97" t="s">
        <v>41</v>
      </c>
      <c r="B254" s="68" t="s">
        <v>594</v>
      </c>
      <c r="C254" s="100" t="s">
        <v>29</v>
      </c>
      <c r="D254" s="19" t="s">
        <v>595</v>
      </c>
      <c r="E254" s="95" t="s">
        <v>355</v>
      </c>
      <c r="F254" s="80"/>
      <c r="G254" s="71"/>
      <c r="H254" s="71"/>
      <c r="I254" s="175"/>
      <c r="J254" s="23"/>
      <c r="K254" s="71">
        <v>258000</v>
      </c>
      <c r="L254" s="71">
        <v>258000</v>
      </c>
      <c r="M254" s="23"/>
      <c r="N254" s="1069">
        <v>500</v>
      </c>
      <c r="O254" s="1069">
        <v>500</v>
      </c>
      <c r="P254" s="1198"/>
      <c r="Q254" s="1069">
        <f>SUM(R254:S254)</f>
        <v>500</v>
      </c>
      <c r="R254" s="1069"/>
      <c r="S254" s="1069">
        <v>500</v>
      </c>
      <c r="T254" s="73">
        <f>SUM(U254:V254)</f>
        <v>500</v>
      </c>
      <c r="U254" s="595"/>
      <c r="V254" s="175">
        <v>500</v>
      </c>
      <c r="W254" s="100" t="s">
        <v>1557</v>
      </c>
      <c r="X254" s="744" t="s">
        <v>1079</v>
      </c>
      <c r="Y254" s="175">
        <v>1</v>
      </c>
      <c r="Z254" s="965">
        <f>SUM(AA254:AB254)</f>
        <v>500</v>
      </c>
      <c r="AA254" s="1069"/>
      <c r="AB254" s="1069">
        <v>500</v>
      </c>
      <c r="AC254" s="1114"/>
      <c r="AD254" s="657"/>
      <c r="AE254" s="990"/>
      <c r="AF254" s="811"/>
      <c r="AG254" s="551"/>
      <c r="AH254" s="551"/>
      <c r="AI254" s="551"/>
      <c r="AK254" s="57"/>
      <c r="AL254" s="57"/>
      <c r="AM254" s="57"/>
      <c r="AN254" s="57"/>
      <c r="AO254" s="57"/>
      <c r="AP254" s="57"/>
    </row>
    <row r="255" spans="1:42" s="266" customFormat="1">
      <c r="A255" s="82" t="s">
        <v>499</v>
      </c>
      <c r="B255" s="197" t="s">
        <v>31</v>
      </c>
      <c r="C255" s="1031"/>
      <c r="D255" s="635"/>
      <c r="E255" s="44"/>
      <c r="F255" s="762"/>
      <c r="G255" s="45">
        <f t="shared" ref="G255:V255" si="160">SUM(G256,G258,G265)</f>
        <v>180996</v>
      </c>
      <c r="H255" s="45">
        <f t="shared" si="160"/>
        <v>113936.6</v>
      </c>
      <c r="I255" s="45">
        <f t="shared" si="160"/>
        <v>34432</v>
      </c>
      <c r="J255" s="45">
        <f t="shared" si="160"/>
        <v>32752</v>
      </c>
      <c r="K255" s="45">
        <f t="shared" si="160"/>
        <v>169290.40000000002</v>
      </c>
      <c r="L255" s="45">
        <f t="shared" si="160"/>
        <v>105209.60000000001</v>
      </c>
      <c r="M255" s="45">
        <f t="shared" si="160"/>
        <v>0</v>
      </c>
      <c r="N255" s="1037">
        <f t="shared" si="160"/>
        <v>94755.3</v>
      </c>
      <c r="O255" s="1037">
        <f t="shared" si="160"/>
        <v>48261</v>
      </c>
      <c r="P255" s="1037">
        <f t="shared" si="160"/>
        <v>0</v>
      </c>
      <c r="Q255" s="1037">
        <f t="shared" si="160"/>
        <v>44665</v>
      </c>
      <c r="R255" s="1037">
        <f t="shared" si="160"/>
        <v>0</v>
      </c>
      <c r="S255" s="1037">
        <f t="shared" si="160"/>
        <v>44665</v>
      </c>
      <c r="T255" s="45">
        <f t="shared" si="160"/>
        <v>51568</v>
      </c>
      <c r="U255" s="1128">
        <f t="shared" si="160"/>
        <v>0</v>
      </c>
      <c r="V255" s="45">
        <f t="shared" si="160"/>
        <v>51568</v>
      </c>
      <c r="W255" s="352"/>
      <c r="X255" s="352"/>
      <c r="Y255" s="45">
        <f>SUM(Y256,Y258,Y265)</f>
        <v>15</v>
      </c>
      <c r="Z255" s="1037">
        <f t="shared" ref="Z255:AB255" si="161">SUM(Z256,Z258,Z265)</f>
        <v>44665</v>
      </c>
      <c r="AA255" s="1037">
        <f t="shared" si="161"/>
        <v>0</v>
      </c>
      <c r="AB255" s="1037">
        <f t="shared" si="161"/>
        <v>44665</v>
      </c>
      <c r="AC255" s="1085"/>
      <c r="AD255" s="657"/>
      <c r="AE255" s="990"/>
      <c r="AF255" s="811"/>
      <c r="AG255" s="551"/>
      <c r="AH255" s="551"/>
      <c r="AI255" s="551"/>
      <c r="AK255" s="265"/>
      <c r="AL255" s="265"/>
      <c r="AM255" s="265"/>
      <c r="AN255" s="265"/>
      <c r="AO255" s="265"/>
      <c r="AP255" s="265"/>
    </row>
    <row r="256" spans="1:42" s="54" customFormat="1" ht="28.5">
      <c r="A256" s="158" t="s">
        <v>32</v>
      </c>
      <c r="B256" s="159" t="s">
        <v>33</v>
      </c>
      <c r="C256" s="699"/>
      <c r="D256" s="160"/>
      <c r="E256" s="161"/>
      <c r="F256" s="699"/>
      <c r="G256" s="90">
        <f t="shared" ref="G256:V256" si="162">G257</f>
        <v>17604</v>
      </c>
      <c r="H256" s="90">
        <f t="shared" si="162"/>
        <v>6223</v>
      </c>
      <c r="I256" s="90">
        <f t="shared" si="162"/>
        <v>4692</v>
      </c>
      <c r="J256" s="90">
        <f t="shared" si="162"/>
        <v>3972</v>
      </c>
      <c r="K256" s="90">
        <f t="shared" si="162"/>
        <v>12912</v>
      </c>
      <c r="L256" s="90">
        <f t="shared" si="162"/>
        <v>2251</v>
      </c>
      <c r="M256" s="90">
        <f t="shared" si="162"/>
        <v>0</v>
      </c>
      <c r="N256" s="1038">
        <f t="shared" si="162"/>
        <v>12900</v>
      </c>
      <c r="O256" s="1038">
        <f t="shared" si="162"/>
        <v>2250</v>
      </c>
      <c r="P256" s="1038">
        <f t="shared" si="162"/>
        <v>0</v>
      </c>
      <c r="Q256" s="1038">
        <f t="shared" si="162"/>
        <v>2250</v>
      </c>
      <c r="R256" s="1038">
        <f t="shared" si="162"/>
        <v>0</v>
      </c>
      <c r="S256" s="1038">
        <f t="shared" si="162"/>
        <v>2250</v>
      </c>
      <c r="T256" s="90">
        <f t="shared" si="162"/>
        <v>2250</v>
      </c>
      <c r="U256" s="1130">
        <f t="shared" si="162"/>
        <v>0</v>
      </c>
      <c r="V256" s="90">
        <f t="shared" si="162"/>
        <v>2250</v>
      </c>
      <c r="W256" s="699"/>
      <c r="X256" s="699"/>
      <c r="Y256" s="90">
        <f>Y257</f>
        <v>1</v>
      </c>
      <c r="Z256" s="1038">
        <f t="shared" ref="Z256:AB256" si="163">Z257</f>
        <v>2250</v>
      </c>
      <c r="AA256" s="1038">
        <f t="shared" si="163"/>
        <v>0</v>
      </c>
      <c r="AB256" s="1038">
        <f t="shared" si="163"/>
        <v>2250</v>
      </c>
      <c r="AC256" s="1087"/>
      <c r="AD256" s="657"/>
      <c r="AE256" s="990"/>
      <c r="AF256" s="811"/>
      <c r="AG256" s="551"/>
      <c r="AH256" s="551"/>
      <c r="AI256" s="551"/>
      <c r="AK256" s="57"/>
      <c r="AL256" s="57"/>
      <c r="AM256" s="57"/>
      <c r="AN256" s="57"/>
      <c r="AO256" s="57"/>
      <c r="AP256" s="57"/>
    </row>
    <row r="257" spans="1:42" s="54" customFormat="1" ht="30">
      <c r="A257" s="97" t="s">
        <v>27</v>
      </c>
      <c r="B257" s="68" t="s">
        <v>596</v>
      </c>
      <c r="C257" s="100" t="s">
        <v>112</v>
      </c>
      <c r="D257" s="19" t="s">
        <v>597</v>
      </c>
      <c r="E257" s="70" t="s">
        <v>114</v>
      </c>
      <c r="F257" s="80" t="s">
        <v>598</v>
      </c>
      <c r="G257" s="23">
        <v>17604</v>
      </c>
      <c r="H257" s="23">
        <v>6223</v>
      </c>
      <c r="I257" s="175">
        <f>J257+720</f>
        <v>4692</v>
      </c>
      <c r="J257" s="23">
        <f>3972</f>
        <v>3972</v>
      </c>
      <c r="K257" s="175">
        <f>G257-I257</f>
        <v>12912</v>
      </c>
      <c r="L257" s="175">
        <f>H257-J257</f>
        <v>2251</v>
      </c>
      <c r="M257" s="23"/>
      <c r="N257" s="1069">
        <v>12900</v>
      </c>
      <c r="O257" s="1069">
        <v>2250</v>
      </c>
      <c r="P257" s="1198"/>
      <c r="Q257" s="1069">
        <f>SUM(R257:S257)</f>
        <v>2250</v>
      </c>
      <c r="R257" s="1069"/>
      <c r="S257" s="1069">
        <v>2250</v>
      </c>
      <c r="T257" s="73">
        <f>SUM(U257:V257)</f>
        <v>2250</v>
      </c>
      <c r="U257" s="595"/>
      <c r="V257" s="175">
        <v>2250</v>
      </c>
      <c r="W257" s="100" t="s">
        <v>1529</v>
      </c>
      <c r="X257" s="24"/>
      <c r="Y257" s="175">
        <v>1</v>
      </c>
      <c r="Z257" s="965">
        <f>SUM(AA257:AB257)</f>
        <v>2250</v>
      </c>
      <c r="AA257" s="1069"/>
      <c r="AB257" s="1069">
        <v>2250</v>
      </c>
      <c r="AC257" s="1114"/>
      <c r="AD257" s="657"/>
      <c r="AE257" s="996">
        <f>V257</f>
        <v>2250</v>
      </c>
      <c r="AF257" s="811"/>
      <c r="AG257" s="551"/>
      <c r="AH257" s="551"/>
      <c r="AI257" s="551"/>
      <c r="AK257" s="57"/>
      <c r="AL257" s="57"/>
      <c r="AM257" s="57"/>
      <c r="AN257" s="57"/>
      <c r="AO257" s="57"/>
      <c r="AP257" s="57"/>
    </row>
    <row r="258" spans="1:42" s="54" customFormat="1" ht="28.5" customHeight="1">
      <c r="A258" s="64" t="s">
        <v>78</v>
      </c>
      <c r="B258" s="197" t="s">
        <v>611</v>
      </c>
      <c r="C258" s="700"/>
      <c r="D258" s="19"/>
      <c r="E258" s="95"/>
      <c r="F258" s="80"/>
      <c r="G258" s="199">
        <f t="shared" ref="G258:V258" si="164">SUM(G259:G264)</f>
        <v>67045</v>
      </c>
      <c r="H258" s="199">
        <f t="shared" si="164"/>
        <v>41597</v>
      </c>
      <c r="I258" s="199">
        <f t="shared" si="164"/>
        <v>28660</v>
      </c>
      <c r="J258" s="199">
        <f t="shared" si="164"/>
        <v>27700</v>
      </c>
      <c r="K258" s="199">
        <f t="shared" si="164"/>
        <v>61068.3</v>
      </c>
      <c r="L258" s="199">
        <f t="shared" si="164"/>
        <v>36397</v>
      </c>
      <c r="M258" s="199">
        <f t="shared" si="164"/>
        <v>0</v>
      </c>
      <c r="N258" s="1062">
        <f t="shared" si="164"/>
        <v>38568.300000000003</v>
      </c>
      <c r="O258" s="1062">
        <f t="shared" si="164"/>
        <v>13897</v>
      </c>
      <c r="P258" s="1062">
        <f t="shared" si="164"/>
        <v>0</v>
      </c>
      <c r="Q258" s="1062">
        <f t="shared" si="164"/>
        <v>11000</v>
      </c>
      <c r="R258" s="1062">
        <f t="shared" si="164"/>
        <v>0</v>
      </c>
      <c r="S258" s="1062">
        <f t="shared" si="164"/>
        <v>11000</v>
      </c>
      <c r="T258" s="199">
        <f t="shared" si="164"/>
        <v>11000</v>
      </c>
      <c r="U258" s="1152">
        <f t="shared" si="164"/>
        <v>0</v>
      </c>
      <c r="V258" s="199">
        <f t="shared" si="164"/>
        <v>11000</v>
      </c>
      <c r="W258" s="732"/>
      <c r="X258" s="732"/>
      <c r="Y258" s="199">
        <f>SUM(Y259:Y264)</f>
        <v>6</v>
      </c>
      <c r="Z258" s="1062">
        <f t="shared" ref="Z258:AB258" si="165">SUM(Z259:Z264)</f>
        <v>11000</v>
      </c>
      <c r="AA258" s="1062">
        <f t="shared" si="165"/>
        <v>0</v>
      </c>
      <c r="AB258" s="1062">
        <f t="shared" si="165"/>
        <v>11000</v>
      </c>
      <c r="AC258" s="1108"/>
      <c r="AD258" s="657"/>
      <c r="AE258" s="990"/>
      <c r="AF258" s="811"/>
      <c r="AG258" s="551"/>
      <c r="AH258" s="551"/>
      <c r="AI258" s="551"/>
      <c r="AK258" s="57"/>
      <c r="AL258" s="57"/>
      <c r="AM258" s="57"/>
      <c r="AN258" s="57"/>
      <c r="AO258" s="57"/>
      <c r="AP258" s="57"/>
    </row>
    <row r="259" spans="1:42" s="54" customFormat="1" ht="30">
      <c r="A259" s="97" t="s">
        <v>27</v>
      </c>
      <c r="B259" s="68" t="s">
        <v>612</v>
      </c>
      <c r="C259" s="100" t="s">
        <v>66</v>
      </c>
      <c r="D259" s="19" t="s">
        <v>613</v>
      </c>
      <c r="E259" s="70" t="s">
        <v>114</v>
      </c>
      <c r="F259" s="80" t="s">
        <v>614</v>
      </c>
      <c r="G259" s="23">
        <v>14856</v>
      </c>
      <c r="H259" s="23">
        <v>14856</v>
      </c>
      <c r="I259" s="175">
        <f>J259</f>
        <v>11200</v>
      </c>
      <c r="J259" s="23">
        <f>5200+6000</f>
        <v>11200</v>
      </c>
      <c r="K259" s="23">
        <f>G259-5200</f>
        <v>9656</v>
      </c>
      <c r="L259" s="23">
        <f>H259-5200</f>
        <v>9656</v>
      </c>
      <c r="M259" s="23"/>
      <c r="N259" s="1069">
        <v>3656</v>
      </c>
      <c r="O259" s="1069">
        <v>3656</v>
      </c>
      <c r="P259" s="1198"/>
      <c r="Q259" s="1069">
        <f t="shared" ref="Q259:Q264" si="166">SUM(R259:S259)</f>
        <v>2200</v>
      </c>
      <c r="R259" s="1069"/>
      <c r="S259" s="1069">
        <v>2200</v>
      </c>
      <c r="T259" s="73">
        <f t="shared" ref="T259:T264" si="167">SUM(U259:V259)</f>
        <v>2200</v>
      </c>
      <c r="U259" s="595"/>
      <c r="V259" s="175">
        <v>2200</v>
      </c>
      <c r="W259" s="100" t="s">
        <v>1526</v>
      </c>
      <c r="X259" s="24"/>
      <c r="Y259" s="175">
        <v>1</v>
      </c>
      <c r="Z259" s="965">
        <f t="shared" ref="Z259:Z264" si="168">SUM(AA259:AB259)</f>
        <v>2200</v>
      </c>
      <c r="AA259" s="1069"/>
      <c r="AB259" s="1069">
        <v>2200</v>
      </c>
      <c r="AC259" s="1114"/>
      <c r="AD259" s="657"/>
      <c r="AE259" s="990"/>
      <c r="AF259" s="811"/>
      <c r="AG259" s="551"/>
      <c r="AH259" s="551"/>
      <c r="AI259" s="551"/>
      <c r="AK259" s="57"/>
      <c r="AL259" s="57"/>
      <c r="AM259" s="57"/>
      <c r="AN259" s="57"/>
      <c r="AO259" s="57"/>
      <c r="AP259" s="57"/>
    </row>
    <row r="260" spans="1:42" s="54" customFormat="1" ht="30">
      <c r="A260" s="97" t="s">
        <v>41</v>
      </c>
      <c r="B260" s="68" t="s">
        <v>629</v>
      </c>
      <c r="C260" s="100" t="s">
        <v>66</v>
      </c>
      <c r="D260" s="19" t="s">
        <v>630</v>
      </c>
      <c r="E260" s="70" t="s">
        <v>30</v>
      </c>
      <c r="F260" s="80" t="s">
        <v>631</v>
      </c>
      <c r="G260" s="23">
        <v>12384</v>
      </c>
      <c r="H260" s="23">
        <v>5840</v>
      </c>
      <c r="I260" s="175">
        <v>4000</v>
      </c>
      <c r="J260" s="175">
        <v>4000</v>
      </c>
      <c r="K260" s="23">
        <v>12384</v>
      </c>
      <c r="L260" s="23">
        <v>5840</v>
      </c>
      <c r="M260" s="23"/>
      <c r="N260" s="1069">
        <v>8384</v>
      </c>
      <c r="O260" s="1069">
        <v>1840</v>
      </c>
      <c r="P260" s="1198"/>
      <c r="Q260" s="1069">
        <f t="shared" si="166"/>
        <v>1500</v>
      </c>
      <c r="R260" s="1069"/>
      <c r="S260" s="1069">
        <v>1500</v>
      </c>
      <c r="T260" s="73">
        <f t="shared" si="167"/>
        <v>1500</v>
      </c>
      <c r="U260" s="595"/>
      <c r="V260" s="175">
        <v>1500</v>
      </c>
      <c r="W260" s="100" t="s">
        <v>1526</v>
      </c>
      <c r="X260" s="24"/>
      <c r="Y260" s="175">
        <v>1</v>
      </c>
      <c r="Z260" s="965">
        <f t="shared" si="168"/>
        <v>1500</v>
      </c>
      <c r="AA260" s="1069"/>
      <c r="AB260" s="1069">
        <v>1500</v>
      </c>
      <c r="AC260" s="1114"/>
      <c r="AD260" s="657"/>
      <c r="AE260" s="996">
        <f>V260</f>
        <v>1500</v>
      </c>
      <c r="AF260" s="811"/>
      <c r="AG260" s="551"/>
      <c r="AH260" s="551"/>
      <c r="AI260" s="551"/>
      <c r="AK260" s="57"/>
      <c r="AL260" s="57"/>
      <c r="AM260" s="57"/>
      <c r="AN260" s="57"/>
      <c r="AO260" s="57"/>
      <c r="AP260" s="57"/>
    </row>
    <row r="261" spans="1:42" s="54" customFormat="1" ht="75">
      <c r="A261" s="97" t="s">
        <v>58</v>
      </c>
      <c r="B261" s="68" t="s">
        <v>615</v>
      </c>
      <c r="C261" s="100" t="s">
        <v>5</v>
      </c>
      <c r="D261" s="19" t="s">
        <v>616</v>
      </c>
      <c r="E261" s="70" t="s">
        <v>30</v>
      </c>
      <c r="F261" s="80" t="s">
        <v>617</v>
      </c>
      <c r="G261" s="23">
        <v>11179</v>
      </c>
      <c r="H261" s="23">
        <v>5368</v>
      </c>
      <c r="I261" s="175">
        <v>3000</v>
      </c>
      <c r="J261" s="23">
        <v>3000</v>
      </c>
      <c r="K261" s="23">
        <v>11179</v>
      </c>
      <c r="L261" s="23">
        <v>5368</v>
      </c>
      <c r="M261" s="23"/>
      <c r="N261" s="1069">
        <v>8179</v>
      </c>
      <c r="O261" s="1069">
        <v>2368</v>
      </c>
      <c r="P261" s="1198"/>
      <c r="Q261" s="965">
        <f t="shared" si="166"/>
        <v>2000</v>
      </c>
      <c r="R261" s="1069"/>
      <c r="S261" s="1069">
        <v>2000</v>
      </c>
      <c r="T261" s="73">
        <f t="shared" si="167"/>
        <v>2000</v>
      </c>
      <c r="U261" s="595"/>
      <c r="V261" s="175">
        <v>2000</v>
      </c>
      <c r="W261" s="100" t="s">
        <v>1521</v>
      </c>
      <c r="X261" s="24"/>
      <c r="Y261" s="175">
        <v>1</v>
      </c>
      <c r="Z261" s="965">
        <f t="shared" si="168"/>
        <v>2000</v>
      </c>
      <c r="AA261" s="1069"/>
      <c r="AB261" s="1069">
        <v>2000</v>
      </c>
      <c r="AC261" s="1114"/>
      <c r="AD261" s="657"/>
      <c r="AE261" s="996">
        <f>V261</f>
        <v>2000</v>
      </c>
      <c r="AF261" s="811"/>
      <c r="AG261" s="551"/>
      <c r="AH261" s="551"/>
      <c r="AI261" s="551"/>
      <c r="AK261" s="57"/>
      <c r="AL261" s="57"/>
      <c r="AM261" s="57"/>
      <c r="AN261" s="57"/>
      <c r="AO261" s="57"/>
      <c r="AP261" s="57"/>
    </row>
    <row r="262" spans="1:42" s="54" customFormat="1" ht="75">
      <c r="A262" s="97" t="s">
        <v>64</v>
      </c>
      <c r="B262" s="68" t="s">
        <v>620</v>
      </c>
      <c r="C262" s="100" t="s">
        <v>71</v>
      </c>
      <c r="D262" s="19" t="s">
        <v>616</v>
      </c>
      <c r="E262" s="70" t="s">
        <v>30</v>
      </c>
      <c r="F262" s="80" t="s">
        <v>621</v>
      </c>
      <c r="G262" s="23">
        <v>11197</v>
      </c>
      <c r="H262" s="23">
        <v>5363</v>
      </c>
      <c r="I262" s="175">
        <f>+J262</f>
        <v>3000</v>
      </c>
      <c r="J262" s="175">
        <v>3000</v>
      </c>
      <c r="K262" s="23">
        <v>11197</v>
      </c>
      <c r="L262" s="23">
        <v>5363</v>
      </c>
      <c r="M262" s="23"/>
      <c r="N262" s="1069">
        <v>8197</v>
      </c>
      <c r="O262" s="1069">
        <v>2363</v>
      </c>
      <c r="P262" s="1198"/>
      <c r="Q262" s="965">
        <f t="shared" si="166"/>
        <v>2000</v>
      </c>
      <c r="R262" s="1069"/>
      <c r="S262" s="1069">
        <v>2000</v>
      </c>
      <c r="T262" s="73">
        <f t="shared" si="167"/>
        <v>2000</v>
      </c>
      <c r="U262" s="595"/>
      <c r="V262" s="175">
        <v>2000</v>
      </c>
      <c r="W262" s="100" t="s">
        <v>1516</v>
      </c>
      <c r="X262" s="24"/>
      <c r="Y262" s="175">
        <v>1</v>
      </c>
      <c r="Z262" s="965">
        <f t="shared" si="168"/>
        <v>2000</v>
      </c>
      <c r="AA262" s="1069"/>
      <c r="AB262" s="1069">
        <v>2000</v>
      </c>
      <c r="AC262" s="1114"/>
      <c r="AD262" s="657"/>
      <c r="AE262" s="996">
        <f>V262</f>
        <v>2000</v>
      </c>
      <c r="AF262" s="811"/>
      <c r="AG262" s="551"/>
      <c r="AH262" s="551"/>
      <c r="AI262" s="551"/>
      <c r="AK262" s="57"/>
      <c r="AL262" s="57"/>
      <c r="AM262" s="57"/>
      <c r="AN262" s="57"/>
      <c r="AO262" s="57"/>
      <c r="AP262" s="57"/>
    </row>
    <row r="263" spans="1:42" s="54" customFormat="1" ht="75">
      <c r="A263" s="97" t="s">
        <v>69</v>
      </c>
      <c r="B263" s="68" t="s">
        <v>622</v>
      </c>
      <c r="C263" s="100" t="s">
        <v>143</v>
      </c>
      <c r="D263" s="19" t="s">
        <v>616</v>
      </c>
      <c r="E263" s="70" t="s">
        <v>30</v>
      </c>
      <c r="F263" s="80" t="s">
        <v>623</v>
      </c>
      <c r="G263" s="23">
        <v>7767</v>
      </c>
      <c r="H263" s="23">
        <v>5812</v>
      </c>
      <c r="I263" s="175">
        <f>+J263</f>
        <v>3500</v>
      </c>
      <c r="J263" s="175">
        <v>3500</v>
      </c>
      <c r="K263" s="23">
        <f>G263-G263*10%</f>
        <v>6990.3</v>
      </c>
      <c r="L263" s="23">
        <v>5812</v>
      </c>
      <c r="M263" s="23"/>
      <c r="N263" s="1069">
        <v>3490.3</v>
      </c>
      <c r="O263" s="1069">
        <v>2312</v>
      </c>
      <c r="P263" s="1198"/>
      <c r="Q263" s="965">
        <f t="shared" si="166"/>
        <v>2000</v>
      </c>
      <c r="R263" s="1069"/>
      <c r="S263" s="1069">
        <v>2000</v>
      </c>
      <c r="T263" s="73">
        <f t="shared" si="167"/>
        <v>2000</v>
      </c>
      <c r="U263" s="595"/>
      <c r="V263" s="175">
        <v>2000</v>
      </c>
      <c r="W263" s="100" t="s">
        <v>1518</v>
      </c>
      <c r="X263" s="24"/>
      <c r="Y263" s="175">
        <v>1</v>
      </c>
      <c r="Z263" s="965">
        <f t="shared" si="168"/>
        <v>2000</v>
      </c>
      <c r="AA263" s="1069"/>
      <c r="AB263" s="1069">
        <v>2000</v>
      </c>
      <c r="AC263" s="1114"/>
      <c r="AD263" s="657"/>
      <c r="AE263" s="996">
        <f>V263</f>
        <v>2000</v>
      </c>
      <c r="AF263" s="811"/>
      <c r="AG263" s="551"/>
      <c r="AH263" s="551"/>
      <c r="AI263" s="551"/>
      <c r="AK263" s="57"/>
      <c r="AL263" s="57"/>
      <c r="AM263" s="57"/>
      <c r="AN263" s="57"/>
      <c r="AO263" s="57"/>
      <c r="AP263" s="57"/>
    </row>
    <row r="264" spans="1:42" s="54" customFormat="1" ht="60">
      <c r="A264" s="97" t="s">
        <v>74</v>
      </c>
      <c r="B264" s="68" t="s">
        <v>627</v>
      </c>
      <c r="C264" s="100" t="s">
        <v>260</v>
      </c>
      <c r="D264" s="19" t="s">
        <v>606</v>
      </c>
      <c r="E264" s="70" t="s">
        <v>30</v>
      </c>
      <c r="F264" s="80" t="s">
        <v>628</v>
      </c>
      <c r="G264" s="23">
        <v>9662</v>
      </c>
      <c r="H264" s="23">
        <v>4358</v>
      </c>
      <c r="I264" s="175">
        <v>3960</v>
      </c>
      <c r="J264" s="23">
        <v>3000</v>
      </c>
      <c r="K264" s="23">
        <v>9662</v>
      </c>
      <c r="L264" s="23">
        <v>4358</v>
      </c>
      <c r="M264" s="23"/>
      <c r="N264" s="1069">
        <v>6662</v>
      </c>
      <c r="O264" s="1069">
        <v>1358</v>
      </c>
      <c r="P264" s="1198"/>
      <c r="Q264" s="1069">
        <f t="shared" si="166"/>
        <v>1300</v>
      </c>
      <c r="R264" s="1069"/>
      <c r="S264" s="1069">
        <v>1300</v>
      </c>
      <c r="T264" s="73">
        <f t="shared" si="167"/>
        <v>1300</v>
      </c>
      <c r="U264" s="595"/>
      <c r="V264" s="175">
        <v>1300</v>
      </c>
      <c r="W264" s="100" t="s">
        <v>1552</v>
      </c>
      <c r="X264" s="24"/>
      <c r="Y264" s="175">
        <v>1</v>
      </c>
      <c r="Z264" s="965">
        <f t="shared" si="168"/>
        <v>1300</v>
      </c>
      <c r="AA264" s="1069"/>
      <c r="AB264" s="1069">
        <v>1300</v>
      </c>
      <c r="AC264" s="1114"/>
      <c r="AD264" s="657"/>
      <c r="AE264" s="996">
        <f>V264</f>
        <v>1300</v>
      </c>
      <c r="AF264" s="811"/>
      <c r="AG264" s="551"/>
      <c r="AH264" s="551"/>
      <c r="AI264" s="551"/>
      <c r="AK264" s="57"/>
      <c r="AL264" s="57"/>
      <c r="AM264" s="57"/>
      <c r="AN264" s="57"/>
      <c r="AO264" s="57"/>
      <c r="AP264" s="57"/>
    </row>
    <row r="265" spans="1:42" s="54" customFormat="1">
      <c r="A265" s="64" t="s">
        <v>150</v>
      </c>
      <c r="B265" s="197" t="s">
        <v>632</v>
      </c>
      <c r="C265" s="700"/>
      <c r="D265" s="19"/>
      <c r="E265" s="95"/>
      <c r="F265" s="80"/>
      <c r="G265" s="199">
        <f t="shared" ref="G265:V265" si="169">SUM(G266:G273)</f>
        <v>96347</v>
      </c>
      <c r="H265" s="199">
        <f t="shared" si="169"/>
        <v>66116.600000000006</v>
      </c>
      <c r="I265" s="199">
        <f t="shared" si="169"/>
        <v>1080</v>
      </c>
      <c r="J265" s="199">
        <f t="shared" si="169"/>
        <v>1080</v>
      </c>
      <c r="K265" s="199">
        <f t="shared" si="169"/>
        <v>95310.1</v>
      </c>
      <c r="L265" s="199">
        <f t="shared" si="169"/>
        <v>66561.600000000006</v>
      </c>
      <c r="M265" s="199">
        <f t="shared" si="169"/>
        <v>0</v>
      </c>
      <c r="N265" s="1062">
        <f t="shared" si="169"/>
        <v>43287</v>
      </c>
      <c r="O265" s="1062">
        <f t="shared" si="169"/>
        <v>32114</v>
      </c>
      <c r="P265" s="1062">
        <f t="shared" si="169"/>
        <v>0</v>
      </c>
      <c r="Q265" s="1062">
        <f t="shared" si="169"/>
        <v>31415</v>
      </c>
      <c r="R265" s="1062">
        <f t="shared" si="169"/>
        <v>0</v>
      </c>
      <c r="S265" s="1062">
        <f t="shared" si="169"/>
        <v>31415</v>
      </c>
      <c r="T265" s="199">
        <f t="shared" si="169"/>
        <v>38318</v>
      </c>
      <c r="U265" s="1152">
        <f t="shared" si="169"/>
        <v>0</v>
      </c>
      <c r="V265" s="199">
        <f t="shared" si="169"/>
        <v>38318</v>
      </c>
      <c r="W265" s="199"/>
      <c r="X265" s="199"/>
      <c r="Y265" s="199">
        <f>SUM(Y266:Y282)</f>
        <v>8</v>
      </c>
      <c r="Z265" s="1062">
        <f t="shared" ref="Z265:AB265" si="170">SUM(Z266:Z273)</f>
        <v>31415</v>
      </c>
      <c r="AA265" s="1062">
        <f t="shared" si="170"/>
        <v>0</v>
      </c>
      <c r="AB265" s="1062">
        <f t="shared" si="170"/>
        <v>31415</v>
      </c>
      <c r="AC265" s="1108"/>
      <c r="AD265" s="657"/>
      <c r="AE265" s="990"/>
      <c r="AF265" s="811"/>
      <c r="AG265" s="551"/>
      <c r="AH265" s="551"/>
      <c r="AI265" s="551"/>
      <c r="AK265" s="57"/>
      <c r="AL265" s="57"/>
      <c r="AM265" s="57"/>
      <c r="AN265" s="57"/>
      <c r="AO265" s="57"/>
      <c r="AP265" s="57"/>
    </row>
    <row r="266" spans="1:42" s="54" customFormat="1" ht="60">
      <c r="A266" s="97" t="s">
        <v>27</v>
      </c>
      <c r="B266" s="68" t="s">
        <v>633</v>
      </c>
      <c r="C266" s="100" t="s">
        <v>29</v>
      </c>
      <c r="D266" s="19" t="s">
        <v>634</v>
      </c>
      <c r="E266" s="95" t="s">
        <v>635</v>
      </c>
      <c r="F266" s="80" t="s">
        <v>636</v>
      </c>
      <c r="G266" s="71">
        <v>6855</v>
      </c>
      <c r="H266" s="71">
        <v>6855</v>
      </c>
      <c r="I266" s="175">
        <v>240</v>
      </c>
      <c r="J266" s="23">
        <v>240</v>
      </c>
      <c r="K266" s="23">
        <v>6855</v>
      </c>
      <c r="L266" s="23">
        <v>6855</v>
      </c>
      <c r="M266" s="23"/>
      <c r="N266" s="1069">
        <v>3235</v>
      </c>
      <c r="O266" s="1069">
        <v>3235</v>
      </c>
      <c r="P266" s="1198"/>
      <c r="Q266" s="1069">
        <f t="shared" ref="Q266:Q272" si="171">SUM(R266:S266)</f>
        <v>3000</v>
      </c>
      <c r="R266" s="1069"/>
      <c r="S266" s="1069">
        <v>3000</v>
      </c>
      <c r="T266" s="73">
        <f t="shared" ref="T266:T272" si="172">SUM(U266:V266)</f>
        <v>3000</v>
      </c>
      <c r="U266" s="595"/>
      <c r="V266" s="175">
        <v>3000</v>
      </c>
      <c r="W266" s="100" t="s">
        <v>1557</v>
      </c>
      <c r="X266" s="24"/>
      <c r="Y266" s="175">
        <v>1</v>
      </c>
      <c r="Z266" s="965">
        <f t="shared" ref="Z266:Z272" si="173">SUM(AA266:AB266)</f>
        <v>3000</v>
      </c>
      <c r="AA266" s="1069"/>
      <c r="AB266" s="1069">
        <v>3000</v>
      </c>
      <c r="AC266" s="1114"/>
      <c r="AD266" s="657"/>
      <c r="AE266" s="990"/>
      <c r="AF266" s="811"/>
      <c r="AG266" s="551"/>
      <c r="AH266" s="551"/>
      <c r="AI266" s="551"/>
      <c r="AK266" s="57"/>
      <c r="AL266" s="57"/>
      <c r="AM266" s="57"/>
      <c r="AN266" s="57"/>
      <c r="AO266" s="57"/>
      <c r="AP266" s="57"/>
    </row>
    <row r="267" spans="1:42" s="54" customFormat="1" ht="60">
      <c r="A267" s="97" t="s">
        <v>41</v>
      </c>
      <c r="B267" s="68" t="s">
        <v>637</v>
      </c>
      <c r="C267" s="100" t="s">
        <v>60</v>
      </c>
      <c r="D267" s="19" t="s">
        <v>638</v>
      </c>
      <c r="E267" s="95" t="s">
        <v>154</v>
      </c>
      <c r="F267" s="80" t="s">
        <v>639</v>
      </c>
      <c r="G267" s="71">
        <v>2698</v>
      </c>
      <c r="H267" s="71">
        <v>2698</v>
      </c>
      <c r="I267" s="175">
        <v>100</v>
      </c>
      <c r="J267" s="175">
        <v>100</v>
      </c>
      <c r="K267" s="71">
        <v>2698</v>
      </c>
      <c r="L267" s="71">
        <v>2698</v>
      </c>
      <c r="M267" s="23"/>
      <c r="N267" s="1069">
        <v>1200</v>
      </c>
      <c r="O267" s="1069">
        <v>1200</v>
      </c>
      <c r="P267" s="1198"/>
      <c r="Q267" s="1069">
        <f t="shared" si="171"/>
        <v>1200</v>
      </c>
      <c r="R267" s="1069"/>
      <c r="S267" s="1069">
        <v>1200</v>
      </c>
      <c r="T267" s="73">
        <f t="shared" si="172"/>
        <v>1803</v>
      </c>
      <c r="U267" s="595"/>
      <c r="V267" s="175">
        <v>1803</v>
      </c>
      <c r="W267" s="100" t="s">
        <v>1557</v>
      </c>
      <c r="X267" s="24"/>
      <c r="Y267" s="175">
        <v>1</v>
      </c>
      <c r="Z267" s="965">
        <f t="shared" si="173"/>
        <v>1200</v>
      </c>
      <c r="AA267" s="1069"/>
      <c r="AB267" s="1069">
        <v>1200</v>
      </c>
      <c r="AC267" s="1082">
        <f>+T267-Z267</f>
        <v>603</v>
      </c>
      <c r="AD267" s="657"/>
      <c r="AE267" s="990"/>
      <c r="AF267" s="811"/>
      <c r="AG267" s="551"/>
      <c r="AH267" s="551"/>
      <c r="AI267" s="551"/>
      <c r="AK267" s="57"/>
      <c r="AL267" s="57"/>
      <c r="AM267" s="57"/>
      <c r="AN267" s="57"/>
      <c r="AO267" s="57"/>
      <c r="AP267" s="57"/>
    </row>
    <row r="268" spans="1:42" s="54" customFormat="1" ht="60">
      <c r="A268" s="97" t="s">
        <v>58</v>
      </c>
      <c r="B268" s="68" t="s">
        <v>640</v>
      </c>
      <c r="C268" s="100" t="s">
        <v>85</v>
      </c>
      <c r="D268" s="19" t="s">
        <v>641</v>
      </c>
      <c r="E268" s="95" t="s">
        <v>154</v>
      </c>
      <c r="F268" s="80" t="s">
        <v>642</v>
      </c>
      <c r="G268" s="71">
        <v>3399</v>
      </c>
      <c r="H268" s="71">
        <v>3399</v>
      </c>
      <c r="I268" s="175">
        <v>100</v>
      </c>
      <c r="J268" s="175">
        <v>100</v>
      </c>
      <c r="K268" s="71">
        <v>3399</v>
      </c>
      <c r="L268" s="71">
        <v>3399</v>
      </c>
      <c r="M268" s="23"/>
      <c r="N268" s="1069">
        <v>1400</v>
      </c>
      <c r="O268" s="1069">
        <v>1400</v>
      </c>
      <c r="P268" s="1198"/>
      <c r="Q268" s="1069">
        <f t="shared" si="171"/>
        <v>1400</v>
      </c>
      <c r="R268" s="1069"/>
      <c r="S268" s="1069">
        <v>1400</v>
      </c>
      <c r="T268" s="73">
        <f t="shared" si="172"/>
        <v>1400</v>
      </c>
      <c r="U268" s="595"/>
      <c r="V268" s="175">
        <v>1400</v>
      </c>
      <c r="W268" s="100" t="s">
        <v>1557</v>
      </c>
      <c r="X268" s="24"/>
      <c r="Y268" s="175">
        <v>1</v>
      </c>
      <c r="Z268" s="965">
        <f t="shared" si="173"/>
        <v>1400</v>
      </c>
      <c r="AA268" s="1069"/>
      <c r="AB268" s="1069">
        <v>1400</v>
      </c>
      <c r="AC268" s="1114"/>
      <c r="AD268" s="657"/>
      <c r="AE268" s="990"/>
      <c r="AF268" s="811"/>
      <c r="AG268" s="551"/>
      <c r="AH268" s="551"/>
      <c r="AI268" s="551"/>
      <c r="AK268" s="57"/>
      <c r="AL268" s="57"/>
      <c r="AM268" s="57"/>
      <c r="AN268" s="57"/>
      <c r="AO268" s="57"/>
      <c r="AP268" s="57"/>
    </row>
    <row r="269" spans="1:42" s="54" customFormat="1" ht="30">
      <c r="A269" s="97" t="s">
        <v>64</v>
      </c>
      <c r="B269" s="68" t="s">
        <v>643</v>
      </c>
      <c r="C269" s="100" t="s">
        <v>173</v>
      </c>
      <c r="D269" s="19" t="s">
        <v>644</v>
      </c>
      <c r="E269" s="95" t="s">
        <v>645</v>
      </c>
      <c r="F269" s="80" t="s">
        <v>646</v>
      </c>
      <c r="G269" s="71">
        <v>2480</v>
      </c>
      <c r="H269" s="71">
        <v>2480</v>
      </c>
      <c r="I269" s="175">
        <v>120</v>
      </c>
      <c r="J269" s="175">
        <v>120</v>
      </c>
      <c r="K269" s="23">
        <v>2480</v>
      </c>
      <c r="L269" s="23">
        <v>2480</v>
      </c>
      <c r="M269" s="23"/>
      <c r="N269" s="1069">
        <v>2261</v>
      </c>
      <c r="O269" s="1069">
        <v>2261</v>
      </c>
      <c r="P269" s="1198"/>
      <c r="Q269" s="1069">
        <f t="shared" si="171"/>
        <v>2300</v>
      </c>
      <c r="R269" s="1069"/>
      <c r="S269" s="1069">
        <v>2300</v>
      </c>
      <c r="T269" s="73">
        <f t="shared" si="172"/>
        <v>2300</v>
      </c>
      <c r="U269" s="595"/>
      <c r="V269" s="175">
        <v>2300</v>
      </c>
      <c r="W269" s="100" t="s">
        <v>1557</v>
      </c>
      <c r="X269" s="24"/>
      <c r="Y269" s="175">
        <v>1</v>
      </c>
      <c r="Z269" s="965">
        <f t="shared" si="173"/>
        <v>2300</v>
      </c>
      <c r="AA269" s="1069"/>
      <c r="AB269" s="1069">
        <v>2300</v>
      </c>
      <c r="AC269" s="1114"/>
      <c r="AD269" s="657"/>
      <c r="AE269" s="990"/>
      <c r="AF269" s="811"/>
      <c r="AG269" s="551"/>
      <c r="AH269" s="551"/>
      <c r="AI269" s="551"/>
      <c r="AK269" s="57"/>
      <c r="AL269" s="57"/>
      <c r="AM269" s="57"/>
      <c r="AN269" s="57"/>
      <c r="AO269" s="57"/>
      <c r="AP269" s="57"/>
    </row>
    <row r="270" spans="1:42" s="54" customFormat="1" ht="30">
      <c r="A270" s="97" t="s">
        <v>69</v>
      </c>
      <c r="B270" s="68" t="s">
        <v>647</v>
      </c>
      <c r="C270" s="100" t="s">
        <v>648</v>
      </c>
      <c r="D270" s="101" t="s">
        <v>649</v>
      </c>
      <c r="E270" s="95" t="s">
        <v>635</v>
      </c>
      <c r="F270" s="80" t="s">
        <v>650</v>
      </c>
      <c r="G270" s="175">
        <v>3208</v>
      </c>
      <c r="H270" s="175">
        <v>3208</v>
      </c>
      <c r="I270" s="72">
        <v>20</v>
      </c>
      <c r="J270" s="72">
        <v>20</v>
      </c>
      <c r="K270" s="72">
        <v>3208</v>
      </c>
      <c r="L270" s="72">
        <v>3208</v>
      </c>
      <c r="M270" s="72"/>
      <c r="N270" s="1069">
        <v>2896</v>
      </c>
      <c r="O270" s="1069">
        <v>2896</v>
      </c>
      <c r="P270" s="1198"/>
      <c r="Q270" s="1069">
        <f t="shared" si="171"/>
        <v>2900</v>
      </c>
      <c r="R270" s="1069"/>
      <c r="S270" s="1069">
        <v>2900</v>
      </c>
      <c r="T270" s="73">
        <f t="shared" si="172"/>
        <v>2900</v>
      </c>
      <c r="U270" s="595"/>
      <c r="V270" s="175">
        <v>2900</v>
      </c>
      <c r="W270" s="100" t="s">
        <v>1557</v>
      </c>
      <c r="X270" s="744"/>
      <c r="Y270" s="175">
        <v>1</v>
      </c>
      <c r="Z270" s="965">
        <f t="shared" si="173"/>
        <v>2900</v>
      </c>
      <c r="AA270" s="1069"/>
      <c r="AB270" s="1069">
        <v>2900</v>
      </c>
      <c r="AC270" s="1114"/>
      <c r="AD270" s="657"/>
      <c r="AE270" s="990"/>
      <c r="AF270" s="811"/>
      <c r="AG270" s="551"/>
      <c r="AH270" s="551"/>
      <c r="AI270" s="551"/>
      <c r="AK270" s="57"/>
      <c r="AL270" s="57"/>
      <c r="AM270" s="57"/>
      <c r="AN270" s="57"/>
      <c r="AO270" s="57"/>
      <c r="AP270" s="57"/>
    </row>
    <row r="271" spans="1:42" s="54" customFormat="1" ht="25.5">
      <c r="A271" s="97" t="s">
        <v>74</v>
      </c>
      <c r="B271" s="68" t="s">
        <v>651</v>
      </c>
      <c r="C271" s="100" t="s">
        <v>112</v>
      </c>
      <c r="D271" s="152"/>
      <c r="E271" s="70" t="s">
        <v>30</v>
      </c>
      <c r="F271" s="695" t="s">
        <v>652</v>
      </c>
      <c r="G271" s="23">
        <f>H271</f>
        <v>7849</v>
      </c>
      <c r="H271" s="23">
        <v>7849</v>
      </c>
      <c r="I271" s="175">
        <v>300</v>
      </c>
      <c r="J271" s="23">
        <v>300</v>
      </c>
      <c r="K271" s="23">
        <v>7849</v>
      </c>
      <c r="L271" s="23">
        <v>7849</v>
      </c>
      <c r="M271" s="23"/>
      <c r="N271" s="1069">
        <v>2500</v>
      </c>
      <c r="O271" s="1069">
        <v>2500</v>
      </c>
      <c r="P271" s="1198"/>
      <c r="Q271" s="1069">
        <f t="shared" si="171"/>
        <v>2500</v>
      </c>
      <c r="R271" s="1069"/>
      <c r="S271" s="1069">
        <v>2500</v>
      </c>
      <c r="T271" s="73">
        <f t="shared" si="172"/>
        <v>2500</v>
      </c>
      <c r="U271" s="595"/>
      <c r="V271" s="175">
        <v>2500</v>
      </c>
      <c r="W271" s="100" t="s">
        <v>1557</v>
      </c>
      <c r="X271" s="24"/>
      <c r="Y271" s="175">
        <v>1</v>
      </c>
      <c r="Z271" s="965">
        <f t="shared" si="173"/>
        <v>2500</v>
      </c>
      <c r="AA271" s="1069"/>
      <c r="AB271" s="1069">
        <v>2500</v>
      </c>
      <c r="AC271" s="1114"/>
      <c r="AD271" s="657"/>
      <c r="AE271" s="990"/>
      <c r="AF271" s="811"/>
      <c r="AG271" s="551"/>
      <c r="AH271" s="551"/>
      <c r="AI271" s="551"/>
      <c r="AK271" s="57"/>
      <c r="AL271" s="57"/>
      <c r="AM271" s="57"/>
      <c r="AN271" s="57"/>
      <c r="AO271" s="57"/>
      <c r="AP271" s="57"/>
    </row>
    <row r="272" spans="1:42" s="54" customFormat="1" ht="51">
      <c r="A272" s="97" t="s">
        <v>141</v>
      </c>
      <c r="B272" s="93" t="s">
        <v>653</v>
      </c>
      <c r="C272" s="80" t="s">
        <v>66</v>
      </c>
      <c r="D272" s="635"/>
      <c r="E272" s="44" t="s">
        <v>163</v>
      </c>
      <c r="F272" s="706"/>
      <c r="G272" s="72">
        <v>6740</v>
      </c>
      <c r="H272" s="72">
        <v>6740</v>
      </c>
      <c r="I272" s="72">
        <v>200</v>
      </c>
      <c r="J272" s="72">
        <v>200</v>
      </c>
      <c r="K272" s="72">
        <v>6740</v>
      </c>
      <c r="L272" s="72">
        <v>6740</v>
      </c>
      <c r="M272" s="72"/>
      <c r="N272" s="1035">
        <v>2000</v>
      </c>
      <c r="O272" s="1069">
        <v>2000</v>
      </c>
      <c r="P272" s="1198"/>
      <c r="Q272" s="1069">
        <f t="shared" si="171"/>
        <v>2000</v>
      </c>
      <c r="R272" s="1035"/>
      <c r="S272" s="1035">
        <v>2000</v>
      </c>
      <c r="T272" s="73">
        <f t="shared" si="172"/>
        <v>2000</v>
      </c>
      <c r="U272" s="1137"/>
      <c r="V272" s="72">
        <v>2000</v>
      </c>
      <c r="W272" s="100" t="s">
        <v>1558</v>
      </c>
      <c r="X272" s="744" t="s">
        <v>1081</v>
      </c>
      <c r="Y272" s="72">
        <v>1</v>
      </c>
      <c r="Z272" s="965">
        <f t="shared" si="173"/>
        <v>2000</v>
      </c>
      <c r="AA272" s="1035"/>
      <c r="AB272" s="1035">
        <v>2000</v>
      </c>
      <c r="AC272" s="1082"/>
      <c r="AD272" s="657"/>
      <c r="AE272" s="990"/>
      <c r="AF272" s="811"/>
      <c r="AG272" s="551"/>
      <c r="AH272" s="551"/>
      <c r="AI272" s="551"/>
      <c r="AK272" s="57"/>
      <c r="AL272" s="57"/>
      <c r="AM272" s="57"/>
      <c r="AN272" s="57"/>
      <c r="AO272" s="57"/>
      <c r="AP272" s="57"/>
    </row>
    <row r="273" spans="1:49" s="54" customFormat="1" ht="30">
      <c r="A273" s="97" t="s">
        <v>146</v>
      </c>
      <c r="B273" s="93" t="s">
        <v>1720</v>
      </c>
      <c r="C273" s="80"/>
      <c r="D273" s="635"/>
      <c r="E273" s="44"/>
      <c r="F273" s="706"/>
      <c r="G273" s="72">
        <f t="shared" ref="G273:V273" si="174">SUM(G274:G282)</f>
        <v>63118</v>
      </c>
      <c r="H273" s="72">
        <f t="shared" si="174"/>
        <v>32887.599999999999</v>
      </c>
      <c r="I273" s="72">
        <f t="shared" si="174"/>
        <v>0</v>
      </c>
      <c r="J273" s="72">
        <f t="shared" si="174"/>
        <v>0</v>
      </c>
      <c r="K273" s="72">
        <f t="shared" si="174"/>
        <v>62081.1</v>
      </c>
      <c r="L273" s="72">
        <f t="shared" si="174"/>
        <v>33332.6</v>
      </c>
      <c r="M273" s="72">
        <f t="shared" si="174"/>
        <v>0</v>
      </c>
      <c r="N273" s="1035">
        <f t="shared" si="174"/>
        <v>27795</v>
      </c>
      <c r="O273" s="1035">
        <f t="shared" si="174"/>
        <v>16622</v>
      </c>
      <c r="P273" s="1035">
        <f t="shared" si="174"/>
        <v>0</v>
      </c>
      <c r="Q273" s="1035">
        <f t="shared" si="174"/>
        <v>16115</v>
      </c>
      <c r="R273" s="1035">
        <f t="shared" si="174"/>
        <v>0</v>
      </c>
      <c r="S273" s="1035">
        <f t="shared" si="174"/>
        <v>16115</v>
      </c>
      <c r="T273" s="73">
        <f t="shared" si="174"/>
        <v>22415</v>
      </c>
      <c r="U273" s="1137">
        <f t="shared" si="174"/>
        <v>0</v>
      </c>
      <c r="V273" s="72">
        <f t="shared" si="174"/>
        <v>22415</v>
      </c>
      <c r="W273" s="72"/>
      <c r="X273" s="72"/>
      <c r="Y273" s="72">
        <v>1</v>
      </c>
      <c r="Z273" s="1035">
        <f>SUM(Z274:Z282)</f>
        <v>16115</v>
      </c>
      <c r="AA273" s="1035">
        <f>SUM(AA274:AA282)</f>
        <v>0</v>
      </c>
      <c r="AB273" s="1035">
        <f>SUM(AB274:AB282)</f>
        <v>16115</v>
      </c>
      <c r="AC273" s="1082">
        <f>+T273-Z273</f>
        <v>6300</v>
      </c>
      <c r="AD273" s="657"/>
      <c r="AE273" s="990">
        <f>V273</f>
        <v>22415</v>
      </c>
      <c r="AF273" s="811"/>
      <c r="AG273" s="551"/>
      <c r="AH273" s="551"/>
      <c r="AI273" s="551"/>
      <c r="AK273" s="57"/>
      <c r="AL273" s="57"/>
      <c r="AM273" s="57"/>
      <c r="AN273" s="57"/>
      <c r="AO273" s="57"/>
      <c r="AP273" s="57"/>
    </row>
    <row r="274" spans="1:49" s="54" customFormat="1" ht="30">
      <c r="A274" s="961" t="s">
        <v>27</v>
      </c>
      <c r="B274" s="68" t="s">
        <v>654</v>
      </c>
      <c r="C274" s="100" t="s">
        <v>5</v>
      </c>
      <c r="D274" s="19" t="s">
        <v>655</v>
      </c>
      <c r="E274" s="70" t="s">
        <v>355</v>
      </c>
      <c r="F274" s="80" t="s">
        <v>656</v>
      </c>
      <c r="G274" s="23">
        <v>6840</v>
      </c>
      <c r="H274" s="23">
        <v>3086</v>
      </c>
      <c r="I274" s="175">
        <v>0</v>
      </c>
      <c r="J274" s="23">
        <v>0</v>
      </c>
      <c r="K274" s="23">
        <v>6840</v>
      </c>
      <c r="L274" s="23">
        <v>3086</v>
      </c>
      <c r="M274" s="23"/>
      <c r="N274" s="1069">
        <v>4000</v>
      </c>
      <c r="O274" s="1069">
        <v>2000</v>
      </c>
      <c r="P274" s="1198"/>
      <c r="Q274" s="1069">
        <f t="shared" ref="Q274:Q282" si="175">SUM(R274:S274)</f>
        <v>2000</v>
      </c>
      <c r="R274" s="1069"/>
      <c r="S274" s="1069">
        <v>2000</v>
      </c>
      <c r="T274" s="73">
        <f t="shared" ref="T274:T282" si="176">SUM(U274:V274)</f>
        <v>2500</v>
      </c>
      <c r="U274" s="1137"/>
      <c r="V274" s="72">
        <v>2500</v>
      </c>
      <c r="W274" s="100" t="s">
        <v>1521</v>
      </c>
      <c r="X274" s="24"/>
      <c r="Y274" s="175"/>
      <c r="Z274" s="965">
        <f t="shared" ref="Z274:Z282" si="177">SUM(AA274:AB274)</f>
        <v>2000</v>
      </c>
      <c r="AA274" s="1069"/>
      <c r="AB274" s="1069">
        <v>2000</v>
      </c>
      <c r="AC274" s="1114"/>
      <c r="AD274" s="657" t="s">
        <v>178</v>
      </c>
      <c r="AE274" s="990"/>
      <c r="AF274" s="811"/>
      <c r="AG274" s="551"/>
      <c r="AH274" s="551"/>
      <c r="AI274" s="551"/>
      <c r="AK274" s="57"/>
      <c r="AL274" s="57"/>
      <c r="AM274" s="57"/>
      <c r="AN274" s="57"/>
      <c r="AO274" s="57"/>
      <c r="AP274" s="57"/>
    </row>
    <row r="275" spans="1:49" s="54" customFormat="1" ht="75">
      <c r="A275" s="961" t="s">
        <v>41</v>
      </c>
      <c r="B275" s="68" t="s">
        <v>660</v>
      </c>
      <c r="C275" s="100" t="s">
        <v>112</v>
      </c>
      <c r="D275" s="19" t="s">
        <v>661</v>
      </c>
      <c r="E275" s="70" t="s">
        <v>120</v>
      </c>
      <c r="F275" s="80" t="s">
        <v>662</v>
      </c>
      <c r="G275" s="23">
        <v>16080</v>
      </c>
      <c r="H275" s="23">
        <v>7747</v>
      </c>
      <c r="I275" s="175"/>
      <c r="J275" s="23"/>
      <c r="K275" s="23">
        <f>G275</f>
        <v>16080</v>
      </c>
      <c r="L275" s="23">
        <f>H275</f>
        <v>7747</v>
      </c>
      <c r="M275" s="23"/>
      <c r="N275" s="1069">
        <v>5600</v>
      </c>
      <c r="O275" s="1069">
        <v>3000</v>
      </c>
      <c r="P275" s="1198"/>
      <c r="Q275" s="1069">
        <f t="shared" si="175"/>
        <v>3000</v>
      </c>
      <c r="R275" s="1069"/>
      <c r="S275" s="1069">
        <v>3000</v>
      </c>
      <c r="T275" s="73">
        <f t="shared" si="176"/>
        <v>4500</v>
      </c>
      <c r="U275" s="1137"/>
      <c r="V275" s="72">
        <v>4500</v>
      </c>
      <c r="W275" s="100" t="s">
        <v>1529</v>
      </c>
      <c r="X275" s="24"/>
      <c r="Y275" s="175"/>
      <c r="Z275" s="965">
        <f t="shared" si="177"/>
        <v>3000</v>
      </c>
      <c r="AA275" s="1069"/>
      <c r="AB275" s="1069">
        <v>3000</v>
      </c>
      <c r="AC275" s="1114"/>
      <c r="AD275" s="657" t="s">
        <v>178</v>
      </c>
      <c r="AE275" s="990"/>
      <c r="AF275" s="811"/>
      <c r="AG275" s="551"/>
      <c r="AH275" s="551"/>
      <c r="AI275" s="551"/>
      <c r="AK275" s="57"/>
      <c r="AL275" s="57"/>
      <c r="AM275" s="57"/>
      <c r="AN275" s="57"/>
      <c r="AO275" s="57"/>
      <c r="AP275" s="57"/>
    </row>
    <row r="276" spans="1:49" s="54" customFormat="1" ht="30">
      <c r="A276" s="961" t="s">
        <v>58</v>
      </c>
      <c r="B276" s="68" t="s">
        <v>663</v>
      </c>
      <c r="C276" s="100" t="s">
        <v>260</v>
      </c>
      <c r="D276" s="19" t="s">
        <v>664</v>
      </c>
      <c r="E276" s="70" t="s">
        <v>120</v>
      </c>
      <c r="F276" s="80"/>
      <c r="G276" s="23">
        <v>11166</v>
      </c>
      <c r="H276" s="23">
        <f>+G276*0.6</f>
        <v>6699.5999999999995</v>
      </c>
      <c r="I276" s="175"/>
      <c r="J276" s="23"/>
      <c r="K276" s="23">
        <v>11166</v>
      </c>
      <c r="L276" s="23">
        <f>+K276*0.6</f>
        <v>6699.5999999999995</v>
      </c>
      <c r="M276" s="23"/>
      <c r="N276" s="1069">
        <v>4000</v>
      </c>
      <c r="O276" s="1069">
        <v>2000</v>
      </c>
      <c r="P276" s="1198"/>
      <c r="Q276" s="1069">
        <f t="shared" si="175"/>
        <v>2000</v>
      </c>
      <c r="R276" s="1069"/>
      <c r="S276" s="1069">
        <v>2000</v>
      </c>
      <c r="T276" s="73">
        <f t="shared" si="176"/>
        <v>4000</v>
      </c>
      <c r="U276" s="1137"/>
      <c r="V276" s="72">
        <v>4000</v>
      </c>
      <c r="W276" s="100" t="s">
        <v>1552</v>
      </c>
      <c r="X276" s="24"/>
      <c r="Y276" s="175"/>
      <c r="Z276" s="965">
        <f t="shared" si="177"/>
        <v>2000</v>
      </c>
      <c r="AA276" s="1069"/>
      <c r="AB276" s="1069">
        <v>2000</v>
      </c>
      <c r="AC276" s="1114"/>
      <c r="AD276" s="657" t="s">
        <v>178</v>
      </c>
      <c r="AE276" s="990"/>
      <c r="AF276" s="811"/>
      <c r="AG276" s="551"/>
      <c r="AH276" s="551"/>
      <c r="AI276" s="551"/>
      <c r="AK276" s="2"/>
      <c r="AL276" s="2"/>
      <c r="AM276" s="2"/>
      <c r="AN276" s="2"/>
      <c r="AO276" s="2"/>
      <c r="AP276" s="2"/>
    </row>
    <row r="277" spans="1:49" s="933" customFormat="1" ht="56.25" customHeight="1">
      <c r="A277" s="961" t="s">
        <v>64</v>
      </c>
      <c r="B277" s="68" t="s">
        <v>1715</v>
      </c>
      <c r="C277" s="1189" t="s">
        <v>143</v>
      </c>
      <c r="D277" s="299" t="s">
        <v>1716</v>
      </c>
      <c r="E277" s="920" t="s">
        <v>30</v>
      </c>
      <c r="F277" s="100" t="s">
        <v>1717</v>
      </c>
      <c r="G277" s="365">
        <v>7325</v>
      </c>
      <c r="H277" s="365">
        <v>3729</v>
      </c>
      <c r="I277" s="365"/>
      <c r="J277" s="104"/>
      <c r="K277" s="104">
        <f>G277-349</f>
        <v>6976</v>
      </c>
      <c r="L277" s="365">
        <v>3729</v>
      </c>
      <c r="M277" s="104"/>
      <c r="N277" s="1040">
        <v>2000</v>
      </c>
      <c r="O277" s="1200">
        <v>2000</v>
      </c>
      <c r="P277" s="1040"/>
      <c r="Q277" s="1069">
        <f t="shared" si="175"/>
        <v>2000</v>
      </c>
      <c r="R277" s="1069"/>
      <c r="S277" s="1069">
        <v>2000</v>
      </c>
      <c r="T277" s="73">
        <f t="shared" si="176"/>
        <v>2500</v>
      </c>
      <c r="U277" s="1137"/>
      <c r="V277" s="72">
        <v>2500</v>
      </c>
      <c r="W277" s="100" t="s">
        <v>1518</v>
      </c>
      <c r="X277" s="921"/>
      <c r="Y277" s="175"/>
      <c r="Z277" s="965">
        <f t="shared" si="177"/>
        <v>2000</v>
      </c>
      <c r="AA277" s="1069"/>
      <c r="AB277" s="1069">
        <v>2000</v>
      </c>
      <c r="AC277" s="1114"/>
      <c r="AD277" s="657" t="s">
        <v>1738</v>
      </c>
      <c r="AE277" s="999"/>
      <c r="AF277" s="984"/>
      <c r="AG277" s="922"/>
      <c r="AH277" s="923"/>
      <c r="AI277" s="924"/>
      <c r="AJ277" s="925"/>
      <c r="AK277" s="924"/>
      <c r="AL277" s="924"/>
      <c r="AM277" s="926"/>
      <c r="AN277" s="927"/>
      <c r="AO277" s="927"/>
      <c r="AP277" s="928"/>
      <c r="AQ277" s="927"/>
      <c r="AR277" s="927"/>
      <c r="AS277" s="928"/>
      <c r="AT277" s="929"/>
      <c r="AU277" s="930"/>
      <c r="AV277" s="931"/>
      <c r="AW277" s="932"/>
    </row>
    <row r="278" spans="1:49" s="54" customFormat="1" ht="90">
      <c r="A278" s="961" t="s">
        <v>69</v>
      </c>
      <c r="B278" s="68" t="s">
        <v>665</v>
      </c>
      <c r="C278" s="100" t="s">
        <v>85</v>
      </c>
      <c r="D278" s="19" t="s">
        <v>666</v>
      </c>
      <c r="E278" s="70" t="s">
        <v>30</v>
      </c>
      <c r="F278" s="80"/>
      <c r="G278" s="23">
        <v>999</v>
      </c>
      <c r="H278" s="23">
        <v>834</v>
      </c>
      <c r="I278" s="175"/>
      <c r="J278" s="23"/>
      <c r="K278" s="23">
        <v>999</v>
      </c>
      <c r="L278" s="23">
        <v>834</v>
      </c>
      <c r="M278" s="23"/>
      <c r="N278" s="1069">
        <v>999</v>
      </c>
      <c r="O278" s="1069">
        <v>834</v>
      </c>
      <c r="P278" s="1198"/>
      <c r="Q278" s="1069">
        <f t="shared" si="175"/>
        <v>827</v>
      </c>
      <c r="R278" s="1069"/>
      <c r="S278" s="1069">
        <v>827</v>
      </c>
      <c r="T278" s="73">
        <f t="shared" si="176"/>
        <v>827</v>
      </c>
      <c r="U278" s="1137"/>
      <c r="V278" s="72">
        <v>827</v>
      </c>
      <c r="W278" s="100" t="s">
        <v>1525</v>
      </c>
      <c r="X278" s="24" t="s">
        <v>1082</v>
      </c>
      <c r="Y278" s="175"/>
      <c r="Z278" s="965">
        <f t="shared" si="177"/>
        <v>827</v>
      </c>
      <c r="AA278" s="1069"/>
      <c r="AB278" s="1069">
        <v>827</v>
      </c>
      <c r="AC278" s="1114"/>
      <c r="AD278" s="657" t="s">
        <v>178</v>
      </c>
      <c r="AE278" s="990"/>
      <c r="AF278" s="811"/>
      <c r="AG278" s="551"/>
      <c r="AH278" s="551"/>
      <c r="AI278" s="551"/>
      <c r="AK278" s="2"/>
      <c r="AL278" s="2"/>
      <c r="AM278" s="2"/>
      <c r="AN278" s="2"/>
      <c r="AO278" s="2"/>
      <c r="AP278" s="2"/>
    </row>
    <row r="279" spans="1:49" s="54" customFormat="1" ht="30">
      <c r="A279" s="961" t="s">
        <v>74</v>
      </c>
      <c r="B279" s="68" t="s">
        <v>667</v>
      </c>
      <c r="C279" s="100" t="s">
        <v>71</v>
      </c>
      <c r="D279" s="19" t="s">
        <v>668</v>
      </c>
      <c r="E279" s="70" t="s">
        <v>30</v>
      </c>
      <c r="F279" s="80" t="s">
        <v>669</v>
      </c>
      <c r="G279" s="23">
        <v>6879</v>
      </c>
      <c r="H279" s="23">
        <v>3355</v>
      </c>
      <c r="I279" s="175"/>
      <c r="J279" s="23"/>
      <c r="K279" s="23">
        <f>G279-G279*10%</f>
        <v>6191.1</v>
      </c>
      <c r="L279" s="23">
        <v>3800</v>
      </c>
      <c r="M279" s="23"/>
      <c r="N279" s="1069">
        <v>6215</v>
      </c>
      <c r="O279" s="1069">
        <v>3355</v>
      </c>
      <c r="P279" s="1198"/>
      <c r="Q279" s="1069">
        <f t="shared" si="175"/>
        <v>3000</v>
      </c>
      <c r="R279" s="1069"/>
      <c r="S279" s="1069">
        <v>3000</v>
      </c>
      <c r="T279" s="73">
        <f t="shared" si="176"/>
        <v>3000</v>
      </c>
      <c r="U279" s="1137"/>
      <c r="V279" s="72">
        <v>3000</v>
      </c>
      <c r="W279" s="100" t="s">
        <v>1516</v>
      </c>
      <c r="X279" s="80"/>
      <c r="Y279" s="175"/>
      <c r="Z279" s="965">
        <f t="shared" si="177"/>
        <v>3000</v>
      </c>
      <c r="AA279" s="1069"/>
      <c r="AB279" s="1069">
        <v>3000</v>
      </c>
      <c r="AC279" s="1114"/>
      <c r="AD279" s="657" t="s">
        <v>178</v>
      </c>
      <c r="AE279" s="990"/>
      <c r="AF279" s="811"/>
      <c r="AG279" s="551"/>
      <c r="AH279" s="551"/>
      <c r="AI279" s="551"/>
      <c r="AK279" s="2"/>
      <c r="AL279" s="2"/>
      <c r="AM279" s="2"/>
      <c r="AN279" s="2"/>
      <c r="AO279" s="2"/>
      <c r="AP279" s="2"/>
    </row>
    <row r="280" spans="1:49" s="54" customFormat="1" ht="38.25">
      <c r="A280" s="961" t="s">
        <v>141</v>
      </c>
      <c r="B280" s="68" t="s">
        <v>670</v>
      </c>
      <c r="C280" s="100" t="s">
        <v>60</v>
      </c>
      <c r="D280" s="19"/>
      <c r="E280" s="70" t="s">
        <v>30</v>
      </c>
      <c r="F280" s="80"/>
      <c r="G280" s="23">
        <v>1000</v>
      </c>
      <c r="H280" s="23">
        <v>900</v>
      </c>
      <c r="I280" s="175"/>
      <c r="J280" s="23"/>
      <c r="K280" s="23">
        <v>1000</v>
      </c>
      <c r="L280" s="23">
        <v>900</v>
      </c>
      <c r="M280" s="23"/>
      <c r="N280" s="1069">
        <v>1000</v>
      </c>
      <c r="O280" s="1069">
        <v>900</v>
      </c>
      <c r="P280" s="1198"/>
      <c r="Q280" s="1069">
        <f t="shared" si="175"/>
        <v>800</v>
      </c>
      <c r="R280" s="1069"/>
      <c r="S280" s="1069">
        <v>800</v>
      </c>
      <c r="T280" s="73">
        <f t="shared" si="176"/>
        <v>800</v>
      </c>
      <c r="U280" s="1137"/>
      <c r="V280" s="72">
        <v>800</v>
      </c>
      <c r="W280" s="513" t="s">
        <v>1517</v>
      </c>
      <c r="X280" s="24" t="s">
        <v>1083</v>
      </c>
      <c r="Y280" s="175"/>
      <c r="Z280" s="965">
        <f t="shared" si="177"/>
        <v>800</v>
      </c>
      <c r="AA280" s="1069"/>
      <c r="AB280" s="1069">
        <v>800</v>
      </c>
      <c r="AC280" s="1114"/>
      <c r="AD280" s="657" t="s">
        <v>178</v>
      </c>
      <c r="AE280" s="990"/>
      <c r="AF280" s="811"/>
      <c r="AG280" s="551"/>
      <c r="AH280" s="551"/>
      <c r="AI280" s="551"/>
      <c r="AK280" s="2"/>
      <c r="AL280" s="2"/>
      <c r="AM280" s="2"/>
      <c r="AN280" s="2"/>
      <c r="AO280" s="2"/>
      <c r="AP280" s="2"/>
    </row>
    <row r="281" spans="1:49" s="54" customFormat="1" ht="30">
      <c r="A281" s="961" t="s">
        <v>146</v>
      </c>
      <c r="B281" s="68" t="s">
        <v>657</v>
      </c>
      <c r="C281" s="100" t="s">
        <v>66</v>
      </c>
      <c r="D281" s="19" t="s">
        <v>658</v>
      </c>
      <c r="E281" s="70" t="s">
        <v>120</v>
      </c>
      <c r="F281" s="80" t="s">
        <v>659</v>
      </c>
      <c r="G281" s="23">
        <v>11848</v>
      </c>
      <c r="H281" s="23">
        <v>5704</v>
      </c>
      <c r="I281" s="175"/>
      <c r="J281" s="23"/>
      <c r="K281" s="23">
        <v>11848</v>
      </c>
      <c r="L281" s="23">
        <v>5704</v>
      </c>
      <c r="M281" s="23"/>
      <c r="N281" s="1069">
        <v>3000</v>
      </c>
      <c r="O281" s="1069">
        <v>1700</v>
      </c>
      <c r="P281" s="1198"/>
      <c r="Q281" s="1069">
        <f t="shared" si="175"/>
        <v>1700</v>
      </c>
      <c r="R281" s="1069"/>
      <c r="S281" s="1069">
        <v>1700</v>
      </c>
      <c r="T281" s="73">
        <f t="shared" si="176"/>
        <v>3500</v>
      </c>
      <c r="U281" s="1137"/>
      <c r="V281" s="72">
        <v>3500</v>
      </c>
      <c r="W281" s="100" t="s">
        <v>1526</v>
      </c>
      <c r="X281" s="24"/>
      <c r="Y281" s="175"/>
      <c r="Z281" s="965">
        <f t="shared" si="177"/>
        <v>1700</v>
      </c>
      <c r="AA281" s="1069"/>
      <c r="AB281" s="1069">
        <v>1700</v>
      </c>
      <c r="AC281" s="1114"/>
      <c r="AD281" s="657" t="s">
        <v>178</v>
      </c>
      <c r="AE281" s="990"/>
      <c r="AF281" s="811"/>
      <c r="AG281" s="551"/>
      <c r="AH281" s="551"/>
      <c r="AI281" s="551"/>
      <c r="AK281" s="2"/>
      <c r="AL281" s="2"/>
      <c r="AM281" s="2"/>
      <c r="AN281" s="2"/>
      <c r="AO281" s="2"/>
      <c r="AP281" s="2"/>
    </row>
    <row r="282" spans="1:49" s="54" customFormat="1" ht="30">
      <c r="A282" s="961" t="s">
        <v>179</v>
      </c>
      <c r="B282" s="68" t="s">
        <v>672</v>
      </c>
      <c r="C282" s="100" t="s">
        <v>66</v>
      </c>
      <c r="D282" s="19"/>
      <c r="E282" s="70" t="s">
        <v>30</v>
      </c>
      <c r="F282" s="80"/>
      <c r="G282" s="23">
        <v>981</v>
      </c>
      <c r="H282" s="23">
        <v>833</v>
      </c>
      <c r="I282" s="175"/>
      <c r="J282" s="23"/>
      <c r="K282" s="23">
        <v>981</v>
      </c>
      <c r="L282" s="23">
        <v>833</v>
      </c>
      <c r="M282" s="23"/>
      <c r="N282" s="1069">
        <v>981</v>
      </c>
      <c r="O282" s="1069">
        <v>833</v>
      </c>
      <c r="P282" s="1198"/>
      <c r="Q282" s="1069">
        <f t="shared" si="175"/>
        <v>788</v>
      </c>
      <c r="R282" s="1069"/>
      <c r="S282" s="1069">
        <v>788</v>
      </c>
      <c r="T282" s="73">
        <f t="shared" si="176"/>
        <v>788</v>
      </c>
      <c r="U282" s="1137"/>
      <c r="V282" s="72">
        <v>788</v>
      </c>
      <c r="W282" s="100" t="s">
        <v>1526</v>
      </c>
      <c r="X282" s="24"/>
      <c r="Y282" s="175"/>
      <c r="Z282" s="965">
        <f t="shared" si="177"/>
        <v>788</v>
      </c>
      <c r="AA282" s="1069"/>
      <c r="AB282" s="1069">
        <v>788</v>
      </c>
      <c r="AC282" s="1114"/>
      <c r="AD282" s="657" t="s">
        <v>178</v>
      </c>
      <c r="AE282" s="990"/>
      <c r="AF282" s="811"/>
      <c r="AG282" s="551"/>
      <c r="AH282" s="551"/>
      <c r="AI282" s="551"/>
      <c r="AK282" s="2"/>
      <c r="AL282" s="2"/>
      <c r="AM282" s="2"/>
      <c r="AN282" s="2"/>
      <c r="AO282" s="2"/>
      <c r="AP282" s="2"/>
    </row>
    <row r="283" spans="1:49" s="633" customFormat="1" ht="31.5" customHeight="1">
      <c r="A283" s="630" t="s">
        <v>893</v>
      </c>
      <c r="B283" s="618" t="s">
        <v>1149</v>
      </c>
      <c r="C283" s="690"/>
      <c r="D283" s="625"/>
      <c r="E283" s="626"/>
      <c r="F283" s="690"/>
      <c r="G283" s="636">
        <f t="shared" ref="G283:V283" si="178">SUM(G284,G287)</f>
        <v>511773</v>
      </c>
      <c r="H283" s="636">
        <f t="shared" si="178"/>
        <v>367808</v>
      </c>
      <c r="I283" s="636">
        <f t="shared" si="178"/>
        <v>55287</v>
      </c>
      <c r="J283" s="636">
        <f t="shared" si="178"/>
        <v>54634</v>
      </c>
      <c r="K283" s="636">
        <f t="shared" si="178"/>
        <v>492361</v>
      </c>
      <c r="L283" s="636">
        <f t="shared" si="178"/>
        <v>348396</v>
      </c>
      <c r="M283" s="636">
        <f t="shared" si="178"/>
        <v>0</v>
      </c>
      <c r="N283" s="1063">
        <f t="shared" si="178"/>
        <v>114400</v>
      </c>
      <c r="O283" s="1063">
        <f t="shared" si="178"/>
        <v>101100</v>
      </c>
      <c r="P283" s="1063">
        <f t="shared" si="178"/>
        <v>0</v>
      </c>
      <c r="Q283" s="1063">
        <f t="shared" si="178"/>
        <v>77500</v>
      </c>
      <c r="R283" s="1063">
        <f t="shared" si="178"/>
        <v>0</v>
      </c>
      <c r="S283" s="1063">
        <f t="shared" si="178"/>
        <v>77500</v>
      </c>
      <c r="T283" s="636">
        <f t="shared" si="178"/>
        <v>67500</v>
      </c>
      <c r="U283" s="1153">
        <f t="shared" si="178"/>
        <v>0</v>
      </c>
      <c r="V283" s="636">
        <f t="shared" si="178"/>
        <v>67500</v>
      </c>
      <c r="W283" s="690"/>
      <c r="X283" s="690"/>
      <c r="Y283" s="636">
        <f>SUM(Y284,Y287)</f>
        <v>16</v>
      </c>
      <c r="Z283" s="1063">
        <f t="shared" ref="Z283:AB283" si="179">SUM(Z284,Z287)</f>
        <v>67500</v>
      </c>
      <c r="AA283" s="1063">
        <f t="shared" si="179"/>
        <v>0</v>
      </c>
      <c r="AB283" s="1063">
        <f t="shared" si="179"/>
        <v>67500</v>
      </c>
      <c r="AC283" s="1109"/>
      <c r="AD283" s="662"/>
      <c r="AE283" s="990"/>
      <c r="AF283" s="811"/>
      <c r="AG283" s="628"/>
      <c r="AH283" s="628"/>
      <c r="AI283" s="628"/>
      <c r="AK283" s="629"/>
      <c r="AL283" s="629"/>
      <c r="AM283" s="629"/>
      <c r="AN283" s="629"/>
      <c r="AO283" s="629"/>
      <c r="AP283" s="629"/>
    </row>
    <row r="284" spans="1:49" s="266" customFormat="1">
      <c r="A284" s="82" t="s">
        <v>525</v>
      </c>
      <c r="B284" s="65" t="s">
        <v>26</v>
      </c>
      <c r="C284" s="352"/>
      <c r="D284" s="350"/>
      <c r="E284" s="351"/>
      <c r="F284" s="352"/>
      <c r="G284" s="45">
        <f t="shared" ref="G284:V284" si="180">SUM(G285:G286)</f>
        <v>22363</v>
      </c>
      <c r="H284" s="45">
        <f t="shared" si="180"/>
        <v>17135</v>
      </c>
      <c r="I284" s="45">
        <f t="shared" si="180"/>
        <v>0</v>
      </c>
      <c r="J284" s="45">
        <f t="shared" si="180"/>
        <v>0</v>
      </c>
      <c r="K284" s="45">
        <f t="shared" si="180"/>
        <v>27729</v>
      </c>
      <c r="L284" s="45">
        <f t="shared" si="180"/>
        <v>22501</v>
      </c>
      <c r="M284" s="45">
        <f t="shared" si="180"/>
        <v>0</v>
      </c>
      <c r="N284" s="1037">
        <f t="shared" si="180"/>
        <v>900</v>
      </c>
      <c r="O284" s="1037">
        <f t="shared" si="180"/>
        <v>900</v>
      </c>
      <c r="P284" s="1037">
        <f t="shared" si="180"/>
        <v>0</v>
      </c>
      <c r="Q284" s="1037">
        <f t="shared" si="180"/>
        <v>900</v>
      </c>
      <c r="R284" s="1037">
        <f t="shared" si="180"/>
        <v>0</v>
      </c>
      <c r="S284" s="1037">
        <f t="shared" si="180"/>
        <v>900</v>
      </c>
      <c r="T284" s="45">
        <f t="shared" si="180"/>
        <v>900</v>
      </c>
      <c r="U284" s="1128">
        <f t="shared" si="180"/>
        <v>0</v>
      </c>
      <c r="V284" s="45">
        <f t="shared" si="180"/>
        <v>900</v>
      </c>
      <c r="W284" s="352"/>
      <c r="X284" s="352"/>
      <c r="Y284" s="45">
        <f>SUM(Y285:Y286)</f>
        <v>2</v>
      </c>
      <c r="Z284" s="1037">
        <f t="shared" ref="Z284:AB284" si="181">SUM(Z285:Z286)</f>
        <v>900</v>
      </c>
      <c r="AA284" s="1037">
        <f t="shared" si="181"/>
        <v>0</v>
      </c>
      <c r="AB284" s="1037">
        <f t="shared" si="181"/>
        <v>900</v>
      </c>
      <c r="AC284" s="1085"/>
      <c r="AD284" s="657"/>
      <c r="AE284" s="990"/>
      <c r="AF284" s="811"/>
      <c r="AG284" s="551"/>
      <c r="AH284" s="551"/>
      <c r="AI284" s="551"/>
      <c r="AK284" s="265"/>
      <c r="AL284" s="265"/>
      <c r="AM284" s="265"/>
      <c r="AN284" s="265"/>
      <c r="AO284" s="265"/>
      <c r="AP284" s="265"/>
    </row>
    <row r="285" spans="1:49" s="646" customFormat="1" ht="38.25">
      <c r="A285" s="641">
        <v>1</v>
      </c>
      <c r="B285" s="68" t="s">
        <v>673</v>
      </c>
      <c r="C285" s="1031" t="s">
        <v>29</v>
      </c>
      <c r="D285" s="668" t="s">
        <v>674</v>
      </c>
      <c r="E285" s="748" t="s">
        <v>163</v>
      </c>
      <c r="F285" s="762"/>
      <c r="G285" s="643"/>
      <c r="H285" s="643"/>
      <c r="I285" s="643"/>
      <c r="J285" s="643"/>
      <c r="K285" s="643">
        <v>7990</v>
      </c>
      <c r="L285" s="643">
        <v>7990</v>
      </c>
      <c r="M285" s="643"/>
      <c r="N285" s="1035">
        <v>300</v>
      </c>
      <c r="O285" s="1035">
        <v>300</v>
      </c>
      <c r="P285" s="1198"/>
      <c r="Q285" s="1035">
        <f>SUM(R285:S285)</f>
        <v>300</v>
      </c>
      <c r="R285" s="1035"/>
      <c r="S285" s="1035">
        <v>300</v>
      </c>
      <c r="T285" s="73">
        <f>SUM(U285:V285)</f>
        <v>300</v>
      </c>
      <c r="U285" s="1126"/>
      <c r="V285" s="643">
        <v>300</v>
      </c>
      <c r="W285" s="744" t="s">
        <v>1557</v>
      </c>
      <c r="X285" s="80" t="s">
        <v>1084</v>
      </c>
      <c r="Y285" s="643">
        <v>1</v>
      </c>
      <c r="Z285" s="965">
        <f>SUM(AA285:AB285)</f>
        <v>300</v>
      </c>
      <c r="AA285" s="1035"/>
      <c r="AB285" s="1035">
        <v>300</v>
      </c>
      <c r="AC285" s="1082"/>
      <c r="AD285" s="657"/>
      <c r="AE285" s="990"/>
      <c r="AF285" s="981"/>
      <c r="AG285" s="645"/>
      <c r="AH285" s="645"/>
      <c r="AI285" s="645"/>
      <c r="AK285" s="647"/>
      <c r="AL285" s="647"/>
      <c r="AM285" s="647"/>
      <c r="AN285" s="647"/>
      <c r="AO285" s="647"/>
      <c r="AP285" s="647"/>
    </row>
    <row r="286" spans="1:49" s="646" customFormat="1" ht="25.5">
      <c r="A286" s="641">
        <v>2</v>
      </c>
      <c r="B286" s="68" t="s">
        <v>675</v>
      </c>
      <c r="C286" s="1031" t="s">
        <v>29</v>
      </c>
      <c r="D286" s="668" t="s">
        <v>676</v>
      </c>
      <c r="E286" s="748" t="s">
        <v>355</v>
      </c>
      <c r="F286" s="762" t="s">
        <v>677</v>
      </c>
      <c r="G286" s="643">
        <v>22363</v>
      </c>
      <c r="H286" s="643">
        <v>17135</v>
      </c>
      <c r="I286" s="643"/>
      <c r="J286" s="643"/>
      <c r="K286" s="643">
        <f>22363-2624</f>
        <v>19739</v>
      </c>
      <c r="L286" s="643">
        <f>17135-2624</f>
        <v>14511</v>
      </c>
      <c r="M286" s="643"/>
      <c r="N286" s="1035">
        <v>600</v>
      </c>
      <c r="O286" s="1035">
        <v>600</v>
      </c>
      <c r="P286" s="1198"/>
      <c r="Q286" s="1035">
        <f>SUM(R286:S286)</f>
        <v>600</v>
      </c>
      <c r="R286" s="1035"/>
      <c r="S286" s="1035">
        <v>600</v>
      </c>
      <c r="T286" s="73">
        <f>SUM(U286:V286)</f>
        <v>600</v>
      </c>
      <c r="U286" s="1126"/>
      <c r="V286" s="643">
        <v>600</v>
      </c>
      <c r="W286" s="744" t="s">
        <v>1557</v>
      </c>
      <c r="X286" s="744"/>
      <c r="Y286" s="643">
        <v>1</v>
      </c>
      <c r="Z286" s="965">
        <f>SUM(AA286:AB286)</f>
        <v>600</v>
      </c>
      <c r="AA286" s="1035"/>
      <c r="AB286" s="1035">
        <v>600</v>
      </c>
      <c r="AC286" s="1082"/>
      <c r="AD286" s="657"/>
      <c r="AE286" s="990"/>
      <c r="AF286" s="981"/>
      <c r="AG286" s="645"/>
      <c r="AH286" s="645"/>
      <c r="AI286" s="645"/>
      <c r="AK286" s="647"/>
      <c r="AL286" s="647"/>
      <c r="AM286" s="647"/>
      <c r="AN286" s="647"/>
      <c r="AO286" s="647"/>
      <c r="AP286" s="647"/>
    </row>
    <row r="287" spans="1:49" s="266" customFormat="1">
      <c r="A287" s="82" t="s">
        <v>499</v>
      </c>
      <c r="B287" s="197" t="s">
        <v>31</v>
      </c>
      <c r="C287" s="1031"/>
      <c r="D287" s="635"/>
      <c r="E287" s="44"/>
      <c r="F287" s="762"/>
      <c r="G287" s="45">
        <f t="shared" ref="G287:V287" si="182">SUM(G288,G294)</f>
        <v>489410</v>
      </c>
      <c r="H287" s="45">
        <f t="shared" si="182"/>
        <v>350673</v>
      </c>
      <c r="I287" s="45">
        <f t="shared" si="182"/>
        <v>55287</v>
      </c>
      <c r="J287" s="45">
        <f t="shared" si="182"/>
        <v>54634</v>
      </c>
      <c r="K287" s="45">
        <f t="shared" si="182"/>
        <v>464632</v>
      </c>
      <c r="L287" s="45">
        <f t="shared" si="182"/>
        <v>325895</v>
      </c>
      <c r="M287" s="45">
        <f t="shared" si="182"/>
        <v>0</v>
      </c>
      <c r="N287" s="1037">
        <f t="shared" si="182"/>
        <v>113500</v>
      </c>
      <c r="O287" s="1037">
        <f t="shared" si="182"/>
        <v>100200</v>
      </c>
      <c r="P287" s="1037">
        <f t="shared" si="182"/>
        <v>0</v>
      </c>
      <c r="Q287" s="1037">
        <f t="shared" si="182"/>
        <v>76600</v>
      </c>
      <c r="R287" s="1037">
        <f t="shared" si="182"/>
        <v>0</v>
      </c>
      <c r="S287" s="1037">
        <f t="shared" si="182"/>
        <v>76600</v>
      </c>
      <c r="T287" s="45">
        <f t="shared" si="182"/>
        <v>66600</v>
      </c>
      <c r="U287" s="1128">
        <f t="shared" si="182"/>
        <v>0</v>
      </c>
      <c r="V287" s="45">
        <f t="shared" si="182"/>
        <v>66600</v>
      </c>
      <c r="W287" s="352"/>
      <c r="X287" s="352"/>
      <c r="Y287" s="45">
        <f>SUM(Y288,Y294)</f>
        <v>14</v>
      </c>
      <c r="Z287" s="1037">
        <f t="shared" ref="Z287:AB287" si="183">SUM(Z288,Z294)</f>
        <v>66600</v>
      </c>
      <c r="AA287" s="1037">
        <f t="shared" si="183"/>
        <v>0</v>
      </c>
      <c r="AB287" s="1037">
        <f t="shared" si="183"/>
        <v>66600</v>
      </c>
      <c r="AC287" s="1085"/>
      <c r="AD287" s="657"/>
      <c r="AE287" s="990"/>
      <c r="AF287" s="811"/>
      <c r="AG287" s="551"/>
      <c r="AH287" s="551"/>
      <c r="AI287" s="551"/>
      <c r="AK287" s="265"/>
      <c r="AL287" s="265"/>
      <c r="AM287" s="265"/>
      <c r="AN287" s="265"/>
      <c r="AO287" s="265"/>
      <c r="AP287" s="265"/>
    </row>
    <row r="288" spans="1:49" s="54" customFormat="1">
      <c r="A288" s="64" t="s">
        <v>78</v>
      </c>
      <c r="B288" s="197" t="s">
        <v>79</v>
      </c>
      <c r="C288" s="1031"/>
      <c r="D288" s="635"/>
      <c r="E288" s="44"/>
      <c r="F288" s="762"/>
      <c r="G288" s="45">
        <f t="shared" ref="G288:V288" si="184">SUM(G289:G293)</f>
        <v>90689</v>
      </c>
      <c r="H288" s="45">
        <f t="shared" si="184"/>
        <v>84517</v>
      </c>
      <c r="I288" s="45">
        <f t="shared" si="184"/>
        <v>52717</v>
      </c>
      <c r="J288" s="45">
        <f t="shared" si="184"/>
        <v>52064</v>
      </c>
      <c r="K288" s="45">
        <f t="shared" si="184"/>
        <v>65911</v>
      </c>
      <c r="L288" s="45">
        <f t="shared" si="184"/>
        <v>59739</v>
      </c>
      <c r="M288" s="45">
        <f t="shared" si="184"/>
        <v>0</v>
      </c>
      <c r="N288" s="1037">
        <f t="shared" si="184"/>
        <v>23500</v>
      </c>
      <c r="O288" s="1037">
        <f t="shared" si="184"/>
        <v>17200</v>
      </c>
      <c r="P288" s="1037">
        <f t="shared" si="184"/>
        <v>0</v>
      </c>
      <c r="Q288" s="1037">
        <f t="shared" si="184"/>
        <v>16600</v>
      </c>
      <c r="R288" s="1037">
        <f t="shared" si="184"/>
        <v>0</v>
      </c>
      <c r="S288" s="1037">
        <f t="shared" si="184"/>
        <v>16600</v>
      </c>
      <c r="T288" s="45">
        <f t="shared" si="184"/>
        <v>16600</v>
      </c>
      <c r="U288" s="1128">
        <f t="shared" si="184"/>
        <v>0</v>
      </c>
      <c r="V288" s="45">
        <f t="shared" si="184"/>
        <v>16600</v>
      </c>
      <c r="W288" s="352"/>
      <c r="X288" s="352"/>
      <c r="Y288" s="45">
        <f>SUM(Y289:Y293)</f>
        <v>5</v>
      </c>
      <c r="Z288" s="1037">
        <f t="shared" ref="Z288:AB288" si="185">SUM(Z289:Z293)</f>
        <v>16600</v>
      </c>
      <c r="AA288" s="1037">
        <f t="shared" si="185"/>
        <v>0</v>
      </c>
      <c r="AB288" s="1037">
        <f t="shared" si="185"/>
        <v>16600</v>
      </c>
      <c r="AC288" s="1085"/>
      <c r="AD288" s="657"/>
      <c r="AE288" s="990"/>
      <c r="AF288" s="811"/>
      <c r="AG288" s="551"/>
      <c r="AH288" s="551"/>
      <c r="AI288" s="551"/>
      <c r="AK288" s="57"/>
      <c r="AL288" s="57"/>
      <c r="AM288" s="57"/>
      <c r="AN288" s="57"/>
      <c r="AO288" s="57"/>
      <c r="AP288" s="57"/>
    </row>
    <row r="289" spans="1:42" s="54" customFormat="1" ht="45.75" customHeight="1">
      <c r="A289" s="78">
        <v>1</v>
      </c>
      <c r="B289" s="68" t="s">
        <v>688</v>
      </c>
      <c r="C289" s="100" t="s">
        <v>143</v>
      </c>
      <c r="D289" s="101" t="s">
        <v>689</v>
      </c>
      <c r="E289" s="95" t="s">
        <v>235</v>
      </c>
      <c r="F289" s="100" t="s">
        <v>690</v>
      </c>
      <c r="G289" s="175">
        <v>50581</v>
      </c>
      <c r="H289" s="175">
        <v>50581</v>
      </c>
      <c r="I289" s="23">
        <f>18400+13000</f>
        <v>31400</v>
      </c>
      <c r="J289" s="23">
        <f>18400+13000</f>
        <v>31400</v>
      </c>
      <c r="K289" s="23">
        <f>G289-18400</f>
        <v>32181</v>
      </c>
      <c r="L289" s="23">
        <f>+H289-18400</f>
        <v>32181</v>
      </c>
      <c r="M289" s="23"/>
      <c r="N289" s="1069">
        <v>6000</v>
      </c>
      <c r="O289" s="1069">
        <v>6000</v>
      </c>
      <c r="P289" s="1198"/>
      <c r="Q289" s="1069">
        <f>SUM(R289:S289)</f>
        <v>6000</v>
      </c>
      <c r="R289" s="1069"/>
      <c r="S289" s="1069">
        <v>6000</v>
      </c>
      <c r="T289" s="73">
        <f>SUM(U289:V289)</f>
        <v>6000</v>
      </c>
      <c r="U289" s="595"/>
      <c r="V289" s="175">
        <v>6000</v>
      </c>
      <c r="W289" s="100" t="s">
        <v>1518</v>
      </c>
      <c r="X289" s="24"/>
      <c r="Y289" s="175">
        <v>1</v>
      </c>
      <c r="Z289" s="965">
        <f>SUM(AA289:AB289)</f>
        <v>6000</v>
      </c>
      <c r="AA289" s="1069"/>
      <c r="AB289" s="1069">
        <v>6000</v>
      </c>
      <c r="AC289" s="1114"/>
      <c r="AD289" s="657"/>
      <c r="AE289" s="990"/>
      <c r="AF289" s="811"/>
      <c r="AG289" s="551"/>
      <c r="AH289" s="551"/>
      <c r="AI289" s="551"/>
      <c r="AK289" s="57"/>
      <c r="AL289" s="57"/>
      <c r="AM289" s="57"/>
      <c r="AN289" s="57"/>
      <c r="AO289" s="57"/>
      <c r="AP289" s="57"/>
    </row>
    <row r="290" spans="1:42" s="54" customFormat="1" ht="30">
      <c r="A290" s="78">
        <v>2</v>
      </c>
      <c r="B290" s="93" t="s">
        <v>691</v>
      </c>
      <c r="C290" s="100" t="s">
        <v>143</v>
      </c>
      <c r="D290" s="19" t="s">
        <v>37</v>
      </c>
      <c r="E290" s="95" t="s">
        <v>692</v>
      </c>
      <c r="F290" s="80" t="s">
        <v>693</v>
      </c>
      <c r="G290" s="71">
        <f>H290</f>
        <v>14384</v>
      </c>
      <c r="H290" s="71">
        <v>14384</v>
      </c>
      <c r="I290" s="175">
        <f>J290</f>
        <v>10490</v>
      </c>
      <c r="J290" s="175">
        <f>554+1413+8523</f>
        <v>10490</v>
      </c>
      <c r="K290" s="23">
        <f>L290</f>
        <v>12145</v>
      </c>
      <c r="L290" s="23">
        <f>H290-554-1413-272</f>
        <v>12145</v>
      </c>
      <c r="M290" s="23"/>
      <c r="N290" s="1069">
        <v>3600</v>
      </c>
      <c r="O290" s="1069">
        <v>3600</v>
      </c>
      <c r="P290" s="1198"/>
      <c r="Q290" s="965">
        <f>SUM(R290:S290)</f>
        <v>3000</v>
      </c>
      <c r="R290" s="1069"/>
      <c r="S290" s="1069">
        <v>3000</v>
      </c>
      <c r="T290" s="73">
        <f>SUM(U290:V290)</f>
        <v>3000</v>
      </c>
      <c r="U290" s="595"/>
      <c r="V290" s="175">
        <v>3000</v>
      </c>
      <c r="W290" s="744" t="s">
        <v>1557</v>
      </c>
      <c r="X290" s="24"/>
      <c r="Y290" s="175">
        <v>1</v>
      </c>
      <c r="Z290" s="965">
        <f>SUM(AA290:AB290)</f>
        <v>3000</v>
      </c>
      <c r="AA290" s="1069"/>
      <c r="AB290" s="1069">
        <v>3000</v>
      </c>
      <c r="AC290" s="1114"/>
      <c r="AD290" s="657"/>
      <c r="AE290" s="990"/>
      <c r="AF290" s="811"/>
      <c r="AG290" s="551"/>
      <c r="AH290" s="551"/>
      <c r="AI290" s="551"/>
      <c r="AK290" s="57"/>
      <c r="AL290" s="57"/>
      <c r="AM290" s="57"/>
      <c r="AN290" s="57"/>
      <c r="AO290" s="57"/>
      <c r="AP290" s="57"/>
    </row>
    <row r="291" spans="1:42" s="54" customFormat="1" ht="30">
      <c r="A291" s="78">
        <v>3</v>
      </c>
      <c r="B291" s="289" t="s">
        <v>694</v>
      </c>
      <c r="C291" s="100" t="s">
        <v>60</v>
      </c>
      <c r="D291" s="19" t="s">
        <v>37</v>
      </c>
      <c r="E291" s="95" t="s">
        <v>695</v>
      </c>
      <c r="F291" s="80" t="s">
        <v>696</v>
      </c>
      <c r="G291" s="71">
        <v>10227</v>
      </c>
      <c r="H291" s="71">
        <v>10227</v>
      </c>
      <c r="I291" s="175">
        <f>359+2897+3478</f>
        <v>6734</v>
      </c>
      <c r="J291" s="175">
        <f>359+2897+3478</f>
        <v>6734</v>
      </c>
      <c r="K291" s="23">
        <f>L291</f>
        <v>6088</v>
      </c>
      <c r="L291" s="23">
        <f>H291-359-2897-883</f>
        <v>6088</v>
      </c>
      <c r="M291" s="23"/>
      <c r="N291" s="1069">
        <v>2600</v>
      </c>
      <c r="O291" s="1069">
        <v>2600</v>
      </c>
      <c r="P291" s="1198"/>
      <c r="Q291" s="1069">
        <f>SUM(R291:S291)</f>
        <v>2600</v>
      </c>
      <c r="R291" s="1069"/>
      <c r="S291" s="1069">
        <v>2600</v>
      </c>
      <c r="T291" s="73">
        <f>SUM(U291:V291)</f>
        <v>2600</v>
      </c>
      <c r="U291" s="595"/>
      <c r="V291" s="175">
        <v>2600</v>
      </c>
      <c r="W291" s="744" t="s">
        <v>1557</v>
      </c>
      <c r="X291" s="24"/>
      <c r="Y291" s="175">
        <v>1</v>
      </c>
      <c r="Z291" s="965">
        <f>SUM(AA291:AB291)</f>
        <v>2600</v>
      </c>
      <c r="AA291" s="1069"/>
      <c r="AB291" s="1069">
        <v>2600</v>
      </c>
      <c r="AC291" s="1114"/>
      <c r="AD291" s="657"/>
      <c r="AE291" s="990"/>
      <c r="AF291" s="811"/>
      <c r="AG291" s="551"/>
      <c r="AH291" s="551"/>
      <c r="AI291" s="551"/>
      <c r="AK291" s="57"/>
      <c r="AL291" s="57"/>
      <c r="AM291" s="57"/>
      <c r="AN291" s="57"/>
      <c r="AO291" s="57"/>
      <c r="AP291" s="57"/>
    </row>
    <row r="292" spans="1:42" s="54" customFormat="1" ht="45">
      <c r="A292" s="78">
        <v>4</v>
      </c>
      <c r="B292" s="93" t="s">
        <v>697</v>
      </c>
      <c r="C292" s="700" t="s">
        <v>112</v>
      </c>
      <c r="D292" s="19" t="s">
        <v>698</v>
      </c>
      <c r="E292" s="95" t="s">
        <v>699</v>
      </c>
      <c r="F292" s="80" t="s">
        <v>700</v>
      </c>
      <c r="G292" s="71">
        <v>9063</v>
      </c>
      <c r="H292" s="71">
        <v>5537</v>
      </c>
      <c r="I292" s="175">
        <f>J292+153</f>
        <v>2188</v>
      </c>
      <c r="J292" s="175">
        <v>2035</v>
      </c>
      <c r="K292" s="23">
        <v>9063</v>
      </c>
      <c r="L292" s="23">
        <v>5537</v>
      </c>
      <c r="M292" s="23"/>
      <c r="N292" s="1069">
        <v>6800</v>
      </c>
      <c r="O292" s="1069">
        <v>3000</v>
      </c>
      <c r="P292" s="1198"/>
      <c r="Q292" s="1069">
        <f>SUM(R292:S292)</f>
        <v>3000</v>
      </c>
      <c r="R292" s="1069"/>
      <c r="S292" s="1069">
        <v>3000</v>
      </c>
      <c r="T292" s="73">
        <f>SUM(U292:V292)</f>
        <v>3000</v>
      </c>
      <c r="U292" s="595"/>
      <c r="V292" s="175">
        <v>3000</v>
      </c>
      <c r="W292" s="744" t="s">
        <v>1557</v>
      </c>
      <c r="X292" s="24"/>
      <c r="Y292" s="175">
        <v>1</v>
      </c>
      <c r="Z292" s="965">
        <f>SUM(AA292:AB292)</f>
        <v>3000</v>
      </c>
      <c r="AA292" s="1069"/>
      <c r="AB292" s="1069">
        <v>3000</v>
      </c>
      <c r="AC292" s="1114"/>
      <c r="AD292" s="657"/>
      <c r="AE292" s="990"/>
      <c r="AF292" s="811"/>
      <c r="AG292" s="551"/>
      <c r="AH292" s="551"/>
      <c r="AI292" s="551"/>
      <c r="AK292" s="57"/>
      <c r="AL292" s="57"/>
      <c r="AM292" s="57"/>
      <c r="AN292" s="57"/>
      <c r="AO292" s="57"/>
      <c r="AP292" s="57"/>
    </row>
    <row r="293" spans="1:42" s="54" customFormat="1" ht="45">
      <c r="A293" s="78">
        <v>5</v>
      </c>
      <c r="B293" s="93" t="s">
        <v>701</v>
      </c>
      <c r="C293" s="100" t="s">
        <v>260</v>
      </c>
      <c r="D293" s="19" t="s">
        <v>698</v>
      </c>
      <c r="E293" s="95" t="s">
        <v>699</v>
      </c>
      <c r="F293" s="80" t="s">
        <v>702</v>
      </c>
      <c r="G293" s="71">
        <v>6434</v>
      </c>
      <c r="H293" s="71">
        <v>3788</v>
      </c>
      <c r="I293" s="175">
        <f>J293+500</f>
        <v>1905</v>
      </c>
      <c r="J293" s="23">
        <v>1405</v>
      </c>
      <c r="K293" s="23">
        <v>6434</v>
      </c>
      <c r="L293" s="23">
        <v>3788</v>
      </c>
      <c r="M293" s="23"/>
      <c r="N293" s="1069">
        <v>4500</v>
      </c>
      <c r="O293" s="1069">
        <v>2000</v>
      </c>
      <c r="P293" s="1198"/>
      <c r="Q293" s="1069">
        <f>SUM(R293:S293)</f>
        <v>2000</v>
      </c>
      <c r="R293" s="1069"/>
      <c r="S293" s="1069">
        <v>2000</v>
      </c>
      <c r="T293" s="73">
        <f>SUM(U293:V293)</f>
        <v>2000</v>
      </c>
      <c r="U293" s="595"/>
      <c r="V293" s="175">
        <v>2000</v>
      </c>
      <c r="W293" s="744" t="s">
        <v>1557</v>
      </c>
      <c r="X293" s="24"/>
      <c r="Y293" s="175">
        <v>1</v>
      </c>
      <c r="Z293" s="965">
        <f>SUM(AA293:AB293)</f>
        <v>2000</v>
      </c>
      <c r="AA293" s="1069"/>
      <c r="AB293" s="1069">
        <v>2000</v>
      </c>
      <c r="AC293" s="1114"/>
      <c r="AD293" s="657"/>
      <c r="AE293" s="990"/>
      <c r="AF293" s="811"/>
      <c r="AG293" s="551"/>
      <c r="AH293" s="551"/>
      <c r="AI293" s="551"/>
      <c r="AK293" s="57"/>
      <c r="AL293" s="57"/>
      <c r="AM293" s="57"/>
      <c r="AN293" s="57"/>
      <c r="AO293" s="57"/>
      <c r="AP293" s="57"/>
    </row>
    <row r="294" spans="1:42" s="54" customFormat="1">
      <c r="A294" s="64" t="s">
        <v>150</v>
      </c>
      <c r="B294" s="197" t="s">
        <v>632</v>
      </c>
      <c r="C294" s="700"/>
      <c r="D294" s="19"/>
      <c r="E294" s="95"/>
      <c r="F294" s="80"/>
      <c r="G294" s="199">
        <f t="shared" ref="G294:V294" si="186">SUM(G295:G303)</f>
        <v>398721</v>
      </c>
      <c r="H294" s="199">
        <f t="shared" si="186"/>
        <v>266156</v>
      </c>
      <c r="I294" s="199">
        <f t="shared" si="186"/>
        <v>2570</v>
      </c>
      <c r="J294" s="199">
        <f t="shared" si="186"/>
        <v>2570</v>
      </c>
      <c r="K294" s="199">
        <f t="shared" si="186"/>
        <v>398721</v>
      </c>
      <c r="L294" s="199">
        <f t="shared" si="186"/>
        <v>266156</v>
      </c>
      <c r="M294" s="199">
        <f t="shared" si="186"/>
        <v>0</v>
      </c>
      <c r="N294" s="1062">
        <f t="shared" si="186"/>
        <v>90000</v>
      </c>
      <c r="O294" s="1062">
        <f t="shared" si="186"/>
        <v>83000</v>
      </c>
      <c r="P294" s="1062">
        <f t="shared" si="186"/>
        <v>0</v>
      </c>
      <c r="Q294" s="1062">
        <f t="shared" si="186"/>
        <v>60000</v>
      </c>
      <c r="R294" s="1062">
        <f t="shared" si="186"/>
        <v>0</v>
      </c>
      <c r="S294" s="1062">
        <f t="shared" si="186"/>
        <v>60000</v>
      </c>
      <c r="T294" s="199">
        <f t="shared" si="186"/>
        <v>50000</v>
      </c>
      <c r="U294" s="1152">
        <f t="shared" si="186"/>
        <v>0</v>
      </c>
      <c r="V294" s="199">
        <f t="shared" si="186"/>
        <v>50000</v>
      </c>
      <c r="W294" s="732"/>
      <c r="X294" s="732"/>
      <c r="Y294" s="199">
        <f>SUM(Y295:Y303)</f>
        <v>9</v>
      </c>
      <c r="Z294" s="1062">
        <f t="shared" ref="Z294:AB294" si="187">SUM(Z295:Z303)</f>
        <v>50000</v>
      </c>
      <c r="AA294" s="1062">
        <f t="shared" si="187"/>
        <v>0</v>
      </c>
      <c r="AB294" s="1062">
        <f t="shared" si="187"/>
        <v>50000</v>
      </c>
      <c r="AC294" s="1108"/>
      <c r="AD294" s="657"/>
      <c r="AE294" s="990"/>
      <c r="AF294" s="811"/>
      <c r="AG294" s="551"/>
      <c r="AH294" s="551"/>
      <c r="AI294" s="551"/>
      <c r="AK294" s="57"/>
      <c r="AL294" s="57"/>
      <c r="AM294" s="57"/>
      <c r="AN294" s="57"/>
      <c r="AO294" s="57"/>
      <c r="AP294" s="57"/>
    </row>
    <row r="295" spans="1:42" s="54" customFormat="1" ht="30">
      <c r="A295" s="78">
        <v>1</v>
      </c>
      <c r="B295" s="68" t="s">
        <v>703</v>
      </c>
      <c r="C295" s="100" t="s">
        <v>29</v>
      </c>
      <c r="D295" s="19" t="s">
        <v>704</v>
      </c>
      <c r="E295" s="95" t="s">
        <v>645</v>
      </c>
      <c r="F295" s="80" t="s">
        <v>705</v>
      </c>
      <c r="G295" s="71">
        <v>48293</v>
      </c>
      <c r="H295" s="71">
        <v>48293</v>
      </c>
      <c r="I295" s="175">
        <v>230</v>
      </c>
      <c r="J295" s="23">
        <v>230</v>
      </c>
      <c r="K295" s="23">
        <v>48293</v>
      </c>
      <c r="L295" s="23">
        <v>48293</v>
      </c>
      <c r="M295" s="23"/>
      <c r="N295" s="1069">
        <v>10000</v>
      </c>
      <c r="O295" s="1069">
        <v>10000</v>
      </c>
      <c r="P295" s="1198"/>
      <c r="Q295" s="965">
        <f t="shared" ref="Q295:Q302" si="188">SUM(R295:S295)</f>
        <v>8000</v>
      </c>
      <c r="R295" s="1069"/>
      <c r="S295" s="1069">
        <v>8000</v>
      </c>
      <c r="T295" s="73">
        <f t="shared" ref="T295:T303" si="189">SUM(U295:V295)</f>
        <v>8000</v>
      </c>
      <c r="U295" s="595"/>
      <c r="V295" s="175">
        <v>8000</v>
      </c>
      <c r="W295" s="744" t="s">
        <v>1557</v>
      </c>
      <c r="X295" s="24"/>
      <c r="Y295" s="175">
        <v>1</v>
      </c>
      <c r="Z295" s="965">
        <f t="shared" ref="Z295:Z303" si="190">SUM(AA295:AB295)</f>
        <v>8000</v>
      </c>
      <c r="AA295" s="1069"/>
      <c r="AB295" s="1069">
        <v>8000</v>
      </c>
      <c r="AC295" s="1114"/>
      <c r="AD295" s="657"/>
      <c r="AE295" s="990"/>
      <c r="AF295" s="811"/>
      <c r="AG295" s="551"/>
      <c r="AH295" s="551"/>
      <c r="AI295" s="551"/>
      <c r="AK295" s="57"/>
      <c r="AL295" s="57"/>
      <c r="AM295" s="57"/>
      <c r="AN295" s="57"/>
      <c r="AO295" s="57"/>
      <c r="AP295" s="57"/>
    </row>
    <row r="296" spans="1:42" s="54" customFormat="1" ht="30">
      <c r="A296" s="78">
        <v>2</v>
      </c>
      <c r="B296" s="68" t="s">
        <v>706</v>
      </c>
      <c r="C296" s="100" t="s">
        <v>707</v>
      </c>
      <c r="D296" s="19" t="s">
        <v>708</v>
      </c>
      <c r="E296" s="95" t="s">
        <v>709</v>
      </c>
      <c r="F296" s="80" t="s">
        <v>710</v>
      </c>
      <c r="G296" s="71">
        <v>126455</v>
      </c>
      <c r="H296" s="71">
        <v>59310</v>
      </c>
      <c r="I296" s="175">
        <v>0</v>
      </c>
      <c r="J296" s="23">
        <v>0</v>
      </c>
      <c r="K296" s="23">
        <v>126455</v>
      </c>
      <c r="L296" s="23">
        <v>59310</v>
      </c>
      <c r="M296" s="23"/>
      <c r="N296" s="1069">
        <v>20000</v>
      </c>
      <c r="O296" s="1069">
        <v>20000</v>
      </c>
      <c r="P296" s="1198"/>
      <c r="Q296" s="1069">
        <f t="shared" si="188"/>
        <v>20000</v>
      </c>
      <c r="R296" s="1069"/>
      <c r="S296" s="1069">
        <v>20000</v>
      </c>
      <c r="T296" s="73">
        <f t="shared" si="189"/>
        <v>10000</v>
      </c>
      <c r="U296" s="595"/>
      <c r="V296" s="175">
        <v>10000</v>
      </c>
      <c r="W296" s="100" t="s">
        <v>1530</v>
      </c>
      <c r="X296" s="24"/>
      <c r="Y296" s="175">
        <v>1</v>
      </c>
      <c r="Z296" s="965">
        <f t="shared" si="190"/>
        <v>10000</v>
      </c>
      <c r="AA296" s="1069"/>
      <c r="AB296" s="1069">
        <v>10000</v>
      </c>
      <c r="AC296" s="1114"/>
      <c r="AD296" s="657"/>
      <c r="AE296" s="990"/>
      <c r="AF296" s="811"/>
      <c r="AG296" s="551"/>
      <c r="AH296" s="551"/>
      <c r="AI296" s="551"/>
      <c r="AK296" s="57"/>
      <c r="AL296" s="57"/>
      <c r="AM296" s="57"/>
      <c r="AN296" s="57"/>
      <c r="AO296" s="57"/>
      <c r="AP296" s="57"/>
    </row>
    <row r="297" spans="1:42" s="54" customFormat="1" ht="30">
      <c r="A297" s="78">
        <v>3</v>
      </c>
      <c r="B297" s="68" t="s">
        <v>713</v>
      </c>
      <c r="C297" s="100" t="s">
        <v>29</v>
      </c>
      <c r="D297" s="19" t="s">
        <v>714</v>
      </c>
      <c r="E297" s="95" t="s">
        <v>715</v>
      </c>
      <c r="F297" s="80" t="s">
        <v>716</v>
      </c>
      <c r="G297" s="71">
        <v>13995</v>
      </c>
      <c r="H297" s="71">
        <v>13995</v>
      </c>
      <c r="I297" s="175">
        <v>290</v>
      </c>
      <c r="J297" s="23">
        <v>290</v>
      </c>
      <c r="K297" s="23">
        <v>13995</v>
      </c>
      <c r="L297" s="23">
        <v>13995</v>
      </c>
      <c r="M297" s="23"/>
      <c r="N297" s="1069">
        <v>7000</v>
      </c>
      <c r="O297" s="1069">
        <v>7000</v>
      </c>
      <c r="P297" s="1198"/>
      <c r="Q297" s="965">
        <f t="shared" si="188"/>
        <v>6000</v>
      </c>
      <c r="R297" s="1068"/>
      <c r="S297" s="1068">
        <v>6000</v>
      </c>
      <c r="T297" s="73">
        <f t="shared" si="189"/>
        <v>6000</v>
      </c>
      <c r="U297" s="1158"/>
      <c r="V297" s="23">
        <v>6000</v>
      </c>
      <c r="W297" s="744" t="s">
        <v>1557</v>
      </c>
      <c r="X297" s="24"/>
      <c r="Y297" s="23">
        <v>1</v>
      </c>
      <c r="Z297" s="965">
        <f t="shared" si="190"/>
        <v>6000</v>
      </c>
      <c r="AA297" s="1068"/>
      <c r="AB297" s="1068">
        <v>6000</v>
      </c>
      <c r="AC297" s="1113"/>
      <c r="AD297" s="657"/>
      <c r="AE297" s="990"/>
      <c r="AF297" s="811"/>
      <c r="AG297" s="551"/>
      <c r="AH297" s="551"/>
      <c r="AI297" s="551"/>
      <c r="AK297" s="57"/>
      <c r="AL297" s="57"/>
      <c r="AM297" s="57"/>
      <c r="AN297" s="57"/>
      <c r="AO297" s="57"/>
      <c r="AP297" s="57"/>
    </row>
    <row r="298" spans="1:42" s="54" customFormat="1" ht="25.5">
      <c r="A298" s="78">
        <v>4</v>
      </c>
      <c r="B298" s="68" t="s">
        <v>717</v>
      </c>
      <c r="C298" s="100" t="s">
        <v>718</v>
      </c>
      <c r="D298" s="19" t="s">
        <v>719</v>
      </c>
      <c r="E298" s="95" t="s">
        <v>30</v>
      </c>
      <c r="F298" s="80" t="s">
        <v>720</v>
      </c>
      <c r="G298" s="71">
        <v>13714</v>
      </c>
      <c r="H298" s="71">
        <v>5927</v>
      </c>
      <c r="I298" s="175"/>
      <c r="J298" s="23"/>
      <c r="K298" s="23">
        <v>13714</v>
      </c>
      <c r="L298" s="23">
        <v>5927</v>
      </c>
      <c r="M298" s="23"/>
      <c r="N298" s="1069">
        <v>5000</v>
      </c>
      <c r="O298" s="1069">
        <v>3000</v>
      </c>
      <c r="P298" s="1198"/>
      <c r="Q298" s="965">
        <f t="shared" si="188"/>
        <v>3000</v>
      </c>
      <c r="R298" s="1069"/>
      <c r="S298" s="1069">
        <v>3000</v>
      </c>
      <c r="T298" s="73">
        <f t="shared" si="189"/>
        <v>3000</v>
      </c>
      <c r="U298" s="595"/>
      <c r="V298" s="175">
        <v>3000</v>
      </c>
      <c r="W298" s="744" t="s">
        <v>1557</v>
      </c>
      <c r="X298" s="24"/>
      <c r="Y298" s="175">
        <v>1</v>
      </c>
      <c r="Z298" s="965">
        <f t="shared" si="190"/>
        <v>3000</v>
      </c>
      <c r="AA298" s="1069"/>
      <c r="AB298" s="1069">
        <v>3000</v>
      </c>
      <c r="AC298" s="1114"/>
      <c r="AD298" s="657"/>
      <c r="AE298" s="990"/>
      <c r="AF298" s="811"/>
      <c r="AG298" s="551"/>
      <c r="AH298" s="551"/>
      <c r="AI298" s="551"/>
      <c r="AK298" s="57"/>
      <c r="AL298" s="57"/>
      <c r="AM298" s="57"/>
      <c r="AN298" s="57"/>
      <c r="AO298" s="57"/>
      <c r="AP298" s="57"/>
    </row>
    <row r="299" spans="1:42" s="54" customFormat="1" ht="60">
      <c r="A299" s="78">
        <v>5</v>
      </c>
      <c r="B299" s="68" t="s">
        <v>721</v>
      </c>
      <c r="C299" s="100" t="s">
        <v>29</v>
      </c>
      <c r="D299" s="19" t="s">
        <v>722</v>
      </c>
      <c r="E299" s="95" t="s">
        <v>645</v>
      </c>
      <c r="F299" s="80" t="s">
        <v>723</v>
      </c>
      <c r="G299" s="71">
        <v>28629</v>
      </c>
      <c r="H299" s="71">
        <v>28629</v>
      </c>
      <c r="I299" s="175">
        <v>1550</v>
      </c>
      <c r="J299" s="23">
        <v>1550</v>
      </c>
      <c r="K299" s="23">
        <v>28629</v>
      </c>
      <c r="L299" s="23">
        <v>28629</v>
      </c>
      <c r="M299" s="23"/>
      <c r="N299" s="1069">
        <v>9000</v>
      </c>
      <c r="O299" s="1069">
        <v>9000</v>
      </c>
      <c r="P299" s="1198"/>
      <c r="Q299" s="965">
        <f t="shared" si="188"/>
        <v>7000</v>
      </c>
      <c r="R299" s="1069"/>
      <c r="S299" s="1069">
        <v>7000</v>
      </c>
      <c r="T299" s="73">
        <f t="shared" si="189"/>
        <v>7000</v>
      </c>
      <c r="U299" s="595"/>
      <c r="V299" s="175">
        <v>7000</v>
      </c>
      <c r="W299" s="744" t="s">
        <v>1557</v>
      </c>
      <c r="X299" s="24"/>
      <c r="Y299" s="175">
        <v>1</v>
      </c>
      <c r="Z299" s="965">
        <f t="shared" si="190"/>
        <v>7000</v>
      </c>
      <c r="AA299" s="1069"/>
      <c r="AB299" s="1069">
        <v>7000</v>
      </c>
      <c r="AC299" s="1114"/>
      <c r="AD299" s="657"/>
      <c r="AE299" s="990"/>
      <c r="AF299" s="811"/>
      <c r="AG299" s="551"/>
      <c r="AH299" s="551"/>
      <c r="AI299" s="551"/>
      <c r="AK299" s="57"/>
      <c r="AL299" s="57"/>
      <c r="AM299" s="57"/>
      <c r="AN299" s="57"/>
      <c r="AO299" s="57"/>
      <c r="AP299" s="57"/>
    </row>
    <row r="300" spans="1:42" s="54" customFormat="1" ht="30">
      <c r="A300" s="78">
        <v>6</v>
      </c>
      <c r="B300" s="68" t="s">
        <v>724</v>
      </c>
      <c r="C300" s="100" t="s">
        <v>112</v>
      </c>
      <c r="D300" s="19" t="s">
        <v>725</v>
      </c>
      <c r="E300" s="95" t="s">
        <v>645</v>
      </c>
      <c r="F300" s="80" t="s">
        <v>726</v>
      </c>
      <c r="G300" s="71">
        <v>39732</v>
      </c>
      <c r="H300" s="71">
        <v>31036</v>
      </c>
      <c r="I300" s="175">
        <v>300</v>
      </c>
      <c r="J300" s="23">
        <v>300</v>
      </c>
      <c r="K300" s="23">
        <v>39732</v>
      </c>
      <c r="L300" s="23">
        <v>31036</v>
      </c>
      <c r="M300" s="23"/>
      <c r="N300" s="1069">
        <v>14000</v>
      </c>
      <c r="O300" s="1069">
        <v>10000</v>
      </c>
      <c r="P300" s="1198"/>
      <c r="Q300" s="1068">
        <f t="shared" si="188"/>
        <v>5000</v>
      </c>
      <c r="R300" s="1069"/>
      <c r="S300" s="1069">
        <v>5000</v>
      </c>
      <c r="T300" s="73">
        <f t="shared" si="189"/>
        <v>5000</v>
      </c>
      <c r="U300" s="595"/>
      <c r="V300" s="175">
        <v>5000</v>
      </c>
      <c r="W300" s="744" t="s">
        <v>1557</v>
      </c>
      <c r="X300" s="24"/>
      <c r="Y300" s="175">
        <v>1</v>
      </c>
      <c r="Z300" s="965">
        <f t="shared" si="190"/>
        <v>5000</v>
      </c>
      <c r="AA300" s="1069"/>
      <c r="AB300" s="1069">
        <v>5000</v>
      </c>
      <c r="AC300" s="1114"/>
      <c r="AD300" s="657"/>
      <c r="AE300" s="990"/>
      <c r="AF300" s="811"/>
      <c r="AG300" s="551"/>
      <c r="AH300" s="551"/>
      <c r="AI300" s="551"/>
      <c r="AK300" s="57"/>
      <c r="AL300" s="57"/>
      <c r="AM300" s="57"/>
      <c r="AN300" s="57"/>
      <c r="AO300" s="57"/>
      <c r="AP300" s="57"/>
    </row>
    <row r="301" spans="1:42" s="54" customFormat="1" ht="30">
      <c r="A301" s="78">
        <v>7</v>
      </c>
      <c r="B301" s="68" t="s">
        <v>730</v>
      </c>
      <c r="C301" s="100" t="s">
        <v>66</v>
      </c>
      <c r="D301" s="101"/>
      <c r="E301" s="95" t="s">
        <v>728</v>
      </c>
      <c r="F301" s="80" t="s">
        <v>731</v>
      </c>
      <c r="G301" s="23">
        <v>37201</v>
      </c>
      <c r="H301" s="23">
        <v>37201</v>
      </c>
      <c r="I301" s="23">
        <v>100</v>
      </c>
      <c r="J301" s="23">
        <v>100</v>
      </c>
      <c r="K301" s="23">
        <v>37201</v>
      </c>
      <c r="L301" s="23">
        <v>37201</v>
      </c>
      <c r="M301" s="23"/>
      <c r="N301" s="1068">
        <v>10000</v>
      </c>
      <c r="O301" s="1068">
        <v>10000</v>
      </c>
      <c r="P301" s="1198"/>
      <c r="Q301" s="1068">
        <f t="shared" si="188"/>
        <v>5000</v>
      </c>
      <c r="R301" s="1068"/>
      <c r="S301" s="1068">
        <v>5000</v>
      </c>
      <c r="T301" s="73">
        <f t="shared" si="189"/>
        <v>5000</v>
      </c>
      <c r="U301" s="1158"/>
      <c r="V301" s="23">
        <v>5000</v>
      </c>
      <c r="W301" s="80" t="s">
        <v>1559</v>
      </c>
      <c r="X301" s="100"/>
      <c r="Y301" s="23">
        <v>1</v>
      </c>
      <c r="Z301" s="965">
        <f t="shared" si="190"/>
        <v>5000</v>
      </c>
      <c r="AA301" s="1068"/>
      <c r="AB301" s="1068">
        <v>5000</v>
      </c>
      <c r="AC301" s="1113"/>
      <c r="AD301" s="657"/>
      <c r="AE301" s="990"/>
      <c r="AF301" s="811"/>
      <c r="AG301" s="551"/>
      <c r="AH301" s="551"/>
      <c r="AI301" s="551"/>
      <c r="AK301" s="57"/>
      <c r="AL301" s="57"/>
      <c r="AM301" s="57"/>
      <c r="AN301" s="57"/>
      <c r="AO301" s="57"/>
      <c r="AP301" s="57"/>
    </row>
    <row r="302" spans="1:42" s="54" customFormat="1" ht="30">
      <c r="A302" s="78">
        <v>8</v>
      </c>
      <c r="B302" s="68" t="s">
        <v>732</v>
      </c>
      <c r="C302" s="100" t="s">
        <v>173</v>
      </c>
      <c r="D302" s="101"/>
      <c r="E302" s="95" t="s">
        <v>728</v>
      </c>
      <c r="F302" s="80" t="s">
        <v>733</v>
      </c>
      <c r="G302" s="23">
        <v>42240</v>
      </c>
      <c r="H302" s="23">
        <v>37265</v>
      </c>
      <c r="I302" s="23">
        <v>100</v>
      </c>
      <c r="J302" s="23">
        <v>100</v>
      </c>
      <c r="K302" s="23">
        <v>42240</v>
      </c>
      <c r="L302" s="23">
        <v>37265</v>
      </c>
      <c r="M302" s="23"/>
      <c r="N302" s="1068">
        <v>13000</v>
      </c>
      <c r="O302" s="1068">
        <v>13000</v>
      </c>
      <c r="P302" s="1198"/>
      <c r="Q302" s="1068">
        <f t="shared" si="188"/>
        <v>5000</v>
      </c>
      <c r="R302" s="1068"/>
      <c r="S302" s="1068">
        <v>5000</v>
      </c>
      <c r="T302" s="73">
        <f t="shared" si="189"/>
        <v>5000</v>
      </c>
      <c r="U302" s="1158"/>
      <c r="V302" s="23">
        <v>5000</v>
      </c>
      <c r="W302" s="80" t="s">
        <v>1559</v>
      </c>
      <c r="X302" s="100"/>
      <c r="Y302" s="23">
        <v>1</v>
      </c>
      <c r="Z302" s="965">
        <f t="shared" si="190"/>
        <v>5000</v>
      </c>
      <c r="AA302" s="1068"/>
      <c r="AB302" s="1068">
        <v>5000</v>
      </c>
      <c r="AC302" s="1113"/>
      <c r="AD302" s="657"/>
      <c r="AE302" s="990"/>
      <c r="AF302" s="811"/>
      <c r="AG302" s="551"/>
      <c r="AH302" s="551"/>
      <c r="AI302" s="551"/>
      <c r="AK302" s="57"/>
      <c r="AL302" s="57"/>
      <c r="AM302" s="57"/>
      <c r="AN302" s="57"/>
      <c r="AO302" s="57"/>
      <c r="AP302" s="57"/>
    </row>
    <row r="303" spans="1:42" s="54" customFormat="1" ht="45">
      <c r="A303" s="78">
        <v>9</v>
      </c>
      <c r="B303" s="68" t="s">
        <v>734</v>
      </c>
      <c r="C303" s="100" t="s">
        <v>5</v>
      </c>
      <c r="D303" s="101" t="s">
        <v>735</v>
      </c>
      <c r="E303" s="95" t="s">
        <v>120</v>
      </c>
      <c r="F303" s="80" t="s">
        <v>736</v>
      </c>
      <c r="G303" s="175">
        <v>48462</v>
      </c>
      <c r="H303" s="175">
        <v>4500</v>
      </c>
      <c r="I303" s="23">
        <v>0</v>
      </c>
      <c r="J303" s="23">
        <v>0</v>
      </c>
      <c r="K303" s="175">
        <v>48462</v>
      </c>
      <c r="L303" s="175">
        <v>4500</v>
      </c>
      <c r="M303" s="23"/>
      <c r="N303" s="1069">
        <v>2000</v>
      </c>
      <c r="O303" s="1068">
        <v>1000</v>
      </c>
      <c r="P303" s="1198"/>
      <c r="Q303" s="1068">
        <v>1000</v>
      </c>
      <c r="R303" s="1069"/>
      <c r="S303" s="1068">
        <v>1000</v>
      </c>
      <c r="T303" s="73">
        <f t="shared" si="189"/>
        <v>1000</v>
      </c>
      <c r="U303" s="595"/>
      <c r="V303" s="23">
        <v>1000</v>
      </c>
      <c r="W303" s="80" t="s">
        <v>1521</v>
      </c>
      <c r="X303" s="100"/>
      <c r="Y303" s="23">
        <v>1</v>
      </c>
      <c r="Z303" s="965">
        <f t="shared" si="190"/>
        <v>1000</v>
      </c>
      <c r="AA303" s="1069"/>
      <c r="AB303" s="1068">
        <v>1000</v>
      </c>
      <c r="AC303" s="1113"/>
      <c r="AD303" s="657"/>
      <c r="AE303" s="990"/>
      <c r="AF303" s="811"/>
      <c r="AG303" s="551"/>
      <c r="AH303" s="551"/>
      <c r="AI303" s="551"/>
      <c r="AK303" s="57"/>
      <c r="AL303" s="57"/>
      <c r="AM303" s="57"/>
      <c r="AN303" s="57"/>
      <c r="AO303" s="57"/>
      <c r="AP303" s="57"/>
    </row>
    <row r="304" spans="1:42" s="633" customFormat="1" ht="25.5" customHeight="1">
      <c r="A304" s="630" t="s">
        <v>1047</v>
      </c>
      <c r="B304" s="618" t="s">
        <v>1150</v>
      </c>
      <c r="C304" s="690"/>
      <c r="D304" s="625"/>
      <c r="E304" s="626"/>
      <c r="F304" s="690"/>
      <c r="G304" s="636">
        <f t="shared" ref="G304:V304" si="191">SUM(G305,G312)</f>
        <v>543192</v>
      </c>
      <c r="H304" s="636">
        <f t="shared" si="191"/>
        <v>253254.39999999999</v>
      </c>
      <c r="I304" s="636">
        <f t="shared" si="191"/>
        <v>28177</v>
      </c>
      <c r="J304" s="636">
        <f t="shared" si="191"/>
        <v>22100</v>
      </c>
      <c r="K304" s="636">
        <f t="shared" si="191"/>
        <v>950840</v>
      </c>
      <c r="L304" s="636">
        <f t="shared" si="191"/>
        <v>304124</v>
      </c>
      <c r="M304" s="636">
        <f t="shared" si="191"/>
        <v>0</v>
      </c>
      <c r="N304" s="1063">
        <f t="shared" si="191"/>
        <v>206261</v>
      </c>
      <c r="O304" s="1063">
        <f t="shared" si="191"/>
        <v>96476</v>
      </c>
      <c r="P304" s="1063">
        <f t="shared" si="191"/>
        <v>0</v>
      </c>
      <c r="Q304" s="1063">
        <f t="shared" si="191"/>
        <v>68028</v>
      </c>
      <c r="R304" s="1063">
        <f t="shared" si="191"/>
        <v>24558</v>
      </c>
      <c r="S304" s="1063">
        <f t="shared" si="191"/>
        <v>43470</v>
      </c>
      <c r="T304" s="636">
        <f t="shared" si="191"/>
        <v>66028</v>
      </c>
      <c r="U304" s="1153">
        <f t="shared" si="191"/>
        <v>16908</v>
      </c>
      <c r="V304" s="636">
        <f t="shared" si="191"/>
        <v>49120</v>
      </c>
      <c r="W304" s="690"/>
      <c r="X304" s="690"/>
      <c r="Y304" s="636">
        <f>SUM(Y305,Y312)</f>
        <v>18</v>
      </c>
      <c r="Z304" s="1063">
        <f t="shared" ref="Z304:AB304" si="192">SUM(Z305,Z312)</f>
        <v>66028</v>
      </c>
      <c r="AA304" s="1063">
        <f t="shared" si="192"/>
        <v>16908</v>
      </c>
      <c r="AB304" s="1063">
        <f t="shared" si="192"/>
        <v>49120</v>
      </c>
      <c r="AC304" s="1109"/>
      <c r="AD304" s="662"/>
      <c r="AE304" s="990"/>
      <c r="AF304" s="811"/>
      <c r="AG304" s="628"/>
      <c r="AH304" s="628"/>
      <c r="AI304" s="628"/>
      <c r="AK304" s="629"/>
      <c r="AL304" s="629"/>
      <c r="AM304" s="629"/>
      <c r="AN304" s="629"/>
      <c r="AO304" s="629"/>
      <c r="AP304" s="629"/>
    </row>
    <row r="305" spans="1:42" s="266" customFormat="1">
      <c r="A305" s="11" t="s">
        <v>525</v>
      </c>
      <c r="B305" s="65" t="s">
        <v>26</v>
      </c>
      <c r="C305" s="89"/>
      <c r="D305" s="13"/>
      <c r="E305" s="14"/>
      <c r="F305" s="89"/>
      <c r="G305" s="15">
        <f t="shared" ref="G305:V305" si="193">SUM(G306:G311)</f>
        <v>19903</v>
      </c>
      <c r="H305" s="15">
        <f t="shared" si="193"/>
        <v>19903</v>
      </c>
      <c r="I305" s="15">
        <f t="shared" si="193"/>
        <v>0</v>
      </c>
      <c r="J305" s="15">
        <f t="shared" si="193"/>
        <v>0</v>
      </c>
      <c r="K305" s="15">
        <f t="shared" si="193"/>
        <v>382972</v>
      </c>
      <c r="L305" s="15">
        <f t="shared" si="193"/>
        <v>78972</v>
      </c>
      <c r="M305" s="15">
        <f t="shared" si="193"/>
        <v>0</v>
      </c>
      <c r="N305" s="1053">
        <f t="shared" si="193"/>
        <v>1692</v>
      </c>
      <c r="O305" s="1053">
        <f t="shared" si="193"/>
        <v>1692</v>
      </c>
      <c r="P305" s="1053">
        <f t="shared" si="193"/>
        <v>0</v>
      </c>
      <c r="Q305" s="1053">
        <f t="shared" si="193"/>
        <v>1692</v>
      </c>
      <c r="R305" s="1053">
        <f t="shared" si="193"/>
        <v>992</v>
      </c>
      <c r="S305" s="1053">
        <f t="shared" si="193"/>
        <v>700</v>
      </c>
      <c r="T305" s="15">
        <f t="shared" si="193"/>
        <v>1692</v>
      </c>
      <c r="U305" s="1145">
        <f t="shared" si="193"/>
        <v>992</v>
      </c>
      <c r="V305" s="15">
        <f t="shared" si="193"/>
        <v>700</v>
      </c>
      <c r="W305" s="89"/>
      <c r="X305" s="89"/>
      <c r="Y305" s="15">
        <f>SUM(Y306:Y311)</f>
        <v>6</v>
      </c>
      <c r="Z305" s="1053">
        <f t="shared" ref="Z305:AB305" si="194">SUM(Z306:Z311)</f>
        <v>1692</v>
      </c>
      <c r="AA305" s="1053">
        <f t="shared" si="194"/>
        <v>992</v>
      </c>
      <c r="AB305" s="1053">
        <f t="shared" si="194"/>
        <v>700</v>
      </c>
      <c r="AC305" s="1101"/>
      <c r="AD305" s="657"/>
      <c r="AE305" s="990"/>
      <c r="AF305" s="811"/>
      <c r="AG305" s="551"/>
      <c r="AH305" s="551"/>
      <c r="AI305" s="551"/>
      <c r="AK305" s="265"/>
      <c r="AL305" s="265"/>
      <c r="AM305" s="265"/>
      <c r="AN305" s="265"/>
      <c r="AO305" s="265"/>
      <c r="AP305" s="265"/>
    </row>
    <row r="306" spans="1:42" s="54" customFormat="1" ht="25.5">
      <c r="A306" s="97" t="s">
        <v>27</v>
      </c>
      <c r="B306" s="68" t="s">
        <v>1048</v>
      </c>
      <c r="C306" s="80" t="s">
        <v>43</v>
      </c>
      <c r="D306" s="19" t="s">
        <v>1049</v>
      </c>
      <c r="E306" s="70" t="s">
        <v>30</v>
      </c>
      <c r="F306" s="80"/>
      <c r="G306" s="23"/>
      <c r="H306" s="23"/>
      <c r="I306" s="23">
        <v>0</v>
      </c>
      <c r="J306" s="23"/>
      <c r="K306" s="23">
        <v>13069</v>
      </c>
      <c r="L306" s="23">
        <v>3069</v>
      </c>
      <c r="M306" s="23"/>
      <c r="N306" s="1068">
        <v>100</v>
      </c>
      <c r="O306" s="1068">
        <v>100</v>
      </c>
      <c r="P306" s="1198"/>
      <c r="Q306" s="1068">
        <v>100</v>
      </c>
      <c r="R306" s="1068"/>
      <c r="S306" s="1068">
        <v>100</v>
      </c>
      <c r="T306" s="73">
        <f t="shared" ref="T306:T311" si="195">SUM(U306:V306)</f>
        <v>100</v>
      </c>
      <c r="U306" s="1158"/>
      <c r="V306" s="23">
        <v>100</v>
      </c>
      <c r="W306" s="80" t="s">
        <v>1544</v>
      </c>
      <c r="X306" s="80" t="s">
        <v>1115</v>
      </c>
      <c r="Y306" s="23">
        <v>1</v>
      </c>
      <c r="Z306" s="965">
        <f t="shared" ref="Z306:Z311" si="196">SUM(AA306:AB306)</f>
        <v>100</v>
      </c>
      <c r="AA306" s="1068"/>
      <c r="AB306" s="1068">
        <v>100</v>
      </c>
      <c r="AC306" s="1113"/>
      <c r="AD306" s="657"/>
      <c r="AE306" s="990"/>
      <c r="AF306" s="811"/>
      <c r="AG306" s="551"/>
      <c r="AH306" s="551"/>
      <c r="AI306" s="551"/>
      <c r="AK306" s="57"/>
      <c r="AL306" s="57"/>
      <c r="AM306" s="57"/>
      <c r="AN306" s="57"/>
      <c r="AO306" s="57"/>
      <c r="AP306" s="57"/>
    </row>
    <row r="307" spans="1:42" s="54" customFormat="1" ht="45">
      <c r="A307" s="97" t="s">
        <v>41</v>
      </c>
      <c r="B307" s="290" t="s">
        <v>1050</v>
      </c>
      <c r="C307" s="80" t="s">
        <v>29</v>
      </c>
      <c r="D307" s="19" t="s">
        <v>1051</v>
      </c>
      <c r="E307" s="70" t="s">
        <v>163</v>
      </c>
      <c r="F307" s="80"/>
      <c r="G307" s="23"/>
      <c r="H307" s="23"/>
      <c r="I307" s="23">
        <v>0</v>
      </c>
      <c r="J307" s="23"/>
      <c r="K307" s="23">
        <v>120000</v>
      </c>
      <c r="L307" s="23">
        <v>30000</v>
      </c>
      <c r="M307" s="23"/>
      <c r="N307" s="1068">
        <v>200</v>
      </c>
      <c r="O307" s="1068">
        <v>200</v>
      </c>
      <c r="P307" s="1198"/>
      <c r="Q307" s="1068">
        <v>200</v>
      </c>
      <c r="R307" s="1068"/>
      <c r="S307" s="1068">
        <v>200</v>
      </c>
      <c r="T307" s="73">
        <f t="shared" si="195"/>
        <v>200</v>
      </c>
      <c r="U307" s="1158"/>
      <c r="V307" s="23">
        <v>200</v>
      </c>
      <c r="W307" s="80" t="s">
        <v>1544</v>
      </c>
      <c r="X307" s="742" t="s">
        <v>1116</v>
      </c>
      <c r="Y307" s="23">
        <v>1</v>
      </c>
      <c r="Z307" s="965">
        <f t="shared" si="196"/>
        <v>200</v>
      </c>
      <c r="AA307" s="1068"/>
      <c r="AB307" s="1068">
        <v>200</v>
      </c>
      <c r="AC307" s="1113"/>
      <c r="AD307" s="657"/>
      <c r="AE307" s="990"/>
      <c r="AF307" s="811"/>
      <c r="AG307" s="551"/>
      <c r="AH307" s="551"/>
      <c r="AI307" s="551"/>
      <c r="AK307" s="57"/>
      <c r="AL307" s="57"/>
      <c r="AM307" s="57"/>
      <c r="AN307" s="57"/>
      <c r="AO307" s="57"/>
      <c r="AP307" s="57"/>
    </row>
    <row r="308" spans="1:42" s="54" customFormat="1" ht="38.25">
      <c r="A308" s="97" t="s">
        <v>58</v>
      </c>
      <c r="B308" s="290" t="s">
        <v>1052</v>
      </c>
      <c r="C308" s="80" t="s">
        <v>29</v>
      </c>
      <c r="D308" s="19"/>
      <c r="E308" s="70"/>
      <c r="F308" s="80"/>
      <c r="G308" s="23"/>
      <c r="H308" s="23"/>
      <c r="I308" s="23"/>
      <c r="J308" s="23"/>
      <c r="K308" s="23">
        <v>80000</v>
      </c>
      <c r="L308" s="23">
        <v>10000</v>
      </c>
      <c r="M308" s="23"/>
      <c r="N308" s="1068">
        <v>200</v>
      </c>
      <c r="O308" s="1068">
        <v>200</v>
      </c>
      <c r="P308" s="1198"/>
      <c r="Q308" s="1068">
        <v>200</v>
      </c>
      <c r="R308" s="1068"/>
      <c r="S308" s="1068">
        <v>200</v>
      </c>
      <c r="T308" s="73">
        <f t="shared" si="195"/>
        <v>200</v>
      </c>
      <c r="U308" s="1158"/>
      <c r="V308" s="23">
        <v>200</v>
      </c>
      <c r="W308" s="80" t="s">
        <v>1544</v>
      </c>
      <c r="X308" s="742" t="s">
        <v>1116</v>
      </c>
      <c r="Y308" s="23">
        <v>1</v>
      </c>
      <c r="Z308" s="965">
        <f t="shared" si="196"/>
        <v>200</v>
      </c>
      <c r="AA308" s="1068"/>
      <c r="AB308" s="1068">
        <v>200</v>
      </c>
      <c r="AC308" s="1113"/>
      <c r="AD308" s="657"/>
      <c r="AE308" s="990"/>
      <c r="AF308" s="811"/>
      <c r="AG308" s="551"/>
      <c r="AH308" s="551"/>
      <c r="AI308" s="551"/>
      <c r="AK308" s="57"/>
      <c r="AL308" s="57"/>
      <c r="AM308" s="57"/>
      <c r="AN308" s="57"/>
      <c r="AO308" s="57"/>
      <c r="AP308" s="57"/>
    </row>
    <row r="309" spans="1:42" s="54" customFormat="1" ht="51">
      <c r="A309" s="97" t="s">
        <v>64</v>
      </c>
      <c r="B309" s="68" t="s">
        <v>1053</v>
      </c>
      <c r="C309" s="80" t="s">
        <v>60</v>
      </c>
      <c r="D309" s="19" t="s">
        <v>1054</v>
      </c>
      <c r="E309" s="44" t="s">
        <v>120</v>
      </c>
      <c r="F309" s="80"/>
      <c r="G309" s="23"/>
      <c r="H309" s="23"/>
      <c r="I309" s="23"/>
      <c r="J309" s="23"/>
      <c r="K309" s="23">
        <v>150000</v>
      </c>
      <c r="L309" s="23">
        <v>16000</v>
      </c>
      <c r="M309" s="23"/>
      <c r="N309" s="1068">
        <v>200</v>
      </c>
      <c r="O309" s="1068">
        <v>200</v>
      </c>
      <c r="P309" s="1198"/>
      <c r="Q309" s="1068">
        <v>200</v>
      </c>
      <c r="R309" s="1068"/>
      <c r="S309" s="1068">
        <v>200</v>
      </c>
      <c r="T309" s="73">
        <f t="shared" si="195"/>
        <v>200</v>
      </c>
      <c r="U309" s="1158"/>
      <c r="V309" s="23">
        <v>200</v>
      </c>
      <c r="W309" s="80" t="s">
        <v>1544</v>
      </c>
      <c r="X309" s="24" t="s">
        <v>1117</v>
      </c>
      <c r="Y309" s="23">
        <v>1</v>
      </c>
      <c r="Z309" s="965">
        <f t="shared" si="196"/>
        <v>200</v>
      </c>
      <c r="AA309" s="1068"/>
      <c r="AB309" s="1068">
        <v>200</v>
      </c>
      <c r="AC309" s="1113"/>
      <c r="AD309" s="657"/>
      <c r="AE309" s="990"/>
      <c r="AF309" s="811"/>
      <c r="AG309" s="551"/>
      <c r="AH309" s="551"/>
      <c r="AI309" s="551"/>
      <c r="AK309" s="57"/>
      <c r="AL309" s="57"/>
      <c r="AM309" s="57"/>
      <c r="AN309" s="57"/>
      <c r="AO309" s="57"/>
      <c r="AP309" s="57"/>
    </row>
    <row r="310" spans="1:42" s="235" customFormat="1" ht="40.5" customHeight="1">
      <c r="A310" s="97" t="s">
        <v>69</v>
      </c>
      <c r="B310" s="68" t="s">
        <v>527</v>
      </c>
      <c r="C310" s="80" t="s">
        <v>29</v>
      </c>
      <c r="D310" s="19" t="s">
        <v>528</v>
      </c>
      <c r="E310" s="70" t="s">
        <v>120</v>
      </c>
      <c r="F310" s="695" t="s">
        <v>529</v>
      </c>
      <c r="G310" s="176">
        <v>14408</v>
      </c>
      <c r="H310" s="176">
        <v>14408</v>
      </c>
      <c r="I310" s="723"/>
      <c r="J310" s="723"/>
      <c r="K310" s="176">
        <v>14408</v>
      </c>
      <c r="L310" s="176">
        <v>14408</v>
      </c>
      <c r="M310" s="723"/>
      <c r="N310" s="1070">
        <v>276</v>
      </c>
      <c r="O310" s="1070">
        <v>276</v>
      </c>
      <c r="P310" s="1070"/>
      <c r="Q310" s="1070">
        <v>276</v>
      </c>
      <c r="R310" s="1070">
        <v>276</v>
      </c>
      <c r="S310" s="1070"/>
      <c r="T310" s="73">
        <f t="shared" si="195"/>
        <v>276</v>
      </c>
      <c r="U310" s="724">
        <v>276</v>
      </c>
      <c r="V310" s="724"/>
      <c r="W310" s="738" t="s">
        <v>1528</v>
      </c>
      <c r="X310" s="24"/>
      <c r="Y310" s="726">
        <v>1</v>
      </c>
      <c r="Z310" s="965">
        <f t="shared" si="196"/>
        <v>276</v>
      </c>
      <c r="AA310" s="1070">
        <v>276</v>
      </c>
      <c r="AB310" s="1070"/>
      <c r="AC310" s="1115"/>
      <c r="AD310" s="657"/>
      <c r="AE310" s="990"/>
      <c r="AF310" s="811"/>
      <c r="AG310" s="551"/>
      <c r="AH310" s="551"/>
      <c r="AI310" s="551"/>
    </row>
    <row r="311" spans="1:42" s="235" customFormat="1" ht="40.5" customHeight="1">
      <c r="A311" s="97" t="s">
        <v>74</v>
      </c>
      <c r="B311" s="68" t="s">
        <v>530</v>
      </c>
      <c r="C311" s="80" t="s">
        <v>29</v>
      </c>
      <c r="D311" s="19" t="s">
        <v>531</v>
      </c>
      <c r="E311" s="70" t="s">
        <v>120</v>
      </c>
      <c r="F311" s="695" t="s">
        <v>532</v>
      </c>
      <c r="G311" s="176">
        <v>5495</v>
      </c>
      <c r="H311" s="176">
        <v>5495</v>
      </c>
      <c r="I311" s="723"/>
      <c r="J311" s="723"/>
      <c r="K311" s="176">
        <v>5495</v>
      </c>
      <c r="L311" s="176">
        <v>5495</v>
      </c>
      <c r="M311" s="723"/>
      <c r="N311" s="1070">
        <v>716</v>
      </c>
      <c r="O311" s="1070">
        <v>716</v>
      </c>
      <c r="P311" s="1070"/>
      <c r="Q311" s="1070">
        <v>716</v>
      </c>
      <c r="R311" s="1070">
        <v>716</v>
      </c>
      <c r="S311" s="1070"/>
      <c r="T311" s="73">
        <f t="shared" si="195"/>
        <v>716</v>
      </c>
      <c r="U311" s="724">
        <v>716</v>
      </c>
      <c r="V311" s="724"/>
      <c r="W311" s="738" t="s">
        <v>1528</v>
      </c>
      <c r="X311" s="24"/>
      <c r="Y311" s="726">
        <v>1</v>
      </c>
      <c r="Z311" s="965">
        <f t="shared" si="196"/>
        <v>716</v>
      </c>
      <c r="AA311" s="1070">
        <v>716</v>
      </c>
      <c r="AB311" s="1070"/>
      <c r="AC311" s="1115"/>
      <c r="AD311" s="657"/>
      <c r="AE311" s="990"/>
      <c r="AF311" s="811"/>
      <c r="AG311" s="551"/>
      <c r="AH311" s="551"/>
      <c r="AI311" s="551"/>
    </row>
    <row r="312" spans="1:42" s="266" customFormat="1">
      <c r="A312" s="11" t="s">
        <v>499</v>
      </c>
      <c r="B312" s="65" t="s">
        <v>31</v>
      </c>
      <c r="C312" s="89"/>
      <c r="D312" s="13"/>
      <c r="E312" s="14"/>
      <c r="F312" s="89"/>
      <c r="G312" s="15">
        <f t="shared" ref="G312:V312" si="197">SUM(G313,G317)</f>
        <v>523289</v>
      </c>
      <c r="H312" s="15">
        <f t="shared" si="197"/>
        <v>233351.4</v>
      </c>
      <c r="I312" s="15">
        <f t="shared" si="197"/>
        <v>28177</v>
      </c>
      <c r="J312" s="15">
        <f t="shared" si="197"/>
        <v>22100</v>
      </c>
      <c r="K312" s="15">
        <f t="shared" si="197"/>
        <v>567868</v>
      </c>
      <c r="L312" s="15">
        <f t="shared" si="197"/>
        <v>225152</v>
      </c>
      <c r="M312" s="15">
        <f t="shared" si="197"/>
        <v>0</v>
      </c>
      <c r="N312" s="1053">
        <f t="shared" si="197"/>
        <v>204569</v>
      </c>
      <c r="O312" s="1053">
        <f t="shared" si="197"/>
        <v>94784</v>
      </c>
      <c r="P312" s="1053">
        <f t="shared" si="197"/>
        <v>0</v>
      </c>
      <c r="Q312" s="1053">
        <f t="shared" si="197"/>
        <v>66336</v>
      </c>
      <c r="R312" s="1053">
        <f t="shared" si="197"/>
        <v>23566</v>
      </c>
      <c r="S312" s="1053">
        <f t="shared" si="197"/>
        <v>42770</v>
      </c>
      <c r="T312" s="15">
        <f t="shared" si="197"/>
        <v>64336</v>
      </c>
      <c r="U312" s="1145">
        <f t="shared" si="197"/>
        <v>15916</v>
      </c>
      <c r="V312" s="15">
        <f t="shared" si="197"/>
        <v>48420</v>
      </c>
      <c r="W312" s="89"/>
      <c r="X312" s="89"/>
      <c r="Y312" s="15">
        <f>SUM(Y313,Y317)</f>
        <v>12</v>
      </c>
      <c r="Z312" s="1053">
        <f t="shared" ref="Z312:AB312" si="198">SUM(Z313,Z317)</f>
        <v>64336</v>
      </c>
      <c r="AA312" s="1053">
        <f t="shared" si="198"/>
        <v>15916</v>
      </c>
      <c r="AB312" s="1053">
        <f t="shared" si="198"/>
        <v>48420</v>
      </c>
      <c r="AC312" s="1101"/>
      <c r="AD312" s="657"/>
      <c r="AE312" s="990"/>
      <c r="AF312" s="811"/>
      <c r="AG312" s="551"/>
      <c r="AH312" s="551"/>
      <c r="AI312" s="551"/>
      <c r="AK312" s="265"/>
      <c r="AL312" s="265"/>
      <c r="AM312" s="265"/>
      <c r="AN312" s="265"/>
      <c r="AO312" s="265"/>
      <c r="AP312" s="265"/>
    </row>
    <row r="313" spans="1:42" s="54" customFormat="1">
      <c r="A313" s="11" t="s">
        <v>78</v>
      </c>
      <c r="B313" s="65" t="s">
        <v>79</v>
      </c>
      <c r="C313" s="89"/>
      <c r="D313" s="13"/>
      <c r="E313" s="14"/>
      <c r="F313" s="89"/>
      <c r="G313" s="15">
        <f t="shared" ref="G313:V313" si="199">SUM(G314:G316)</f>
        <v>395049</v>
      </c>
      <c r="H313" s="15">
        <f t="shared" si="199"/>
        <v>120057</v>
      </c>
      <c r="I313" s="15">
        <f t="shared" si="199"/>
        <v>24918</v>
      </c>
      <c r="J313" s="15">
        <f t="shared" si="199"/>
        <v>17918</v>
      </c>
      <c r="K313" s="15">
        <f t="shared" si="199"/>
        <v>445695</v>
      </c>
      <c r="L313" s="15">
        <f t="shared" si="199"/>
        <v>118855</v>
      </c>
      <c r="M313" s="15">
        <f t="shared" si="199"/>
        <v>0</v>
      </c>
      <c r="N313" s="1053">
        <f t="shared" si="199"/>
        <v>160030</v>
      </c>
      <c r="O313" s="1053">
        <f t="shared" si="199"/>
        <v>54780</v>
      </c>
      <c r="P313" s="1053">
        <f t="shared" si="199"/>
        <v>0</v>
      </c>
      <c r="Q313" s="1053">
        <f t="shared" si="199"/>
        <v>35180</v>
      </c>
      <c r="R313" s="1053">
        <f t="shared" si="199"/>
        <v>0</v>
      </c>
      <c r="S313" s="1053">
        <f t="shared" si="199"/>
        <v>35180</v>
      </c>
      <c r="T313" s="15">
        <f t="shared" si="199"/>
        <v>35180</v>
      </c>
      <c r="U313" s="1145">
        <f t="shared" si="199"/>
        <v>0</v>
      </c>
      <c r="V313" s="15">
        <f t="shared" si="199"/>
        <v>35180</v>
      </c>
      <c r="W313" s="89"/>
      <c r="X313" s="89"/>
      <c r="Y313" s="15">
        <f>SUM(Y314:Y316)</f>
        <v>3</v>
      </c>
      <c r="Z313" s="1053">
        <f t="shared" ref="Z313:AB313" si="200">SUM(Z314:Z316)</f>
        <v>35180</v>
      </c>
      <c r="AA313" s="1053">
        <f t="shared" si="200"/>
        <v>0</v>
      </c>
      <c r="AB313" s="1053">
        <f t="shared" si="200"/>
        <v>35180</v>
      </c>
      <c r="AC313" s="1101"/>
      <c r="AD313" s="657"/>
      <c r="AE313" s="990"/>
      <c r="AF313" s="811"/>
      <c r="AG313" s="551"/>
      <c r="AH313" s="551"/>
      <c r="AI313" s="551"/>
      <c r="AK313" s="57"/>
      <c r="AL313" s="57"/>
      <c r="AM313" s="57"/>
      <c r="AN313" s="57"/>
      <c r="AO313" s="57"/>
      <c r="AP313" s="57"/>
    </row>
    <row r="314" spans="1:42" s="54" customFormat="1" ht="30">
      <c r="A314" s="97" t="s">
        <v>27</v>
      </c>
      <c r="B314" s="68" t="s">
        <v>1055</v>
      </c>
      <c r="C314" s="80" t="s">
        <v>112</v>
      </c>
      <c r="D314" s="19" t="s">
        <v>1056</v>
      </c>
      <c r="E314" s="70" t="s">
        <v>1057</v>
      </c>
      <c r="F314" s="80" t="s">
        <v>1058</v>
      </c>
      <c r="G314" s="23">
        <v>40929</v>
      </c>
      <c r="H314" s="23">
        <v>40929</v>
      </c>
      <c r="I314" s="23">
        <v>15118</v>
      </c>
      <c r="J314" s="23">
        <v>15118</v>
      </c>
      <c r="K314" s="23">
        <v>39727</v>
      </c>
      <c r="L314" s="23">
        <v>39727</v>
      </c>
      <c r="M314" s="23"/>
      <c r="N314" s="1068">
        <v>24600</v>
      </c>
      <c r="O314" s="1068">
        <v>24600</v>
      </c>
      <c r="P314" s="1198"/>
      <c r="Q314" s="965">
        <f>SUM(R314:S314)</f>
        <v>17000</v>
      </c>
      <c r="R314" s="1068"/>
      <c r="S314" s="1068">
        <v>17000</v>
      </c>
      <c r="T314" s="73">
        <f>SUM(U314:V314)</f>
        <v>17000</v>
      </c>
      <c r="U314" s="1158"/>
      <c r="V314" s="23">
        <v>17000</v>
      </c>
      <c r="W314" s="80" t="s">
        <v>1544</v>
      </c>
      <c r="X314" s="24"/>
      <c r="Y314" s="23">
        <v>1</v>
      </c>
      <c r="Z314" s="965">
        <f>SUM(AA314:AB314)</f>
        <v>17000</v>
      </c>
      <c r="AA314" s="1068"/>
      <c r="AB314" s="1068">
        <v>17000</v>
      </c>
      <c r="AC314" s="1113"/>
      <c r="AD314" s="657"/>
      <c r="AE314" s="990"/>
      <c r="AF314" s="811"/>
      <c r="AG314" s="551"/>
      <c r="AH314" s="551"/>
      <c r="AI314" s="551"/>
      <c r="AK314" s="57"/>
      <c r="AL314" s="57"/>
      <c r="AM314" s="57"/>
      <c r="AN314" s="57"/>
      <c r="AO314" s="57"/>
      <c r="AP314" s="57"/>
    </row>
    <row r="315" spans="1:42" s="54" customFormat="1" ht="30">
      <c r="A315" s="97" t="s">
        <v>41</v>
      </c>
      <c r="B315" s="68" t="s">
        <v>1059</v>
      </c>
      <c r="C315" s="80" t="s">
        <v>1060</v>
      </c>
      <c r="D315" s="635" t="s">
        <v>1061</v>
      </c>
      <c r="E315" s="70" t="s">
        <v>45</v>
      </c>
      <c r="F315" s="80" t="s">
        <v>1062</v>
      </c>
      <c r="G315" s="23">
        <v>127050</v>
      </c>
      <c r="H315" s="23">
        <v>28248</v>
      </c>
      <c r="I315" s="72"/>
      <c r="J315" s="72"/>
      <c r="K315" s="72">
        <f>150750+28148</f>
        <v>178898</v>
      </c>
      <c r="L315" s="23">
        <v>28248</v>
      </c>
      <c r="M315" s="23"/>
      <c r="N315" s="1068">
        <v>90000</v>
      </c>
      <c r="O315" s="1068">
        <v>20000</v>
      </c>
      <c r="P315" s="1198"/>
      <c r="Q315" s="1068">
        <f>SUM(R315:S315)</f>
        <v>8000</v>
      </c>
      <c r="R315" s="1068"/>
      <c r="S315" s="1068">
        <v>8000</v>
      </c>
      <c r="T315" s="73">
        <f>SUM(U315:V315)</f>
        <v>8000</v>
      </c>
      <c r="U315" s="1158"/>
      <c r="V315" s="23">
        <v>8000</v>
      </c>
      <c r="W315" s="80" t="s">
        <v>1536</v>
      </c>
      <c r="X315" s="24"/>
      <c r="Y315" s="23">
        <v>1</v>
      </c>
      <c r="Z315" s="965">
        <f>SUM(AA315:AB315)</f>
        <v>8000</v>
      </c>
      <c r="AA315" s="1068"/>
      <c r="AB315" s="1068">
        <v>8000</v>
      </c>
      <c r="AC315" s="1113"/>
      <c r="AD315" s="657"/>
      <c r="AE315" s="990"/>
      <c r="AF315" s="811"/>
      <c r="AG315" s="551"/>
      <c r="AH315" s="551"/>
      <c r="AI315" s="551"/>
      <c r="AK315" s="57"/>
      <c r="AL315" s="57"/>
      <c r="AM315" s="57"/>
      <c r="AN315" s="57"/>
      <c r="AO315" s="57"/>
      <c r="AP315" s="57"/>
    </row>
    <row r="316" spans="1:42" s="54" customFormat="1" ht="45">
      <c r="A316" s="97" t="s">
        <v>58</v>
      </c>
      <c r="B316" s="68" t="s">
        <v>1063</v>
      </c>
      <c r="C316" s="80" t="s">
        <v>1060</v>
      </c>
      <c r="D316" s="19" t="s">
        <v>1064</v>
      </c>
      <c r="E316" s="70" t="s">
        <v>120</v>
      </c>
      <c r="F316" s="762" t="s">
        <v>1065</v>
      </c>
      <c r="G316" s="23">
        <v>227070</v>
      </c>
      <c r="H316" s="23">
        <v>50880</v>
      </c>
      <c r="I316" s="23">
        <v>9800</v>
      </c>
      <c r="J316" s="23">
        <v>2800</v>
      </c>
      <c r="K316" s="23">
        <v>227070</v>
      </c>
      <c r="L316" s="23">
        <v>50880</v>
      </c>
      <c r="M316" s="23"/>
      <c r="N316" s="1068">
        <v>45430</v>
      </c>
      <c r="O316" s="1068">
        <v>10180</v>
      </c>
      <c r="P316" s="1198"/>
      <c r="Q316" s="1068">
        <v>10180</v>
      </c>
      <c r="R316" s="1068"/>
      <c r="S316" s="1068">
        <v>10180</v>
      </c>
      <c r="T316" s="73">
        <f>SUM(U316:V316)</f>
        <v>10180</v>
      </c>
      <c r="U316" s="1158"/>
      <c r="V316" s="23">
        <v>10180</v>
      </c>
      <c r="W316" s="80" t="s">
        <v>1536</v>
      </c>
      <c r="X316" s="24" t="s">
        <v>1571</v>
      </c>
      <c r="Y316" s="23">
        <v>1</v>
      </c>
      <c r="Z316" s="965">
        <f>SUM(AA316:AB316)</f>
        <v>10180</v>
      </c>
      <c r="AA316" s="1068"/>
      <c r="AB316" s="1068">
        <v>10180</v>
      </c>
      <c r="AC316" s="1113"/>
      <c r="AD316" s="657"/>
      <c r="AE316" s="990"/>
      <c r="AF316" s="811"/>
      <c r="AG316" s="551"/>
      <c r="AH316" s="551"/>
      <c r="AI316" s="551"/>
      <c r="AK316" s="57"/>
      <c r="AL316" s="57"/>
      <c r="AM316" s="57"/>
      <c r="AN316" s="57"/>
      <c r="AO316" s="57"/>
      <c r="AP316" s="57"/>
    </row>
    <row r="317" spans="1:42" s="54" customFormat="1">
      <c r="A317" s="11" t="s">
        <v>150</v>
      </c>
      <c r="B317" s="65" t="s">
        <v>151</v>
      </c>
      <c r="C317" s="89"/>
      <c r="D317" s="13"/>
      <c r="E317" s="14"/>
      <c r="F317" s="89"/>
      <c r="G317" s="15">
        <f t="shared" ref="G317:V317" si="201">SUM(G318:G325,G337)</f>
        <v>128240</v>
      </c>
      <c r="H317" s="15">
        <f t="shared" si="201"/>
        <v>113294.39999999999</v>
      </c>
      <c r="I317" s="15">
        <f t="shared" si="201"/>
        <v>3259</v>
      </c>
      <c r="J317" s="15">
        <f t="shared" si="201"/>
        <v>4182</v>
      </c>
      <c r="K317" s="15">
        <f t="shared" si="201"/>
        <v>122173</v>
      </c>
      <c r="L317" s="15">
        <f t="shared" si="201"/>
        <v>106297</v>
      </c>
      <c r="M317" s="15">
        <f t="shared" si="201"/>
        <v>0</v>
      </c>
      <c r="N317" s="1053">
        <f t="shared" si="201"/>
        <v>44539</v>
      </c>
      <c r="O317" s="1053">
        <f t="shared" si="201"/>
        <v>40004</v>
      </c>
      <c r="P317" s="1053">
        <f t="shared" si="201"/>
        <v>0</v>
      </c>
      <c r="Q317" s="1053">
        <f t="shared" si="201"/>
        <v>31156</v>
      </c>
      <c r="R317" s="1053">
        <f t="shared" si="201"/>
        <v>23566</v>
      </c>
      <c r="S317" s="1053">
        <f t="shared" si="201"/>
        <v>7590</v>
      </c>
      <c r="T317" s="15">
        <f t="shared" si="201"/>
        <v>29156</v>
      </c>
      <c r="U317" s="1145">
        <f t="shared" si="201"/>
        <v>15916</v>
      </c>
      <c r="V317" s="15">
        <f t="shared" si="201"/>
        <v>13240</v>
      </c>
      <c r="W317" s="89"/>
      <c r="X317" s="89"/>
      <c r="Y317" s="15">
        <f>SUM(Y318:Y325,Y337)</f>
        <v>9</v>
      </c>
      <c r="Z317" s="1053">
        <f>SUM(Z318:Z325,Z337)</f>
        <v>29156</v>
      </c>
      <c r="AA317" s="1053">
        <f>SUM(AA318:AA325,AA337)</f>
        <v>15916</v>
      </c>
      <c r="AB317" s="1053">
        <f>SUM(AB318:AB325,AB337)</f>
        <v>13240</v>
      </c>
      <c r="AC317" s="1101"/>
      <c r="AD317" s="657"/>
      <c r="AE317" s="990"/>
      <c r="AF317" s="811"/>
      <c r="AG317" s="551"/>
      <c r="AH317" s="551"/>
      <c r="AI317" s="551"/>
      <c r="AK317" s="57"/>
      <c r="AL317" s="57"/>
      <c r="AM317" s="57"/>
      <c r="AN317" s="57"/>
      <c r="AO317" s="57"/>
      <c r="AP317" s="57"/>
    </row>
    <row r="318" spans="1:42" s="54" customFormat="1" ht="30">
      <c r="A318" s="97" t="s">
        <v>27</v>
      </c>
      <c r="B318" s="68" t="s">
        <v>1597</v>
      </c>
      <c r="C318" s="80" t="s">
        <v>5</v>
      </c>
      <c r="D318" s="19" t="s">
        <v>1718</v>
      </c>
      <c r="E318" s="70" t="s">
        <v>94</v>
      </c>
      <c r="F318" s="80" t="s">
        <v>1067</v>
      </c>
      <c r="G318" s="23">
        <v>1544</v>
      </c>
      <c r="H318" s="23">
        <v>1544</v>
      </c>
      <c r="I318" s="23">
        <v>122</v>
      </c>
      <c r="J318" s="23">
        <v>122</v>
      </c>
      <c r="K318" s="23">
        <v>1500</v>
      </c>
      <c r="L318" s="23">
        <v>1500</v>
      </c>
      <c r="M318" s="23"/>
      <c r="N318" s="1068">
        <v>1400</v>
      </c>
      <c r="O318" s="1068">
        <v>1400</v>
      </c>
      <c r="P318" s="1198"/>
      <c r="Q318" s="1068">
        <f>SUM(R318:S318)</f>
        <v>1400</v>
      </c>
      <c r="R318" s="1068"/>
      <c r="S318" s="1068">
        <v>1400</v>
      </c>
      <c r="T318" s="73">
        <f t="shared" ref="T318:T324" si="202">SUM(U318:V318)</f>
        <v>1400</v>
      </c>
      <c r="U318" s="1158"/>
      <c r="V318" s="23">
        <v>1400</v>
      </c>
      <c r="W318" s="80" t="s">
        <v>1544</v>
      </c>
      <c r="X318" s="24"/>
      <c r="Y318" s="23">
        <v>1</v>
      </c>
      <c r="Z318" s="965">
        <f t="shared" ref="Z318:Z324" si="203">SUM(AA318:AB318)</f>
        <v>1400</v>
      </c>
      <c r="AA318" s="1068"/>
      <c r="AB318" s="1068">
        <v>1400</v>
      </c>
      <c r="AC318" s="1113"/>
      <c r="AD318" s="657"/>
      <c r="AE318" s="990"/>
      <c r="AF318" s="811"/>
      <c r="AG318" s="551"/>
      <c r="AH318" s="551"/>
      <c r="AI318" s="551"/>
      <c r="AK318" s="57"/>
      <c r="AL318" s="57"/>
      <c r="AM318" s="57"/>
      <c r="AN318" s="57"/>
      <c r="AO318" s="57"/>
      <c r="AP318" s="57"/>
    </row>
    <row r="319" spans="1:42" s="54" customFormat="1" ht="30">
      <c r="A319" s="97" t="s">
        <v>41</v>
      </c>
      <c r="B319" s="68" t="s">
        <v>1068</v>
      </c>
      <c r="C319" s="80" t="s">
        <v>43</v>
      </c>
      <c r="D319" s="19" t="s">
        <v>1069</v>
      </c>
      <c r="E319" s="70" t="s">
        <v>489</v>
      </c>
      <c r="F319" s="762" t="s">
        <v>1070</v>
      </c>
      <c r="G319" s="23">
        <v>16050</v>
      </c>
      <c r="H319" s="23">
        <v>16050</v>
      </c>
      <c r="I319" s="23">
        <v>90</v>
      </c>
      <c r="J319" s="23">
        <v>90</v>
      </c>
      <c r="K319" s="23">
        <v>13000</v>
      </c>
      <c r="L319" s="23">
        <v>13000</v>
      </c>
      <c r="M319" s="23"/>
      <c r="N319" s="1068">
        <v>3900</v>
      </c>
      <c r="O319" s="1068">
        <v>3900</v>
      </c>
      <c r="P319" s="1198"/>
      <c r="Q319" s="1068">
        <f>SUM(R319:S319)</f>
        <v>3900</v>
      </c>
      <c r="R319" s="1068"/>
      <c r="S319" s="1068">
        <v>3900</v>
      </c>
      <c r="T319" s="73">
        <f t="shared" si="202"/>
        <v>3900</v>
      </c>
      <c r="U319" s="1158"/>
      <c r="V319" s="23">
        <v>3900</v>
      </c>
      <c r="W319" s="80" t="s">
        <v>1544</v>
      </c>
      <c r="X319" s="24"/>
      <c r="Y319" s="23">
        <v>1</v>
      </c>
      <c r="Z319" s="965">
        <f t="shared" si="203"/>
        <v>3900</v>
      </c>
      <c r="AA319" s="1068"/>
      <c r="AB319" s="1068">
        <v>3900</v>
      </c>
      <c r="AC319" s="1113"/>
      <c r="AD319" s="657"/>
      <c r="AE319" s="990"/>
      <c r="AF319" s="811"/>
      <c r="AG319" s="551"/>
      <c r="AH319" s="551"/>
      <c r="AI319" s="551"/>
      <c r="AK319" s="57"/>
      <c r="AL319" s="57"/>
      <c r="AM319" s="57"/>
      <c r="AN319" s="57"/>
      <c r="AO319" s="57"/>
      <c r="AP319" s="57"/>
    </row>
    <row r="320" spans="1:42" s="54" customFormat="1" ht="25.5">
      <c r="A320" s="97" t="s">
        <v>58</v>
      </c>
      <c r="B320" s="68" t="s">
        <v>1071</v>
      </c>
      <c r="C320" s="80" t="s">
        <v>143</v>
      </c>
      <c r="D320" s="19" t="s">
        <v>1072</v>
      </c>
      <c r="E320" s="70">
        <v>2017</v>
      </c>
      <c r="F320" s="80" t="s">
        <v>1073</v>
      </c>
      <c r="G320" s="23">
        <v>1495</v>
      </c>
      <c r="H320" s="23">
        <f>1259*70%</f>
        <v>881.3</v>
      </c>
      <c r="I320" s="23"/>
      <c r="J320" s="23"/>
      <c r="K320" s="23">
        <v>1495</v>
      </c>
      <c r="L320" s="23">
        <v>881</v>
      </c>
      <c r="M320" s="23"/>
      <c r="N320" s="1068">
        <v>1495</v>
      </c>
      <c r="O320" s="1068">
        <v>881</v>
      </c>
      <c r="P320" s="1198"/>
      <c r="Q320" s="1068">
        <f>SUM(R320:S320)</f>
        <v>880</v>
      </c>
      <c r="R320" s="1068"/>
      <c r="S320" s="1068">
        <v>880</v>
      </c>
      <c r="T320" s="73">
        <f t="shared" si="202"/>
        <v>880</v>
      </c>
      <c r="U320" s="1158"/>
      <c r="V320" s="23">
        <v>880</v>
      </c>
      <c r="W320" s="80" t="s">
        <v>1518</v>
      </c>
      <c r="X320" s="80"/>
      <c r="Y320" s="23">
        <v>1</v>
      </c>
      <c r="Z320" s="965">
        <f t="shared" si="203"/>
        <v>880</v>
      </c>
      <c r="AA320" s="1068"/>
      <c r="AB320" s="1068">
        <v>880</v>
      </c>
      <c r="AC320" s="1113"/>
      <c r="AD320" s="657"/>
      <c r="AE320" s="990"/>
      <c r="AF320" s="811"/>
      <c r="AG320" s="551"/>
      <c r="AH320" s="551"/>
      <c r="AI320" s="551"/>
      <c r="AK320" s="57"/>
      <c r="AL320" s="57"/>
      <c r="AM320" s="57"/>
      <c r="AN320" s="57"/>
      <c r="AO320" s="57"/>
      <c r="AP320" s="57"/>
    </row>
    <row r="321" spans="1:42" s="54" customFormat="1" ht="25.5">
      <c r="A321" s="97" t="s">
        <v>64</v>
      </c>
      <c r="B321" s="68" t="s">
        <v>1074</v>
      </c>
      <c r="C321" s="80" t="s">
        <v>143</v>
      </c>
      <c r="D321" s="19" t="s">
        <v>1072</v>
      </c>
      <c r="E321" s="70">
        <v>2017</v>
      </c>
      <c r="F321" s="80" t="s">
        <v>1075</v>
      </c>
      <c r="G321" s="23">
        <v>1102</v>
      </c>
      <c r="H321" s="23">
        <f>929*70%</f>
        <v>650.29999999999995</v>
      </c>
      <c r="I321" s="23"/>
      <c r="J321" s="23"/>
      <c r="K321" s="23">
        <v>1102</v>
      </c>
      <c r="L321" s="23">
        <v>650</v>
      </c>
      <c r="M321" s="23"/>
      <c r="N321" s="1068">
        <v>1102</v>
      </c>
      <c r="O321" s="1068">
        <v>650</v>
      </c>
      <c r="P321" s="1198"/>
      <c r="Q321" s="1068">
        <v>650</v>
      </c>
      <c r="R321" s="1068"/>
      <c r="S321" s="1068">
        <v>650</v>
      </c>
      <c r="T321" s="73">
        <f t="shared" si="202"/>
        <v>650</v>
      </c>
      <c r="U321" s="1158"/>
      <c r="V321" s="23">
        <v>650</v>
      </c>
      <c r="W321" s="80" t="s">
        <v>1518</v>
      </c>
      <c r="X321" s="80"/>
      <c r="Y321" s="23">
        <v>1</v>
      </c>
      <c r="Z321" s="965">
        <f t="shared" si="203"/>
        <v>650</v>
      </c>
      <c r="AA321" s="1068"/>
      <c r="AB321" s="1068">
        <v>650</v>
      </c>
      <c r="AC321" s="1113"/>
      <c r="AD321" s="657"/>
      <c r="AE321" s="990"/>
      <c r="AF321" s="811"/>
      <c r="AG321" s="551"/>
      <c r="AH321" s="551"/>
      <c r="AI321" s="551"/>
      <c r="AK321" s="57"/>
      <c r="AL321" s="57"/>
      <c r="AM321" s="57"/>
      <c r="AN321" s="57"/>
      <c r="AO321" s="57"/>
      <c r="AP321" s="57"/>
    </row>
    <row r="322" spans="1:42" ht="25.5">
      <c r="A322" s="97" t="s">
        <v>69</v>
      </c>
      <c r="B322" s="79" t="s">
        <v>1076</v>
      </c>
      <c r="C322" s="80" t="s">
        <v>143</v>
      </c>
      <c r="D322" s="19" t="s">
        <v>1054</v>
      </c>
      <c r="E322" s="44" t="s">
        <v>120</v>
      </c>
      <c r="F322" s="80" t="s">
        <v>1077</v>
      </c>
      <c r="G322" s="23">
        <v>1310</v>
      </c>
      <c r="H322" s="23">
        <f>1094*70%</f>
        <v>765.8</v>
      </c>
      <c r="I322" s="23"/>
      <c r="J322" s="232"/>
      <c r="K322" s="23">
        <v>1310</v>
      </c>
      <c r="L322" s="23">
        <v>766</v>
      </c>
      <c r="M322" s="23"/>
      <c r="N322" s="1054">
        <v>1310</v>
      </c>
      <c r="O322" s="1054">
        <v>766</v>
      </c>
      <c r="P322" s="1201"/>
      <c r="Q322" s="1068">
        <f>SUM(R322:S322)</f>
        <v>760</v>
      </c>
      <c r="R322" s="1068"/>
      <c r="S322" s="1068">
        <v>760</v>
      </c>
      <c r="T322" s="73">
        <f t="shared" si="202"/>
        <v>760</v>
      </c>
      <c r="U322" s="1158"/>
      <c r="V322" s="23">
        <v>760</v>
      </c>
      <c r="W322" s="80" t="s">
        <v>1518</v>
      </c>
      <c r="X322" s="744"/>
      <c r="Y322" s="23">
        <v>1</v>
      </c>
      <c r="Z322" s="965">
        <f t="shared" si="203"/>
        <v>760</v>
      </c>
      <c r="AA322" s="1068"/>
      <c r="AB322" s="1068">
        <v>760</v>
      </c>
      <c r="AC322" s="1113"/>
      <c r="AE322" s="998"/>
      <c r="AF322" s="986"/>
      <c r="AG322" s="557"/>
      <c r="AH322" s="557"/>
      <c r="AI322" s="557"/>
      <c r="AJ322" s="54"/>
      <c r="AK322" s="58"/>
      <c r="AL322" s="58"/>
      <c r="AM322" s="58"/>
      <c r="AN322" s="58"/>
      <c r="AO322" s="58"/>
      <c r="AP322" s="58"/>
    </row>
    <row r="323" spans="1:42" s="211" customFormat="1" ht="25.5">
      <c r="A323" s="97" t="s">
        <v>74</v>
      </c>
      <c r="B323" s="68" t="s">
        <v>533</v>
      </c>
      <c r="C323" s="80" t="s">
        <v>143</v>
      </c>
      <c r="D323" s="19" t="s">
        <v>1491</v>
      </c>
      <c r="E323" s="44" t="s">
        <v>163</v>
      </c>
      <c r="F323" s="80" t="s">
        <v>1492</v>
      </c>
      <c r="G323" s="23">
        <v>46100</v>
      </c>
      <c r="H323" s="23">
        <v>46100</v>
      </c>
      <c r="I323" s="725">
        <f>+J323</f>
        <v>50</v>
      </c>
      <c r="J323" s="725">
        <v>50</v>
      </c>
      <c r="K323" s="725">
        <v>46169</v>
      </c>
      <c r="L323" s="725">
        <v>46169</v>
      </c>
      <c r="M323" s="725"/>
      <c r="N323" s="1054">
        <v>11700</v>
      </c>
      <c r="O323" s="1054">
        <v>11700</v>
      </c>
      <c r="P323" s="1071"/>
      <c r="Q323" s="1071">
        <v>3000</v>
      </c>
      <c r="R323" s="1071">
        <v>3000</v>
      </c>
      <c r="S323" s="1071"/>
      <c r="T323" s="73">
        <f t="shared" si="202"/>
        <v>3000</v>
      </c>
      <c r="U323" s="724">
        <v>3000</v>
      </c>
      <c r="V323" s="726"/>
      <c r="W323" s="80" t="s">
        <v>1518</v>
      </c>
      <c r="X323" s="24"/>
      <c r="Y323" s="726">
        <v>1</v>
      </c>
      <c r="Z323" s="965">
        <f t="shared" si="203"/>
        <v>3000</v>
      </c>
      <c r="AA323" s="1071">
        <v>3000</v>
      </c>
      <c r="AB323" s="1071"/>
      <c r="AC323" s="1116"/>
      <c r="AD323" s="657"/>
      <c r="AE323" s="990"/>
      <c r="AF323" s="811"/>
      <c r="AG323" s="551"/>
      <c r="AH323" s="551"/>
      <c r="AI323" s="551"/>
    </row>
    <row r="324" spans="1:42" s="235" customFormat="1" ht="25.5">
      <c r="A324" s="97" t="s">
        <v>141</v>
      </c>
      <c r="B324" s="68" t="s">
        <v>536</v>
      </c>
      <c r="C324" s="1189" t="s">
        <v>60</v>
      </c>
      <c r="D324" s="606" t="s">
        <v>537</v>
      </c>
      <c r="E324" s="137" t="s">
        <v>163</v>
      </c>
      <c r="F324" s="693" t="s">
        <v>538</v>
      </c>
      <c r="G324" s="175">
        <v>46934</v>
      </c>
      <c r="H324" s="23">
        <v>36473</v>
      </c>
      <c r="I324" s="23"/>
      <c r="J324" s="23"/>
      <c r="K324" s="223">
        <v>46934</v>
      </c>
      <c r="L324" s="77">
        <v>36473</v>
      </c>
      <c r="M324" s="23"/>
      <c r="N324" s="1054">
        <v>12000</v>
      </c>
      <c r="O324" s="1054">
        <v>12000</v>
      </c>
      <c r="P324" s="1054"/>
      <c r="Q324" s="1054">
        <v>12000</v>
      </c>
      <c r="R324" s="1054">
        <v>12000</v>
      </c>
      <c r="S324" s="1054"/>
      <c r="T324" s="73">
        <f t="shared" si="202"/>
        <v>10000</v>
      </c>
      <c r="U324" s="316">
        <v>10000</v>
      </c>
      <c r="V324" s="105"/>
      <c r="W324" s="513" t="s">
        <v>1517</v>
      </c>
      <c r="X324" s="24"/>
      <c r="Y324" s="105">
        <v>1</v>
      </c>
      <c r="Z324" s="965">
        <f t="shared" si="203"/>
        <v>10000</v>
      </c>
      <c r="AA324" s="1054">
        <v>10000</v>
      </c>
      <c r="AB324" s="1054"/>
      <c r="AC324" s="1102"/>
      <c r="AD324" s="657"/>
      <c r="AE324" s="990"/>
      <c r="AF324" s="811"/>
      <c r="AG324" s="551"/>
      <c r="AH324" s="551"/>
      <c r="AI324" s="551"/>
    </row>
    <row r="325" spans="1:42" s="211" customFormat="1" ht="51">
      <c r="A325" s="97" t="s">
        <v>146</v>
      </c>
      <c r="B325" s="68" t="s">
        <v>539</v>
      </c>
      <c r="C325" s="80" t="s">
        <v>1760</v>
      </c>
      <c r="D325" s="19"/>
      <c r="E325" s="70"/>
      <c r="F325" s="80"/>
      <c r="G325" s="23">
        <f t="shared" ref="G325:V325" si="204">SUM(G326,G329,G331,G333)</f>
        <v>7164</v>
      </c>
      <c r="H325" s="23">
        <f t="shared" si="204"/>
        <v>5039</v>
      </c>
      <c r="I325" s="23">
        <f t="shared" si="204"/>
        <v>2000</v>
      </c>
      <c r="J325" s="23">
        <f t="shared" si="204"/>
        <v>2000</v>
      </c>
      <c r="K325" s="23">
        <f t="shared" si="204"/>
        <v>5090</v>
      </c>
      <c r="L325" s="23">
        <f t="shared" si="204"/>
        <v>2965</v>
      </c>
      <c r="M325" s="23">
        <f t="shared" si="204"/>
        <v>0</v>
      </c>
      <c r="N325" s="1068">
        <f t="shared" si="204"/>
        <v>5041</v>
      </c>
      <c r="O325" s="1068">
        <f t="shared" si="204"/>
        <v>2916</v>
      </c>
      <c r="P325" s="1068">
        <f t="shared" si="204"/>
        <v>0</v>
      </c>
      <c r="Q325" s="1068">
        <f t="shared" si="204"/>
        <v>2916</v>
      </c>
      <c r="R325" s="1068">
        <f t="shared" si="204"/>
        <v>2916</v>
      </c>
      <c r="S325" s="1068">
        <f t="shared" si="204"/>
        <v>0</v>
      </c>
      <c r="T325" s="23">
        <f t="shared" si="204"/>
        <v>2916</v>
      </c>
      <c r="U325" s="1158">
        <f t="shared" si="204"/>
        <v>2916</v>
      </c>
      <c r="V325" s="23">
        <f t="shared" si="204"/>
        <v>0</v>
      </c>
      <c r="W325" s="80"/>
      <c r="X325" s="80"/>
      <c r="Y325" s="23">
        <v>1</v>
      </c>
      <c r="Z325" s="1068">
        <f>SUM(Z326,Z329,Z331,Z333)</f>
        <v>2916</v>
      </c>
      <c r="AA325" s="1068">
        <f>SUM(AA326,AA329,AA331,AA333)</f>
        <v>2916</v>
      </c>
      <c r="AB325" s="1068">
        <f>SUM(AB326,AB329,AB331,AB333)</f>
        <v>0</v>
      </c>
      <c r="AC325" s="1113"/>
      <c r="AD325" s="657"/>
      <c r="AE325" s="990"/>
      <c r="AF325" s="811"/>
      <c r="AG325" s="551"/>
      <c r="AH325" s="551"/>
      <c r="AI325" s="551"/>
    </row>
    <row r="326" spans="1:42" s="1183" customFormat="1" ht="19.5">
      <c r="A326" s="26"/>
      <c r="B326" s="88" t="s">
        <v>541</v>
      </c>
      <c r="C326" s="1190"/>
      <c r="D326" s="1169"/>
      <c r="E326" s="1170"/>
      <c r="F326" s="1171"/>
      <c r="G326" s="189">
        <f t="shared" ref="G326:V326" si="205">SUM(G327:G328)</f>
        <v>4625</v>
      </c>
      <c r="H326" s="30">
        <f t="shared" si="205"/>
        <v>2500</v>
      </c>
      <c r="I326" s="30">
        <f t="shared" si="205"/>
        <v>1500</v>
      </c>
      <c r="J326" s="30">
        <f t="shared" si="205"/>
        <v>1500</v>
      </c>
      <c r="K326" s="1172">
        <f t="shared" si="205"/>
        <v>3125</v>
      </c>
      <c r="L326" s="1173">
        <f t="shared" si="205"/>
        <v>1000</v>
      </c>
      <c r="M326" s="30">
        <f t="shared" si="205"/>
        <v>0</v>
      </c>
      <c r="N326" s="1179">
        <f t="shared" si="205"/>
        <v>3125</v>
      </c>
      <c r="O326" s="1179">
        <f t="shared" si="205"/>
        <v>1000</v>
      </c>
      <c r="P326" s="1179">
        <f t="shared" si="205"/>
        <v>0</v>
      </c>
      <c r="Q326" s="1179">
        <f t="shared" si="205"/>
        <v>1000</v>
      </c>
      <c r="R326" s="1179">
        <f t="shared" si="205"/>
        <v>1000</v>
      </c>
      <c r="S326" s="1179">
        <f t="shared" si="205"/>
        <v>0</v>
      </c>
      <c r="T326" s="1175">
        <f t="shared" si="205"/>
        <v>1000</v>
      </c>
      <c r="U326" s="1176">
        <f t="shared" si="205"/>
        <v>1000</v>
      </c>
      <c r="V326" s="1174">
        <f t="shared" si="205"/>
        <v>0</v>
      </c>
      <c r="W326" s="1177"/>
      <c r="X326" s="479"/>
      <c r="Y326" s="1174"/>
      <c r="Z326" s="1178">
        <f t="shared" ref="Z326:AB326" si="206">SUM(Z327:Z328)</f>
        <v>1000</v>
      </c>
      <c r="AA326" s="1179">
        <f t="shared" si="206"/>
        <v>1000</v>
      </c>
      <c r="AB326" s="1179">
        <f t="shared" si="206"/>
        <v>0</v>
      </c>
      <c r="AC326" s="1180"/>
      <c r="AD326" s="1181"/>
      <c r="AE326" s="1182"/>
      <c r="AF326" s="987"/>
      <c r="AG326" s="556"/>
      <c r="AH326" s="556"/>
      <c r="AI326" s="556"/>
    </row>
    <row r="327" spans="1:42" s="235" customFormat="1" ht="25.5">
      <c r="A327" s="961" t="s">
        <v>27</v>
      </c>
      <c r="B327" s="68" t="s">
        <v>1623</v>
      </c>
      <c r="C327" s="1189" t="s">
        <v>1624</v>
      </c>
      <c r="D327" s="606" t="s">
        <v>1625</v>
      </c>
      <c r="E327" s="137" t="s">
        <v>166</v>
      </c>
      <c r="F327" s="693" t="s">
        <v>1626</v>
      </c>
      <c r="G327" s="175">
        <v>3843</v>
      </c>
      <c r="H327" s="23">
        <v>2000</v>
      </c>
      <c r="I327" s="23">
        <v>1500</v>
      </c>
      <c r="J327" s="23">
        <v>1500</v>
      </c>
      <c r="K327" s="223">
        <v>2343</v>
      </c>
      <c r="L327" s="77">
        <v>500</v>
      </c>
      <c r="M327" s="23"/>
      <c r="N327" s="1054">
        <v>2343</v>
      </c>
      <c r="O327" s="1054">
        <f>+H327-J327</f>
        <v>500</v>
      </c>
      <c r="P327" s="1054"/>
      <c r="Q327" s="1054">
        <f>R327</f>
        <v>500</v>
      </c>
      <c r="R327" s="1054">
        <v>500</v>
      </c>
      <c r="S327" s="1054"/>
      <c r="T327" s="73">
        <f>U327</f>
        <v>500</v>
      </c>
      <c r="U327" s="316">
        <v>500</v>
      </c>
      <c r="V327" s="105"/>
      <c r="W327" s="513" t="s">
        <v>1530</v>
      </c>
      <c r="X327" s="24"/>
      <c r="Y327" s="105"/>
      <c r="Z327" s="965">
        <f>AA327</f>
        <v>500</v>
      </c>
      <c r="AA327" s="1054">
        <v>500</v>
      </c>
      <c r="AB327" s="1054"/>
      <c r="AC327" s="1102"/>
      <c r="AD327" s="657"/>
      <c r="AE327" s="990"/>
      <c r="AF327" s="811"/>
      <c r="AG327" s="551"/>
      <c r="AH327" s="551"/>
      <c r="AI327" s="551"/>
    </row>
    <row r="328" spans="1:42" s="235" customFormat="1" ht="38.25">
      <c r="A328" s="961" t="s">
        <v>41</v>
      </c>
      <c r="B328" s="68" t="s">
        <v>1627</v>
      </c>
      <c r="C328" s="1189" t="s">
        <v>1628</v>
      </c>
      <c r="D328" s="606" t="s">
        <v>1629</v>
      </c>
      <c r="E328" s="137">
        <v>2017</v>
      </c>
      <c r="F328" s="693" t="s">
        <v>1630</v>
      </c>
      <c r="G328" s="175">
        <v>782</v>
      </c>
      <c r="H328" s="23">
        <v>500</v>
      </c>
      <c r="I328" s="23"/>
      <c r="J328" s="23"/>
      <c r="K328" s="223">
        <v>782</v>
      </c>
      <c r="L328" s="77">
        <v>500</v>
      </c>
      <c r="M328" s="23"/>
      <c r="N328" s="1054">
        <v>782</v>
      </c>
      <c r="O328" s="1054">
        <v>500</v>
      </c>
      <c r="P328" s="1054"/>
      <c r="Q328" s="1054">
        <f>R328</f>
        <v>500</v>
      </c>
      <c r="R328" s="1054">
        <v>500</v>
      </c>
      <c r="S328" s="1054"/>
      <c r="T328" s="73">
        <f>U328</f>
        <v>500</v>
      </c>
      <c r="U328" s="316">
        <v>500</v>
      </c>
      <c r="V328" s="105"/>
      <c r="W328" s="513" t="s">
        <v>1530</v>
      </c>
      <c r="X328" s="24"/>
      <c r="Y328" s="105"/>
      <c r="Z328" s="965">
        <f>AA328</f>
        <v>500</v>
      </c>
      <c r="AA328" s="1054">
        <v>500</v>
      </c>
      <c r="AB328" s="1054"/>
      <c r="AC328" s="1102"/>
      <c r="AD328" s="657"/>
      <c r="AE328" s="990"/>
      <c r="AF328" s="811"/>
      <c r="AG328" s="551"/>
      <c r="AH328" s="551"/>
      <c r="AI328" s="551"/>
    </row>
    <row r="329" spans="1:42" s="1183" customFormat="1" ht="19.5">
      <c r="A329" s="26"/>
      <c r="B329" s="88" t="s">
        <v>542</v>
      </c>
      <c r="C329" s="1190"/>
      <c r="D329" s="1169"/>
      <c r="E329" s="1170"/>
      <c r="F329" s="1171"/>
      <c r="G329" s="189">
        <f t="shared" ref="G329:U329" si="207">SUM(G330)</f>
        <v>419</v>
      </c>
      <c r="H329" s="30">
        <f t="shared" si="207"/>
        <v>419</v>
      </c>
      <c r="I329" s="30">
        <f t="shared" si="207"/>
        <v>0</v>
      </c>
      <c r="J329" s="30">
        <f t="shared" si="207"/>
        <v>0</v>
      </c>
      <c r="K329" s="1172">
        <f t="shared" si="207"/>
        <v>419</v>
      </c>
      <c r="L329" s="1173">
        <f t="shared" si="207"/>
        <v>419</v>
      </c>
      <c r="M329" s="30">
        <f t="shared" si="207"/>
        <v>0</v>
      </c>
      <c r="N329" s="1179">
        <f t="shared" si="207"/>
        <v>419</v>
      </c>
      <c r="O329" s="1179">
        <f t="shared" si="207"/>
        <v>419</v>
      </c>
      <c r="P329" s="1179">
        <f t="shared" si="207"/>
        <v>0</v>
      </c>
      <c r="Q329" s="1179">
        <f t="shared" si="207"/>
        <v>419</v>
      </c>
      <c r="R329" s="1179">
        <f t="shared" si="207"/>
        <v>419</v>
      </c>
      <c r="S329" s="1179">
        <f t="shared" si="207"/>
        <v>0</v>
      </c>
      <c r="T329" s="1175">
        <f t="shared" si="207"/>
        <v>419</v>
      </c>
      <c r="U329" s="1176">
        <f t="shared" si="207"/>
        <v>419</v>
      </c>
      <c r="V329" s="1174"/>
      <c r="W329" s="1177"/>
      <c r="X329" s="479"/>
      <c r="Y329" s="1174"/>
      <c r="Z329" s="1178">
        <f t="shared" ref="Z329:AA329" si="208">SUM(Z330)</f>
        <v>419</v>
      </c>
      <c r="AA329" s="1179">
        <f t="shared" si="208"/>
        <v>419</v>
      </c>
      <c r="AB329" s="1179"/>
      <c r="AC329" s="1180"/>
      <c r="AD329" s="1181"/>
      <c r="AE329" s="1182"/>
      <c r="AF329" s="987"/>
      <c r="AG329" s="556"/>
      <c r="AH329" s="556"/>
      <c r="AI329" s="556"/>
    </row>
    <row r="330" spans="1:42" s="235" customFormat="1" ht="25.5">
      <c r="A330" s="961" t="s">
        <v>27</v>
      </c>
      <c r="B330" s="68" t="s">
        <v>1631</v>
      </c>
      <c r="C330" s="1189" t="s">
        <v>1632</v>
      </c>
      <c r="D330" s="606" t="s">
        <v>1633</v>
      </c>
      <c r="E330" s="137">
        <v>2017</v>
      </c>
      <c r="F330" s="693" t="s">
        <v>1634</v>
      </c>
      <c r="G330" s="175">
        <v>419</v>
      </c>
      <c r="H330" s="175">
        <v>419</v>
      </c>
      <c r="I330" s="23"/>
      <c r="J330" s="23"/>
      <c r="K330" s="175">
        <v>419</v>
      </c>
      <c r="L330" s="175">
        <v>419</v>
      </c>
      <c r="M330" s="23"/>
      <c r="N330" s="1069">
        <v>419</v>
      </c>
      <c r="O330" s="1069">
        <v>419</v>
      </c>
      <c r="P330" s="1054"/>
      <c r="Q330" s="1069">
        <v>419</v>
      </c>
      <c r="R330" s="1069">
        <v>419</v>
      </c>
      <c r="S330" s="1054"/>
      <c r="T330" s="175">
        <v>419</v>
      </c>
      <c r="U330" s="595">
        <v>419</v>
      </c>
      <c r="V330" s="105"/>
      <c r="W330" s="513" t="s">
        <v>1525</v>
      </c>
      <c r="X330" s="24"/>
      <c r="Y330" s="105"/>
      <c r="Z330" s="1069">
        <v>419</v>
      </c>
      <c r="AA330" s="1069">
        <v>419</v>
      </c>
      <c r="AB330" s="1054"/>
      <c r="AC330" s="1102"/>
      <c r="AD330" s="657"/>
      <c r="AE330" s="990"/>
      <c r="AF330" s="811"/>
      <c r="AG330" s="551"/>
      <c r="AH330" s="551"/>
      <c r="AI330" s="551"/>
    </row>
    <row r="331" spans="1:42" s="1183" customFormat="1" ht="19.5">
      <c r="A331" s="26"/>
      <c r="B331" s="88" t="s">
        <v>544</v>
      </c>
      <c r="C331" s="1190"/>
      <c r="D331" s="1169"/>
      <c r="E331" s="1170"/>
      <c r="F331" s="1171"/>
      <c r="G331" s="189">
        <f t="shared" ref="G331:V331" si="209">SUM(G332:G332)</f>
        <v>1074</v>
      </c>
      <c r="H331" s="30">
        <f t="shared" si="209"/>
        <v>1074</v>
      </c>
      <c r="I331" s="30">
        <f t="shared" si="209"/>
        <v>500</v>
      </c>
      <c r="J331" s="30">
        <f t="shared" si="209"/>
        <v>500</v>
      </c>
      <c r="K331" s="1172">
        <f t="shared" si="209"/>
        <v>500</v>
      </c>
      <c r="L331" s="1173">
        <f t="shared" si="209"/>
        <v>500</v>
      </c>
      <c r="M331" s="30">
        <f t="shared" si="209"/>
        <v>0</v>
      </c>
      <c r="N331" s="1179">
        <f t="shared" si="209"/>
        <v>500</v>
      </c>
      <c r="O331" s="1179">
        <f t="shared" si="209"/>
        <v>500</v>
      </c>
      <c r="P331" s="1179">
        <f t="shared" si="209"/>
        <v>0</v>
      </c>
      <c r="Q331" s="1179">
        <f t="shared" si="209"/>
        <v>500</v>
      </c>
      <c r="R331" s="1179">
        <f t="shared" si="209"/>
        <v>500</v>
      </c>
      <c r="S331" s="1179">
        <f t="shared" si="209"/>
        <v>0</v>
      </c>
      <c r="T331" s="1175">
        <f t="shared" si="209"/>
        <v>500</v>
      </c>
      <c r="U331" s="1176">
        <f t="shared" si="209"/>
        <v>500</v>
      </c>
      <c r="V331" s="1174">
        <f t="shared" si="209"/>
        <v>0</v>
      </c>
      <c r="W331" s="1177"/>
      <c r="X331" s="479"/>
      <c r="Y331" s="1174"/>
      <c r="Z331" s="1178">
        <f>SUM(Z332:Z332)</f>
        <v>500</v>
      </c>
      <c r="AA331" s="1179">
        <f>SUM(AA332:AA332)</f>
        <v>500</v>
      </c>
      <c r="AB331" s="1179">
        <f>SUM(AB332:AB332)</f>
        <v>0</v>
      </c>
      <c r="AC331" s="1180"/>
      <c r="AD331" s="1181"/>
      <c r="AE331" s="1182"/>
      <c r="AF331" s="987"/>
      <c r="AG331" s="556"/>
      <c r="AH331" s="556"/>
      <c r="AI331" s="556"/>
    </row>
    <row r="332" spans="1:42" s="235" customFormat="1" ht="38.25">
      <c r="A332" s="961" t="s">
        <v>27</v>
      </c>
      <c r="B332" s="68" t="s">
        <v>1639</v>
      </c>
      <c r="C332" s="1189" t="s">
        <v>1397</v>
      </c>
      <c r="D332" s="606" t="s">
        <v>1640</v>
      </c>
      <c r="E332" s="137" t="s">
        <v>166</v>
      </c>
      <c r="F332" s="693" t="s">
        <v>1641</v>
      </c>
      <c r="G332" s="175">
        <v>1074</v>
      </c>
      <c r="H332" s="23">
        <v>1074</v>
      </c>
      <c r="I332" s="23">
        <v>500</v>
      </c>
      <c r="J332" s="23">
        <v>500</v>
      </c>
      <c r="K332" s="223">
        <v>500</v>
      </c>
      <c r="L332" s="77">
        <v>500</v>
      </c>
      <c r="M332" s="23"/>
      <c r="N332" s="1054">
        <v>500</v>
      </c>
      <c r="O332" s="1054">
        <v>500</v>
      </c>
      <c r="P332" s="1054"/>
      <c r="Q332" s="1054">
        <f>R332</f>
        <v>500</v>
      </c>
      <c r="R332" s="1054">
        <v>500</v>
      </c>
      <c r="S332" s="1054"/>
      <c r="T332" s="73">
        <f>U332</f>
        <v>500</v>
      </c>
      <c r="U332" s="316">
        <v>500</v>
      </c>
      <c r="V332" s="105"/>
      <c r="W332" s="513" t="s">
        <v>1517</v>
      </c>
      <c r="X332" s="24"/>
      <c r="Y332" s="105"/>
      <c r="Z332" s="965">
        <f>AA332</f>
        <v>500</v>
      </c>
      <c r="AA332" s="1054">
        <v>500</v>
      </c>
      <c r="AB332" s="1054"/>
      <c r="AC332" s="1102"/>
      <c r="AD332" s="657"/>
      <c r="AE332" s="990"/>
      <c r="AF332" s="811"/>
      <c r="AG332" s="551"/>
      <c r="AH332" s="551"/>
      <c r="AI332" s="551"/>
    </row>
    <row r="333" spans="1:42" s="1183" customFormat="1" ht="19.5">
      <c r="A333" s="26"/>
      <c r="B333" s="88" t="s">
        <v>545</v>
      </c>
      <c r="C333" s="1190"/>
      <c r="D333" s="1169"/>
      <c r="E333" s="1170"/>
      <c r="F333" s="1171"/>
      <c r="G333" s="189">
        <f t="shared" ref="G333:V333" si="210">SUM(G334:G336)</f>
        <v>1046</v>
      </c>
      <c r="H333" s="30">
        <f t="shared" si="210"/>
        <v>1046</v>
      </c>
      <c r="I333" s="30">
        <f t="shared" si="210"/>
        <v>0</v>
      </c>
      <c r="J333" s="30">
        <f t="shared" si="210"/>
        <v>0</v>
      </c>
      <c r="K333" s="1172">
        <f t="shared" si="210"/>
        <v>1046</v>
      </c>
      <c r="L333" s="1173">
        <f t="shared" si="210"/>
        <v>1046</v>
      </c>
      <c r="M333" s="30">
        <f t="shared" si="210"/>
        <v>0</v>
      </c>
      <c r="N333" s="1179">
        <f t="shared" si="210"/>
        <v>997</v>
      </c>
      <c r="O333" s="1179">
        <f t="shared" si="210"/>
        <v>997</v>
      </c>
      <c r="P333" s="1179">
        <f t="shared" si="210"/>
        <v>0</v>
      </c>
      <c r="Q333" s="1179">
        <f t="shared" si="210"/>
        <v>997</v>
      </c>
      <c r="R333" s="1179">
        <f t="shared" si="210"/>
        <v>997</v>
      </c>
      <c r="S333" s="1179">
        <f t="shared" si="210"/>
        <v>0</v>
      </c>
      <c r="T333" s="1175">
        <f t="shared" si="210"/>
        <v>997</v>
      </c>
      <c r="U333" s="1176">
        <f t="shared" si="210"/>
        <v>997</v>
      </c>
      <c r="V333" s="1174">
        <f t="shared" si="210"/>
        <v>0</v>
      </c>
      <c r="W333" s="1177"/>
      <c r="X333" s="479"/>
      <c r="Y333" s="1174"/>
      <c r="Z333" s="1178">
        <f t="shared" ref="Z333:AB333" si="211">SUM(Z334:Z336)</f>
        <v>997</v>
      </c>
      <c r="AA333" s="1179">
        <f t="shared" si="211"/>
        <v>997</v>
      </c>
      <c r="AB333" s="1179">
        <f t="shared" si="211"/>
        <v>0</v>
      </c>
      <c r="AC333" s="1180"/>
      <c r="AD333" s="1181"/>
      <c r="AE333" s="1182"/>
      <c r="AF333" s="987"/>
      <c r="AG333" s="556"/>
      <c r="AH333" s="556"/>
      <c r="AI333" s="556"/>
    </row>
    <row r="334" spans="1:42" s="235" customFormat="1" ht="30">
      <c r="A334" s="961" t="s">
        <v>27</v>
      </c>
      <c r="B334" s="68" t="s">
        <v>1642</v>
      </c>
      <c r="C334" s="1189" t="s">
        <v>1643</v>
      </c>
      <c r="D334" s="606" t="s">
        <v>1644</v>
      </c>
      <c r="E334" s="137">
        <v>2017</v>
      </c>
      <c r="F334" s="693" t="s">
        <v>1645</v>
      </c>
      <c r="G334" s="175">
        <v>312</v>
      </c>
      <c r="H334" s="23">
        <v>312</v>
      </c>
      <c r="I334" s="23"/>
      <c r="J334" s="23"/>
      <c r="K334" s="223">
        <v>312</v>
      </c>
      <c r="L334" s="77">
        <v>312</v>
      </c>
      <c r="M334" s="23"/>
      <c r="N334" s="1054">
        <v>287</v>
      </c>
      <c r="O334" s="1054">
        <v>287</v>
      </c>
      <c r="P334" s="1054"/>
      <c r="Q334" s="1054">
        <f>R334</f>
        <v>287</v>
      </c>
      <c r="R334" s="1054">
        <v>287</v>
      </c>
      <c r="S334" s="1054"/>
      <c r="T334" s="73">
        <f>U334</f>
        <v>287</v>
      </c>
      <c r="U334" s="316">
        <v>287</v>
      </c>
      <c r="V334" s="105"/>
      <c r="W334" s="513" t="s">
        <v>1521</v>
      </c>
      <c r="X334" s="24"/>
      <c r="Y334" s="105"/>
      <c r="Z334" s="965">
        <f>AA334</f>
        <v>287</v>
      </c>
      <c r="AA334" s="1054">
        <v>287</v>
      </c>
      <c r="AB334" s="1054"/>
      <c r="AC334" s="1102"/>
      <c r="AD334" s="657"/>
      <c r="AE334" s="990"/>
      <c r="AF334" s="811"/>
      <c r="AG334" s="551"/>
      <c r="AH334" s="551"/>
      <c r="AI334" s="551"/>
    </row>
    <row r="335" spans="1:42" s="235" customFormat="1" ht="30">
      <c r="A335" s="961" t="s">
        <v>41</v>
      </c>
      <c r="B335" s="68" t="s">
        <v>1646</v>
      </c>
      <c r="C335" s="1189" t="s">
        <v>1643</v>
      </c>
      <c r="D335" s="606" t="s">
        <v>1647</v>
      </c>
      <c r="E335" s="137">
        <v>2017</v>
      </c>
      <c r="F335" s="693" t="s">
        <v>1648</v>
      </c>
      <c r="G335" s="175">
        <v>237</v>
      </c>
      <c r="H335" s="23">
        <v>237</v>
      </c>
      <c r="I335" s="23"/>
      <c r="J335" s="23"/>
      <c r="K335" s="223">
        <v>237</v>
      </c>
      <c r="L335" s="77">
        <v>237</v>
      </c>
      <c r="M335" s="23"/>
      <c r="N335" s="1054">
        <v>213</v>
      </c>
      <c r="O335" s="1054">
        <v>213</v>
      </c>
      <c r="P335" s="1054"/>
      <c r="Q335" s="1054">
        <f>R335</f>
        <v>213</v>
      </c>
      <c r="R335" s="1054">
        <v>213</v>
      </c>
      <c r="S335" s="1054"/>
      <c r="T335" s="73">
        <f>U335</f>
        <v>213</v>
      </c>
      <c r="U335" s="316">
        <v>213</v>
      </c>
      <c r="V335" s="105"/>
      <c r="W335" s="513" t="s">
        <v>1521</v>
      </c>
      <c r="X335" s="24"/>
      <c r="Y335" s="105"/>
      <c r="Z335" s="965">
        <f>AA335</f>
        <v>213</v>
      </c>
      <c r="AA335" s="1054">
        <v>213</v>
      </c>
      <c r="AB335" s="1054"/>
      <c r="AC335" s="1102"/>
      <c r="AD335" s="657"/>
      <c r="AE335" s="990"/>
      <c r="AF335" s="811"/>
      <c r="AG335" s="551"/>
      <c r="AH335" s="551"/>
      <c r="AI335" s="551"/>
    </row>
    <row r="336" spans="1:42" s="235" customFormat="1" ht="25.5">
      <c r="A336" s="961" t="s">
        <v>58</v>
      </c>
      <c r="B336" s="68" t="s">
        <v>1649</v>
      </c>
      <c r="C336" s="1189" t="s">
        <v>1650</v>
      </c>
      <c r="D336" s="606"/>
      <c r="E336" s="137">
        <v>2017</v>
      </c>
      <c r="F336" s="693" t="s">
        <v>1651</v>
      </c>
      <c r="G336" s="175">
        <v>497</v>
      </c>
      <c r="H336" s="23">
        <v>497</v>
      </c>
      <c r="I336" s="23"/>
      <c r="J336" s="23"/>
      <c r="K336" s="223">
        <v>497</v>
      </c>
      <c r="L336" s="77">
        <v>497</v>
      </c>
      <c r="M336" s="23"/>
      <c r="N336" s="1054">
        <v>497</v>
      </c>
      <c r="O336" s="1054">
        <v>497</v>
      </c>
      <c r="P336" s="1054"/>
      <c r="Q336" s="1054">
        <f>R336</f>
        <v>497</v>
      </c>
      <c r="R336" s="1054">
        <v>497</v>
      </c>
      <c r="S336" s="1054"/>
      <c r="T336" s="73">
        <f>U336</f>
        <v>497</v>
      </c>
      <c r="U336" s="316">
        <v>497</v>
      </c>
      <c r="V336" s="105"/>
      <c r="W336" s="513" t="s">
        <v>1521</v>
      </c>
      <c r="X336" s="24"/>
      <c r="Y336" s="105"/>
      <c r="Z336" s="965">
        <f>AA336</f>
        <v>497</v>
      </c>
      <c r="AA336" s="1054">
        <v>497</v>
      </c>
      <c r="AB336" s="1054"/>
      <c r="AC336" s="1102"/>
      <c r="AD336" s="657"/>
      <c r="AE336" s="990"/>
      <c r="AF336" s="811"/>
      <c r="AG336" s="551"/>
      <c r="AH336" s="551"/>
      <c r="AI336" s="551"/>
    </row>
    <row r="337" spans="1:35" s="51" customFormat="1" ht="31.5" customHeight="1">
      <c r="A337" s="610">
        <v>9</v>
      </c>
      <c r="B337" s="968" t="s">
        <v>1721</v>
      </c>
      <c r="C337" s="928"/>
      <c r="D337" s="612"/>
      <c r="E337" s="887"/>
      <c r="F337" s="708"/>
      <c r="G337" s="613">
        <f t="shared" ref="G337:S337" si="212">SUM(G338,G340,G342,G347,G350)</f>
        <v>6541</v>
      </c>
      <c r="H337" s="613">
        <f t="shared" si="212"/>
        <v>5791</v>
      </c>
      <c r="I337" s="613">
        <f t="shared" si="212"/>
        <v>997</v>
      </c>
      <c r="J337" s="613">
        <f t="shared" si="212"/>
        <v>1920</v>
      </c>
      <c r="K337" s="613">
        <f t="shared" si="212"/>
        <v>5573</v>
      </c>
      <c r="L337" s="613">
        <f t="shared" si="212"/>
        <v>3893</v>
      </c>
      <c r="M337" s="613">
        <f t="shared" si="212"/>
        <v>0</v>
      </c>
      <c r="N337" s="1202">
        <f t="shared" si="212"/>
        <v>6591</v>
      </c>
      <c r="O337" s="1202">
        <f t="shared" si="212"/>
        <v>5791</v>
      </c>
      <c r="P337" s="1202">
        <f t="shared" si="212"/>
        <v>0</v>
      </c>
      <c r="Q337" s="1202">
        <f t="shared" si="212"/>
        <v>5650</v>
      </c>
      <c r="R337" s="1202">
        <f t="shared" si="212"/>
        <v>5650</v>
      </c>
      <c r="S337" s="1202">
        <f t="shared" si="212"/>
        <v>0</v>
      </c>
      <c r="T337" s="613">
        <f>SUM(T338,T340,T342,T347,T350)</f>
        <v>5650</v>
      </c>
      <c r="U337" s="1160">
        <f t="shared" ref="U337:V337" si="213">SUM(U338,U340,U342,U347,U350)</f>
        <v>0</v>
      </c>
      <c r="V337" s="613">
        <f t="shared" si="213"/>
        <v>5650</v>
      </c>
      <c r="W337" s="613"/>
      <c r="X337" s="613"/>
      <c r="Y337" s="613">
        <v>1</v>
      </c>
      <c r="Z337" s="613">
        <f t="shared" ref="Z337:AB337" si="214">SUM(Z338,Z340,Z342,Z347,Z350)</f>
        <v>5650</v>
      </c>
      <c r="AA337" s="613">
        <f t="shared" si="214"/>
        <v>0</v>
      </c>
      <c r="AB337" s="613">
        <f t="shared" si="214"/>
        <v>5650</v>
      </c>
      <c r="AC337" s="1117"/>
      <c r="AD337" s="660"/>
      <c r="AE337" s="990">
        <f>V337</f>
        <v>5650</v>
      </c>
      <c r="AF337" s="976"/>
      <c r="AG337" s="552"/>
      <c r="AH337" s="552"/>
      <c r="AI337" s="552"/>
    </row>
    <row r="338" spans="1:35" s="203" customFormat="1" ht="26.1" customHeight="1">
      <c r="A338" s="615"/>
      <c r="B338" s="616" t="s">
        <v>557</v>
      </c>
      <c r="C338" s="1190"/>
      <c r="D338" s="304"/>
      <c r="E338" s="888"/>
      <c r="F338" s="709"/>
      <c r="G338" s="614">
        <f t="shared" ref="G338:T338" si="215">SUM(G339:G339)</f>
        <v>896</v>
      </c>
      <c r="H338" s="614">
        <f t="shared" si="215"/>
        <v>896</v>
      </c>
      <c r="I338" s="614">
        <f t="shared" si="215"/>
        <v>0</v>
      </c>
      <c r="J338" s="614">
        <f t="shared" si="215"/>
        <v>0</v>
      </c>
      <c r="K338" s="614">
        <f t="shared" si="215"/>
        <v>896</v>
      </c>
      <c r="L338" s="614">
        <f t="shared" si="215"/>
        <v>896</v>
      </c>
      <c r="M338" s="614">
        <f t="shared" si="215"/>
        <v>0</v>
      </c>
      <c r="N338" s="1072">
        <f t="shared" si="215"/>
        <v>896</v>
      </c>
      <c r="O338" s="1072">
        <f t="shared" si="215"/>
        <v>896</v>
      </c>
      <c r="P338" s="1072">
        <f t="shared" si="215"/>
        <v>0</v>
      </c>
      <c r="Q338" s="1072">
        <f t="shared" si="215"/>
        <v>850</v>
      </c>
      <c r="R338" s="1072">
        <f t="shared" si="215"/>
        <v>850</v>
      </c>
      <c r="S338" s="1072">
        <f t="shared" si="215"/>
        <v>0</v>
      </c>
      <c r="T338" s="614">
        <f t="shared" si="215"/>
        <v>850</v>
      </c>
      <c r="U338" s="1161"/>
      <c r="V338" s="614">
        <f>SUM(V339:V339)</f>
        <v>850</v>
      </c>
      <c r="W338" s="739" t="s">
        <v>1527</v>
      </c>
      <c r="X338" s="178"/>
      <c r="Y338" s="614"/>
      <c r="Z338" s="1072">
        <f t="shared" ref="Z338" si="216">SUM(Z339:Z339)</f>
        <v>850</v>
      </c>
      <c r="AA338" s="1072"/>
      <c r="AB338" s="1072">
        <f>SUM(AB339:AB339)</f>
        <v>850</v>
      </c>
      <c r="AC338" s="1118"/>
      <c r="AD338" s="660"/>
      <c r="AE338" s="991"/>
      <c r="AF338" s="987"/>
      <c r="AG338" s="556"/>
      <c r="AH338" s="556"/>
      <c r="AI338" s="556"/>
    </row>
    <row r="339" spans="1:35" ht="32.25" customHeight="1">
      <c r="A339" s="966">
        <v>1</v>
      </c>
      <c r="B339" s="587" t="s">
        <v>558</v>
      </c>
      <c r="C339" s="1189"/>
      <c r="D339" s="233" t="s">
        <v>1652</v>
      </c>
      <c r="E339" s="312" t="s">
        <v>321</v>
      </c>
      <c r="F339" s="70" t="s">
        <v>1653</v>
      </c>
      <c r="G339" s="176">
        <v>896</v>
      </c>
      <c r="H339" s="176">
        <v>896</v>
      </c>
      <c r="I339" s="207"/>
      <c r="J339" s="207"/>
      <c r="K339" s="176">
        <v>896</v>
      </c>
      <c r="L339" s="176">
        <v>896</v>
      </c>
      <c r="M339" s="207"/>
      <c r="N339" s="1056">
        <v>896</v>
      </c>
      <c r="O339" s="1056">
        <v>896</v>
      </c>
      <c r="P339" s="1040"/>
      <c r="Q339" s="1040">
        <f>SUM(R339:S339)</f>
        <v>850</v>
      </c>
      <c r="R339" s="1040">
        <v>850</v>
      </c>
      <c r="S339" s="1074"/>
      <c r="T339" s="104">
        <f>SUM(U339:V339)</f>
        <v>850</v>
      </c>
      <c r="U339" s="590"/>
      <c r="V339" s="104">
        <v>850</v>
      </c>
      <c r="W339" s="513"/>
      <c r="X339" s="24"/>
      <c r="Y339" s="104"/>
      <c r="Z339" s="1040">
        <f>SUM(AA339:AB339)</f>
        <v>850</v>
      </c>
      <c r="AA339" s="1040"/>
      <c r="AB339" s="1040">
        <v>850</v>
      </c>
      <c r="AC339" s="1089"/>
    </row>
    <row r="340" spans="1:35" s="203" customFormat="1" ht="26.1" customHeight="1">
      <c r="A340" s="967"/>
      <c r="B340" s="616" t="s">
        <v>561</v>
      </c>
      <c r="C340" s="1190"/>
      <c r="D340" s="304"/>
      <c r="E340" s="888"/>
      <c r="F340" s="709"/>
      <c r="G340" s="614">
        <f t="shared" ref="G340:T340" si="217">G341</f>
        <v>997</v>
      </c>
      <c r="H340" s="614">
        <f t="shared" si="217"/>
        <v>997</v>
      </c>
      <c r="I340" s="614">
        <f t="shared" si="217"/>
        <v>997</v>
      </c>
      <c r="J340" s="614">
        <f t="shared" si="217"/>
        <v>997</v>
      </c>
      <c r="K340" s="614">
        <f t="shared" si="217"/>
        <v>997</v>
      </c>
      <c r="L340" s="614">
        <f t="shared" si="217"/>
        <v>997</v>
      </c>
      <c r="M340" s="614">
        <f t="shared" si="217"/>
        <v>0</v>
      </c>
      <c r="N340" s="1072">
        <f t="shared" si="217"/>
        <v>997</v>
      </c>
      <c r="O340" s="1072">
        <f t="shared" si="217"/>
        <v>997</v>
      </c>
      <c r="P340" s="1072">
        <f t="shared" si="217"/>
        <v>0</v>
      </c>
      <c r="Q340" s="1072">
        <f t="shared" si="217"/>
        <v>950</v>
      </c>
      <c r="R340" s="1072">
        <f t="shared" si="217"/>
        <v>950</v>
      </c>
      <c r="S340" s="1072">
        <f t="shared" si="217"/>
        <v>0</v>
      </c>
      <c r="T340" s="614">
        <f t="shared" si="217"/>
        <v>950</v>
      </c>
      <c r="U340" s="1161"/>
      <c r="V340" s="614">
        <f>V341</f>
        <v>950</v>
      </c>
      <c r="W340" s="739" t="s">
        <v>1525</v>
      </c>
      <c r="X340" s="178"/>
      <c r="Y340" s="614"/>
      <c r="Z340" s="1072">
        <f t="shared" ref="Z340" si="218">Z341</f>
        <v>950</v>
      </c>
      <c r="AA340" s="1072"/>
      <c r="AB340" s="1072">
        <f>AB341</f>
        <v>950</v>
      </c>
      <c r="AC340" s="1118"/>
      <c r="AD340" s="660"/>
      <c r="AE340" s="991"/>
      <c r="AF340" s="987"/>
      <c r="AG340" s="556"/>
      <c r="AH340" s="556"/>
      <c r="AI340" s="556"/>
    </row>
    <row r="341" spans="1:35" ht="32.25" customHeight="1">
      <c r="A341" s="966">
        <v>1</v>
      </c>
      <c r="B341" s="587" t="s">
        <v>562</v>
      </c>
      <c r="C341" s="1189" t="s">
        <v>85</v>
      </c>
      <c r="D341" s="233" t="s">
        <v>563</v>
      </c>
      <c r="E341" s="312" t="s">
        <v>321</v>
      </c>
      <c r="F341" s="70" t="s">
        <v>1654</v>
      </c>
      <c r="G341" s="176">
        <v>997</v>
      </c>
      <c r="H341" s="176">
        <v>997</v>
      </c>
      <c r="I341" s="176">
        <v>997</v>
      </c>
      <c r="J341" s="176">
        <v>997</v>
      </c>
      <c r="K341" s="176">
        <v>997</v>
      </c>
      <c r="L341" s="176">
        <v>997</v>
      </c>
      <c r="M341" s="207"/>
      <c r="N341" s="1056">
        <v>997</v>
      </c>
      <c r="O341" s="1056">
        <v>997</v>
      </c>
      <c r="P341" s="1040"/>
      <c r="Q341" s="1040">
        <f>SUM(R341:S341)</f>
        <v>950</v>
      </c>
      <c r="R341" s="1040">
        <v>950</v>
      </c>
      <c r="S341" s="1074"/>
      <c r="T341" s="73">
        <f>SUM(U341:V341)</f>
        <v>950</v>
      </c>
      <c r="U341" s="590"/>
      <c r="V341" s="104">
        <v>950</v>
      </c>
      <c r="W341" s="513"/>
      <c r="X341" s="24"/>
      <c r="Y341" s="104"/>
      <c r="Z341" s="965">
        <f>SUM(AA341:AB341)</f>
        <v>950</v>
      </c>
      <c r="AA341" s="1040"/>
      <c r="AB341" s="1040">
        <v>950</v>
      </c>
      <c r="AC341" s="1089"/>
    </row>
    <row r="342" spans="1:35" s="203" customFormat="1" ht="26.1" customHeight="1">
      <c r="A342" s="967"/>
      <c r="B342" s="616" t="s">
        <v>564</v>
      </c>
      <c r="C342" s="1190"/>
      <c r="D342" s="304"/>
      <c r="E342" s="888"/>
      <c r="F342" s="709"/>
      <c r="G342" s="614">
        <f t="shared" ref="G342:T342" si="219">SUM(G343:G346)</f>
        <v>1000</v>
      </c>
      <c r="H342" s="614">
        <f t="shared" si="219"/>
        <v>1000</v>
      </c>
      <c r="I342" s="614">
        <f t="shared" si="219"/>
        <v>0</v>
      </c>
      <c r="J342" s="614">
        <f t="shared" si="219"/>
        <v>0</v>
      </c>
      <c r="K342" s="614">
        <f t="shared" si="219"/>
        <v>1000</v>
      </c>
      <c r="L342" s="614">
        <f t="shared" si="219"/>
        <v>1000</v>
      </c>
      <c r="M342" s="614">
        <f t="shared" si="219"/>
        <v>0</v>
      </c>
      <c r="N342" s="1072">
        <f t="shared" si="219"/>
        <v>1000</v>
      </c>
      <c r="O342" s="1072">
        <f t="shared" si="219"/>
        <v>1000</v>
      </c>
      <c r="P342" s="1072">
        <f t="shared" si="219"/>
        <v>0</v>
      </c>
      <c r="Q342" s="1072">
        <f t="shared" si="219"/>
        <v>1000</v>
      </c>
      <c r="R342" s="1072">
        <f t="shared" si="219"/>
        <v>1000</v>
      </c>
      <c r="S342" s="1072">
        <f t="shared" si="219"/>
        <v>0</v>
      </c>
      <c r="T342" s="614">
        <f t="shared" si="219"/>
        <v>1000</v>
      </c>
      <c r="U342" s="1161"/>
      <c r="V342" s="614">
        <f>SUM(V343:V346)</f>
        <v>1000</v>
      </c>
      <c r="W342" s="739" t="s">
        <v>1516</v>
      </c>
      <c r="X342" s="178"/>
      <c r="Y342" s="614"/>
      <c r="Z342" s="1072">
        <f t="shared" ref="Z342" si="220">SUM(Z343:Z346)</f>
        <v>1000</v>
      </c>
      <c r="AA342" s="1072"/>
      <c r="AB342" s="1072">
        <f>SUM(AB343:AB346)</f>
        <v>1000</v>
      </c>
      <c r="AC342" s="1118"/>
      <c r="AD342" s="660"/>
      <c r="AE342" s="991"/>
      <c r="AF342" s="987"/>
      <c r="AG342" s="556"/>
      <c r="AH342" s="556"/>
      <c r="AI342" s="556"/>
    </row>
    <row r="343" spans="1:35" ht="26.1" customHeight="1">
      <c r="A343" s="966">
        <v>1</v>
      </c>
      <c r="B343" s="587" t="s">
        <v>565</v>
      </c>
      <c r="C343" s="1189"/>
      <c r="D343" s="233"/>
      <c r="E343" s="312" t="s">
        <v>321</v>
      </c>
      <c r="F343" s="70" t="s">
        <v>1655</v>
      </c>
      <c r="G343" s="176">
        <v>185</v>
      </c>
      <c r="H343" s="176">
        <v>185</v>
      </c>
      <c r="I343" s="207"/>
      <c r="J343" s="207"/>
      <c r="K343" s="176">
        <v>185</v>
      </c>
      <c r="L343" s="176">
        <v>185</v>
      </c>
      <c r="M343" s="207"/>
      <c r="N343" s="1056">
        <v>185</v>
      </c>
      <c r="O343" s="1056">
        <v>185</v>
      </c>
      <c r="P343" s="1040"/>
      <c r="Q343" s="1056">
        <v>185</v>
      </c>
      <c r="R343" s="1056">
        <v>185</v>
      </c>
      <c r="S343" s="1074"/>
      <c r="T343" s="176">
        <v>185</v>
      </c>
      <c r="U343" s="1147"/>
      <c r="V343" s="176">
        <v>185</v>
      </c>
      <c r="W343" s="513"/>
      <c r="X343" s="24"/>
      <c r="Y343" s="104"/>
      <c r="Z343" s="1056">
        <v>185</v>
      </c>
      <c r="AA343" s="1056"/>
      <c r="AB343" s="1056">
        <v>185</v>
      </c>
      <c r="AC343" s="1104"/>
    </row>
    <row r="344" spans="1:35" ht="46.5" customHeight="1">
      <c r="A344" s="966">
        <v>2</v>
      </c>
      <c r="B344" s="587" t="s">
        <v>566</v>
      </c>
      <c r="C344" s="1189"/>
      <c r="D344" s="233" t="s">
        <v>567</v>
      </c>
      <c r="E344" s="312" t="s">
        <v>321</v>
      </c>
      <c r="F344" s="70" t="s">
        <v>1656</v>
      </c>
      <c r="G344" s="176">
        <v>175</v>
      </c>
      <c r="H344" s="176">
        <v>175</v>
      </c>
      <c r="I344" s="207"/>
      <c r="J344" s="207"/>
      <c r="K344" s="176">
        <v>175</v>
      </c>
      <c r="L344" s="176">
        <v>175</v>
      </c>
      <c r="M344" s="207"/>
      <c r="N344" s="1056">
        <v>175</v>
      </c>
      <c r="O344" s="1056">
        <v>175</v>
      </c>
      <c r="P344" s="1040"/>
      <c r="Q344" s="1056">
        <v>175</v>
      </c>
      <c r="R344" s="1056">
        <v>175</v>
      </c>
      <c r="S344" s="1074"/>
      <c r="T344" s="176">
        <v>175</v>
      </c>
      <c r="U344" s="1147"/>
      <c r="V344" s="176">
        <v>175</v>
      </c>
      <c r="W344" s="513"/>
      <c r="X344" s="24"/>
      <c r="Y344" s="104"/>
      <c r="Z344" s="1056">
        <v>175</v>
      </c>
      <c r="AA344" s="1056"/>
      <c r="AB344" s="1056">
        <v>175</v>
      </c>
      <c r="AC344" s="1104"/>
    </row>
    <row r="345" spans="1:35" ht="36" customHeight="1">
      <c r="A345" s="966">
        <v>3</v>
      </c>
      <c r="B345" s="587" t="s">
        <v>568</v>
      </c>
      <c r="C345" s="1189"/>
      <c r="D345" s="233"/>
      <c r="E345" s="312">
        <v>2017</v>
      </c>
      <c r="F345" s="70" t="s">
        <v>1657</v>
      </c>
      <c r="G345" s="176">
        <v>246</v>
      </c>
      <c r="H345" s="176">
        <v>246</v>
      </c>
      <c r="I345" s="207"/>
      <c r="J345" s="207"/>
      <c r="K345" s="176">
        <v>246</v>
      </c>
      <c r="L345" s="176">
        <v>246</v>
      </c>
      <c r="M345" s="207"/>
      <c r="N345" s="1056">
        <v>246</v>
      </c>
      <c r="O345" s="1056">
        <v>246</v>
      </c>
      <c r="P345" s="1040"/>
      <c r="Q345" s="1056">
        <v>246</v>
      </c>
      <c r="R345" s="1056">
        <v>246</v>
      </c>
      <c r="S345" s="1074"/>
      <c r="T345" s="176">
        <v>246</v>
      </c>
      <c r="U345" s="1147"/>
      <c r="V345" s="176">
        <v>246</v>
      </c>
      <c r="W345" s="513"/>
      <c r="X345" s="24"/>
      <c r="Y345" s="104"/>
      <c r="Z345" s="1056">
        <v>246</v>
      </c>
      <c r="AA345" s="1056"/>
      <c r="AB345" s="1056">
        <v>246</v>
      </c>
      <c r="AC345" s="1104"/>
    </row>
    <row r="346" spans="1:35" ht="45" customHeight="1">
      <c r="A346" s="966">
        <v>4</v>
      </c>
      <c r="B346" s="587" t="s">
        <v>569</v>
      </c>
      <c r="C346" s="1189"/>
      <c r="D346" s="233"/>
      <c r="E346" s="312">
        <v>2017</v>
      </c>
      <c r="F346" s="70" t="s">
        <v>1658</v>
      </c>
      <c r="G346" s="176">
        <v>394</v>
      </c>
      <c r="H346" s="176">
        <v>394</v>
      </c>
      <c r="I346" s="207"/>
      <c r="J346" s="207"/>
      <c r="K346" s="176">
        <v>394</v>
      </c>
      <c r="L346" s="176">
        <v>394</v>
      </c>
      <c r="M346" s="207"/>
      <c r="N346" s="1056">
        <v>394</v>
      </c>
      <c r="O346" s="1056">
        <v>394</v>
      </c>
      <c r="P346" s="1040"/>
      <c r="Q346" s="1056">
        <v>394</v>
      </c>
      <c r="R346" s="1056">
        <v>394</v>
      </c>
      <c r="S346" s="1074"/>
      <c r="T346" s="176">
        <v>394</v>
      </c>
      <c r="U346" s="1147"/>
      <c r="V346" s="176">
        <v>394</v>
      </c>
      <c r="W346" s="513"/>
      <c r="X346" s="24"/>
      <c r="Y346" s="104"/>
      <c r="Z346" s="1056">
        <v>394</v>
      </c>
      <c r="AA346" s="1056"/>
      <c r="AB346" s="1056">
        <v>394</v>
      </c>
      <c r="AC346" s="1104"/>
    </row>
    <row r="347" spans="1:35" s="203" customFormat="1" ht="26.1" customHeight="1">
      <c r="A347" s="967"/>
      <c r="B347" s="616" t="s">
        <v>570</v>
      </c>
      <c r="C347" s="1190"/>
      <c r="D347" s="304"/>
      <c r="E347" s="888"/>
      <c r="F347" s="709"/>
      <c r="G347" s="614">
        <f t="shared" ref="G347:T347" si="221">SUM(G348:G349)</f>
        <v>1898</v>
      </c>
      <c r="H347" s="614">
        <f t="shared" si="221"/>
        <v>1898</v>
      </c>
      <c r="I347" s="614">
        <f t="shared" si="221"/>
        <v>0</v>
      </c>
      <c r="J347" s="614">
        <f t="shared" si="221"/>
        <v>923</v>
      </c>
      <c r="K347" s="614">
        <f t="shared" si="221"/>
        <v>923</v>
      </c>
      <c r="L347" s="614">
        <f t="shared" si="221"/>
        <v>0</v>
      </c>
      <c r="M347" s="614">
        <f t="shared" si="221"/>
        <v>0</v>
      </c>
      <c r="N347" s="1072">
        <f t="shared" si="221"/>
        <v>1898</v>
      </c>
      <c r="O347" s="1072">
        <f t="shared" si="221"/>
        <v>1898</v>
      </c>
      <c r="P347" s="1072">
        <f t="shared" si="221"/>
        <v>0</v>
      </c>
      <c r="Q347" s="1072">
        <f t="shared" si="221"/>
        <v>1850</v>
      </c>
      <c r="R347" s="1072">
        <f t="shared" si="221"/>
        <v>1850</v>
      </c>
      <c r="S347" s="1072">
        <f t="shared" si="221"/>
        <v>0</v>
      </c>
      <c r="T347" s="614">
        <f t="shared" si="221"/>
        <v>1850</v>
      </c>
      <c r="U347" s="1161"/>
      <c r="V347" s="614">
        <f>SUM(V348:V349)</f>
        <v>1850</v>
      </c>
      <c r="W347" s="739" t="s">
        <v>1551</v>
      </c>
      <c r="X347" s="178"/>
      <c r="Y347" s="614"/>
      <c r="Z347" s="1072">
        <f t="shared" ref="Z347" si="222">SUM(Z348:Z349)</f>
        <v>1850</v>
      </c>
      <c r="AA347" s="1072"/>
      <c r="AB347" s="1072">
        <f>SUM(AB348:AB349)</f>
        <v>1850</v>
      </c>
      <c r="AC347" s="1118"/>
      <c r="AD347" s="660"/>
      <c r="AE347" s="991"/>
      <c r="AF347" s="987"/>
      <c r="AG347" s="556"/>
      <c r="AH347" s="556"/>
      <c r="AI347" s="556"/>
    </row>
    <row r="348" spans="1:35" ht="45">
      <c r="A348" s="966">
        <v>1</v>
      </c>
      <c r="B348" s="587" t="s">
        <v>571</v>
      </c>
      <c r="C348" s="1189"/>
      <c r="D348" s="233" t="s">
        <v>572</v>
      </c>
      <c r="E348" s="312" t="s">
        <v>321</v>
      </c>
      <c r="F348" s="70" t="s">
        <v>1668</v>
      </c>
      <c r="G348" s="176">
        <v>975</v>
      </c>
      <c r="H348" s="176">
        <v>975</v>
      </c>
      <c r="I348" s="207"/>
      <c r="J348" s="207"/>
      <c r="K348" s="176"/>
      <c r="L348" s="176"/>
      <c r="M348" s="207"/>
      <c r="N348" s="1056">
        <v>975</v>
      </c>
      <c r="O348" s="1056">
        <v>975</v>
      </c>
      <c r="P348" s="1040"/>
      <c r="Q348" s="1056">
        <v>950</v>
      </c>
      <c r="R348" s="1056">
        <v>950</v>
      </c>
      <c r="S348" s="1074"/>
      <c r="T348" s="176">
        <f>SUM(U348:V348)</f>
        <v>950</v>
      </c>
      <c r="U348" s="1147"/>
      <c r="V348" s="176">
        <v>950</v>
      </c>
      <c r="W348" s="513" t="s">
        <v>1551</v>
      </c>
      <c r="X348" s="24"/>
      <c r="Y348" s="104"/>
      <c r="Z348" s="1056">
        <f>SUM(AA348:AB348)</f>
        <v>950</v>
      </c>
      <c r="AA348" s="1056"/>
      <c r="AB348" s="1056">
        <v>950</v>
      </c>
      <c r="AC348" s="1104"/>
    </row>
    <row r="349" spans="1:35" ht="45">
      <c r="A349" s="966">
        <v>2</v>
      </c>
      <c r="B349" s="587" t="s">
        <v>573</v>
      </c>
      <c r="C349" s="1189"/>
      <c r="D349" s="233" t="s">
        <v>1659</v>
      </c>
      <c r="E349" s="312" t="s">
        <v>321</v>
      </c>
      <c r="F349" s="24" t="s">
        <v>1660</v>
      </c>
      <c r="G349" s="176">
        <v>923</v>
      </c>
      <c r="H349" s="176">
        <v>923</v>
      </c>
      <c r="I349" s="207"/>
      <c r="J349" s="176">
        <v>923</v>
      </c>
      <c r="K349" s="176">
        <v>923</v>
      </c>
      <c r="L349" s="176"/>
      <c r="M349" s="207"/>
      <c r="N349" s="1056">
        <v>923</v>
      </c>
      <c r="O349" s="1056">
        <v>923</v>
      </c>
      <c r="P349" s="1040"/>
      <c r="Q349" s="1040">
        <v>900</v>
      </c>
      <c r="R349" s="1040">
        <v>900</v>
      </c>
      <c r="S349" s="1074"/>
      <c r="T349" s="104">
        <v>900</v>
      </c>
      <c r="U349" s="590"/>
      <c r="V349" s="104">
        <v>900</v>
      </c>
      <c r="W349" s="739" t="s">
        <v>1551</v>
      </c>
      <c r="X349" s="24"/>
      <c r="Y349" s="104"/>
      <c r="Z349" s="1040">
        <v>900</v>
      </c>
      <c r="AA349" s="1040"/>
      <c r="AB349" s="1040">
        <v>900</v>
      </c>
      <c r="AC349" s="1089"/>
      <c r="AD349" s="714"/>
    </row>
    <row r="350" spans="1:35" s="203" customFormat="1" ht="26.1" customHeight="1">
      <c r="A350" s="967"/>
      <c r="B350" s="616" t="s">
        <v>586</v>
      </c>
      <c r="C350" s="1190"/>
      <c r="D350" s="304"/>
      <c r="E350" s="888"/>
      <c r="F350" s="709"/>
      <c r="G350" s="614">
        <f t="shared" ref="G350:T350" si="223">SUM(G351:G351)</f>
        <v>1750</v>
      </c>
      <c r="H350" s="614">
        <f t="shared" si="223"/>
        <v>1000</v>
      </c>
      <c r="I350" s="614">
        <f t="shared" si="223"/>
        <v>0</v>
      </c>
      <c r="J350" s="614">
        <f t="shared" si="223"/>
        <v>0</v>
      </c>
      <c r="K350" s="614">
        <f t="shared" si="223"/>
        <v>1757</v>
      </c>
      <c r="L350" s="614">
        <f t="shared" si="223"/>
        <v>1000</v>
      </c>
      <c r="M350" s="614">
        <f t="shared" si="223"/>
        <v>0</v>
      </c>
      <c r="N350" s="1072">
        <f t="shared" si="223"/>
        <v>1800</v>
      </c>
      <c r="O350" s="1072">
        <f t="shared" si="223"/>
        <v>1000</v>
      </c>
      <c r="P350" s="1072">
        <f t="shared" si="223"/>
        <v>0</v>
      </c>
      <c r="Q350" s="1072">
        <f t="shared" si="223"/>
        <v>1000</v>
      </c>
      <c r="R350" s="1072">
        <f t="shared" si="223"/>
        <v>1000</v>
      </c>
      <c r="S350" s="1072">
        <f t="shared" si="223"/>
        <v>0</v>
      </c>
      <c r="T350" s="614">
        <f t="shared" si="223"/>
        <v>1000</v>
      </c>
      <c r="U350" s="1161"/>
      <c r="V350" s="614">
        <f>SUM(V351:V351)</f>
        <v>1000</v>
      </c>
      <c r="W350" s="739" t="s">
        <v>1529</v>
      </c>
      <c r="X350" s="178"/>
      <c r="Y350" s="614"/>
      <c r="Z350" s="1072">
        <f t="shared" ref="Z350" si="224">SUM(Z351:Z351)</f>
        <v>1000</v>
      </c>
      <c r="AA350" s="1072"/>
      <c r="AB350" s="1072">
        <f>SUM(AB351:AB351)</f>
        <v>1000</v>
      </c>
      <c r="AC350" s="1118"/>
      <c r="AD350" s="660"/>
      <c r="AE350" s="991"/>
      <c r="AF350" s="987"/>
      <c r="AG350" s="556"/>
      <c r="AH350" s="556"/>
      <c r="AI350" s="556"/>
    </row>
    <row r="351" spans="1:35" ht="33.75" customHeight="1">
      <c r="A351" s="966">
        <v>1</v>
      </c>
      <c r="B351" s="587" t="s">
        <v>587</v>
      </c>
      <c r="C351" s="1189"/>
      <c r="D351" s="233" t="s">
        <v>588</v>
      </c>
      <c r="E351" s="312" t="s">
        <v>321</v>
      </c>
      <c r="F351" s="70" t="s">
        <v>1663</v>
      </c>
      <c r="G351" s="176">
        <v>1750</v>
      </c>
      <c r="H351" s="176">
        <v>1000</v>
      </c>
      <c r="I351" s="207"/>
      <c r="J351" s="207"/>
      <c r="K351" s="176">
        <v>1757</v>
      </c>
      <c r="L351" s="176">
        <v>1000</v>
      </c>
      <c r="M351" s="207"/>
      <c r="N351" s="1040">
        <v>1800</v>
      </c>
      <c r="O351" s="1040">
        <v>1000</v>
      </c>
      <c r="P351" s="1040"/>
      <c r="Q351" s="1040">
        <v>1000</v>
      </c>
      <c r="R351" s="1040">
        <v>1000</v>
      </c>
      <c r="S351" s="1074"/>
      <c r="T351" s="73">
        <f>SUM(U351:V351)</f>
        <v>1000</v>
      </c>
      <c r="U351" s="590"/>
      <c r="V351" s="104">
        <v>1000</v>
      </c>
      <c r="W351" s="513"/>
      <c r="X351" s="24"/>
      <c r="Y351" s="104"/>
      <c r="Z351" s="965">
        <f>SUM(AA351:AB351)</f>
        <v>1000</v>
      </c>
      <c r="AA351" s="1040"/>
      <c r="AB351" s="1040">
        <v>1000</v>
      </c>
      <c r="AC351" s="1089"/>
    </row>
    <row r="352" spans="1:35" s="640" customFormat="1" ht="34.5" customHeight="1">
      <c r="A352" s="630" t="s">
        <v>1119</v>
      </c>
      <c r="B352" s="618" t="s">
        <v>1137</v>
      </c>
      <c r="C352" s="690"/>
      <c r="D352" s="625"/>
      <c r="E352" s="626"/>
      <c r="F352" s="690"/>
      <c r="G352" s="636">
        <f t="shared" ref="G352:V352" si="225">G353+G359</f>
        <v>749737</v>
      </c>
      <c r="H352" s="636">
        <f t="shared" si="225"/>
        <v>544896</v>
      </c>
      <c r="I352" s="636">
        <f t="shared" si="225"/>
        <v>156905</v>
      </c>
      <c r="J352" s="636">
        <f t="shared" si="225"/>
        <v>144121</v>
      </c>
      <c r="K352" s="636">
        <f t="shared" si="225"/>
        <v>698723</v>
      </c>
      <c r="L352" s="636">
        <f t="shared" si="225"/>
        <v>492830</v>
      </c>
      <c r="M352" s="636">
        <f t="shared" si="225"/>
        <v>0</v>
      </c>
      <c r="N352" s="1063">
        <f t="shared" si="225"/>
        <v>240737</v>
      </c>
      <c r="O352" s="1063">
        <f t="shared" si="225"/>
        <v>204412</v>
      </c>
      <c r="P352" s="1063">
        <f t="shared" si="225"/>
        <v>0</v>
      </c>
      <c r="Q352" s="1063">
        <f t="shared" si="225"/>
        <v>171711</v>
      </c>
      <c r="R352" s="1063">
        <f t="shared" si="225"/>
        <v>155741</v>
      </c>
      <c r="S352" s="1063">
        <f t="shared" si="225"/>
        <v>15970</v>
      </c>
      <c r="T352" s="636">
        <f t="shared" si="225"/>
        <v>145642</v>
      </c>
      <c r="U352" s="1153">
        <f t="shared" si="225"/>
        <v>113772</v>
      </c>
      <c r="V352" s="636">
        <f t="shared" si="225"/>
        <v>31870</v>
      </c>
      <c r="W352" s="690"/>
      <c r="X352" s="690"/>
      <c r="Y352" s="636">
        <f>Y353+Y359</f>
        <v>39</v>
      </c>
      <c r="Z352" s="1063">
        <f t="shared" ref="Z352:AB352" si="226">Z353+Z359</f>
        <v>140042</v>
      </c>
      <c r="AA352" s="1063">
        <f t="shared" si="226"/>
        <v>122272</v>
      </c>
      <c r="AB352" s="1063">
        <f t="shared" si="226"/>
        <v>17770</v>
      </c>
      <c r="AC352" s="1109"/>
      <c r="AD352" s="659"/>
      <c r="AE352" s="996"/>
      <c r="AF352" s="988"/>
      <c r="AG352" s="639"/>
      <c r="AH352" s="639"/>
      <c r="AI352" s="639"/>
    </row>
    <row r="353" spans="1:35" s="267" customFormat="1" ht="19.5" customHeight="1">
      <c r="A353" s="11" t="s">
        <v>525</v>
      </c>
      <c r="B353" s="65" t="s">
        <v>26</v>
      </c>
      <c r="C353" s="89"/>
      <c r="D353" s="13"/>
      <c r="E353" s="14"/>
      <c r="F353" s="89"/>
      <c r="G353" s="15">
        <f t="shared" ref="G353:V353" si="227">SUM(G354:G358)</f>
        <v>25158</v>
      </c>
      <c r="H353" s="15">
        <f t="shared" si="227"/>
        <v>25158</v>
      </c>
      <c r="I353" s="15">
        <f t="shared" si="227"/>
        <v>0</v>
      </c>
      <c r="J353" s="15">
        <f t="shared" si="227"/>
        <v>0</v>
      </c>
      <c r="K353" s="15">
        <f t="shared" si="227"/>
        <v>25158</v>
      </c>
      <c r="L353" s="15">
        <f t="shared" si="227"/>
        <v>25158</v>
      </c>
      <c r="M353" s="15">
        <f t="shared" si="227"/>
        <v>0</v>
      </c>
      <c r="N353" s="1053">
        <f t="shared" si="227"/>
        <v>550</v>
      </c>
      <c r="O353" s="1053">
        <f t="shared" si="227"/>
        <v>550</v>
      </c>
      <c r="P353" s="1053">
        <f t="shared" si="227"/>
        <v>0</v>
      </c>
      <c r="Q353" s="1053">
        <f t="shared" si="227"/>
        <v>550</v>
      </c>
      <c r="R353" s="1053">
        <f t="shared" si="227"/>
        <v>550</v>
      </c>
      <c r="S353" s="1053">
        <f t="shared" si="227"/>
        <v>0</v>
      </c>
      <c r="T353" s="15">
        <f t="shared" si="227"/>
        <v>550</v>
      </c>
      <c r="U353" s="1145">
        <f t="shared" si="227"/>
        <v>550</v>
      </c>
      <c r="V353" s="15">
        <f t="shared" si="227"/>
        <v>0</v>
      </c>
      <c r="W353" s="89"/>
      <c r="X353" s="89"/>
      <c r="Y353" s="15">
        <f>SUM(Y354:Y358)</f>
        <v>5</v>
      </c>
      <c r="Z353" s="1053">
        <f t="shared" ref="Z353:AB353" si="228">SUM(Z354:Z358)</f>
        <v>550</v>
      </c>
      <c r="AA353" s="1053">
        <f t="shared" si="228"/>
        <v>550</v>
      </c>
      <c r="AB353" s="1053">
        <f t="shared" si="228"/>
        <v>0</v>
      </c>
      <c r="AC353" s="1101"/>
      <c r="AD353" s="660"/>
      <c r="AE353" s="996"/>
      <c r="AF353" s="988"/>
      <c r="AG353" s="558"/>
      <c r="AH353" s="558"/>
      <c r="AI353" s="558"/>
    </row>
    <row r="354" spans="1:35" s="25" customFormat="1" ht="30">
      <c r="A354" s="17" t="s">
        <v>27</v>
      </c>
      <c r="B354" s="291" t="s">
        <v>28</v>
      </c>
      <c r="C354" s="710" t="s">
        <v>29</v>
      </c>
      <c r="D354" s="19"/>
      <c r="E354" s="20" t="s">
        <v>30</v>
      </c>
      <c r="F354" s="80"/>
      <c r="G354" s="21">
        <v>20000</v>
      </c>
      <c r="H354" s="21">
        <v>20000</v>
      </c>
      <c r="I354" s="22">
        <v>0</v>
      </c>
      <c r="J354" s="23">
        <v>0</v>
      </c>
      <c r="K354" s="21">
        <v>20000</v>
      </c>
      <c r="L354" s="21">
        <v>20000</v>
      </c>
      <c r="M354" s="23"/>
      <c r="N354" s="1042">
        <v>100</v>
      </c>
      <c r="O354" s="1061">
        <v>100</v>
      </c>
      <c r="P354" s="1068"/>
      <c r="Q354" s="1042">
        <f>SUM(R354:S354)</f>
        <v>100</v>
      </c>
      <c r="R354" s="1061">
        <v>100</v>
      </c>
      <c r="S354" s="1061"/>
      <c r="T354" s="73">
        <f>SUM(U354:V354)</f>
        <v>100</v>
      </c>
      <c r="U354" s="1151">
        <v>100</v>
      </c>
      <c r="V354" s="22"/>
      <c r="W354" s="691" t="s">
        <v>1542</v>
      </c>
      <c r="X354" s="24"/>
      <c r="Y354" s="22">
        <v>1</v>
      </c>
      <c r="Z354" s="965">
        <f>SUM(AA354:AB354)</f>
        <v>100</v>
      </c>
      <c r="AA354" s="1061">
        <v>100</v>
      </c>
      <c r="AB354" s="1061"/>
      <c r="AC354" s="1107"/>
      <c r="AD354" s="657"/>
      <c r="AE354" s="996"/>
      <c r="AF354" s="978"/>
      <c r="AG354" s="553"/>
      <c r="AH354" s="553"/>
      <c r="AI354" s="553"/>
    </row>
    <row r="355" spans="1:35" s="25" customFormat="1" ht="25.5">
      <c r="A355" s="17" t="s">
        <v>41</v>
      </c>
      <c r="B355" s="291" t="s">
        <v>156</v>
      </c>
      <c r="C355" s="710" t="s">
        <v>29</v>
      </c>
      <c r="D355" s="19" t="s">
        <v>157</v>
      </c>
      <c r="E355" s="20" t="s">
        <v>154</v>
      </c>
      <c r="F355" s="80" t="s">
        <v>158</v>
      </c>
      <c r="G355" s="21">
        <v>5158</v>
      </c>
      <c r="H355" s="22">
        <v>5158</v>
      </c>
      <c r="I355" s="42">
        <v>0</v>
      </c>
      <c r="J355" s="42">
        <v>0</v>
      </c>
      <c r="K355" s="22">
        <v>5158</v>
      </c>
      <c r="L355" s="22">
        <v>5158</v>
      </c>
      <c r="M355" s="23"/>
      <c r="N355" s="1042">
        <f>+O355</f>
        <v>150</v>
      </c>
      <c r="O355" s="1061">
        <v>150</v>
      </c>
      <c r="P355" s="1068"/>
      <c r="Q355" s="1042">
        <f>SUM(R355:S355)</f>
        <v>150</v>
      </c>
      <c r="R355" s="1061">
        <v>150</v>
      </c>
      <c r="S355" s="1061"/>
      <c r="T355" s="73">
        <f>SUM(U355:V355)</f>
        <v>150</v>
      </c>
      <c r="U355" s="1151">
        <v>150</v>
      </c>
      <c r="V355" s="22"/>
      <c r="W355" s="691" t="s">
        <v>1519</v>
      </c>
      <c r="X355" s="24"/>
      <c r="Y355" s="22">
        <v>1</v>
      </c>
      <c r="Z355" s="965">
        <f>SUM(AA355:AB355)</f>
        <v>150</v>
      </c>
      <c r="AA355" s="1061">
        <v>150</v>
      </c>
      <c r="AB355" s="1061"/>
      <c r="AC355" s="1107"/>
      <c r="AD355" s="657"/>
      <c r="AE355" s="996"/>
      <c r="AF355" s="978"/>
      <c r="AG355" s="553"/>
      <c r="AH355" s="553"/>
      <c r="AI355" s="553"/>
    </row>
    <row r="356" spans="1:35" s="649" customFormat="1" ht="25.5">
      <c r="A356" s="17" t="s">
        <v>58</v>
      </c>
      <c r="B356" s="291" t="s">
        <v>547</v>
      </c>
      <c r="C356" s="710" t="s">
        <v>85</v>
      </c>
      <c r="D356" s="19"/>
      <c r="E356" s="20">
        <v>2018</v>
      </c>
      <c r="F356" s="80"/>
      <c r="G356" s="21"/>
      <c r="H356" s="21"/>
      <c r="I356" s="22"/>
      <c r="J356" s="23"/>
      <c r="K356" s="21"/>
      <c r="L356" s="21"/>
      <c r="M356" s="23"/>
      <c r="N356" s="1042">
        <v>100</v>
      </c>
      <c r="O356" s="1061">
        <v>100</v>
      </c>
      <c r="P356" s="1068"/>
      <c r="Q356" s="1042">
        <v>100</v>
      </c>
      <c r="R356" s="1061">
        <v>100</v>
      </c>
      <c r="S356" s="1061"/>
      <c r="T356" s="73">
        <f>SUM(U356:V356)</f>
        <v>100</v>
      </c>
      <c r="U356" s="1151">
        <v>100</v>
      </c>
      <c r="V356" s="22"/>
      <c r="W356" s="691" t="s">
        <v>1586</v>
      </c>
      <c r="X356" s="24"/>
      <c r="Y356" s="22">
        <v>1</v>
      </c>
      <c r="Z356" s="965">
        <f>SUM(AA356:AB356)</f>
        <v>100</v>
      </c>
      <c r="AA356" s="1061">
        <v>100</v>
      </c>
      <c r="AB356" s="1061"/>
      <c r="AC356" s="1107"/>
      <c r="AD356" s="657"/>
      <c r="AE356" s="996"/>
      <c r="AF356" s="989"/>
      <c r="AG356" s="648"/>
      <c r="AH356" s="648"/>
      <c r="AI356" s="648"/>
    </row>
    <row r="357" spans="1:35" s="649" customFormat="1" ht="25.5">
      <c r="A357" s="17" t="s">
        <v>64</v>
      </c>
      <c r="B357" s="291" t="s">
        <v>548</v>
      </c>
      <c r="C357" s="710" t="s">
        <v>260</v>
      </c>
      <c r="D357" s="19"/>
      <c r="E357" s="20" t="s">
        <v>549</v>
      </c>
      <c r="F357" s="80"/>
      <c r="G357" s="21"/>
      <c r="H357" s="21"/>
      <c r="I357" s="22"/>
      <c r="J357" s="23"/>
      <c r="K357" s="21"/>
      <c r="L357" s="21"/>
      <c r="M357" s="23"/>
      <c r="N357" s="1042">
        <v>100</v>
      </c>
      <c r="O357" s="1061">
        <v>100</v>
      </c>
      <c r="P357" s="1068"/>
      <c r="Q357" s="1042">
        <v>100</v>
      </c>
      <c r="R357" s="1061">
        <v>100</v>
      </c>
      <c r="S357" s="1061"/>
      <c r="T357" s="73">
        <f>SUM(U357:V357)</f>
        <v>100</v>
      </c>
      <c r="U357" s="1151">
        <v>100</v>
      </c>
      <c r="V357" s="22"/>
      <c r="W357" s="691" t="s">
        <v>1586</v>
      </c>
      <c r="X357" s="24"/>
      <c r="Y357" s="22">
        <v>1</v>
      </c>
      <c r="Z357" s="965">
        <f>SUM(AA357:AB357)</f>
        <v>100</v>
      </c>
      <c r="AA357" s="1061">
        <v>100</v>
      </c>
      <c r="AB357" s="1061"/>
      <c r="AC357" s="1107"/>
      <c r="AD357" s="657"/>
      <c r="AE357" s="996"/>
      <c r="AF357" s="989"/>
      <c r="AG357" s="648"/>
      <c r="AH357" s="648"/>
      <c r="AI357" s="648"/>
    </row>
    <row r="358" spans="1:35" s="649" customFormat="1" ht="25.5">
      <c r="A358" s="17" t="s">
        <v>69</v>
      </c>
      <c r="B358" s="291" t="s">
        <v>550</v>
      </c>
      <c r="C358" s="710" t="s">
        <v>71</v>
      </c>
      <c r="D358" s="19"/>
      <c r="E358" s="20" t="s">
        <v>549</v>
      </c>
      <c r="F358" s="80"/>
      <c r="G358" s="21"/>
      <c r="H358" s="21"/>
      <c r="I358" s="22"/>
      <c r="J358" s="23"/>
      <c r="K358" s="21"/>
      <c r="L358" s="21"/>
      <c r="M358" s="23"/>
      <c r="N358" s="1042">
        <v>100</v>
      </c>
      <c r="O358" s="1061">
        <v>100</v>
      </c>
      <c r="P358" s="1068"/>
      <c r="Q358" s="1042">
        <v>100</v>
      </c>
      <c r="R358" s="1061">
        <v>100</v>
      </c>
      <c r="S358" s="1061"/>
      <c r="T358" s="73">
        <f>SUM(U358:V358)</f>
        <v>100</v>
      </c>
      <c r="U358" s="1151">
        <v>100</v>
      </c>
      <c r="V358" s="22"/>
      <c r="W358" s="691" t="s">
        <v>1586</v>
      </c>
      <c r="X358" s="24"/>
      <c r="Y358" s="22">
        <v>1</v>
      </c>
      <c r="Z358" s="965">
        <f>SUM(AA358:AB358)</f>
        <v>100</v>
      </c>
      <c r="AA358" s="1061">
        <v>100</v>
      </c>
      <c r="AB358" s="1061"/>
      <c r="AC358" s="1107"/>
      <c r="AD358" s="657"/>
      <c r="AE358" s="996"/>
      <c r="AF358" s="989"/>
      <c r="AG358" s="648"/>
      <c r="AH358" s="648"/>
      <c r="AI358" s="648"/>
    </row>
    <row r="359" spans="1:35" s="267" customFormat="1" ht="19.5" customHeight="1">
      <c r="A359" s="11" t="s">
        <v>499</v>
      </c>
      <c r="B359" s="586" t="s">
        <v>31</v>
      </c>
      <c r="C359" s="89"/>
      <c r="D359" s="13"/>
      <c r="E359" s="14"/>
      <c r="F359" s="89"/>
      <c r="G359" s="15">
        <f t="shared" ref="G359:V359" si="229">SUM(G360,G369,G379)</f>
        <v>724579</v>
      </c>
      <c r="H359" s="15">
        <f t="shared" si="229"/>
        <v>519738</v>
      </c>
      <c r="I359" s="15">
        <f t="shared" si="229"/>
        <v>156905</v>
      </c>
      <c r="J359" s="15">
        <f t="shared" si="229"/>
        <v>144121</v>
      </c>
      <c r="K359" s="15">
        <f t="shared" si="229"/>
        <v>673565</v>
      </c>
      <c r="L359" s="15">
        <f t="shared" si="229"/>
        <v>467672</v>
      </c>
      <c r="M359" s="15">
        <f t="shared" si="229"/>
        <v>0</v>
      </c>
      <c r="N359" s="1053">
        <f t="shared" si="229"/>
        <v>240187</v>
      </c>
      <c r="O359" s="1053">
        <f t="shared" si="229"/>
        <v>203862</v>
      </c>
      <c r="P359" s="1053">
        <f t="shared" si="229"/>
        <v>0</v>
      </c>
      <c r="Q359" s="1053">
        <f t="shared" si="229"/>
        <v>171161</v>
      </c>
      <c r="R359" s="1053">
        <f t="shared" si="229"/>
        <v>155191</v>
      </c>
      <c r="S359" s="1053">
        <f t="shared" si="229"/>
        <v>15970</v>
      </c>
      <c r="T359" s="15">
        <f t="shared" si="229"/>
        <v>145092</v>
      </c>
      <c r="U359" s="1145">
        <f t="shared" si="229"/>
        <v>113222</v>
      </c>
      <c r="V359" s="15">
        <f t="shared" si="229"/>
        <v>31870</v>
      </c>
      <c r="W359" s="89"/>
      <c r="X359" s="89"/>
      <c r="Y359" s="15">
        <f>SUM(Y360,Y369,Y379)</f>
        <v>34</v>
      </c>
      <c r="Z359" s="1053">
        <f t="shared" ref="Z359:AB359" si="230">SUM(Z360,Z369,Z379)</f>
        <v>139492</v>
      </c>
      <c r="AA359" s="1053">
        <f t="shared" si="230"/>
        <v>121722</v>
      </c>
      <c r="AB359" s="1053">
        <f t="shared" si="230"/>
        <v>17770</v>
      </c>
      <c r="AC359" s="1101"/>
      <c r="AD359" s="660"/>
      <c r="AE359" s="996"/>
      <c r="AF359" s="988"/>
      <c r="AG359" s="558"/>
      <c r="AH359" s="558"/>
      <c r="AI359" s="558"/>
    </row>
    <row r="360" spans="1:35" s="16" customFormat="1" ht="15.75">
      <c r="A360" s="11" t="s">
        <v>78</v>
      </c>
      <c r="B360" s="65" t="s">
        <v>79</v>
      </c>
      <c r="C360" s="89"/>
      <c r="D360" s="13"/>
      <c r="E360" s="14"/>
      <c r="F360" s="89"/>
      <c r="G360" s="33">
        <f t="shared" ref="G360:V360" si="231">SUM(G361:G368)</f>
        <v>224117</v>
      </c>
      <c r="H360" s="33">
        <f t="shared" si="231"/>
        <v>180503</v>
      </c>
      <c r="I360" s="33">
        <f t="shared" si="231"/>
        <v>120141</v>
      </c>
      <c r="J360" s="33">
        <f t="shared" si="231"/>
        <v>118441</v>
      </c>
      <c r="K360" s="33">
        <f t="shared" si="231"/>
        <v>175984</v>
      </c>
      <c r="L360" s="33">
        <f t="shared" si="231"/>
        <v>132370</v>
      </c>
      <c r="M360" s="33">
        <f t="shared" si="231"/>
        <v>0</v>
      </c>
      <c r="N360" s="1050">
        <f t="shared" si="231"/>
        <v>74138</v>
      </c>
      <c r="O360" s="1050">
        <f t="shared" si="231"/>
        <v>57854</v>
      </c>
      <c r="P360" s="1050">
        <f t="shared" si="231"/>
        <v>0</v>
      </c>
      <c r="Q360" s="1050">
        <f t="shared" si="231"/>
        <v>54033</v>
      </c>
      <c r="R360" s="1050">
        <f t="shared" si="231"/>
        <v>54033</v>
      </c>
      <c r="S360" s="1050">
        <f t="shared" si="231"/>
        <v>0</v>
      </c>
      <c r="T360" s="33">
        <f t="shared" si="231"/>
        <v>45800</v>
      </c>
      <c r="U360" s="1141">
        <f t="shared" si="231"/>
        <v>39800</v>
      </c>
      <c r="V360" s="33">
        <f t="shared" si="231"/>
        <v>6000</v>
      </c>
      <c r="W360" s="699"/>
      <c r="X360" s="699"/>
      <c r="Y360" s="15">
        <f>SUM(Y361:Y368)</f>
        <v>8</v>
      </c>
      <c r="Z360" s="1050">
        <f t="shared" ref="Z360:AB360" si="232">SUM(Z361:Z368)</f>
        <v>45800</v>
      </c>
      <c r="AA360" s="1050">
        <f t="shared" si="232"/>
        <v>43800</v>
      </c>
      <c r="AB360" s="1050">
        <f t="shared" si="232"/>
        <v>2000</v>
      </c>
      <c r="AC360" s="1098"/>
      <c r="AD360" s="660"/>
      <c r="AE360" s="996"/>
      <c r="AF360" s="988"/>
      <c r="AG360" s="558"/>
      <c r="AH360" s="558"/>
      <c r="AI360" s="558"/>
    </row>
    <row r="361" spans="1:35" s="25" customFormat="1" ht="25.5">
      <c r="A361" s="17" t="s">
        <v>27</v>
      </c>
      <c r="B361" s="292" t="s">
        <v>36</v>
      </c>
      <c r="C361" s="710" t="s">
        <v>29</v>
      </c>
      <c r="D361" s="18" t="s">
        <v>37</v>
      </c>
      <c r="E361" s="40" t="s">
        <v>242</v>
      </c>
      <c r="F361" s="711" t="s">
        <v>39</v>
      </c>
      <c r="G361" s="42">
        <v>95590</v>
      </c>
      <c r="H361" s="42">
        <v>95590</v>
      </c>
      <c r="I361" s="38">
        <v>85629</v>
      </c>
      <c r="J361" s="38">
        <v>85629</v>
      </c>
      <c r="K361" s="22">
        <v>49961</v>
      </c>
      <c r="L361" s="22">
        <v>49961</v>
      </c>
      <c r="M361" s="42"/>
      <c r="N361" s="1073">
        <f>O361</f>
        <v>2545</v>
      </c>
      <c r="O361" s="1073">
        <v>2545</v>
      </c>
      <c r="P361" s="1073"/>
      <c r="Q361" s="1042">
        <f>R361</f>
        <v>2545</v>
      </c>
      <c r="R361" s="1073">
        <v>2545</v>
      </c>
      <c r="S361" s="1073"/>
      <c r="T361" s="73">
        <f>U361</f>
        <v>2500</v>
      </c>
      <c r="U361" s="1162">
        <v>2500</v>
      </c>
      <c r="V361" s="42"/>
      <c r="W361" s="710" t="s">
        <v>1542</v>
      </c>
      <c r="X361" s="24"/>
      <c r="Y361" s="42">
        <v>1</v>
      </c>
      <c r="Z361" s="965">
        <f>AA361</f>
        <v>2500</v>
      </c>
      <c r="AA361" s="1073">
        <v>2500</v>
      </c>
      <c r="AB361" s="1073"/>
      <c r="AC361" s="1119"/>
      <c r="AD361" s="657"/>
      <c r="AE361" s="996"/>
      <c r="AF361" s="978"/>
      <c r="AG361" s="553"/>
      <c r="AH361" s="553"/>
      <c r="AI361" s="553"/>
    </row>
    <row r="362" spans="1:35" s="25" customFormat="1" ht="30">
      <c r="A362" s="17" t="s">
        <v>41</v>
      </c>
      <c r="B362" s="292" t="s">
        <v>99</v>
      </c>
      <c r="C362" s="710" t="s">
        <v>29</v>
      </c>
      <c r="D362" s="18" t="s">
        <v>100</v>
      </c>
      <c r="E362" s="40" t="s">
        <v>94</v>
      </c>
      <c r="F362" s="711" t="s">
        <v>101</v>
      </c>
      <c r="G362" s="42">
        <v>6750</v>
      </c>
      <c r="H362" s="42">
        <v>6750</v>
      </c>
      <c r="I362" s="38">
        <v>2922</v>
      </c>
      <c r="J362" s="38">
        <v>2922</v>
      </c>
      <c r="K362" s="22">
        <v>6388</v>
      </c>
      <c r="L362" s="22">
        <v>6388</v>
      </c>
      <c r="M362" s="42"/>
      <c r="N362" s="1073">
        <f>+O362</f>
        <v>3828</v>
      </c>
      <c r="O362" s="1073">
        <v>3828</v>
      </c>
      <c r="P362" s="1073"/>
      <c r="Q362" s="1042">
        <f t="shared" ref="Q362:Q368" si="233">SUM(R362:S362)</f>
        <v>3828</v>
      </c>
      <c r="R362" s="1073">
        <v>3828</v>
      </c>
      <c r="S362" s="1073"/>
      <c r="T362" s="73">
        <f t="shared" ref="T362:T368" si="234">SUM(U362:V362)</f>
        <v>3800</v>
      </c>
      <c r="U362" s="1162">
        <v>3800</v>
      </c>
      <c r="V362" s="42"/>
      <c r="W362" s="710" t="s">
        <v>1542</v>
      </c>
      <c r="X362" s="24"/>
      <c r="Y362" s="42">
        <v>1</v>
      </c>
      <c r="Z362" s="965">
        <f t="shared" ref="Z362:Z368" si="235">SUM(AA362:AB362)</f>
        <v>3800</v>
      </c>
      <c r="AA362" s="1073">
        <v>3800</v>
      </c>
      <c r="AB362" s="1073"/>
      <c r="AC362" s="1119"/>
      <c r="AD362" s="657"/>
      <c r="AE362" s="996"/>
      <c r="AF362" s="978"/>
      <c r="AG362" s="553"/>
      <c r="AH362" s="553"/>
      <c r="AI362" s="553"/>
    </row>
    <row r="363" spans="1:35" s="25" customFormat="1" ht="25.5">
      <c r="A363" s="17" t="s">
        <v>58</v>
      </c>
      <c r="B363" s="292" t="s">
        <v>102</v>
      </c>
      <c r="C363" s="80" t="s">
        <v>29</v>
      </c>
      <c r="D363" s="32" t="s">
        <v>103</v>
      </c>
      <c r="E363" s="20" t="s">
        <v>30</v>
      </c>
      <c r="F363" s="80" t="s">
        <v>104</v>
      </c>
      <c r="G363" s="21">
        <v>21991</v>
      </c>
      <c r="H363" s="21">
        <v>21991</v>
      </c>
      <c r="I363" s="38">
        <v>7143</v>
      </c>
      <c r="J363" s="38">
        <v>7143</v>
      </c>
      <c r="K363" s="22">
        <v>20948</v>
      </c>
      <c r="L363" s="22">
        <v>20948</v>
      </c>
      <c r="M363" s="22"/>
      <c r="N363" s="1061">
        <v>14848</v>
      </c>
      <c r="O363" s="1061">
        <v>14848</v>
      </c>
      <c r="P363" s="1061"/>
      <c r="Q363" s="1042">
        <f t="shared" si="233"/>
        <v>13935</v>
      </c>
      <c r="R363" s="1061">
        <v>13935</v>
      </c>
      <c r="S363" s="1061"/>
      <c r="T363" s="73">
        <f t="shared" si="234"/>
        <v>10000</v>
      </c>
      <c r="U363" s="1151">
        <v>10000</v>
      </c>
      <c r="V363" s="22"/>
      <c r="W363" s="691" t="s">
        <v>1536</v>
      </c>
      <c r="X363" s="24"/>
      <c r="Y363" s="22">
        <v>1</v>
      </c>
      <c r="Z363" s="965">
        <f t="shared" si="235"/>
        <v>10000</v>
      </c>
      <c r="AA363" s="1061">
        <v>10000</v>
      </c>
      <c r="AB363" s="1061"/>
      <c r="AC363" s="1107"/>
      <c r="AD363" s="657"/>
      <c r="AE363" s="996"/>
      <c r="AF363" s="978"/>
      <c r="AG363" s="553"/>
      <c r="AH363" s="553"/>
      <c r="AI363" s="553"/>
    </row>
    <row r="364" spans="1:35" s="25" customFormat="1" ht="38.25">
      <c r="A364" s="17" t="s">
        <v>64</v>
      </c>
      <c r="B364" s="292" t="s">
        <v>105</v>
      </c>
      <c r="C364" s="710" t="s">
        <v>29</v>
      </c>
      <c r="D364" s="18" t="s">
        <v>106</v>
      </c>
      <c r="E364" s="40" t="s">
        <v>94</v>
      </c>
      <c r="F364" s="711" t="s">
        <v>107</v>
      </c>
      <c r="G364" s="42">
        <v>30091</v>
      </c>
      <c r="H364" s="42">
        <v>30091</v>
      </c>
      <c r="I364" s="38">
        <v>7399</v>
      </c>
      <c r="J364" s="38">
        <v>7399</v>
      </c>
      <c r="K364" s="22">
        <v>29592</v>
      </c>
      <c r="L364" s="22">
        <v>29592</v>
      </c>
      <c r="M364" s="42"/>
      <c r="N364" s="1073">
        <v>22704</v>
      </c>
      <c r="O364" s="1073">
        <v>22704</v>
      </c>
      <c r="P364" s="1073"/>
      <c r="Q364" s="1042">
        <f t="shared" si="233"/>
        <v>22692</v>
      </c>
      <c r="R364" s="1073">
        <v>22692</v>
      </c>
      <c r="S364" s="1073"/>
      <c r="T364" s="73">
        <f t="shared" si="234"/>
        <v>20000</v>
      </c>
      <c r="U364" s="1162">
        <v>20000</v>
      </c>
      <c r="V364" s="42"/>
      <c r="W364" s="710" t="s">
        <v>1544</v>
      </c>
      <c r="X364" s="24"/>
      <c r="Y364" s="42">
        <v>1</v>
      </c>
      <c r="Z364" s="965">
        <f t="shared" si="235"/>
        <v>20000</v>
      </c>
      <c r="AA364" s="1073">
        <v>20000</v>
      </c>
      <c r="AB364" s="1073"/>
      <c r="AC364" s="1119"/>
      <c r="AD364" s="657"/>
      <c r="AE364" s="996"/>
      <c r="AF364" s="978"/>
      <c r="AG364" s="553"/>
      <c r="AH364" s="553"/>
      <c r="AI364" s="553"/>
    </row>
    <row r="365" spans="1:35" s="25" customFormat="1" ht="75">
      <c r="A365" s="17" t="s">
        <v>69</v>
      </c>
      <c r="B365" s="166" t="s">
        <v>84</v>
      </c>
      <c r="C365" s="1191" t="s">
        <v>85</v>
      </c>
      <c r="D365" s="18" t="s">
        <v>86</v>
      </c>
      <c r="E365" s="37" t="s">
        <v>87</v>
      </c>
      <c r="F365" s="710" t="s">
        <v>88</v>
      </c>
      <c r="G365" s="38">
        <v>36842</v>
      </c>
      <c r="H365" s="38">
        <v>11626</v>
      </c>
      <c r="I365" s="38">
        <v>9300</v>
      </c>
      <c r="J365" s="38">
        <v>7600</v>
      </c>
      <c r="K365" s="22">
        <v>36242</v>
      </c>
      <c r="L365" s="22">
        <v>11026</v>
      </c>
      <c r="M365" s="23"/>
      <c r="N365" s="1042">
        <v>8326</v>
      </c>
      <c r="O365" s="1042">
        <v>4326</v>
      </c>
      <c r="P365" s="1068"/>
      <c r="Q365" s="1042">
        <f t="shared" si="233"/>
        <v>4326</v>
      </c>
      <c r="R365" s="1042">
        <v>4326</v>
      </c>
      <c r="S365" s="1042"/>
      <c r="T365" s="73">
        <f t="shared" si="234"/>
        <v>4000</v>
      </c>
      <c r="U365" s="1138"/>
      <c r="V365" s="1138">
        <v>4000</v>
      </c>
      <c r="W365" s="691" t="s">
        <v>1525</v>
      </c>
      <c r="X365" s="24"/>
      <c r="Y365" s="21">
        <v>1</v>
      </c>
      <c r="Z365" s="965">
        <f t="shared" si="235"/>
        <v>4000</v>
      </c>
      <c r="AA365" s="1042">
        <v>4000</v>
      </c>
      <c r="AB365" s="1042"/>
      <c r="AC365" s="1091"/>
      <c r="AD365" s="657"/>
      <c r="AE365" s="996">
        <f>V365</f>
        <v>4000</v>
      </c>
      <c r="AF365" s="978"/>
      <c r="AG365" s="553"/>
      <c r="AH365" s="553"/>
      <c r="AI365" s="553"/>
    </row>
    <row r="366" spans="1:35" s="25" customFormat="1" ht="38.25">
      <c r="A366" s="17" t="s">
        <v>74</v>
      </c>
      <c r="B366" s="291" t="s">
        <v>92</v>
      </c>
      <c r="C366" s="710" t="s">
        <v>60</v>
      </c>
      <c r="D366" s="18" t="s">
        <v>93</v>
      </c>
      <c r="E366" s="20" t="s">
        <v>94</v>
      </c>
      <c r="F366" s="691" t="s">
        <v>95</v>
      </c>
      <c r="G366" s="22">
        <v>10443</v>
      </c>
      <c r="H366" s="22">
        <v>4987</v>
      </c>
      <c r="I366" s="38">
        <v>2848</v>
      </c>
      <c r="J366" s="38">
        <v>2848</v>
      </c>
      <c r="K366" s="22">
        <v>10443</v>
      </c>
      <c r="L366" s="22">
        <v>4987</v>
      </c>
      <c r="M366" s="23"/>
      <c r="N366" s="1061">
        <v>6826</v>
      </c>
      <c r="O366" s="1061">
        <v>2130</v>
      </c>
      <c r="P366" s="1068"/>
      <c r="Q366" s="1042">
        <f t="shared" si="233"/>
        <v>2139</v>
      </c>
      <c r="R366" s="1061">
        <v>2139</v>
      </c>
      <c r="S366" s="1061"/>
      <c r="T366" s="73">
        <f t="shared" si="234"/>
        <v>2000</v>
      </c>
      <c r="U366" s="1151">
        <v>2000</v>
      </c>
      <c r="V366" s="22"/>
      <c r="W366" s="513" t="s">
        <v>1517</v>
      </c>
      <c r="X366" s="24"/>
      <c r="Y366" s="22">
        <v>1</v>
      </c>
      <c r="Z366" s="965">
        <f t="shared" si="235"/>
        <v>2000</v>
      </c>
      <c r="AA366" s="1061">
        <v>2000</v>
      </c>
      <c r="AB366" s="1061"/>
      <c r="AC366" s="1107"/>
      <c r="AD366" s="657"/>
      <c r="AE366" s="996"/>
      <c r="AF366" s="978"/>
      <c r="AG366" s="553"/>
      <c r="AH366" s="553"/>
      <c r="AI366" s="553"/>
    </row>
    <row r="367" spans="1:35" s="25" customFormat="1" ht="75">
      <c r="A367" s="17" t="s">
        <v>141</v>
      </c>
      <c r="B367" s="292" t="s">
        <v>96</v>
      </c>
      <c r="C367" s="80" t="s">
        <v>5</v>
      </c>
      <c r="D367" s="32" t="s">
        <v>97</v>
      </c>
      <c r="E367" s="20" t="s">
        <v>30</v>
      </c>
      <c r="F367" s="80" t="s">
        <v>98</v>
      </c>
      <c r="G367" s="21">
        <v>11605</v>
      </c>
      <c r="H367" s="21">
        <v>3621</v>
      </c>
      <c r="I367" s="22">
        <v>1900</v>
      </c>
      <c r="J367" s="22">
        <v>1900</v>
      </c>
      <c r="K367" s="22">
        <v>11605</v>
      </c>
      <c r="L367" s="22">
        <v>3621</v>
      </c>
      <c r="M367" s="22"/>
      <c r="N367" s="1061">
        <v>9129</v>
      </c>
      <c r="O367" s="1061">
        <v>1721</v>
      </c>
      <c r="P367" s="1061"/>
      <c r="Q367" s="1042">
        <f t="shared" si="233"/>
        <v>1721</v>
      </c>
      <c r="R367" s="1061">
        <v>1721</v>
      </c>
      <c r="S367" s="1061"/>
      <c r="T367" s="73">
        <f t="shared" si="234"/>
        <v>1500</v>
      </c>
      <c r="U367" s="1151">
        <v>1500</v>
      </c>
      <c r="V367" s="22"/>
      <c r="W367" s="691" t="s">
        <v>1521</v>
      </c>
      <c r="X367" s="24"/>
      <c r="Y367" s="22">
        <v>1</v>
      </c>
      <c r="Z367" s="965">
        <f t="shared" si="235"/>
        <v>1500</v>
      </c>
      <c r="AA367" s="1061">
        <v>1500</v>
      </c>
      <c r="AB367" s="1061"/>
      <c r="AC367" s="1107"/>
      <c r="AD367" s="657"/>
      <c r="AE367" s="996"/>
      <c r="AF367" s="978"/>
      <c r="AG367" s="553"/>
      <c r="AH367" s="553"/>
      <c r="AI367" s="553"/>
    </row>
    <row r="368" spans="1:35" s="25" customFormat="1" ht="25.5">
      <c r="A368" s="17" t="s">
        <v>146</v>
      </c>
      <c r="B368" s="292" t="s">
        <v>108</v>
      </c>
      <c r="C368" s="80" t="s">
        <v>71</v>
      </c>
      <c r="D368" s="32" t="s">
        <v>109</v>
      </c>
      <c r="E368" s="20" t="s">
        <v>30</v>
      </c>
      <c r="F368" s="80" t="s">
        <v>110</v>
      </c>
      <c r="G368" s="21">
        <v>10805</v>
      </c>
      <c r="H368" s="21">
        <v>5847</v>
      </c>
      <c r="I368" s="38">
        <f>J368</f>
        <v>3000</v>
      </c>
      <c r="J368" s="38">
        <v>3000</v>
      </c>
      <c r="K368" s="22">
        <v>10805</v>
      </c>
      <c r="L368" s="22">
        <v>5847</v>
      </c>
      <c r="M368" s="22"/>
      <c r="N368" s="1061">
        <v>5932</v>
      </c>
      <c r="O368" s="1061">
        <v>5752</v>
      </c>
      <c r="P368" s="1061"/>
      <c r="Q368" s="1042">
        <f t="shared" si="233"/>
        <v>2847</v>
      </c>
      <c r="R368" s="1061">
        <v>2847</v>
      </c>
      <c r="S368" s="1061"/>
      <c r="T368" s="73">
        <f t="shared" si="234"/>
        <v>2000</v>
      </c>
      <c r="U368" s="1151"/>
      <c r="V368" s="22">
        <v>2000</v>
      </c>
      <c r="W368" s="691" t="s">
        <v>1516</v>
      </c>
      <c r="X368" s="24" t="s">
        <v>171</v>
      </c>
      <c r="Y368" s="22">
        <v>1</v>
      </c>
      <c r="Z368" s="965">
        <f t="shared" si="235"/>
        <v>2000</v>
      </c>
      <c r="AA368" s="1061"/>
      <c r="AB368" s="1061">
        <v>2000</v>
      </c>
      <c r="AC368" s="1107"/>
      <c r="AD368" s="657"/>
      <c r="AE368" s="996">
        <f>V368</f>
        <v>2000</v>
      </c>
      <c r="AF368" s="978"/>
      <c r="AG368" s="553"/>
      <c r="AH368" s="553"/>
      <c r="AI368" s="553"/>
    </row>
    <row r="369" spans="1:42" s="5" customFormat="1" ht="28.5">
      <c r="A369" s="11" t="s">
        <v>116</v>
      </c>
      <c r="B369" s="65" t="s">
        <v>117</v>
      </c>
      <c r="C369" s="1031"/>
      <c r="D369" s="635"/>
      <c r="E369" s="44"/>
      <c r="F369" s="762"/>
      <c r="G369" s="45">
        <f t="shared" ref="G369:V369" si="236">SUM(G370:G378)</f>
        <v>288092</v>
      </c>
      <c r="H369" s="45">
        <f t="shared" si="236"/>
        <v>214097</v>
      </c>
      <c r="I369" s="45">
        <f t="shared" si="236"/>
        <v>35647</v>
      </c>
      <c r="J369" s="45">
        <f t="shared" si="236"/>
        <v>25063</v>
      </c>
      <c r="K369" s="45">
        <f t="shared" si="236"/>
        <v>285860</v>
      </c>
      <c r="L369" s="45">
        <f t="shared" si="236"/>
        <v>211865</v>
      </c>
      <c r="M369" s="45">
        <f t="shared" si="236"/>
        <v>0</v>
      </c>
      <c r="N369" s="1037">
        <f t="shared" si="236"/>
        <v>81739</v>
      </c>
      <c r="O369" s="1037">
        <f t="shared" si="236"/>
        <v>80739</v>
      </c>
      <c r="P369" s="1037">
        <f t="shared" si="236"/>
        <v>0</v>
      </c>
      <c r="Q369" s="1037">
        <f t="shared" si="236"/>
        <v>76136</v>
      </c>
      <c r="R369" s="1037">
        <f t="shared" si="236"/>
        <v>76136</v>
      </c>
      <c r="S369" s="1037">
        <f t="shared" si="236"/>
        <v>0</v>
      </c>
      <c r="T369" s="45">
        <f t="shared" si="236"/>
        <v>56900</v>
      </c>
      <c r="U369" s="1128">
        <f t="shared" si="236"/>
        <v>56900</v>
      </c>
      <c r="V369" s="45">
        <f t="shared" si="236"/>
        <v>0</v>
      </c>
      <c r="W369" s="352"/>
      <c r="X369" s="352"/>
      <c r="Y369" s="45">
        <f>SUM(Y370:Y378)</f>
        <v>9</v>
      </c>
      <c r="Z369" s="1037">
        <f t="shared" ref="Z369:AB369" si="237">SUM(Z370:Z378)</f>
        <v>55900</v>
      </c>
      <c r="AA369" s="1037">
        <f t="shared" si="237"/>
        <v>55900</v>
      </c>
      <c r="AB369" s="1037">
        <f t="shared" si="237"/>
        <v>0</v>
      </c>
      <c r="AC369" s="1085"/>
      <c r="AD369" s="657"/>
      <c r="AE369" s="975"/>
      <c r="AF369" s="875"/>
    </row>
    <row r="370" spans="1:42" s="25" customFormat="1" ht="30">
      <c r="A370" s="34">
        <v>1</v>
      </c>
      <c r="B370" s="292" t="s">
        <v>118</v>
      </c>
      <c r="C370" s="710" t="s">
        <v>29</v>
      </c>
      <c r="D370" s="18" t="s">
        <v>119</v>
      </c>
      <c r="E370" s="40" t="s">
        <v>120</v>
      </c>
      <c r="F370" s="711" t="s">
        <v>121</v>
      </c>
      <c r="G370" s="42">
        <v>113480</v>
      </c>
      <c r="H370" s="42">
        <v>74075</v>
      </c>
      <c r="I370" s="42">
        <v>11000</v>
      </c>
      <c r="J370" s="42">
        <v>416</v>
      </c>
      <c r="K370" s="22">
        <v>113480</v>
      </c>
      <c r="L370" s="22">
        <v>74075</v>
      </c>
      <c r="M370" s="42"/>
      <c r="N370" s="1073">
        <f t="shared" ref="N370:N377" si="238">+O370</f>
        <v>20000</v>
      </c>
      <c r="O370" s="1073">
        <v>20000</v>
      </c>
      <c r="P370" s="1073"/>
      <c r="Q370" s="1042">
        <f t="shared" ref="Q370:Q378" si="239">SUM(R370:S370)</f>
        <v>20000</v>
      </c>
      <c r="R370" s="1073">
        <v>20000</v>
      </c>
      <c r="S370" s="1073"/>
      <c r="T370" s="73">
        <f t="shared" ref="T370:T378" si="240">SUM(U370:V370)</f>
        <v>10000</v>
      </c>
      <c r="U370" s="1162">
        <v>10000</v>
      </c>
      <c r="V370" s="42"/>
      <c r="W370" s="710" t="s">
        <v>1560</v>
      </c>
      <c r="X370" s="24"/>
      <c r="Y370" s="42">
        <v>1</v>
      </c>
      <c r="Z370" s="965">
        <f t="shared" ref="Z370:Z378" si="241">SUM(AA370:AB370)</f>
        <v>10000</v>
      </c>
      <c r="AA370" s="1073">
        <v>10000</v>
      </c>
      <c r="AB370" s="1073"/>
      <c r="AC370" s="1119"/>
      <c r="AD370" s="657"/>
      <c r="AE370" s="996"/>
      <c r="AF370" s="978"/>
      <c r="AG370" s="553"/>
      <c r="AH370" s="553"/>
      <c r="AI370" s="553"/>
    </row>
    <row r="371" spans="1:42" s="25" customFormat="1" ht="45">
      <c r="A371" s="34">
        <v>2</v>
      </c>
      <c r="B371" s="292" t="s">
        <v>125</v>
      </c>
      <c r="C371" s="710" t="s">
        <v>29</v>
      </c>
      <c r="D371" s="18" t="s">
        <v>126</v>
      </c>
      <c r="E371" s="40" t="s">
        <v>30</v>
      </c>
      <c r="F371" s="711" t="s">
        <v>127</v>
      </c>
      <c r="G371" s="42">
        <v>33572</v>
      </c>
      <c r="H371" s="42">
        <v>33572</v>
      </c>
      <c r="I371" s="42">
        <v>6500</v>
      </c>
      <c r="J371" s="42">
        <v>6500</v>
      </c>
      <c r="K371" s="22">
        <v>33072</v>
      </c>
      <c r="L371" s="22">
        <v>33072</v>
      </c>
      <c r="M371" s="42"/>
      <c r="N371" s="1073">
        <f t="shared" si="238"/>
        <v>10000</v>
      </c>
      <c r="O371" s="1073">
        <v>10000</v>
      </c>
      <c r="P371" s="1073"/>
      <c r="Q371" s="1042">
        <f t="shared" si="239"/>
        <v>10000</v>
      </c>
      <c r="R371" s="1073">
        <v>10000</v>
      </c>
      <c r="S371" s="1073"/>
      <c r="T371" s="73">
        <f t="shared" si="240"/>
        <v>8000</v>
      </c>
      <c r="U371" s="1162">
        <v>8000</v>
      </c>
      <c r="V371" s="42"/>
      <c r="W371" s="710" t="s">
        <v>1560</v>
      </c>
      <c r="X371" s="24"/>
      <c r="Y371" s="42">
        <v>1</v>
      </c>
      <c r="Z371" s="965">
        <f t="shared" si="241"/>
        <v>8000</v>
      </c>
      <c r="AA371" s="1073">
        <v>8000</v>
      </c>
      <c r="AB371" s="1073"/>
      <c r="AC371" s="1119"/>
      <c r="AD371" s="657"/>
      <c r="AE371" s="996"/>
      <c r="AF371" s="978"/>
      <c r="AG371" s="553"/>
      <c r="AH371" s="553"/>
      <c r="AI371" s="553"/>
    </row>
    <row r="372" spans="1:42" s="25" customFormat="1" ht="30" customHeight="1">
      <c r="A372" s="34">
        <v>3</v>
      </c>
      <c r="B372" s="292" t="s">
        <v>122</v>
      </c>
      <c r="C372" s="710" t="s">
        <v>29</v>
      </c>
      <c r="D372" s="18" t="s">
        <v>123</v>
      </c>
      <c r="E372" s="40" t="s">
        <v>45</v>
      </c>
      <c r="F372" s="711" t="s">
        <v>124</v>
      </c>
      <c r="G372" s="42">
        <v>11952</v>
      </c>
      <c r="H372" s="42">
        <v>11952</v>
      </c>
      <c r="I372" s="42">
        <v>3883</v>
      </c>
      <c r="J372" s="42">
        <v>3883</v>
      </c>
      <c r="K372" s="22">
        <v>11477</v>
      </c>
      <c r="L372" s="22">
        <v>11477</v>
      </c>
      <c r="M372" s="42"/>
      <c r="N372" s="1073">
        <f t="shared" si="238"/>
        <v>8544</v>
      </c>
      <c r="O372" s="1073">
        <v>8544</v>
      </c>
      <c r="P372" s="1073"/>
      <c r="Q372" s="1042">
        <f t="shared" si="239"/>
        <v>4035</v>
      </c>
      <c r="R372" s="1073">
        <v>4035</v>
      </c>
      <c r="S372" s="1073"/>
      <c r="T372" s="73">
        <f t="shared" si="240"/>
        <v>5000</v>
      </c>
      <c r="U372" s="1162">
        <v>5000</v>
      </c>
      <c r="V372" s="42"/>
      <c r="W372" s="710" t="s">
        <v>1561</v>
      </c>
      <c r="X372" s="24"/>
      <c r="Y372" s="42">
        <v>1</v>
      </c>
      <c r="Z372" s="965">
        <f t="shared" si="241"/>
        <v>4000</v>
      </c>
      <c r="AA372" s="1073">
        <v>4000</v>
      </c>
      <c r="AB372" s="1073"/>
      <c r="AC372" s="1119"/>
      <c r="AD372" s="657"/>
      <c r="AE372" s="996"/>
      <c r="AF372" s="978"/>
      <c r="AG372" s="553"/>
      <c r="AH372" s="553"/>
      <c r="AI372" s="553"/>
    </row>
    <row r="373" spans="1:42" s="25" customFormat="1" ht="45">
      <c r="A373" s="34">
        <v>4</v>
      </c>
      <c r="B373" s="292" t="s">
        <v>128</v>
      </c>
      <c r="C373" s="710" t="s">
        <v>29</v>
      </c>
      <c r="D373" s="18" t="s">
        <v>129</v>
      </c>
      <c r="E373" s="40" t="s">
        <v>30</v>
      </c>
      <c r="F373" s="711" t="s">
        <v>130</v>
      </c>
      <c r="G373" s="42">
        <v>9786</v>
      </c>
      <c r="H373" s="42">
        <v>9786</v>
      </c>
      <c r="I373" s="42">
        <v>3223</v>
      </c>
      <c r="J373" s="42">
        <v>3223</v>
      </c>
      <c r="K373" s="22">
        <v>9163</v>
      </c>
      <c r="L373" s="22">
        <v>9163</v>
      </c>
      <c r="M373" s="42"/>
      <c r="N373" s="1073">
        <f t="shared" si="238"/>
        <v>2600</v>
      </c>
      <c r="O373" s="1073">
        <v>2600</v>
      </c>
      <c r="P373" s="1073"/>
      <c r="Q373" s="1042">
        <f t="shared" si="239"/>
        <v>2600</v>
      </c>
      <c r="R373" s="1073">
        <v>2600</v>
      </c>
      <c r="S373" s="1073"/>
      <c r="T373" s="73">
        <f t="shared" si="240"/>
        <v>2600</v>
      </c>
      <c r="U373" s="1162">
        <v>2600</v>
      </c>
      <c r="V373" s="42"/>
      <c r="W373" s="710" t="s">
        <v>1537</v>
      </c>
      <c r="X373" s="24"/>
      <c r="Y373" s="42">
        <v>1</v>
      </c>
      <c r="Z373" s="965">
        <f t="shared" si="241"/>
        <v>2600</v>
      </c>
      <c r="AA373" s="1073">
        <v>2600</v>
      </c>
      <c r="AB373" s="1073"/>
      <c r="AC373" s="1119"/>
      <c r="AD373" s="657"/>
      <c r="AE373" s="996"/>
      <c r="AF373" s="978"/>
      <c r="AG373" s="553"/>
      <c r="AH373" s="553"/>
      <c r="AI373" s="553"/>
    </row>
    <row r="374" spans="1:42" s="25" customFormat="1" ht="51">
      <c r="A374" s="34">
        <v>5</v>
      </c>
      <c r="B374" s="292" t="s">
        <v>131</v>
      </c>
      <c r="C374" s="80" t="s">
        <v>29</v>
      </c>
      <c r="D374" s="32" t="s">
        <v>132</v>
      </c>
      <c r="E374" s="20" t="s">
        <v>30</v>
      </c>
      <c r="F374" s="80" t="s">
        <v>133</v>
      </c>
      <c r="G374" s="21">
        <v>21488</v>
      </c>
      <c r="H374" s="21">
        <v>21488</v>
      </c>
      <c r="I374" s="38">
        <f>J374</f>
        <v>2857</v>
      </c>
      <c r="J374" s="38">
        <v>2857</v>
      </c>
      <c r="K374" s="22">
        <v>21488</v>
      </c>
      <c r="L374" s="22">
        <v>21488</v>
      </c>
      <c r="M374" s="22"/>
      <c r="N374" s="1061">
        <f t="shared" si="238"/>
        <v>6594</v>
      </c>
      <c r="O374" s="1061">
        <v>6594</v>
      </c>
      <c r="P374" s="1061"/>
      <c r="Q374" s="1042">
        <f t="shared" si="239"/>
        <v>6500</v>
      </c>
      <c r="R374" s="1061">
        <v>6500</v>
      </c>
      <c r="S374" s="1061"/>
      <c r="T374" s="73">
        <f t="shared" si="240"/>
        <v>6500</v>
      </c>
      <c r="U374" s="1162">
        <v>6500</v>
      </c>
      <c r="V374" s="42"/>
      <c r="W374" s="691" t="s">
        <v>1562</v>
      </c>
      <c r="X374" s="80" t="s">
        <v>134</v>
      </c>
      <c r="Y374" s="22">
        <v>1</v>
      </c>
      <c r="Z374" s="965">
        <f t="shared" si="241"/>
        <v>6500</v>
      </c>
      <c r="AA374" s="1073">
        <v>6500</v>
      </c>
      <c r="AB374" s="1073"/>
      <c r="AC374" s="1119"/>
      <c r="AD374" s="657"/>
      <c r="AE374" s="996"/>
      <c r="AF374" s="978"/>
      <c r="AG374" s="553"/>
      <c r="AH374" s="553"/>
      <c r="AI374" s="553"/>
    </row>
    <row r="375" spans="1:42" s="25" customFormat="1" ht="60">
      <c r="A375" s="34">
        <v>6</v>
      </c>
      <c r="B375" s="292" t="s">
        <v>135</v>
      </c>
      <c r="C375" s="80" t="s">
        <v>29</v>
      </c>
      <c r="D375" s="32" t="s">
        <v>136</v>
      </c>
      <c r="E375" s="20" t="s">
        <v>30</v>
      </c>
      <c r="F375" s="80" t="s">
        <v>137</v>
      </c>
      <c r="G375" s="21">
        <v>21832</v>
      </c>
      <c r="H375" s="21">
        <v>17450</v>
      </c>
      <c r="I375" s="38">
        <v>4799</v>
      </c>
      <c r="J375" s="38">
        <v>4799</v>
      </c>
      <c r="K375" s="22">
        <v>21583</v>
      </c>
      <c r="L375" s="22">
        <v>17201</v>
      </c>
      <c r="M375" s="22"/>
      <c r="N375" s="1061">
        <f t="shared" si="238"/>
        <v>11201</v>
      </c>
      <c r="O375" s="1061">
        <v>11201</v>
      </c>
      <c r="P375" s="1061"/>
      <c r="Q375" s="1042">
        <f t="shared" si="239"/>
        <v>11201</v>
      </c>
      <c r="R375" s="1061">
        <v>11201</v>
      </c>
      <c r="S375" s="1061"/>
      <c r="T375" s="73">
        <f t="shared" si="240"/>
        <v>8000</v>
      </c>
      <c r="U375" s="1151">
        <v>8000</v>
      </c>
      <c r="V375" s="22"/>
      <c r="W375" s="691" t="s">
        <v>1563</v>
      </c>
      <c r="X375" s="24" t="s">
        <v>1719</v>
      </c>
      <c r="Y375" s="22">
        <v>1</v>
      </c>
      <c r="Z375" s="965">
        <f t="shared" si="241"/>
        <v>8000</v>
      </c>
      <c r="AA375" s="1061">
        <v>8000</v>
      </c>
      <c r="AB375" s="1061"/>
      <c r="AC375" s="1107"/>
      <c r="AD375" s="657"/>
      <c r="AE375" s="996"/>
      <c r="AF375" s="978"/>
      <c r="AG375" s="553"/>
      <c r="AH375" s="553"/>
      <c r="AI375" s="553"/>
    </row>
    <row r="376" spans="1:42" s="25" customFormat="1" ht="60">
      <c r="A376" s="34">
        <v>7</v>
      </c>
      <c r="B376" s="292" t="s">
        <v>138</v>
      </c>
      <c r="C376" s="80" t="s">
        <v>29</v>
      </c>
      <c r="D376" s="32" t="s">
        <v>139</v>
      </c>
      <c r="E376" s="20" t="s">
        <v>30</v>
      </c>
      <c r="F376" s="80" t="s">
        <v>140</v>
      </c>
      <c r="G376" s="21">
        <v>11305</v>
      </c>
      <c r="H376" s="21">
        <v>11305</v>
      </c>
      <c r="I376" s="42">
        <v>3385</v>
      </c>
      <c r="J376" s="42">
        <v>3385</v>
      </c>
      <c r="K376" s="22">
        <v>10920</v>
      </c>
      <c r="L376" s="22">
        <v>10920</v>
      </c>
      <c r="M376" s="22"/>
      <c r="N376" s="1061">
        <f t="shared" si="238"/>
        <v>3800</v>
      </c>
      <c r="O376" s="1061">
        <v>3800</v>
      </c>
      <c r="P376" s="1061"/>
      <c r="Q376" s="1042">
        <f t="shared" si="239"/>
        <v>3800</v>
      </c>
      <c r="R376" s="1061">
        <v>3800</v>
      </c>
      <c r="S376" s="1061"/>
      <c r="T376" s="73">
        <f t="shared" si="240"/>
        <v>3800</v>
      </c>
      <c r="U376" s="1151">
        <v>3800</v>
      </c>
      <c r="V376" s="22"/>
      <c r="W376" s="691" t="s">
        <v>1564</v>
      </c>
      <c r="X376" s="24"/>
      <c r="Y376" s="22">
        <v>1</v>
      </c>
      <c r="Z376" s="965">
        <f t="shared" si="241"/>
        <v>3800</v>
      </c>
      <c r="AA376" s="1061">
        <v>3800</v>
      </c>
      <c r="AB376" s="1061"/>
      <c r="AC376" s="1107"/>
      <c r="AD376" s="657"/>
      <c r="AE376" s="996"/>
      <c r="AF376" s="978"/>
      <c r="AG376" s="553"/>
      <c r="AH376" s="553"/>
      <c r="AI376" s="553"/>
    </row>
    <row r="377" spans="1:42" s="25" customFormat="1" ht="60">
      <c r="A377" s="34">
        <v>8</v>
      </c>
      <c r="B377" s="292" t="s">
        <v>142</v>
      </c>
      <c r="C377" s="80" t="s">
        <v>143</v>
      </c>
      <c r="D377" s="32" t="s">
        <v>144</v>
      </c>
      <c r="E377" s="20" t="s">
        <v>30</v>
      </c>
      <c r="F377" s="80" t="s">
        <v>145</v>
      </c>
      <c r="G377" s="21">
        <v>43677</v>
      </c>
      <c r="H377" s="21">
        <v>23580</v>
      </c>
      <c r="I377" s="42">
        <v>0</v>
      </c>
      <c r="J377" s="42">
        <v>0</v>
      </c>
      <c r="K377" s="22">
        <v>43677</v>
      </c>
      <c r="L377" s="22">
        <v>23580</v>
      </c>
      <c r="M377" s="22"/>
      <c r="N377" s="1061">
        <f t="shared" si="238"/>
        <v>10000</v>
      </c>
      <c r="O377" s="1061">
        <v>10000</v>
      </c>
      <c r="P377" s="1061"/>
      <c r="Q377" s="1042">
        <f t="shared" si="239"/>
        <v>10000</v>
      </c>
      <c r="R377" s="1061">
        <v>10000</v>
      </c>
      <c r="S377" s="1061"/>
      <c r="T377" s="73">
        <f t="shared" si="240"/>
        <v>8000</v>
      </c>
      <c r="U377" s="1151">
        <v>8000</v>
      </c>
      <c r="V377" s="22"/>
      <c r="W377" s="691" t="s">
        <v>1518</v>
      </c>
      <c r="X377" s="24"/>
      <c r="Y377" s="22">
        <v>1</v>
      </c>
      <c r="Z377" s="965">
        <f t="shared" si="241"/>
        <v>8000</v>
      </c>
      <c r="AA377" s="1061">
        <v>8000</v>
      </c>
      <c r="AB377" s="1061"/>
      <c r="AC377" s="1107"/>
      <c r="AD377" s="657"/>
      <c r="AE377" s="996"/>
      <c r="AF377" s="978"/>
      <c r="AG377" s="553"/>
      <c r="AH377" s="553"/>
      <c r="AI377" s="553"/>
    </row>
    <row r="378" spans="1:42" s="25" customFormat="1" ht="60">
      <c r="A378" s="34">
        <v>9</v>
      </c>
      <c r="B378" s="292" t="s">
        <v>147</v>
      </c>
      <c r="C378" s="80" t="s">
        <v>71</v>
      </c>
      <c r="D378" s="32" t="s">
        <v>148</v>
      </c>
      <c r="E378" s="20" t="s">
        <v>30</v>
      </c>
      <c r="F378" s="80" t="s">
        <v>149</v>
      </c>
      <c r="G378" s="21">
        <v>21000</v>
      </c>
      <c r="H378" s="21">
        <v>10889</v>
      </c>
      <c r="I378" s="42">
        <v>0</v>
      </c>
      <c r="J378" s="42">
        <v>0</v>
      </c>
      <c r="K378" s="22">
        <v>21000</v>
      </c>
      <c r="L378" s="22">
        <v>10889</v>
      </c>
      <c r="M378" s="22"/>
      <c r="N378" s="1061">
        <v>9000</v>
      </c>
      <c r="O378" s="1061">
        <v>8000</v>
      </c>
      <c r="P378" s="1061"/>
      <c r="Q378" s="1042">
        <f t="shared" si="239"/>
        <v>8000</v>
      </c>
      <c r="R378" s="1061">
        <v>8000</v>
      </c>
      <c r="S378" s="1061"/>
      <c r="T378" s="73">
        <f t="shared" si="240"/>
        <v>5000</v>
      </c>
      <c r="U378" s="1151">
        <v>5000</v>
      </c>
      <c r="V378" s="22"/>
      <c r="W378" s="691" t="s">
        <v>1516</v>
      </c>
      <c r="X378" s="24"/>
      <c r="Y378" s="22">
        <v>1</v>
      </c>
      <c r="Z378" s="965">
        <f t="shared" si="241"/>
        <v>5000</v>
      </c>
      <c r="AA378" s="1061">
        <v>5000</v>
      </c>
      <c r="AB378" s="1061"/>
      <c r="AC378" s="1107"/>
      <c r="AD378" s="657"/>
      <c r="AE378" s="996"/>
      <c r="AF378" s="978"/>
      <c r="AG378" s="553"/>
      <c r="AH378" s="553"/>
      <c r="AI378" s="553"/>
    </row>
    <row r="379" spans="1:42" s="5" customFormat="1" ht="25.5" customHeight="1">
      <c r="A379" s="11" t="s">
        <v>150</v>
      </c>
      <c r="B379" s="65" t="s">
        <v>151</v>
      </c>
      <c r="C379" s="1031"/>
      <c r="D379" s="635"/>
      <c r="E379" s="44"/>
      <c r="F379" s="762"/>
      <c r="G379" s="45">
        <f t="shared" ref="G379:V379" si="242">SUM(G380:G396)</f>
        <v>212370</v>
      </c>
      <c r="H379" s="45">
        <f t="shared" si="242"/>
        <v>125138</v>
      </c>
      <c r="I379" s="45">
        <f t="shared" si="242"/>
        <v>1117</v>
      </c>
      <c r="J379" s="45">
        <f t="shared" si="242"/>
        <v>617</v>
      </c>
      <c r="K379" s="45">
        <f t="shared" si="242"/>
        <v>211721</v>
      </c>
      <c r="L379" s="45">
        <f t="shared" si="242"/>
        <v>123437</v>
      </c>
      <c r="M379" s="45">
        <f t="shared" si="242"/>
        <v>0</v>
      </c>
      <c r="N379" s="1037">
        <f t="shared" si="242"/>
        <v>84310</v>
      </c>
      <c r="O379" s="1037">
        <f t="shared" si="242"/>
        <v>65269</v>
      </c>
      <c r="P379" s="1037">
        <f t="shared" si="242"/>
        <v>0</v>
      </c>
      <c r="Q379" s="1037">
        <f t="shared" si="242"/>
        <v>40992</v>
      </c>
      <c r="R379" s="1037">
        <f t="shared" si="242"/>
        <v>25022</v>
      </c>
      <c r="S379" s="1037">
        <f t="shared" si="242"/>
        <v>15970</v>
      </c>
      <c r="T379" s="45">
        <f t="shared" si="242"/>
        <v>42392</v>
      </c>
      <c r="U379" s="1128">
        <f t="shared" si="242"/>
        <v>16522</v>
      </c>
      <c r="V379" s="45">
        <f t="shared" si="242"/>
        <v>25870</v>
      </c>
      <c r="W379" s="352"/>
      <c r="X379" s="352"/>
      <c r="Y379" s="45">
        <f>SUM(Y380:Y396)</f>
        <v>17</v>
      </c>
      <c r="Z379" s="1037">
        <f t="shared" ref="Z379:AB379" si="243">SUM(Z380:Z396)</f>
        <v>37792</v>
      </c>
      <c r="AA379" s="1037">
        <f t="shared" si="243"/>
        <v>22022</v>
      </c>
      <c r="AB379" s="1037">
        <f t="shared" si="243"/>
        <v>15770</v>
      </c>
      <c r="AC379" s="1085"/>
      <c r="AD379" s="657"/>
      <c r="AE379" s="975"/>
      <c r="AF379" s="875"/>
    </row>
    <row r="380" spans="1:42" s="25" customFormat="1" ht="45">
      <c r="A380" s="17" t="s">
        <v>27</v>
      </c>
      <c r="B380" s="291" t="s">
        <v>152</v>
      </c>
      <c r="C380" s="710" t="s">
        <v>29</v>
      </c>
      <c r="D380" s="19" t="s">
        <v>153</v>
      </c>
      <c r="E380" s="20" t="s">
        <v>154</v>
      </c>
      <c r="F380" s="80" t="s">
        <v>155</v>
      </c>
      <c r="G380" s="21">
        <v>4789</v>
      </c>
      <c r="H380" s="22">
        <v>4789</v>
      </c>
      <c r="I380" s="42">
        <v>150</v>
      </c>
      <c r="J380" s="42">
        <v>150</v>
      </c>
      <c r="K380" s="22">
        <v>4789</v>
      </c>
      <c r="L380" s="22">
        <v>4789</v>
      </c>
      <c r="M380" s="23"/>
      <c r="N380" s="1061">
        <f>+O380</f>
        <v>3800</v>
      </c>
      <c r="O380" s="1061">
        <v>3800</v>
      </c>
      <c r="P380" s="1068"/>
      <c r="Q380" s="965">
        <f t="shared" ref="Q380:Q394" si="244">SUM(R380:S380)</f>
        <v>3000</v>
      </c>
      <c r="R380" s="1061">
        <v>3000</v>
      </c>
      <c r="S380" s="1061"/>
      <c r="T380" s="73">
        <f t="shared" ref="T380:T396" si="245">SUM(U380:V380)</f>
        <v>3000</v>
      </c>
      <c r="U380" s="1151">
        <v>3000</v>
      </c>
      <c r="V380" s="22"/>
      <c r="W380" s="691" t="s">
        <v>1538</v>
      </c>
      <c r="X380" s="24"/>
      <c r="Y380" s="22">
        <v>1</v>
      </c>
      <c r="Z380" s="965">
        <f t="shared" ref="Z380:Z396" si="246">SUM(AA380:AB380)</f>
        <v>3000</v>
      </c>
      <c r="AA380" s="1061">
        <v>3000</v>
      </c>
      <c r="AB380" s="1061"/>
      <c r="AC380" s="1107"/>
      <c r="AD380" s="657"/>
      <c r="AE380" s="996"/>
      <c r="AF380" s="978"/>
      <c r="AG380" s="553"/>
      <c r="AH380" s="553"/>
      <c r="AI380" s="553"/>
    </row>
    <row r="381" spans="1:42" s="25" customFormat="1" ht="25.5">
      <c r="A381" s="17" t="s">
        <v>41</v>
      </c>
      <c r="B381" s="291" t="s">
        <v>159</v>
      </c>
      <c r="C381" s="710" t="s">
        <v>29</v>
      </c>
      <c r="D381" s="19" t="s">
        <v>160</v>
      </c>
      <c r="E381" s="20" t="s">
        <v>30</v>
      </c>
      <c r="F381" s="80" t="s">
        <v>161</v>
      </c>
      <c r="G381" s="21">
        <v>8486</v>
      </c>
      <c r="H381" s="21">
        <v>8486</v>
      </c>
      <c r="I381" s="42">
        <v>0</v>
      </c>
      <c r="J381" s="42">
        <v>0</v>
      </c>
      <c r="K381" s="22">
        <v>8486</v>
      </c>
      <c r="L381" s="22">
        <v>8486</v>
      </c>
      <c r="M381" s="23"/>
      <c r="N381" s="1061">
        <v>4207</v>
      </c>
      <c r="O381" s="1061">
        <v>4207</v>
      </c>
      <c r="P381" s="1068"/>
      <c r="Q381" s="965">
        <f t="shared" si="244"/>
        <v>3000</v>
      </c>
      <c r="R381" s="1061">
        <v>3000</v>
      </c>
      <c r="S381" s="1061"/>
      <c r="T381" s="73">
        <f t="shared" si="245"/>
        <v>3000</v>
      </c>
      <c r="U381" s="1151">
        <v>3000</v>
      </c>
      <c r="V381" s="22"/>
      <c r="W381" s="691" t="s">
        <v>1522</v>
      </c>
      <c r="X381" s="24"/>
      <c r="Y381" s="22">
        <v>1</v>
      </c>
      <c r="Z381" s="965">
        <f t="shared" si="246"/>
        <v>3000</v>
      </c>
      <c r="AA381" s="1061">
        <v>3000</v>
      </c>
      <c r="AB381" s="1061"/>
      <c r="AC381" s="1107"/>
      <c r="AD381" s="657"/>
      <c r="AE381" s="996"/>
      <c r="AF381" s="978"/>
      <c r="AG381" s="553"/>
      <c r="AH381" s="553"/>
      <c r="AI381" s="553"/>
    </row>
    <row r="382" spans="1:42" s="25" customFormat="1" ht="38.25">
      <c r="A382" s="17" t="s">
        <v>58</v>
      </c>
      <c r="B382" s="291" t="s">
        <v>162</v>
      </c>
      <c r="C382" s="710" t="s">
        <v>29</v>
      </c>
      <c r="D382" s="19"/>
      <c r="E382" s="20" t="s">
        <v>163</v>
      </c>
      <c r="F382" s="80" t="s">
        <v>1598</v>
      </c>
      <c r="G382" s="21">
        <v>14307</v>
      </c>
      <c r="H382" s="22">
        <v>14307</v>
      </c>
      <c r="I382" s="42">
        <f>J382</f>
        <v>467</v>
      </c>
      <c r="J382" s="42">
        <v>467</v>
      </c>
      <c r="K382" s="22">
        <v>14307</v>
      </c>
      <c r="L382" s="22">
        <v>14307</v>
      </c>
      <c r="M382" s="23"/>
      <c r="N382" s="1061">
        <f>+O382</f>
        <v>3000</v>
      </c>
      <c r="O382" s="1061">
        <v>3000</v>
      </c>
      <c r="P382" s="1068"/>
      <c r="Q382" s="965">
        <f t="shared" si="244"/>
        <v>3000</v>
      </c>
      <c r="R382" s="1061">
        <v>3000</v>
      </c>
      <c r="S382" s="1061"/>
      <c r="T382" s="73">
        <f t="shared" si="245"/>
        <v>3000</v>
      </c>
      <c r="U382" s="1151">
        <v>3000</v>
      </c>
      <c r="V382" s="22"/>
      <c r="W382" s="691" t="s">
        <v>1565</v>
      </c>
      <c r="X382" s="24"/>
      <c r="Y382" s="22">
        <v>1</v>
      </c>
      <c r="Z382" s="965">
        <f t="shared" si="246"/>
        <v>3000</v>
      </c>
      <c r="AA382" s="1061">
        <v>3000</v>
      </c>
      <c r="AB382" s="1061"/>
      <c r="AC382" s="1107"/>
      <c r="AD382" s="657"/>
      <c r="AE382" s="996"/>
      <c r="AF382" s="978"/>
      <c r="AG382" s="553"/>
      <c r="AH382" s="553"/>
      <c r="AI382" s="553"/>
    </row>
    <row r="383" spans="1:42" s="25" customFormat="1" ht="30">
      <c r="A383" s="17" t="s">
        <v>64</v>
      </c>
      <c r="B383" s="291" t="s">
        <v>165</v>
      </c>
      <c r="C383" s="710" t="s">
        <v>112</v>
      </c>
      <c r="D383" s="19"/>
      <c r="E383" s="20" t="s">
        <v>166</v>
      </c>
      <c r="F383" s="80" t="s">
        <v>1602</v>
      </c>
      <c r="G383" s="21">
        <v>2768</v>
      </c>
      <c r="H383" s="22">
        <v>1118</v>
      </c>
      <c r="I383" s="42">
        <v>0</v>
      </c>
      <c r="J383" s="42">
        <v>0</v>
      </c>
      <c r="K383" s="22">
        <v>2769</v>
      </c>
      <c r="L383" s="22">
        <v>1118</v>
      </c>
      <c r="M383" s="23"/>
      <c r="N383" s="1042">
        <v>2769</v>
      </c>
      <c r="O383" s="1061">
        <v>1118</v>
      </c>
      <c r="P383" s="1068"/>
      <c r="Q383" s="1042">
        <f t="shared" si="244"/>
        <v>1118</v>
      </c>
      <c r="R383" s="1061">
        <v>1118</v>
      </c>
      <c r="S383" s="1061"/>
      <c r="T383" s="73">
        <f t="shared" si="245"/>
        <v>1118</v>
      </c>
      <c r="U383" s="1151">
        <v>1118</v>
      </c>
      <c r="V383" s="22"/>
      <c r="W383" s="691" t="s">
        <v>1566</v>
      </c>
      <c r="X383" s="24"/>
      <c r="Y383" s="22">
        <v>1</v>
      </c>
      <c r="Z383" s="965">
        <f t="shared" si="246"/>
        <v>1118</v>
      </c>
      <c r="AA383" s="1061">
        <v>1118</v>
      </c>
      <c r="AB383" s="1061"/>
      <c r="AC383" s="1107"/>
      <c r="AD383" s="657"/>
      <c r="AE383" s="996"/>
      <c r="AF383" s="978"/>
      <c r="AG383" s="553"/>
      <c r="AH383" s="553"/>
      <c r="AI383" s="553"/>
    </row>
    <row r="384" spans="1:42" s="54" customFormat="1" ht="38.25" customHeight="1">
      <c r="A384" s="17" t="s">
        <v>69</v>
      </c>
      <c r="B384" s="68" t="s">
        <v>711</v>
      </c>
      <c r="C384" s="100" t="s">
        <v>29</v>
      </c>
      <c r="D384" s="19"/>
      <c r="E384" s="95" t="s">
        <v>489</v>
      </c>
      <c r="F384" s="80" t="s">
        <v>712</v>
      </c>
      <c r="G384" s="223">
        <v>60000</v>
      </c>
      <c r="H384" s="223">
        <v>15000</v>
      </c>
      <c r="I384" s="23">
        <v>500</v>
      </c>
      <c r="J384" s="23">
        <v>0</v>
      </c>
      <c r="K384" s="71">
        <v>60000</v>
      </c>
      <c r="L384" s="71">
        <v>15000</v>
      </c>
      <c r="M384" s="23"/>
      <c r="N384" s="1069">
        <v>4500</v>
      </c>
      <c r="O384" s="1069">
        <v>4500</v>
      </c>
      <c r="P384" s="1198"/>
      <c r="Q384" s="965">
        <f t="shared" si="244"/>
        <v>3000</v>
      </c>
      <c r="R384" s="1069">
        <v>3000</v>
      </c>
      <c r="S384" s="1069"/>
      <c r="T384" s="73">
        <f t="shared" si="245"/>
        <v>3000</v>
      </c>
      <c r="U384" s="595"/>
      <c r="V384" s="175">
        <v>3000</v>
      </c>
      <c r="W384" s="691" t="s">
        <v>1566</v>
      </c>
      <c r="X384" s="24"/>
      <c r="Y384" s="175">
        <v>1</v>
      </c>
      <c r="Z384" s="965">
        <f t="shared" si="246"/>
        <v>3000</v>
      </c>
      <c r="AA384" s="1069">
        <v>3000</v>
      </c>
      <c r="AB384" s="1069"/>
      <c r="AC384" s="1114"/>
      <c r="AD384" s="657"/>
      <c r="AE384" s="990"/>
      <c r="AF384" s="811"/>
      <c r="AG384" s="551"/>
      <c r="AH384" s="551"/>
      <c r="AI384" s="551"/>
      <c r="AK384" s="57"/>
      <c r="AL384" s="57"/>
      <c r="AM384" s="57"/>
      <c r="AN384" s="57"/>
      <c r="AO384" s="57"/>
      <c r="AP384" s="57"/>
    </row>
    <row r="385" spans="1:35" s="25" customFormat="1" ht="25.5">
      <c r="A385" s="17" t="s">
        <v>74</v>
      </c>
      <c r="B385" s="291" t="s">
        <v>1754</v>
      </c>
      <c r="C385" s="710" t="s">
        <v>260</v>
      </c>
      <c r="D385" s="19"/>
      <c r="E385" s="20" t="s">
        <v>163</v>
      </c>
      <c r="F385" s="80" t="s">
        <v>1755</v>
      </c>
      <c r="G385" s="223">
        <v>39976</v>
      </c>
      <c r="H385" s="223">
        <v>28194</v>
      </c>
      <c r="I385" s="42">
        <v>0</v>
      </c>
      <c r="J385" s="42">
        <v>0</v>
      </c>
      <c r="K385" s="223">
        <v>39976</v>
      </c>
      <c r="L385" s="223">
        <v>28194</v>
      </c>
      <c r="M385" s="23"/>
      <c r="N385" s="1042">
        <v>10398</v>
      </c>
      <c r="O385" s="1061">
        <v>9398</v>
      </c>
      <c r="P385" s="1068"/>
      <c r="Q385" s="1042">
        <v>1600</v>
      </c>
      <c r="R385" s="1061"/>
      <c r="S385" s="1061">
        <v>1600</v>
      </c>
      <c r="T385" s="73">
        <f t="shared" si="245"/>
        <v>3000</v>
      </c>
      <c r="U385" s="1151">
        <v>3000</v>
      </c>
      <c r="V385" s="22"/>
      <c r="W385" s="691" t="s">
        <v>1552</v>
      </c>
      <c r="X385" s="24"/>
      <c r="Y385" s="22">
        <v>1</v>
      </c>
      <c r="Z385" s="965"/>
      <c r="AA385" s="1061"/>
      <c r="AB385" s="1061"/>
      <c r="AC385" s="1107"/>
      <c r="AD385" s="657"/>
      <c r="AE385" s="996">
        <f t="shared" ref="AE385" si="247">V385</f>
        <v>0</v>
      </c>
      <c r="AF385" s="978"/>
      <c r="AG385" s="553"/>
      <c r="AH385" s="553"/>
      <c r="AI385" s="553"/>
    </row>
    <row r="386" spans="1:35" s="25" customFormat="1" ht="25.5">
      <c r="A386" s="17" t="s">
        <v>141</v>
      </c>
      <c r="B386" s="291" t="s">
        <v>1751</v>
      </c>
      <c r="C386" s="710" t="s">
        <v>85</v>
      </c>
      <c r="D386" s="19" t="s">
        <v>1752</v>
      </c>
      <c r="E386" s="20" t="s">
        <v>163</v>
      </c>
      <c r="F386" s="80" t="s">
        <v>1753</v>
      </c>
      <c r="G386" s="223">
        <v>10984</v>
      </c>
      <c r="H386" s="223">
        <v>5388</v>
      </c>
      <c r="I386" s="42">
        <v>0</v>
      </c>
      <c r="J386" s="42">
        <v>0</v>
      </c>
      <c r="K386" s="223">
        <v>10984</v>
      </c>
      <c r="L386" s="223">
        <v>5388</v>
      </c>
      <c r="M386" s="23"/>
      <c r="N386" s="1042">
        <v>2800</v>
      </c>
      <c r="O386" s="1061">
        <v>1600</v>
      </c>
      <c r="P386" s="1068"/>
      <c r="Q386" s="1042">
        <v>1600</v>
      </c>
      <c r="R386" s="1061"/>
      <c r="S386" s="1061">
        <v>1600</v>
      </c>
      <c r="T386" s="73">
        <f t="shared" ref="T386" si="248">SUM(U386:V386)</f>
        <v>1600</v>
      </c>
      <c r="U386" s="1151"/>
      <c r="V386" s="22">
        <v>1600</v>
      </c>
      <c r="W386" s="691" t="s">
        <v>1525</v>
      </c>
      <c r="X386" s="24" t="s">
        <v>1738</v>
      </c>
      <c r="Y386" s="22">
        <v>1</v>
      </c>
      <c r="Z386" s="965"/>
      <c r="AA386" s="1061"/>
      <c r="AB386" s="1061"/>
      <c r="AC386" s="1107"/>
      <c r="AD386" s="657"/>
      <c r="AE386" s="996">
        <f t="shared" ref="AE386" si="249">V386</f>
        <v>1600</v>
      </c>
      <c r="AF386" s="978"/>
      <c r="AG386" s="553"/>
      <c r="AH386" s="553"/>
      <c r="AI386" s="553"/>
    </row>
    <row r="387" spans="1:35" s="25" customFormat="1" ht="25.5">
      <c r="A387" s="17" t="s">
        <v>146</v>
      </c>
      <c r="B387" s="291" t="s">
        <v>172</v>
      </c>
      <c r="C387" s="710" t="s">
        <v>173</v>
      </c>
      <c r="D387" s="19" t="s">
        <v>174</v>
      </c>
      <c r="E387" s="20" t="s">
        <v>154</v>
      </c>
      <c r="F387" s="80" t="s">
        <v>1749</v>
      </c>
      <c r="G387" s="223">
        <v>12931</v>
      </c>
      <c r="H387" s="223">
        <v>8557</v>
      </c>
      <c r="I387" s="42">
        <v>0</v>
      </c>
      <c r="J387" s="42">
        <v>0</v>
      </c>
      <c r="K387" s="22">
        <v>12931</v>
      </c>
      <c r="L387" s="22">
        <v>8557</v>
      </c>
      <c r="M387" s="23"/>
      <c r="N387" s="1042">
        <v>4000</v>
      </c>
      <c r="O387" s="1061">
        <v>3000</v>
      </c>
      <c r="P387" s="1068"/>
      <c r="Q387" s="1042">
        <f t="shared" si="244"/>
        <v>3000</v>
      </c>
      <c r="R387" s="1061"/>
      <c r="S387" s="1061">
        <v>3000</v>
      </c>
      <c r="T387" s="73">
        <f t="shared" si="245"/>
        <v>3000</v>
      </c>
      <c r="U387" s="1151"/>
      <c r="V387" s="22">
        <v>3000</v>
      </c>
      <c r="W387" s="691" t="s">
        <v>1551</v>
      </c>
      <c r="X387" s="24" t="s">
        <v>171</v>
      </c>
      <c r="Y387" s="22">
        <v>1</v>
      </c>
      <c r="Z387" s="965">
        <f t="shared" si="246"/>
        <v>3000</v>
      </c>
      <c r="AA387" s="1061"/>
      <c r="AB387" s="1061">
        <v>3000</v>
      </c>
      <c r="AC387" s="1107"/>
      <c r="AD387" s="657"/>
      <c r="AE387" s="996">
        <f t="shared" ref="AE387:AE394" si="250">V387</f>
        <v>3000</v>
      </c>
      <c r="AF387" s="978"/>
      <c r="AG387" s="553"/>
      <c r="AH387" s="553"/>
      <c r="AI387" s="553"/>
    </row>
    <row r="388" spans="1:35" s="25" customFormat="1" ht="25.5">
      <c r="A388" s="17" t="s">
        <v>179</v>
      </c>
      <c r="B388" s="291" t="s">
        <v>180</v>
      </c>
      <c r="C388" s="710" t="s">
        <v>66</v>
      </c>
      <c r="D388" s="19" t="s">
        <v>160</v>
      </c>
      <c r="E388" s="20" t="s">
        <v>30</v>
      </c>
      <c r="F388" s="80" t="s">
        <v>1667</v>
      </c>
      <c r="G388" s="223">
        <v>5380</v>
      </c>
      <c r="H388" s="223">
        <v>3919</v>
      </c>
      <c r="I388" s="42">
        <v>0</v>
      </c>
      <c r="J388" s="42">
        <v>0</v>
      </c>
      <c r="K388" s="22">
        <v>5592</v>
      </c>
      <c r="L388" s="22">
        <v>3080</v>
      </c>
      <c r="M388" s="23"/>
      <c r="N388" s="1042">
        <f>+O388</f>
        <v>3000</v>
      </c>
      <c r="O388" s="1061">
        <v>3000</v>
      </c>
      <c r="P388" s="1068"/>
      <c r="Q388" s="1042">
        <f t="shared" si="244"/>
        <v>3000</v>
      </c>
      <c r="R388" s="1061"/>
      <c r="S388" s="1061">
        <v>3000</v>
      </c>
      <c r="T388" s="73">
        <f t="shared" si="245"/>
        <v>3000</v>
      </c>
      <c r="U388" s="1151"/>
      <c r="V388" s="22">
        <v>3000</v>
      </c>
      <c r="W388" s="691" t="s">
        <v>1526</v>
      </c>
      <c r="X388" s="24" t="s">
        <v>178</v>
      </c>
      <c r="Y388" s="22">
        <v>1</v>
      </c>
      <c r="Z388" s="965">
        <f t="shared" si="246"/>
        <v>3000</v>
      </c>
      <c r="AA388" s="1061"/>
      <c r="AB388" s="1061">
        <v>3000</v>
      </c>
      <c r="AC388" s="1107"/>
      <c r="AD388" s="657"/>
      <c r="AE388" s="996">
        <f t="shared" si="250"/>
        <v>3000</v>
      </c>
      <c r="AF388" s="978"/>
      <c r="AG388" s="553"/>
      <c r="AH388" s="553"/>
      <c r="AI388" s="553"/>
    </row>
    <row r="389" spans="1:35" s="25" customFormat="1" ht="25.5">
      <c r="A389" s="17" t="s">
        <v>182</v>
      </c>
      <c r="B389" s="291" t="s">
        <v>183</v>
      </c>
      <c r="C389" s="710" t="s">
        <v>71</v>
      </c>
      <c r="D389" s="19" t="s">
        <v>184</v>
      </c>
      <c r="E389" s="20" t="s">
        <v>166</v>
      </c>
      <c r="F389" s="80" t="s">
        <v>185</v>
      </c>
      <c r="G389" s="223">
        <v>3892</v>
      </c>
      <c r="H389" s="223">
        <v>2770</v>
      </c>
      <c r="I389" s="42">
        <v>0</v>
      </c>
      <c r="J389" s="42">
        <v>0</v>
      </c>
      <c r="K389" s="22">
        <v>3892</v>
      </c>
      <c r="L389" s="22">
        <v>2770</v>
      </c>
      <c r="M389" s="23"/>
      <c r="N389" s="1042">
        <v>3261</v>
      </c>
      <c r="O389" s="1061">
        <v>2770</v>
      </c>
      <c r="P389" s="1068"/>
      <c r="Q389" s="1042">
        <f t="shared" si="244"/>
        <v>2770</v>
      </c>
      <c r="R389" s="1061"/>
      <c r="S389" s="1061">
        <v>2770</v>
      </c>
      <c r="T389" s="73">
        <f t="shared" si="245"/>
        <v>2770</v>
      </c>
      <c r="U389" s="1151"/>
      <c r="V389" s="22">
        <v>2770</v>
      </c>
      <c r="W389" s="691" t="s">
        <v>1516</v>
      </c>
      <c r="X389" s="24" t="s">
        <v>186</v>
      </c>
      <c r="Y389" s="22">
        <v>1</v>
      </c>
      <c r="Z389" s="965">
        <f t="shared" si="246"/>
        <v>2770</v>
      </c>
      <c r="AA389" s="1061"/>
      <c r="AB389" s="1061">
        <v>2770</v>
      </c>
      <c r="AC389" s="1107"/>
      <c r="AD389" s="657"/>
      <c r="AE389" s="996">
        <f t="shared" si="250"/>
        <v>2770</v>
      </c>
      <c r="AF389" s="978"/>
      <c r="AG389" s="553"/>
      <c r="AH389" s="553"/>
      <c r="AI389" s="553"/>
    </row>
    <row r="390" spans="1:35" s="25" customFormat="1" ht="25.5">
      <c r="A390" s="17" t="s">
        <v>187</v>
      </c>
      <c r="B390" s="291" t="s">
        <v>176</v>
      </c>
      <c r="C390" s="710" t="s">
        <v>60</v>
      </c>
      <c r="D390" s="19" t="s">
        <v>174</v>
      </c>
      <c r="E390" s="20" t="s">
        <v>154</v>
      </c>
      <c r="F390" s="80" t="s">
        <v>1750</v>
      </c>
      <c r="G390" s="223">
        <v>10677</v>
      </c>
      <c r="H390" s="223">
        <v>7747</v>
      </c>
      <c r="I390" s="42">
        <v>0</v>
      </c>
      <c r="J390" s="42">
        <v>0</v>
      </c>
      <c r="K390" s="22">
        <v>10677</v>
      </c>
      <c r="L390" s="22">
        <v>7747</v>
      </c>
      <c r="M390" s="23"/>
      <c r="N390" s="1042">
        <v>8747</v>
      </c>
      <c r="O390" s="1061">
        <v>7747</v>
      </c>
      <c r="P390" s="1068"/>
      <c r="Q390" s="1042">
        <f t="shared" si="244"/>
        <v>4000</v>
      </c>
      <c r="R390" s="1061"/>
      <c r="S390" s="1061">
        <v>4000</v>
      </c>
      <c r="T390" s="73">
        <f t="shared" si="245"/>
        <v>4000</v>
      </c>
      <c r="U390" s="1151"/>
      <c r="V390" s="22">
        <v>4000</v>
      </c>
      <c r="W390" s="513" t="s">
        <v>1517</v>
      </c>
      <c r="X390" s="24" t="s">
        <v>178</v>
      </c>
      <c r="Y390" s="22">
        <v>1</v>
      </c>
      <c r="Z390" s="965">
        <f t="shared" si="246"/>
        <v>4000</v>
      </c>
      <c r="AA390" s="1061"/>
      <c r="AB390" s="1061">
        <v>4000</v>
      </c>
      <c r="AC390" s="1107"/>
      <c r="AD390" s="657"/>
      <c r="AE390" s="996">
        <f t="shared" si="250"/>
        <v>4000</v>
      </c>
      <c r="AF390" s="978"/>
      <c r="AG390" s="553"/>
      <c r="AH390" s="553"/>
      <c r="AI390" s="553"/>
    </row>
    <row r="391" spans="1:35" s="25" customFormat="1" ht="28.5" customHeight="1">
      <c r="A391" s="17" t="s">
        <v>191</v>
      </c>
      <c r="B391" s="291" t="s">
        <v>188</v>
      </c>
      <c r="C391" s="710" t="s">
        <v>60</v>
      </c>
      <c r="D391" s="19" t="s">
        <v>189</v>
      </c>
      <c r="E391" s="20" t="s">
        <v>166</v>
      </c>
      <c r="F391" s="80" t="s">
        <v>190</v>
      </c>
      <c r="G391" s="21">
        <v>6148</v>
      </c>
      <c r="H391" s="22">
        <v>3072</v>
      </c>
      <c r="I391" s="42">
        <v>0</v>
      </c>
      <c r="J391" s="42">
        <v>0</v>
      </c>
      <c r="K391" s="22">
        <v>6148</v>
      </c>
      <c r="L391" s="22">
        <v>3072</v>
      </c>
      <c r="M391" s="23"/>
      <c r="N391" s="1042">
        <v>6148</v>
      </c>
      <c r="O391" s="1061">
        <v>3072</v>
      </c>
      <c r="P391" s="1068"/>
      <c r="Q391" s="1042">
        <f t="shared" si="244"/>
        <v>1500</v>
      </c>
      <c r="R391" s="1061">
        <v>1500</v>
      </c>
      <c r="S391" s="1061"/>
      <c r="T391" s="73">
        <f t="shared" si="245"/>
        <v>1500</v>
      </c>
      <c r="U391" s="1151"/>
      <c r="V391" s="22">
        <v>1500</v>
      </c>
      <c r="W391" s="513" t="s">
        <v>1517</v>
      </c>
      <c r="X391" s="24"/>
      <c r="Y391" s="22">
        <v>1</v>
      </c>
      <c r="Z391" s="965">
        <f t="shared" si="246"/>
        <v>1500</v>
      </c>
      <c r="AA391" s="1061">
        <v>1500</v>
      </c>
      <c r="AB391" s="1061"/>
      <c r="AC391" s="1107"/>
      <c r="AD391" s="657"/>
      <c r="AE391" s="996">
        <f t="shared" si="250"/>
        <v>1500</v>
      </c>
      <c r="AF391" s="978"/>
      <c r="AG391" s="553"/>
      <c r="AH391" s="553"/>
      <c r="AI391" s="553"/>
    </row>
    <row r="392" spans="1:35" s="25" customFormat="1" ht="60">
      <c r="A392" s="17" t="s">
        <v>195</v>
      </c>
      <c r="B392" s="291" t="s">
        <v>168</v>
      </c>
      <c r="C392" s="710" t="s">
        <v>5</v>
      </c>
      <c r="D392" s="19" t="s">
        <v>169</v>
      </c>
      <c r="E392" s="20" t="s">
        <v>154</v>
      </c>
      <c r="F392" s="80" t="s">
        <v>1599</v>
      </c>
      <c r="G392" s="21">
        <v>4925</v>
      </c>
      <c r="H392" s="22">
        <v>3240</v>
      </c>
      <c r="I392" s="42">
        <v>0</v>
      </c>
      <c r="J392" s="42">
        <v>0</v>
      </c>
      <c r="K392" s="22">
        <v>4925</v>
      </c>
      <c r="L392" s="22">
        <v>3240</v>
      </c>
      <c r="M392" s="23"/>
      <c r="N392" s="1042">
        <v>6731</v>
      </c>
      <c r="O392" s="1061">
        <v>3214</v>
      </c>
      <c r="P392" s="1068"/>
      <c r="Q392" s="1042">
        <f t="shared" si="244"/>
        <v>3000</v>
      </c>
      <c r="R392" s="1061">
        <v>3000</v>
      </c>
      <c r="S392" s="1061"/>
      <c r="T392" s="73">
        <f t="shared" si="245"/>
        <v>3000</v>
      </c>
      <c r="U392" s="1151"/>
      <c r="V392" s="22">
        <v>3000</v>
      </c>
      <c r="W392" s="513" t="s">
        <v>1521</v>
      </c>
      <c r="X392" s="24" t="s">
        <v>171</v>
      </c>
      <c r="Y392" s="22">
        <v>1</v>
      </c>
      <c r="Z392" s="965">
        <f t="shared" si="246"/>
        <v>3000</v>
      </c>
      <c r="AA392" s="1061"/>
      <c r="AB392" s="1061">
        <v>3000</v>
      </c>
      <c r="AC392" s="1107"/>
      <c r="AD392" s="657"/>
      <c r="AE392" s="996">
        <f t="shared" si="250"/>
        <v>3000</v>
      </c>
      <c r="AF392" s="978"/>
      <c r="AG392" s="553"/>
      <c r="AH392" s="553"/>
      <c r="AI392" s="553"/>
    </row>
    <row r="393" spans="1:35" s="25" customFormat="1" ht="25.5">
      <c r="A393" s="17" t="s">
        <v>590</v>
      </c>
      <c r="B393" s="291" t="s">
        <v>192</v>
      </c>
      <c r="C393" s="710" t="s">
        <v>5</v>
      </c>
      <c r="D393" s="19" t="s">
        <v>193</v>
      </c>
      <c r="E393" s="20" t="s">
        <v>154</v>
      </c>
      <c r="F393" s="80" t="s">
        <v>1600</v>
      </c>
      <c r="G393" s="21">
        <v>11416</v>
      </c>
      <c r="H393" s="22">
        <v>4873</v>
      </c>
      <c r="I393" s="42">
        <v>0</v>
      </c>
      <c r="J393" s="42">
        <v>0</v>
      </c>
      <c r="K393" s="22">
        <v>11416</v>
      </c>
      <c r="L393" s="22">
        <v>4873</v>
      </c>
      <c r="M393" s="23"/>
      <c r="N393" s="1042">
        <v>11164</v>
      </c>
      <c r="O393" s="1061">
        <v>7067</v>
      </c>
      <c r="P393" s="1068"/>
      <c r="Q393" s="1042">
        <f t="shared" si="244"/>
        <v>2000</v>
      </c>
      <c r="R393" s="1061">
        <v>2000</v>
      </c>
      <c r="S393" s="1061"/>
      <c r="T393" s="73">
        <f t="shared" si="245"/>
        <v>2000</v>
      </c>
      <c r="U393" s="1151"/>
      <c r="V393" s="1151">
        <v>2000</v>
      </c>
      <c r="W393" s="513" t="s">
        <v>1521</v>
      </c>
      <c r="X393" s="24"/>
      <c r="Y393" s="22">
        <v>1</v>
      </c>
      <c r="Z393" s="965">
        <f t="shared" si="246"/>
        <v>2000</v>
      </c>
      <c r="AA393" s="1061">
        <v>2000</v>
      </c>
      <c r="AB393" s="1061"/>
      <c r="AC393" s="1107"/>
      <c r="AD393" s="657"/>
      <c r="AE393" s="996">
        <f t="shared" si="250"/>
        <v>2000</v>
      </c>
      <c r="AF393" s="978"/>
      <c r="AG393" s="553"/>
      <c r="AH393" s="553"/>
      <c r="AI393" s="553"/>
    </row>
    <row r="394" spans="1:35" s="25" customFormat="1" ht="25.5">
      <c r="A394" s="17" t="s">
        <v>591</v>
      </c>
      <c r="B394" s="291" t="s">
        <v>196</v>
      </c>
      <c r="C394" s="710" t="s">
        <v>5</v>
      </c>
      <c r="D394" s="19" t="s">
        <v>197</v>
      </c>
      <c r="E394" s="20" t="s">
        <v>120</v>
      </c>
      <c r="F394" s="80" t="s">
        <v>1601</v>
      </c>
      <c r="G394" s="21">
        <v>6329</v>
      </c>
      <c r="H394" s="22">
        <v>4316</v>
      </c>
      <c r="I394" s="42">
        <v>0</v>
      </c>
      <c r="J394" s="42">
        <v>0</v>
      </c>
      <c r="K394" s="22">
        <v>6329</v>
      </c>
      <c r="L394" s="22">
        <v>4316</v>
      </c>
      <c r="M394" s="23"/>
      <c r="N394" s="1042">
        <v>6381</v>
      </c>
      <c r="O394" s="1061">
        <v>4372</v>
      </c>
      <c r="P394" s="1068"/>
      <c r="Q394" s="1042">
        <f t="shared" si="244"/>
        <v>2000</v>
      </c>
      <c r="R394" s="1061">
        <v>2000</v>
      </c>
      <c r="S394" s="1061"/>
      <c r="T394" s="73">
        <f t="shared" si="245"/>
        <v>2000</v>
      </c>
      <c r="U394" s="1151"/>
      <c r="V394" s="1151">
        <v>2000</v>
      </c>
      <c r="W394" s="513" t="s">
        <v>1521</v>
      </c>
      <c r="X394" s="24"/>
      <c r="Y394" s="22">
        <v>1</v>
      </c>
      <c r="Z394" s="965">
        <f t="shared" si="246"/>
        <v>2000</v>
      </c>
      <c r="AA394" s="1061">
        <v>2000</v>
      </c>
      <c r="AB394" s="1061"/>
      <c r="AC394" s="1107"/>
      <c r="AD394" s="657"/>
      <c r="AE394" s="996">
        <f t="shared" si="250"/>
        <v>2000</v>
      </c>
      <c r="AF394" s="978"/>
      <c r="AG394" s="553"/>
      <c r="AH394" s="553"/>
      <c r="AI394" s="553"/>
    </row>
    <row r="395" spans="1:35" s="211" customFormat="1" ht="25.5">
      <c r="A395" s="17" t="s">
        <v>916</v>
      </c>
      <c r="B395" s="727" t="s">
        <v>551</v>
      </c>
      <c r="C395" s="1189" t="s">
        <v>143</v>
      </c>
      <c r="D395" s="606" t="s">
        <v>552</v>
      </c>
      <c r="E395" s="307" t="s">
        <v>30</v>
      </c>
      <c r="F395" s="693" t="s">
        <v>553</v>
      </c>
      <c r="G395" s="175">
        <v>4922</v>
      </c>
      <c r="H395" s="175">
        <v>4922</v>
      </c>
      <c r="I395" s="207"/>
      <c r="J395" s="207"/>
      <c r="K395" s="176">
        <v>4500</v>
      </c>
      <c r="L395" s="176">
        <v>4500</v>
      </c>
      <c r="M395" s="207"/>
      <c r="N395" s="1074">
        <v>1790</v>
      </c>
      <c r="O395" s="1074">
        <v>1790</v>
      </c>
      <c r="P395" s="1074"/>
      <c r="Q395" s="1074">
        <v>1790</v>
      </c>
      <c r="R395" s="1074">
        <v>1790</v>
      </c>
      <c r="S395" s="1074"/>
      <c r="T395" s="73">
        <f t="shared" si="245"/>
        <v>1790</v>
      </c>
      <c r="U395" s="316">
        <v>1790</v>
      </c>
      <c r="V395" s="316"/>
      <c r="W395" s="691" t="s">
        <v>1586</v>
      </c>
      <c r="X395" s="24" t="s">
        <v>345</v>
      </c>
      <c r="Y395" s="105">
        <v>1</v>
      </c>
      <c r="Z395" s="965">
        <f t="shared" si="246"/>
        <v>1790</v>
      </c>
      <c r="AA395" s="1074">
        <v>1790</v>
      </c>
      <c r="AB395" s="1074"/>
      <c r="AC395" s="1120"/>
      <c r="AD395" s="657"/>
      <c r="AE395" s="990"/>
      <c r="AF395" s="811"/>
      <c r="AG395" s="560"/>
      <c r="AH395" s="560"/>
      <c r="AI395" s="551"/>
    </row>
    <row r="396" spans="1:35" s="211" customFormat="1" ht="25.5">
      <c r="A396" s="17" t="s">
        <v>919</v>
      </c>
      <c r="B396" s="727" t="s">
        <v>554</v>
      </c>
      <c r="C396" s="1189" t="s">
        <v>5</v>
      </c>
      <c r="D396" s="606" t="s">
        <v>552</v>
      </c>
      <c r="E396" s="307" t="s">
        <v>30</v>
      </c>
      <c r="F396" s="693" t="s">
        <v>555</v>
      </c>
      <c r="G396" s="175">
        <v>4440</v>
      </c>
      <c r="H396" s="175">
        <v>4440</v>
      </c>
      <c r="I396" s="207"/>
      <c r="J396" s="207"/>
      <c r="K396" s="176">
        <v>4000</v>
      </c>
      <c r="L396" s="176">
        <v>4000</v>
      </c>
      <c r="M396" s="207"/>
      <c r="N396" s="1074">
        <v>1614</v>
      </c>
      <c r="O396" s="1074">
        <v>1614</v>
      </c>
      <c r="P396" s="1074"/>
      <c r="Q396" s="1074">
        <v>1614</v>
      </c>
      <c r="R396" s="1074">
        <v>1614</v>
      </c>
      <c r="S396" s="1074"/>
      <c r="T396" s="73">
        <f t="shared" si="245"/>
        <v>1614</v>
      </c>
      <c r="U396" s="316">
        <v>1614</v>
      </c>
      <c r="V396" s="316"/>
      <c r="W396" s="691" t="s">
        <v>1586</v>
      </c>
      <c r="X396" s="24" t="s">
        <v>345</v>
      </c>
      <c r="Y396" s="105">
        <v>1</v>
      </c>
      <c r="Z396" s="965">
        <f t="shared" si="246"/>
        <v>1614</v>
      </c>
      <c r="AA396" s="1074">
        <v>1614</v>
      </c>
      <c r="AB396" s="1074"/>
      <c r="AC396" s="1120"/>
      <c r="AD396" s="657"/>
      <c r="AE396" s="990"/>
      <c r="AF396" s="811"/>
      <c r="AG396" s="560"/>
      <c r="AH396" s="560"/>
      <c r="AI396" s="551"/>
    </row>
    <row r="397" spans="1:35" s="211" customFormat="1">
      <c r="A397" s="17"/>
      <c r="B397" s="765"/>
      <c r="C397" s="712"/>
      <c r="D397" s="17"/>
      <c r="E397" s="891"/>
      <c r="F397" s="712"/>
      <c r="G397" s="17"/>
      <c r="H397" s="17"/>
      <c r="I397" s="17"/>
      <c r="J397" s="17"/>
      <c r="K397" s="17"/>
      <c r="L397" s="17"/>
      <c r="M397" s="17"/>
      <c r="N397" s="1075"/>
      <c r="O397" s="1075"/>
      <c r="P397" s="1075"/>
      <c r="Q397" s="1075"/>
      <c r="R397" s="1075"/>
      <c r="S397" s="1075"/>
      <c r="T397" s="17"/>
      <c r="U397" s="1163"/>
      <c r="V397" s="17"/>
      <c r="W397" s="712"/>
      <c r="X397" s="712"/>
      <c r="Y397" s="906"/>
      <c r="Z397" s="1075"/>
      <c r="AA397" s="1075"/>
      <c r="AB397" s="1075"/>
      <c r="AC397" s="1121"/>
      <c r="AD397" s="657"/>
      <c r="AE397" s="990"/>
      <c r="AF397" s="811"/>
      <c r="AG397" s="560"/>
      <c r="AH397" s="560"/>
      <c r="AI397" s="551"/>
    </row>
    <row r="398" spans="1:35" s="640" customFormat="1" ht="26.25" customHeight="1">
      <c r="A398" s="630" t="s">
        <v>1120</v>
      </c>
      <c r="B398" s="618" t="s">
        <v>1488</v>
      </c>
      <c r="C398" s="690"/>
      <c r="D398" s="625"/>
      <c r="E398" s="626"/>
      <c r="F398" s="690"/>
      <c r="G398" s="621">
        <f t="shared" ref="G398:V398" si="251">G399+G401</f>
        <v>605003</v>
      </c>
      <c r="H398" s="621">
        <f t="shared" si="251"/>
        <v>460003</v>
      </c>
      <c r="I398" s="621">
        <f t="shared" si="251"/>
        <v>175379</v>
      </c>
      <c r="J398" s="621">
        <f t="shared" si="251"/>
        <v>141779</v>
      </c>
      <c r="K398" s="621">
        <f t="shared" si="251"/>
        <v>391090.8</v>
      </c>
      <c r="L398" s="621">
        <f t="shared" si="251"/>
        <v>357146.69999999995</v>
      </c>
      <c r="M398" s="621">
        <f t="shared" si="251"/>
        <v>0</v>
      </c>
      <c r="N398" s="1036">
        <f t="shared" si="251"/>
        <v>138022</v>
      </c>
      <c r="O398" s="1036">
        <f t="shared" si="251"/>
        <v>76620</v>
      </c>
      <c r="P398" s="1036">
        <f t="shared" si="251"/>
        <v>0</v>
      </c>
      <c r="Q398" s="1036">
        <f t="shared" si="251"/>
        <v>57997</v>
      </c>
      <c r="R398" s="1036">
        <f t="shared" si="251"/>
        <v>57997</v>
      </c>
      <c r="S398" s="1036">
        <f t="shared" si="251"/>
        <v>0</v>
      </c>
      <c r="T398" s="621">
        <f t="shared" si="251"/>
        <v>53820</v>
      </c>
      <c r="U398" s="1127">
        <f t="shared" si="251"/>
        <v>53820</v>
      </c>
      <c r="V398" s="621">
        <f t="shared" si="251"/>
        <v>0</v>
      </c>
      <c r="W398" s="684"/>
      <c r="X398" s="743"/>
      <c r="Y398" s="621">
        <f>Y399+Y401</f>
        <v>10</v>
      </c>
      <c r="Z398" s="1036">
        <f t="shared" ref="Z398:AB398" si="252">Z399+Z401</f>
        <v>53500</v>
      </c>
      <c r="AA398" s="1036">
        <f t="shared" si="252"/>
        <v>53500</v>
      </c>
      <c r="AB398" s="1036">
        <f t="shared" si="252"/>
        <v>0</v>
      </c>
      <c r="AC398" s="1084"/>
      <c r="AD398" s="659"/>
      <c r="AE398" s="996"/>
      <c r="AF398" s="988"/>
      <c r="AG398" s="639"/>
      <c r="AH398" s="639"/>
      <c r="AI398" s="639"/>
    </row>
    <row r="399" spans="1:35" s="16" customFormat="1" ht="29.25" customHeight="1">
      <c r="A399" s="11" t="s">
        <v>525</v>
      </c>
      <c r="B399" s="65" t="s">
        <v>26</v>
      </c>
      <c r="C399" s="89"/>
      <c r="D399" s="13"/>
      <c r="E399" s="14"/>
      <c r="F399" s="89"/>
      <c r="G399" s="45">
        <f t="shared" ref="G399:V399" si="253">SUM(G400:G400)</f>
        <v>110000</v>
      </c>
      <c r="H399" s="45">
        <f t="shared" si="253"/>
        <v>10000</v>
      </c>
      <c r="I399" s="45">
        <f t="shared" si="253"/>
        <v>0</v>
      </c>
      <c r="J399" s="45">
        <f t="shared" si="253"/>
        <v>0</v>
      </c>
      <c r="K399" s="45">
        <f t="shared" si="253"/>
        <v>35000</v>
      </c>
      <c r="L399" s="45">
        <f t="shared" si="253"/>
        <v>30000</v>
      </c>
      <c r="M399" s="45">
        <f t="shared" si="253"/>
        <v>0</v>
      </c>
      <c r="N399" s="1037">
        <f t="shared" si="253"/>
        <v>50000</v>
      </c>
      <c r="O399" s="1037">
        <f t="shared" si="253"/>
        <v>0</v>
      </c>
      <c r="P399" s="1037">
        <f t="shared" si="253"/>
        <v>0</v>
      </c>
      <c r="Q399" s="1037">
        <f t="shared" si="253"/>
        <v>500</v>
      </c>
      <c r="R399" s="1037">
        <f t="shared" si="253"/>
        <v>500</v>
      </c>
      <c r="S399" s="1037">
        <f t="shared" si="253"/>
        <v>0</v>
      </c>
      <c r="T399" s="45">
        <f t="shared" si="253"/>
        <v>500</v>
      </c>
      <c r="U399" s="1128">
        <f t="shared" si="253"/>
        <v>500</v>
      </c>
      <c r="V399" s="45">
        <f t="shared" si="253"/>
        <v>0</v>
      </c>
      <c r="W399" s="352"/>
      <c r="X399" s="379"/>
      <c r="Y399" s="45">
        <f>SUM(Y400:Y400)</f>
        <v>1</v>
      </c>
      <c r="Z399" s="1037">
        <f t="shared" ref="Z399:AB399" si="254">SUM(Z400:Z400)</f>
        <v>500</v>
      </c>
      <c r="AA399" s="1037">
        <f t="shared" si="254"/>
        <v>500</v>
      </c>
      <c r="AB399" s="1037">
        <f t="shared" si="254"/>
        <v>0</v>
      </c>
      <c r="AC399" s="1085"/>
      <c r="AD399" s="660"/>
      <c r="AE399" s="996"/>
      <c r="AF399" s="988"/>
      <c r="AG399" s="558"/>
      <c r="AH399" s="558"/>
      <c r="AI399" s="558"/>
    </row>
    <row r="400" spans="1:35" s="25" customFormat="1" ht="51">
      <c r="A400" s="138">
        <v>1</v>
      </c>
      <c r="B400" s="766" t="s">
        <v>1483</v>
      </c>
      <c r="C400" s="713" t="s">
        <v>1435</v>
      </c>
      <c r="D400" s="403" t="s">
        <v>1484</v>
      </c>
      <c r="E400" s="535" t="s">
        <v>355</v>
      </c>
      <c r="F400" s="762" t="s">
        <v>1485</v>
      </c>
      <c r="G400" s="392">
        <v>110000</v>
      </c>
      <c r="H400" s="392">
        <v>10000</v>
      </c>
      <c r="I400" s="392"/>
      <c r="J400" s="392"/>
      <c r="K400" s="392">
        <v>35000</v>
      </c>
      <c r="L400" s="392">
        <v>30000</v>
      </c>
      <c r="M400" s="392"/>
      <c r="N400" s="1076">
        <v>50000</v>
      </c>
      <c r="O400" s="1076"/>
      <c r="P400" s="1068"/>
      <c r="Q400" s="1076">
        <f>+R400</f>
        <v>500</v>
      </c>
      <c r="R400" s="1076">
        <v>500</v>
      </c>
      <c r="S400" s="1053"/>
      <c r="T400" s="73">
        <f>SUM(U400:V400)</f>
        <v>500</v>
      </c>
      <c r="U400" s="1164">
        <v>500</v>
      </c>
      <c r="V400" s="15"/>
      <c r="W400" s="744" t="s">
        <v>1567</v>
      </c>
      <c r="X400" s="24"/>
      <c r="Y400" s="23">
        <v>1</v>
      </c>
      <c r="Z400" s="965">
        <f>SUM(AA400:AB400)</f>
        <v>500</v>
      </c>
      <c r="AA400" s="1076">
        <v>500</v>
      </c>
      <c r="AB400" s="1053"/>
      <c r="AC400" s="1101"/>
      <c r="AD400" s="657"/>
      <c r="AE400" s="996"/>
      <c r="AF400" s="978"/>
      <c r="AG400" s="553"/>
      <c r="AH400" s="553"/>
      <c r="AI400" s="553"/>
    </row>
    <row r="401" spans="1:35" s="353" customFormat="1" ht="26.25" customHeight="1">
      <c r="A401" s="82" t="s">
        <v>499</v>
      </c>
      <c r="B401" s="586" t="s">
        <v>31</v>
      </c>
      <c r="C401" s="352"/>
      <c r="D401" s="350"/>
      <c r="E401" s="351"/>
      <c r="F401" s="352"/>
      <c r="G401" s="45">
        <f t="shared" ref="G401:V401" si="255">SUM(G402,G407,G410)</f>
        <v>495003</v>
      </c>
      <c r="H401" s="45">
        <f t="shared" si="255"/>
        <v>450003</v>
      </c>
      <c r="I401" s="45">
        <f t="shared" si="255"/>
        <v>175379</v>
      </c>
      <c r="J401" s="45">
        <f t="shared" si="255"/>
        <v>141779</v>
      </c>
      <c r="K401" s="45">
        <f t="shared" si="255"/>
        <v>356090.8</v>
      </c>
      <c r="L401" s="45">
        <f t="shared" si="255"/>
        <v>327146.69999999995</v>
      </c>
      <c r="M401" s="45">
        <f t="shared" si="255"/>
        <v>0</v>
      </c>
      <c r="N401" s="1037">
        <f t="shared" si="255"/>
        <v>88022</v>
      </c>
      <c r="O401" s="1037">
        <f t="shared" si="255"/>
        <v>76620</v>
      </c>
      <c r="P401" s="1037">
        <f t="shared" si="255"/>
        <v>0</v>
      </c>
      <c r="Q401" s="1037">
        <f t="shared" si="255"/>
        <v>57497</v>
      </c>
      <c r="R401" s="1037">
        <f t="shared" si="255"/>
        <v>57497</v>
      </c>
      <c r="S401" s="1037">
        <f t="shared" si="255"/>
        <v>0</v>
      </c>
      <c r="T401" s="45">
        <f t="shared" si="255"/>
        <v>53320</v>
      </c>
      <c r="U401" s="1128">
        <f t="shared" si="255"/>
        <v>53320</v>
      </c>
      <c r="V401" s="45">
        <f t="shared" si="255"/>
        <v>0</v>
      </c>
      <c r="W401" s="352"/>
      <c r="X401" s="89"/>
      <c r="Y401" s="45">
        <f>SUM(Y402,Y407,Y410)</f>
        <v>9</v>
      </c>
      <c r="Z401" s="1037">
        <f t="shared" ref="Z401:AB401" si="256">SUM(Z402,Z407,Z410)</f>
        <v>53000</v>
      </c>
      <c r="AA401" s="1037">
        <f t="shared" si="256"/>
        <v>53000</v>
      </c>
      <c r="AB401" s="1037">
        <f t="shared" si="256"/>
        <v>0</v>
      </c>
      <c r="AC401" s="1085"/>
      <c r="AD401" s="660"/>
      <c r="AE401" s="975"/>
      <c r="AF401" s="973"/>
    </row>
    <row r="402" spans="1:35" s="16" customFormat="1" ht="32.25" customHeight="1">
      <c r="A402" s="11" t="s">
        <v>78</v>
      </c>
      <c r="B402" s="65" t="s">
        <v>611</v>
      </c>
      <c r="C402" s="89"/>
      <c r="D402" s="13"/>
      <c r="E402" s="14"/>
      <c r="F402" s="89"/>
      <c r="G402" s="362">
        <f t="shared" ref="G402:V402" si="257">SUM(G403:G406)</f>
        <v>131296</v>
      </c>
      <c r="H402" s="362">
        <f t="shared" si="257"/>
        <v>86296</v>
      </c>
      <c r="I402" s="362">
        <f t="shared" si="257"/>
        <v>95927</v>
      </c>
      <c r="J402" s="362">
        <f t="shared" si="257"/>
        <v>62327</v>
      </c>
      <c r="K402" s="362">
        <f t="shared" si="257"/>
        <v>89283.5</v>
      </c>
      <c r="L402" s="362">
        <f t="shared" si="257"/>
        <v>60339.4</v>
      </c>
      <c r="M402" s="362">
        <f t="shared" si="257"/>
        <v>0</v>
      </c>
      <c r="N402" s="1077">
        <f t="shared" si="257"/>
        <v>33757</v>
      </c>
      <c r="O402" s="1077">
        <f t="shared" si="257"/>
        <v>22355</v>
      </c>
      <c r="P402" s="1077">
        <f t="shared" si="257"/>
        <v>0</v>
      </c>
      <c r="Q402" s="1077">
        <f t="shared" si="257"/>
        <v>20697</v>
      </c>
      <c r="R402" s="1077">
        <f t="shared" si="257"/>
        <v>20697</v>
      </c>
      <c r="S402" s="1077">
        <f t="shared" si="257"/>
        <v>0</v>
      </c>
      <c r="T402" s="362">
        <f t="shared" si="257"/>
        <v>13020</v>
      </c>
      <c r="U402" s="1165">
        <f t="shared" si="257"/>
        <v>13020</v>
      </c>
      <c r="V402" s="362">
        <f t="shared" si="257"/>
        <v>0</v>
      </c>
      <c r="W402" s="740"/>
      <c r="X402" s="379"/>
      <c r="Y402" s="362">
        <f>SUM(Y403:Y406)</f>
        <v>4</v>
      </c>
      <c r="Z402" s="1077">
        <f t="shared" ref="Z402:AB402" si="258">SUM(Z403:Z406)</f>
        <v>12700</v>
      </c>
      <c r="AA402" s="1077">
        <f t="shared" si="258"/>
        <v>12700</v>
      </c>
      <c r="AB402" s="1077">
        <f t="shared" si="258"/>
        <v>0</v>
      </c>
      <c r="AC402" s="1122"/>
      <c r="AD402" s="660"/>
      <c r="AE402" s="996"/>
      <c r="AF402" s="988"/>
      <c r="AG402" s="558"/>
      <c r="AH402" s="558"/>
      <c r="AI402" s="558"/>
    </row>
    <row r="403" spans="1:35" s="16" customFormat="1" ht="51">
      <c r="A403" s="138">
        <v>1</v>
      </c>
      <c r="B403" s="766" t="s">
        <v>1434</v>
      </c>
      <c r="C403" s="713" t="s">
        <v>1435</v>
      </c>
      <c r="D403" s="524" t="s">
        <v>1436</v>
      </c>
      <c r="E403" s="522" t="s">
        <v>1437</v>
      </c>
      <c r="F403" s="713" t="s">
        <v>1438</v>
      </c>
      <c r="G403" s="392">
        <v>70441</v>
      </c>
      <c r="H403" s="392">
        <v>70441</v>
      </c>
      <c r="I403" s="392">
        <v>57327</v>
      </c>
      <c r="J403" s="392">
        <v>57327</v>
      </c>
      <c r="K403" s="392">
        <f>+G403-17327</f>
        <v>53114</v>
      </c>
      <c r="L403" s="392">
        <f>+H403*0.9-17327</f>
        <v>46069.9</v>
      </c>
      <c r="M403" s="15"/>
      <c r="N403" s="1076">
        <f>+O403</f>
        <v>11500</v>
      </c>
      <c r="O403" s="1076">
        <v>11500</v>
      </c>
      <c r="P403" s="1053"/>
      <c r="Q403" s="1076">
        <f>+R403</f>
        <v>11500</v>
      </c>
      <c r="R403" s="1076">
        <v>11500</v>
      </c>
      <c r="S403" s="1053"/>
      <c r="T403" s="73">
        <f>SUM(U403:V403)</f>
        <v>6320</v>
      </c>
      <c r="U403" s="1164">
        <v>6320</v>
      </c>
      <c r="V403" s="15"/>
      <c r="W403" s="744" t="s">
        <v>1567</v>
      </c>
      <c r="X403" s="379"/>
      <c r="Y403" s="651">
        <v>1</v>
      </c>
      <c r="Z403" s="965">
        <f>SUM(AA403:AB403)</f>
        <v>6000</v>
      </c>
      <c r="AA403" s="1076">
        <v>6000</v>
      </c>
      <c r="AB403" s="1053"/>
      <c r="AC403" s="1101"/>
      <c r="AD403" s="660"/>
      <c r="AE403" s="996"/>
      <c r="AF403" s="988"/>
      <c r="AG403" s="558"/>
      <c r="AH403" s="558"/>
      <c r="AI403" s="558"/>
    </row>
    <row r="404" spans="1:35" s="25" customFormat="1" ht="51">
      <c r="A404" s="138">
        <v>2</v>
      </c>
      <c r="B404" s="766" t="s">
        <v>1439</v>
      </c>
      <c r="C404" s="713" t="s">
        <v>1435</v>
      </c>
      <c r="D404" s="403" t="s">
        <v>1440</v>
      </c>
      <c r="E404" s="522" t="s">
        <v>87</v>
      </c>
      <c r="F404" s="713" t="s">
        <v>1441</v>
      </c>
      <c r="G404" s="392">
        <v>49997</v>
      </c>
      <c r="H404" s="392">
        <v>4997</v>
      </c>
      <c r="I404" s="392">
        <v>33600</v>
      </c>
      <c r="J404" s="392"/>
      <c r="K404" s="392">
        <f>+G404*0.9-18600</f>
        <v>26397.300000000003</v>
      </c>
      <c r="L404" s="392">
        <f>+H404*0.9</f>
        <v>4497.3</v>
      </c>
      <c r="M404" s="392"/>
      <c r="N404" s="1076">
        <v>16399</v>
      </c>
      <c r="O404" s="1076">
        <v>4997</v>
      </c>
      <c r="P404" s="1068"/>
      <c r="Q404" s="1076">
        <f>+R404</f>
        <v>4497</v>
      </c>
      <c r="R404" s="1076">
        <v>4497</v>
      </c>
      <c r="S404" s="1068"/>
      <c r="T404" s="73">
        <f>SUM(U404:V404)</f>
        <v>2000</v>
      </c>
      <c r="U404" s="1164">
        <v>2000</v>
      </c>
      <c r="V404" s="15"/>
      <c r="W404" s="744" t="s">
        <v>1567</v>
      </c>
      <c r="X404" s="24"/>
      <c r="Y404" s="651">
        <v>1</v>
      </c>
      <c r="Z404" s="965">
        <f>SUM(AA404:AB404)</f>
        <v>2000</v>
      </c>
      <c r="AA404" s="1076">
        <v>2000</v>
      </c>
      <c r="AB404" s="1053"/>
      <c r="AC404" s="1101"/>
      <c r="AD404" s="657"/>
      <c r="AE404" s="996"/>
      <c r="AF404" s="978"/>
      <c r="AG404" s="553"/>
      <c r="AH404" s="553"/>
      <c r="AI404" s="553"/>
    </row>
    <row r="405" spans="1:35" s="16" customFormat="1" ht="30">
      <c r="A405" s="138">
        <v>3</v>
      </c>
      <c r="B405" s="766" t="s">
        <v>1603</v>
      </c>
      <c r="C405" s="713" t="s">
        <v>43</v>
      </c>
      <c r="D405" s="524">
        <v>2000</v>
      </c>
      <c r="E405" s="522" t="s">
        <v>1443</v>
      </c>
      <c r="F405" s="713" t="s">
        <v>1446</v>
      </c>
      <c r="G405" s="392">
        <v>6518</v>
      </c>
      <c r="H405" s="392">
        <v>6518</v>
      </c>
      <c r="I405" s="392">
        <v>3000</v>
      </c>
      <c r="J405" s="392">
        <v>3000</v>
      </c>
      <c r="K405" s="392">
        <f>+G405*0.9</f>
        <v>5866.2</v>
      </c>
      <c r="L405" s="392">
        <f>+H405*0.9</f>
        <v>5866.2</v>
      </c>
      <c r="M405" s="15"/>
      <c r="N405" s="1076">
        <f>6518-3000</f>
        <v>3518</v>
      </c>
      <c r="O405" s="1076">
        <f>6518-3000</f>
        <v>3518</v>
      </c>
      <c r="P405" s="1053"/>
      <c r="Q405" s="1076">
        <v>2800</v>
      </c>
      <c r="R405" s="1076">
        <v>2800</v>
      </c>
      <c r="S405" s="1053"/>
      <c r="T405" s="73">
        <f>SUM(U405:V405)</f>
        <v>2800</v>
      </c>
      <c r="U405" s="1164">
        <v>2800</v>
      </c>
      <c r="V405" s="15"/>
      <c r="W405" s="744" t="s">
        <v>1567</v>
      </c>
      <c r="X405" s="379"/>
      <c r="Y405" s="651">
        <v>1</v>
      </c>
      <c r="Z405" s="965">
        <f>SUM(AA405:AB405)</f>
        <v>2800</v>
      </c>
      <c r="AA405" s="1076">
        <v>2800</v>
      </c>
      <c r="AB405" s="1053"/>
      <c r="AC405" s="1101"/>
      <c r="AD405" s="660"/>
      <c r="AE405" s="996"/>
      <c r="AF405" s="988"/>
      <c r="AG405" s="558"/>
      <c r="AH405" s="558"/>
      <c r="AI405" s="558"/>
    </row>
    <row r="406" spans="1:35" s="25" customFormat="1" ht="30">
      <c r="A406" s="138">
        <v>4</v>
      </c>
      <c r="B406" s="68" t="s">
        <v>1447</v>
      </c>
      <c r="C406" s="80" t="s">
        <v>29</v>
      </c>
      <c r="D406" s="19" t="s">
        <v>1448</v>
      </c>
      <c r="E406" s="70" t="s">
        <v>30</v>
      </c>
      <c r="F406" s="80" t="s">
        <v>1449</v>
      </c>
      <c r="G406" s="392">
        <v>4340</v>
      </c>
      <c r="H406" s="392">
        <v>4340</v>
      </c>
      <c r="I406" s="392">
        <f>J406</f>
        <v>2000</v>
      </c>
      <c r="J406" s="392">
        <v>2000</v>
      </c>
      <c r="K406" s="392">
        <f>L406</f>
        <v>3906</v>
      </c>
      <c r="L406" s="392">
        <f>H406*0.9</f>
        <v>3906</v>
      </c>
      <c r="M406" s="392"/>
      <c r="N406" s="1076">
        <f>O406</f>
        <v>2340</v>
      </c>
      <c r="O406" s="1076">
        <f>4340-2000</f>
        <v>2340</v>
      </c>
      <c r="P406" s="1076"/>
      <c r="Q406" s="1076">
        <v>1900</v>
      </c>
      <c r="R406" s="1076">
        <v>1900</v>
      </c>
      <c r="S406" s="1076"/>
      <c r="T406" s="73">
        <f>SUM(U406:V406)</f>
        <v>1900</v>
      </c>
      <c r="U406" s="1164">
        <v>1900</v>
      </c>
      <c r="V406" s="15"/>
      <c r="W406" s="744" t="s">
        <v>1568</v>
      </c>
      <c r="X406" s="24"/>
      <c r="Y406" s="958">
        <v>1</v>
      </c>
      <c r="Z406" s="965">
        <f>SUM(AA406:AB406)</f>
        <v>1900</v>
      </c>
      <c r="AA406" s="1076">
        <v>1900</v>
      </c>
      <c r="AB406" s="1053"/>
      <c r="AC406" s="1101"/>
      <c r="AD406" s="657"/>
      <c r="AE406" s="996"/>
      <c r="AF406" s="978"/>
      <c r="AG406" s="553"/>
      <c r="AH406" s="553"/>
      <c r="AI406" s="553"/>
    </row>
    <row r="407" spans="1:35" s="16" customFormat="1" ht="28.5">
      <c r="A407" s="11" t="s">
        <v>116</v>
      </c>
      <c r="B407" s="65" t="s">
        <v>117</v>
      </c>
      <c r="C407" s="89"/>
      <c r="D407" s="13"/>
      <c r="E407" s="14"/>
      <c r="F407" s="89"/>
      <c r="G407" s="362">
        <f t="shared" ref="G407:V407" si="259">SUM(G408:G409)</f>
        <v>199655</v>
      </c>
      <c r="H407" s="362">
        <f t="shared" si="259"/>
        <v>199655</v>
      </c>
      <c r="I407" s="362">
        <f t="shared" si="259"/>
        <v>79252</v>
      </c>
      <c r="J407" s="362">
        <f t="shared" si="259"/>
        <v>79252</v>
      </c>
      <c r="K407" s="362">
        <f t="shared" si="259"/>
        <v>119160.5</v>
      </c>
      <c r="L407" s="362">
        <f t="shared" si="259"/>
        <v>119160.5</v>
      </c>
      <c r="M407" s="362">
        <f t="shared" si="259"/>
        <v>0</v>
      </c>
      <c r="N407" s="1077">
        <f t="shared" si="259"/>
        <v>23400</v>
      </c>
      <c r="O407" s="1077">
        <f t="shared" si="259"/>
        <v>23400</v>
      </c>
      <c r="P407" s="1077">
        <f t="shared" si="259"/>
        <v>0</v>
      </c>
      <c r="Q407" s="1077">
        <f t="shared" si="259"/>
        <v>18300</v>
      </c>
      <c r="R407" s="1077">
        <f t="shared" si="259"/>
        <v>18300</v>
      </c>
      <c r="S407" s="1077">
        <f t="shared" si="259"/>
        <v>0</v>
      </c>
      <c r="T407" s="362">
        <f t="shared" si="259"/>
        <v>18300</v>
      </c>
      <c r="U407" s="1165">
        <f t="shared" si="259"/>
        <v>18300</v>
      </c>
      <c r="V407" s="362">
        <f t="shared" si="259"/>
        <v>0</v>
      </c>
      <c r="W407" s="740"/>
      <c r="X407" s="379"/>
      <c r="Y407" s="362">
        <f>SUM(Y408:Y409)</f>
        <v>2</v>
      </c>
      <c r="Z407" s="1077">
        <f t="shared" ref="Z407:AB407" si="260">SUM(Z408:Z409)</f>
        <v>18300</v>
      </c>
      <c r="AA407" s="1077">
        <f t="shared" si="260"/>
        <v>18300</v>
      </c>
      <c r="AB407" s="1077">
        <f t="shared" si="260"/>
        <v>0</v>
      </c>
      <c r="AC407" s="1122"/>
      <c r="AD407" s="660"/>
      <c r="AE407" s="996"/>
      <c r="AF407" s="988"/>
      <c r="AG407" s="558"/>
      <c r="AH407" s="558"/>
      <c r="AI407" s="558"/>
    </row>
    <row r="408" spans="1:35" s="25" customFormat="1" ht="30">
      <c r="A408" s="529">
        <v>1</v>
      </c>
      <c r="B408" s="287" t="s">
        <v>1450</v>
      </c>
      <c r="C408" s="711" t="s">
        <v>60</v>
      </c>
      <c r="D408" s="41"/>
      <c r="E408" s="523" t="s">
        <v>1451</v>
      </c>
      <c r="F408" s="711" t="s">
        <v>1452</v>
      </c>
      <c r="G408" s="392">
        <v>174945</v>
      </c>
      <c r="H408" s="392">
        <v>174945</v>
      </c>
      <c r="I408" s="392">
        <v>75552</v>
      </c>
      <c r="J408" s="392">
        <v>75552</v>
      </c>
      <c r="K408" s="392">
        <f>174945*0.9-63000</f>
        <v>94450.5</v>
      </c>
      <c r="L408" s="392">
        <f>174945*0.9-63000</f>
        <v>94450.5</v>
      </c>
      <c r="M408" s="23"/>
      <c r="N408" s="1076">
        <f>+O408</f>
        <v>15000</v>
      </c>
      <c r="O408" s="1076">
        <v>15000</v>
      </c>
      <c r="P408" s="1068"/>
      <c r="Q408" s="1076">
        <f>+R408</f>
        <v>10000</v>
      </c>
      <c r="R408" s="1076">
        <v>10000</v>
      </c>
      <c r="S408" s="1068"/>
      <c r="T408" s="73">
        <f>SUM(U408:V408)</f>
        <v>10000</v>
      </c>
      <c r="U408" s="1164">
        <v>10000</v>
      </c>
      <c r="V408" s="15"/>
      <c r="W408" s="761" t="s">
        <v>1567</v>
      </c>
      <c r="X408" s="24"/>
      <c r="Y408" s="23">
        <v>1</v>
      </c>
      <c r="Z408" s="965">
        <f>SUM(AA408:AB408)</f>
        <v>10000</v>
      </c>
      <c r="AA408" s="1076">
        <v>10000</v>
      </c>
      <c r="AB408" s="1053"/>
      <c r="AC408" s="1101"/>
      <c r="AD408" s="714"/>
      <c r="AE408" s="996"/>
      <c r="AF408" s="978"/>
      <c r="AG408" s="553"/>
      <c r="AH408" s="553"/>
      <c r="AI408" s="553"/>
    </row>
    <row r="409" spans="1:35" s="25" customFormat="1" ht="30">
      <c r="A409" s="529">
        <v>2</v>
      </c>
      <c r="B409" s="68" t="s">
        <v>1457</v>
      </c>
      <c r="C409" s="80" t="s">
        <v>173</v>
      </c>
      <c r="D409" s="19"/>
      <c r="E409" s="70" t="s">
        <v>30</v>
      </c>
      <c r="F409" s="80" t="s">
        <v>1458</v>
      </c>
      <c r="G409" s="392">
        <f>H409</f>
        <v>24710</v>
      </c>
      <c r="H409" s="392">
        <v>24710</v>
      </c>
      <c r="I409" s="392">
        <f>J409</f>
        <v>3700</v>
      </c>
      <c r="J409" s="392">
        <v>3700</v>
      </c>
      <c r="K409" s="392">
        <f>L409</f>
        <v>24710</v>
      </c>
      <c r="L409" s="392">
        <v>24710</v>
      </c>
      <c r="M409" s="392"/>
      <c r="N409" s="1076">
        <f>+O409</f>
        <v>8400</v>
      </c>
      <c r="O409" s="1076">
        <v>8400</v>
      </c>
      <c r="P409" s="1076"/>
      <c r="Q409" s="1076">
        <f>+R409</f>
        <v>8300</v>
      </c>
      <c r="R409" s="1076">
        <v>8300</v>
      </c>
      <c r="S409" s="1076"/>
      <c r="T409" s="73">
        <f>SUM(U409:V409)</f>
        <v>8300</v>
      </c>
      <c r="U409" s="1164">
        <v>8300</v>
      </c>
      <c r="V409" s="392"/>
      <c r="W409" s="744" t="s">
        <v>1568</v>
      </c>
      <c r="X409" s="24"/>
      <c r="Y409" s="392">
        <v>1</v>
      </c>
      <c r="Z409" s="965">
        <f>SUM(AA409:AB409)</f>
        <v>8300</v>
      </c>
      <c r="AA409" s="1076">
        <v>8300</v>
      </c>
      <c r="AB409" s="1076"/>
      <c r="AC409" s="1123"/>
      <c r="AD409" s="657"/>
      <c r="AE409" s="996"/>
      <c r="AF409" s="978"/>
      <c r="AG409" s="553"/>
      <c r="AH409" s="553"/>
      <c r="AI409" s="553"/>
    </row>
    <row r="410" spans="1:35" s="16" customFormat="1" ht="15.75">
      <c r="A410" s="11" t="s">
        <v>150</v>
      </c>
      <c r="B410" s="65" t="s">
        <v>151</v>
      </c>
      <c r="C410" s="89"/>
      <c r="D410" s="13"/>
      <c r="E410" s="14"/>
      <c r="F410" s="89"/>
      <c r="G410" s="45">
        <f t="shared" ref="G410:V410" si="261">SUM(G411:G413)</f>
        <v>164052</v>
      </c>
      <c r="H410" s="45">
        <f t="shared" si="261"/>
        <v>164052</v>
      </c>
      <c r="I410" s="45">
        <f t="shared" si="261"/>
        <v>200</v>
      </c>
      <c r="J410" s="45">
        <f t="shared" si="261"/>
        <v>200</v>
      </c>
      <c r="K410" s="45">
        <f t="shared" si="261"/>
        <v>147646.79999999999</v>
      </c>
      <c r="L410" s="45">
        <f t="shared" si="261"/>
        <v>147646.79999999999</v>
      </c>
      <c r="M410" s="45">
        <f t="shared" si="261"/>
        <v>0</v>
      </c>
      <c r="N410" s="1037">
        <f t="shared" si="261"/>
        <v>30865</v>
      </c>
      <c r="O410" s="1037">
        <f t="shared" si="261"/>
        <v>30865</v>
      </c>
      <c r="P410" s="1037">
        <f t="shared" si="261"/>
        <v>0</v>
      </c>
      <c r="Q410" s="1037">
        <f t="shared" si="261"/>
        <v>18500</v>
      </c>
      <c r="R410" s="1037">
        <f t="shared" si="261"/>
        <v>18500</v>
      </c>
      <c r="S410" s="1037">
        <f t="shared" si="261"/>
        <v>0</v>
      </c>
      <c r="T410" s="45">
        <f t="shared" si="261"/>
        <v>22000</v>
      </c>
      <c r="U410" s="1128">
        <f t="shared" si="261"/>
        <v>22000</v>
      </c>
      <c r="V410" s="45">
        <f t="shared" si="261"/>
        <v>0</v>
      </c>
      <c r="W410" s="352"/>
      <c r="X410" s="379"/>
      <c r="Y410" s="45">
        <f>SUM(Y411:Y413)</f>
        <v>3</v>
      </c>
      <c r="Z410" s="1037">
        <f>SUM(Z411:Z413)</f>
        <v>22000</v>
      </c>
      <c r="AA410" s="1037">
        <f>SUM(AA411:AA413)</f>
        <v>22000</v>
      </c>
      <c r="AB410" s="1037">
        <f>SUM(AB411:AB413)</f>
        <v>0</v>
      </c>
      <c r="AC410" s="1085"/>
      <c r="AD410" s="660"/>
      <c r="AE410" s="996"/>
      <c r="AF410" s="988"/>
      <c r="AG410" s="558"/>
      <c r="AH410" s="558"/>
      <c r="AI410" s="558"/>
    </row>
    <row r="411" spans="1:35" s="5" customFormat="1" ht="25.5">
      <c r="A411" s="138">
        <v>1</v>
      </c>
      <c r="B411" s="766" t="s">
        <v>1459</v>
      </c>
      <c r="C411" s="713" t="s">
        <v>260</v>
      </c>
      <c r="D411" s="403">
        <v>10000</v>
      </c>
      <c r="E411" s="535" t="s">
        <v>355</v>
      </c>
      <c r="F411" s="693" t="s">
        <v>1665</v>
      </c>
      <c r="G411" s="72">
        <v>109497</v>
      </c>
      <c r="H411" s="72">
        <v>109497</v>
      </c>
      <c r="I411" s="72"/>
      <c r="J411" s="72"/>
      <c r="K411" s="72">
        <f>+G411*0.9</f>
        <v>98547.3</v>
      </c>
      <c r="L411" s="72">
        <f>+H411*0.9</f>
        <v>98547.3</v>
      </c>
      <c r="M411" s="72"/>
      <c r="N411" s="1035">
        <f>+O411</f>
        <v>10000</v>
      </c>
      <c r="O411" s="1035">
        <v>10000</v>
      </c>
      <c r="P411" s="1035"/>
      <c r="Q411" s="1035">
        <f>+R411</f>
        <v>500</v>
      </c>
      <c r="R411" s="1035">
        <v>500</v>
      </c>
      <c r="S411" s="1035"/>
      <c r="T411" s="73">
        <f>SUM(U411:V411)</f>
        <v>10000</v>
      </c>
      <c r="U411" s="1137">
        <v>10000</v>
      </c>
      <c r="V411" s="72"/>
      <c r="W411" s="878" t="s">
        <v>1567</v>
      </c>
      <c r="X411" s="80"/>
      <c r="Y411" s="72">
        <v>1</v>
      </c>
      <c r="Z411" s="965">
        <f>SUM(AA411:AB411)</f>
        <v>10000</v>
      </c>
      <c r="AA411" s="1035">
        <v>10000</v>
      </c>
      <c r="AB411" s="1035"/>
      <c r="AC411" s="1082"/>
      <c r="AD411" s="657"/>
      <c r="AE411" s="975"/>
      <c r="AF411" s="875"/>
    </row>
    <row r="412" spans="1:35" s="5" customFormat="1" ht="45">
      <c r="A412" s="138">
        <v>2</v>
      </c>
      <c r="B412" s="68" t="s">
        <v>1461</v>
      </c>
      <c r="C412" s="1031" t="s">
        <v>278</v>
      </c>
      <c r="D412" s="635"/>
      <c r="E412" s="44" t="s">
        <v>355</v>
      </c>
      <c r="F412" s="878" t="s">
        <v>1462</v>
      </c>
      <c r="G412" s="72">
        <f>H412</f>
        <v>49590</v>
      </c>
      <c r="H412" s="72">
        <v>49590</v>
      </c>
      <c r="I412" s="72">
        <f>J412</f>
        <v>100</v>
      </c>
      <c r="J412" s="72">
        <v>100</v>
      </c>
      <c r="K412" s="72">
        <f>L412</f>
        <v>44631</v>
      </c>
      <c r="L412" s="72">
        <f>H412*90%</f>
        <v>44631</v>
      </c>
      <c r="M412" s="72">
        <v>0</v>
      </c>
      <c r="N412" s="1035">
        <f>O412</f>
        <v>16000</v>
      </c>
      <c r="O412" s="1035">
        <v>16000</v>
      </c>
      <c r="P412" s="1035"/>
      <c r="Q412" s="1035">
        <f>R412</f>
        <v>16000</v>
      </c>
      <c r="R412" s="1035">
        <v>16000</v>
      </c>
      <c r="S412" s="1035"/>
      <c r="T412" s="73">
        <f t="shared" ref="T412:T413" si="262">SUM(U412:V412)</f>
        <v>10000</v>
      </c>
      <c r="U412" s="1137">
        <v>10000</v>
      </c>
      <c r="V412" s="72"/>
      <c r="W412" s="878" t="s">
        <v>1568</v>
      </c>
      <c r="X412" s="80"/>
      <c r="Y412" s="72">
        <v>1</v>
      </c>
      <c r="Z412" s="965">
        <f t="shared" ref="Z412:Z413" si="263">SUM(AA412:AB412)</f>
        <v>10000</v>
      </c>
      <c r="AA412" s="1035">
        <v>10000</v>
      </c>
      <c r="AB412" s="1035"/>
      <c r="AC412" s="1082"/>
      <c r="AD412" s="657"/>
      <c r="AE412" s="975"/>
      <c r="AF412" s="875"/>
    </row>
    <row r="413" spans="1:35" s="5" customFormat="1" ht="25.5">
      <c r="A413" s="138">
        <v>3</v>
      </c>
      <c r="B413" s="68" t="s">
        <v>1469</v>
      </c>
      <c r="C413" s="1031" t="s">
        <v>278</v>
      </c>
      <c r="D413" s="635"/>
      <c r="E413" s="44" t="s">
        <v>355</v>
      </c>
      <c r="F413" s="878" t="s">
        <v>1589</v>
      </c>
      <c r="G413" s="72">
        <v>4965</v>
      </c>
      <c r="H413" s="72">
        <v>4965</v>
      </c>
      <c r="I413" s="72">
        <f>J413</f>
        <v>100</v>
      </c>
      <c r="J413" s="72">
        <v>100</v>
      </c>
      <c r="K413" s="72">
        <f>L413</f>
        <v>4468.5</v>
      </c>
      <c r="L413" s="72">
        <f>H413*90%</f>
        <v>4468.5</v>
      </c>
      <c r="M413" s="72"/>
      <c r="N413" s="1035">
        <f>O413</f>
        <v>4865</v>
      </c>
      <c r="O413" s="1035">
        <v>4865</v>
      </c>
      <c r="P413" s="1035"/>
      <c r="Q413" s="1035">
        <f>R413</f>
        <v>2000</v>
      </c>
      <c r="R413" s="1035">
        <v>2000</v>
      </c>
      <c r="S413" s="1035"/>
      <c r="T413" s="73">
        <f t="shared" si="262"/>
        <v>2000</v>
      </c>
      <c r="U413" s="1137">
        <v>2000</v>
      </c>
      <c r="V413" s="72"/>
      <c r="W413" s="878" t="s">
        <v>1568</v>
      </c>
      <c r="X413" s="80"/>
      <c r="Y413" s="72">
        <v>1</v>
      </c>
      <c r="Z413" s="965">
        <f t="shared" si="263"/>
        <v>2000</v>
      </c>
      <c r="AA413" s="1035">
        <v>2000</v>
      </c>
      <c r="AB413" s="1035"/>
      <c r="AC413" s="1082"/>
      <c r="AD413" s="657"/>
      <c r="AE413" s="975"/>
      <c r="AF413" s="875"/>
    </row>
    <row r="414" spans="1:35" s="5" customFormat="1" ht="15.75">
      <c r="A414" s="138"/>
      <c r="B414" s="68"/>
      <c r="C414" s="1031"/>
      <c r="D414" s="635"/>
      <c r="E414" s="44"/>
      <c r="F414" s="762"/>
      <c r="G414" s="72"/>
      <c r="H414" s="72"/>
      <c r="I414" s="72"/>
      <c r="J414" s="72"/>
      <c r="K414" s="72"/>
      <c r="L414" s="72"/>
      <c r="M414" s="72"/>
      <c r="N414" s="1035"/>
      <c r="O414" s="1035"/>
      <c r="P414" s="1035"/>
      <c r="Q414" s="1035"/>
      <c r="R414" s="1035"/>
      <c r="S414" s="1035"/>
      <c r="T414" s="72"/>
      <c r="U414" s="1137"/>
      <c r="V414" s="72"/>
      <c r="W414" s="744"/>
      <c r="X414" s="80"/>
      <c r="Y414" s="72"/>
      <c r="Z414" s="1035"/>
      <c r="AA414" s="1035"/>
      <c r="AB414" s="1035"/>
      <c r="AC414" s="1082"/>
      <c r="AD414" s="657"/>
      <c r="AE414" s="975"/>
      <c r="AF414" s="875"/>
    </row>
    <row r="415" spans="1:35" s="640" customFormat="1" ht="25.5" customHeight="1">
      <c r="A415" s="630" t="s">
        <v>1471</v>
      </c>
      <c r="B415" s="618" t="s">
        <v>1489</v>
      </c>
      <c r="C415" s="690"/>
      <c r="D415" s="625"/>
      <c r="E415" s="626"/>
      <c r="F415" s="690"/>
      <c r="G415" s="621"/>
      <c r="H415" s="621"/>
      <c r="I415" s="621"/>
      <c r="J415" s="621"/>
      <c r="K415" s="621">
        <v>15000</v>
      </c>
      <c r="L415" s="621">
        <v>15000</v>
      </c>
      <c r="M415" s="621"/>
      <c r="N415" s="1036">
        <f>+O415</f>
        <v>3500</v>
      </c>
      <c r="O415" s="1036">
        <v>3500</v>
      </c>
      <c r="P415" s="1036"/>
      <c r="Q415" s="1036">
        <f>SUM(R415:S415)</f>
        <v>3500</v>
      </c>
      <c r="R415" s="1036">
        <v>1500</v>
      </c>
      <c r="S415" s="1036">
        <v>2000</v>
      </c>
      <c r="T415" s="621">
        <f t="shared" ref="T415" si="264">SUM(U415:V415)</f>
        <v>3500</v>
      </c>
      <c r="U415" s="1127">
        <v>1500</v>
      </c>
      <c r="V415" s="621">
        <v>2000</v>
      </c>
      <c r="W415" s="1006" t="s">
        <v>1519</v>
      </c>
      <c r="X415" s="1215" t="s">
        <v>1726</v>
      </c>
      <c r="Y415" s="621"/>
      <c r="Z415" s="1036">
        <f t="shared" ref="Z415" si="265">SUM(AA415:AB415)</f>
        <v>3500</v>
      </c>
      <c r="AA415" s="1036">
        <v>1500</v>
      </c>
      <c r="AB415" s="1036">
        <v>2000</v>
      </c>
      <c r="AC415" s="1084"/>
      <c r="AD415" s="659"/>
      <c r="AE415" s="1007"/>
      <c r="AF415" s="639"/>
      <c r="AG415" s="639"/>
      <c r="AH415" s="639"/>
      <c r="AI415" s="639"/>
    </row>
    <row r="416" spans="1:35" s="640" customFormat="1" ht="28.5">
      <c r="A416" s="630" t="s">
        <v>1499</v>
      </c>
      <c r="B416" s="618" t="s">
        <v>1734</v>
      </c>
      <c r="C416" s="690"/>
      <c r="D416" s="625"/>
      <c r="E416" s="626"/>
      <c r="F416" s="690"/>
      <c r="G416" s="621"/>
      <c r="H416" s="621"/>
      <c r="I416" s="621"/>
      <c r="J416" s="621"/>
      <c r="K416" s="621">
        <v>270492</v>
      </c>
      <c r="L416" s="621">
        <v>270492</v>
      </c>
      <c r="M416" s="621"/>
      <c r="N416" s="1036">
        <f>+O416</f>
        <v>76711</v>
      </c>
      <c r="O416" s="1036">
        <v>76711</v>
      </c>
      <c r="P416" s="1036"/>
      <c r="Q416" s="1036">
        <f>SUM(R416:S416)</f>
        <v>76711</v>
      </c>
      <c r="R416" s="1036">
        <v>30851</v>
      </c>
      <c r="S416" s="1036">
        <v>45860</v>
      </c>
      <c r="T416" s="621">
        <f>SUM(U416:V416)</f>
        <v>76711</v>
      </c>
      <c r="U416" s="1127">
        <v>40719</v>
      </c>
      <c r="V416" s="621">
        <v>35992</v>
      </c>
      <c r="W416" s="1006" t="s">
        <v>1519</v>
      </c>
      <c r="X416" s="1216"/>
      <c r="Y416" s="621"/>
      <c r="Z416" s="1036">
        <f>SUM(AA416:AB416)</f>
        <v>76711</v>
      </c>
      <c r="AA416" s="1036">
        <v>30969</v>
      </c>
      <c r="AB416" s="1036">
        <v>45742</v>
      </c>
      <c r="AC416" s="1084"/>
      <c r="AD416" s="659"/>
      <c r="AE416" s="1007"/>
      <c r="AF416" s="639"/>
      <c r="AG416" s="639"/>
      <c r="AH416" s="639"/>
      <c r="AI416" s="639"/>
    </row>
    <row r="417" spans="1:35" s="16" customFormat="1" ht="15.75">
      <c r="A417" s="46"/>
      <c r="B417" s="293"/>
      <c r="C417" s="50"/>
      <c r="D417" s="48"/>
      <c r="E417" s="48"/>
      <c r="F417" s="50"/>
      <c r="G417" s="49"/>
      <c r="H417" s="49"/>
      <c r="I417" s="49"/>
      <c r="J417" s="49"/>
      <c r="K417" s="49"/>
      <c r="L417" s="49"/>
      <c r="M417" s="49"/>
      <c r="N417" s="1078"/>
      <c r="O417" s="1078"/>
      <c r="P417" s="1078"/>
      <c r="Q417" s="1078"/>
      <c r="R417" s="1078"/>
      <c r="S417" s="1078"/>
      <c r="T417" s="49"/>
      <c r="U417" s="1166"/>
      <c r="V417" s="49"/>
      <c r="W417" s="50"/>
      <c r="X417" s="50"/>
      <c r="Y417" s="49"/>
      <c r="Z417" s="1078"/>
      <c r="AA417" s="1078"/>
      <c r="AB417" s="1078"/>
      <c r="AC417" s="1124"/>
      <c r="AD417" s="660"/>
      <c r="AE417" s="996"/>
      <c r="AF417" s="988"/>
      <c r="AG417" s="558"/>
      <c r="AH417" s="558"/>
      <c r="AI417" s="558"/>
    </row>
  </sheetData>
  <autoFilter ref="A11:X417"/>
  <mergeCells count="47">
    <mergeCell ref="A1:X1"/>
    <mergeCell ref="A2:X2"/>
    <mergeCell ref="A4:X4"/>
    <mergeCell ref="A5:X5"/>
    <mergeCell ref="X6:X10"/>
    <mergeCell ref="I9:I10"/>
    <mergeCell ref="J9:J10"/>
    <mergeCell ref="L9:L10"/>
    <mergeCell ref="M9:M10"/>
    <mergeCell ref="O9:O10"/>
    <mergeCell ref="N8:N10"/>
    <mergeCell ref="O8:P8"/>
    <mergeCell ref="A3:X3"/>
    <mergeCell ref="Q8:Q10"/>
    <mergeCell ref="R8:S8"/>
    <mergeCell ref="P9:P10"/>
    <mergeCell ref="A6:A10"/>
    <mergeCell ref="B6:B10"/>
    <mergeCell ref="C6:C10"/>
    <mergeCell ref="D6:D10"/>
    <mergeCell ref="E6:E10"/>
    <mergeCell ref="G8:G10"/>
    <mergeCell ref="W6:W10"/>
    <mergeCell ref="F7:F10"/>
    <mergeCell ref="G7:H7"/>
    <mergeCell ref="F6:H6"/>
    <mergeCell ref="I6:J8"/>
    <mergeCell ref="K6:M7"/>
    <mergeCell ref="X415:X416"/>
    <mergeCell ref="Y6:Y10"/>
    <mergeCell ref="L8:M8"/>
    <mergeCell ref="S9:S10"/>
    <mergeCell ref="H8:H10"/>
    <mergeCell ref="K8:K10"/>
    <mergeCell ref="T6:V7"/>
    <mergeCell ref="T8:T10"/>
    <mergeCell ref="U8:V8"/>
    <mergeCell ref="U9:U10"/>
    <mergeCell ref="V9:V10"/>
    <mergeCell ref="N6:P7"/>
    <mergeCell ref="R9:R10"/>
    <mergeCell ref="Q6:S7"/>
    <mergeCell ref="Z6:AB7"/>
    <mergeCell ref="Z8:Z10"/>
    <mergeCell ref="AA8:AB8"/>
    <mergeCell ref="AA9:AA10"/>
    <mergeCell ref="AB9:AB10"/>
  </mergeCells>
  <printOptions horizontalCentered="1"/>
  <pageMargins left="0" right="0" top="0.39370078740157499" bottom="0.35" header="0.2" footer="0.2"/>
  <pageSetup paperSize="9" scale="65" fitToHeight="0" orientation="landscape" useFirstPageNumber="1" r:id="rId1"/>
  <headerFooter>
    <oddFooter>&amp;R&amp;12&amp;P</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S427"/>
  <sheetViews>
    <sheetView topLeftCell="A6" zoomScale="85" zoomScaleNormal="85" zoomScalePageLayoutView="85" workbookViewId="0">
      <pane xSplit="2" ySplit="8" topLeftCell="C395" activePane="bottomRight" state="frozen"/>
      <selection activeCell="A6" sqref="A6"/>
      <selection pane="topRight" activeCell="C6" sqref="C6"/>
      <selection pane="bottomLeft" activeCell="A14" sqref="A14"/>
      <selection pane="bottomRight" activeCell="J401" sqref="J401"/>
    </sheetView>
  </sheetViews>
  <sheetFormatPr defaultColWidth="9.140625" defaultRowHeight="18.75"/>
  <cols>
    <col min="1" max="1" width="6" style="279" customWidth="1"/>
    <col min="2" max="2" width="41.7109375" style="294" customWidth="1"/>
    <col min="3" max="3" width="5.5703125" style="55" customWidth="1"/>
    <col min="4" max="4" width="14.140625" style="55" customWidth="1"/>
    <col min="5" max="5" width="10.28515625" style="55" customWidth="1"/>
    <col min="6" max="6" width="15.7109375" style="54" customWidth="1"/>
    <col min="7" max="8" width="11.7109375" style="317" customWidth="1"/>
    <col min="9" max="9" width="10.5703125" style="317" customWidth="1"/>
    <col min="10" max="10" width="10.42578125" style="317" customWidth="1"/>
    <col min="11" max="11" width="11.5703125" style="317" customWidth="1"/>
    <col min="12" max="12" width="10.7109375" style="317" customWidth="1"/>
    <col min="13" max="13" width="6.140625" style="317" customWidth="1"/>
    <col min="14" max="14" width="11.140625" style="317" customWidth="1"/>
    <col min="15" max="15" width="11" style="317" customWidth="1"/>
    <col min="16" max="16" width="7.140625" style="317" customWidth="1"/>
    <col min="17" max="17" width="11.140625" style="874" hidden="1" customWidth="1"/>
    <col min="18" max="18" width="10.42578125" style="874" hidden="1" customWidth="1"/>
    <col min="19" max="19" width="8.85546875" style="874" hidden="1" customWidth="1"/>
    <col min="20" max="20" width="10.7109375" style="317" customWidth="1"/>
    <col min="21" max="21" width="8.7109375" style="317" customWidth="1"/>
    <col min="22" max="22" width="10.85546875" style="317" customWidth="1"/>
    <col min="23" max="23" width="11.140625" style="54" customWidth="1"/>
    <col min="24" max="24" width="13.140625" style="54" customWidth="1"/>
    <col min="25" max="25" width="5.42578125" style="317" customWidth="1"/>
    <col min="26" max="26" width="20.140625" style="657" customWidth="1"/>
    <col min="27" max="27" width="9.42578125" style="990" customWidth="1"/>
    <col min="28" max="28" width="6.28515625" style="811" customWidth="1"/>
    <col min="29" max="31" width="9.140625" style="551"/>
    <col min="32" max="16384" width="9.140625" style="2"/>
  </cols>
  <sheetData>
    <row r="1" spans="1:31" s="1" customFormat="1" ht="20.25">
      <c r="A1" s="1225"/>
      <c r="B1" s="1225"/>
      <c r="C1" s="1225"/>
      <c r="D1" s="1225"/>
      <c r="E1" s="1225"/>
      <c r="F1" s="1225"/>
      <c r="G1" s="1225"/>
      <c r="H1" s="1225"/>
      <c r="I1" s="1225"/>
      <c r="J1" s="1225"/>
      <c r="K1" s="1225"/>
      <c r="L1" s="1225"/>
      <c r="M1" s="1225"/>
      <c r="N1" s="1225"/>
      <c r="O1" s="1225"/>
      <c r="P1" s="1225"/>
      <c r="Q1" s="1225"/>
      <c r="R1" s="1225"/>
      <c r="S1" s="1225"/>
      <c r="T1" s="1225"/>
      <c r="U1" s="1225"/>
      <c r="V1" s="1225"/>
      <c r="W1" s="1225"/>
      <c r="X1" s="1225"/>
      <c r="Y1" s="902"/>
      <c r="Z1" s="657"/>
      <c r="AA1" s="991"/>
      <c r="AB1" s="970"/>
      <c r="AC1" s="550"/>
      <c r="AD1" s="550"/>
      <c r="AE1" s="550"/>
    </row>
    <row r="2" spans="1:31" ht="26.45" customHeight="1">
      <c r="A2" s="1226" t="s">
        <v>1206</v>
      </c>
      <c r="B2" s="1226"/>
      <c r="C2" s="1226"/>
      <c r="D2" s="1226"/>
      <c r="E2" s="1226"/>
      <c r="F2" s="1226"/>
      <c r="G2" s="1226"/>
      <c r="H2" s="1226"/>
      <c r="I2" s="1226"/>
      <c r="J2" s="1226"/>
      <c r="K2" s="1226"/>
      <c r="L2" s="1226"/>
      <c r="M2" s="1226"/>
      <c r="N2" s="1226"/>
      <c r="O2" s="1226"/>
      <c r="P2" s="1226"/>
      <c r="Q2" s="1226"/>
      <c r="R2" s="1226"/>
      <c r="S2" s="1226"/>
      <c r="T2" s="1226"/>
      <c r="U2" s="1226"/>
      <c r="V2" s="1226"/>
      <c r="W2" s="1226"/>
      <c r="X2" s="1226"/>
      <c r="Y2" s="903"/>
    </row>
    <row r="3" spans="1:31" ht="26.45" customHeight="1">
      <c r="A3" s="1225" t="s">
        <v>1205</v>
      </c>
      <c r="B3" s="1225"/>
      <c r="C3" s="1225"/>
      <c r="D3" s="1225"/>
      <c r="E3" s="1225"/>
      <c r="F3" s="1225"/>
      <c r="G3" s="1225"/>
      <c r="H3" s="1225"/>
      <c r="I3" s="1225"/>
      <c r="J3" s="1225"/>
      <c r="K3" s="1225"/>
      <c r="L3" s="1225"/>
      <c r="M3" s="1225"/>
      <c r="N3" s="1225"/>
      <c r="O3" s="1225"/>
      <c r="P3" s="1225"/>
      <c r="Q3" s="1225"/>
      <c r="R3" s="1225"/>
      <c r="S3" s="1225"/>
      <c r="T3" s="1225"/>
      <c r="U3" s="1225"/>
      <c r="V3" s="1225"/>
      <c r="W3" s="1225"/>
      <c r="X3" s="1225"/>
      <c r="Y3" s="902"/>
    </row>
    <row r="4" spans="1:31" ht="30" customHeight="1">
      <c r="A4" s="1227" t="s">
        <v>1725</v>
      </c>
      <c r="B4" s="1227"/>
      <c r="C4" s="1227"/>
      <c r="D4" s="1227"/>
      <c r="E4" s="1227"/>
      <c r="F4" s="1227"/>
      <c r="G4" s="1227"/>
      <c r="H4" s="1227"/>
      <c r="I4" s="1227"/>
      <c r="J4" s="1227"/>
      <c r="K4" s="1227"/>
      <c r="L4" s="1227"/>
      <c r="M4" s="1227"/>
      <c r="N4" s="1227"/>
      <c r="O4" s="1227"/>
      <c r="P4" s="1227"/>
      <c r="Q4" s="1227"/>
      <c r="R4" s="1227"/>
      <c r="S4" s="1227"/>
      <c r="T4" s="1227"/>
      <c r="U4" s="1227"/>
      <c r="V4" s="1227"/>
      <c r="W4" s="1227"/>
      <c r="X4" s="1227"/>
      <c r="Y4" s="904"/>
    </row>
    <row r="5" spans="1:31" ht="20.25">
      <c r="A5" s="1228" t="s">
        <v>4</v>
      </c>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011"/>
    </row>
    <row r="6" spans="1:31" s="1013" customFormat="1" ht="33" customHeight="1">
      <c r="A6" s="1223" t="s">
        <v>5</v>
      </c>
      <c r="B6" s="1223" t="s">
        <v>6</v>
      </c>
      <c r="C6" s="1223" t="s">
        <v>7</v>
      </c>
      <c r="D6" s="1223" t="s">
        <v>8</v>
      </c>
      <c r="E6" s="1224" t="s">
        <v>9</v>
      </c>
      <c r="F6" s="1220" t="s">
        <v>10</v>
      </c>
      <c r="G6" s="1220"/>
      <c r="H6" s="1220"/>
      <c r="I6" s="1220" t="s">
        <v>12</v>
      </c>
      <c r="J6" s="1220"/>
      <c r="K6" s="1223" t="s">
        <v>13</v>
      </c>
      <c r="L6" s="1223"/>
      <c r="M6" s="1223"/>
      <c r="N6" s="1220" t="s">
        <v>1595</v>
      </c>
      <c r="O6" s="1220"/>
      <c r="P6" s="1220"/>
      <c r="Q6" s="1232" t="s">
        <v>202</v>
      </c>
      <c r="R6" s="1232"/>
      <c r="S6" s="1232"/>
      <c r="T6" s="1220" t="s">
        <v>1593</v>
      </c>
      <c r="U6" s="1220"/>
      <c r="V6" s="1220"/>
      <c r="W6" s="1222" t="s">
        <v>1487</v>
      </c>
      <c r="X6" s="1229" t="s">
        <v>15</v>
      </c>
      <c r="Y6" s="1217" t="s">
        <v>1126</v>
      </c>
      <c r="Z6" s="657"/>
      <c r="AA6" s="992"/>
      <c r="AB6" s="971"/>
      <c r="AC6" s="549"/>
      <c r="AD6" s="549"/>
      <c r="AE6" s="549"/>
    </row>
    <row r="7" spans="1:31" s="1013" customFormat="1" ht="24.75" customHeight="1">
      <c r="A7" s="1223"/>
      <c r="B7" s="1223"/>
      <c r="C7" s="1223"/>
      <c r="D7" s="1223"/>
      <c r="E7" s="1224"/>
      <c r="F7" s="1220" t="s">
        <v>16</v>
      </c>
      <c r="G7" s="1220" t="s">
        <v>17</v>
      </c>
      <c r="H7" s="1220"/>
      <c r="I7" s="1220"/>
      <c r="J7" s="1220"/>
      <c r="K7" s="1223"/>
      <c r="L7" s="1223"/>
      <c r="M7" s="1223"/>
      <c r="N7" s="1220"/>
      <c r="O7" s="1220"/>
      <c r="P7" s="1220"/>
      <c r="Q7" s="1232"/>
      <c r="R7" s="1232"/>
      <c r="S7" s="1232"/>
      <c r="T7" s="1220"/>
      <c r="U7" s="1220"/>
      <c r="V7" s="1220"/>
      <c r="W7" s="1222"/>
      <c r="X7" s="1229"/>
      <c r="Y7" s="1218"/>
      <c r="Z7" s="657"/>
      <c r="AA7" s="992"/>
      <c r="AB7" s="971"/>
      <c r="AC7" s="549"/>
      <c r="AD7" s="549"/>
      <c r="AE7" s="549"/>
    </row>
    <row r="8" spans="1:31" s="1013" customFormat="1" ht="15.75">
      <c r="A8" s="1223"/>
      <c r="B8" s="1223"/>
      <c r="C8" s="1223"/>
      <c r="D8" s="1223"/>
      <c r="E8" s="1224"/>
      <c r="F8" s="1220"/>
      <c r="G8" s="1220" t="s">
        <v>20</v>
      </c>
      <c r="H8" s="1220" t="s">
        <v>21</v>
      </c>
      <c r="I8" s="1220"/>
      <c r="J8" s="1220"/>
      <c r="K8" s="1220" t="s">
        <v>20</v>
      </c>
      <c r="L8" s="1220" t="s">
        <v>21</v>
      </c>
      <c r="M8" s="1220"/>
      <c r="N8" s="1220" t="s">
        <v>20</v>
      </c>
      <c r="O8" s="1220" t="s">
        <v>21</v>
      </c>
      <c r="P8" s="1220"/>
      <c r="Q8" s="1232" t="s">
        <v>22</v>
      </c>
      <c r="R8" s="1232" t="s">
        <v>199</v>
      </c>
      <c r="S8" s="1232"/>
      <c r="T8" s="1220" t="s">
        <v>22</v>
      </c>
      <c r="U8" s="1220" t="s">
        <v>199</v>
      </c>
      <c r="V8" s="1220"/>
      <c r="W8" s="1222"/>
      <c r="X8" s="1229"/>
      <c r="Y8" s="1218"/>
      <c r="Z8" s="657"/>
      <c r="AA8" s="992"/>
      <c r="AB8" s="971"/>
      <c r="AC8" s="549"/>
      <c r="AD8" s="549"/>
      <c r="AE8" s="549"/>
    </row>
    <row r="9" spans="1:31" s="1013" customFormat="1" ht="24.75" customHeight="1">
      <c r="A9" s="1223"/>
      <c r="B9" s="1223"/>
      <c r="C9" s="1223"/>
      <c r="D9" s="1223"/>
      <c r="E9" s="1224"/>
      <c r="F9" s="1220"/>
      <c r="G9" s="1220"/>
      <c r="H9" s="1221"/>
      <c r="I9" s="1220" t="s">
        <v>20</v>
      </c>
      <c r="J9" s="1220" t="s">
        <v>21</v>
      </c>
      <c r="K9" s="1220"/>
      <c r="L9" s="1220" t="s">
        <v>22</v>
      </c>
      <c r="M9" s="1230" t="s">
        <v>1482</v>
      </c>
      <c r="N9" s="1220"/>
      <c r="O9" s="1220" t="s">
        <v>22</v>
      </c>
      <c r="P9" s="1230" t="s">
        <v>1482</v>
      </c>
      <c r="Q9" s="1232"/>
      <c r="R9" s="1232" t="s">
        <v>200</v>
      </c>
      <c r="S9" s="1232" t="s">
        <v>201</v>
      </c>
      <c r="T9" s="1220"/>
      <c r="U9" s="1220" t="s">
        <v>200</v>
      </c>
      <c r="V9" s="1220" t="s">
        <v>201</v>
      </c>
      <c r="W9" s="1222"/>
      <c r="X9" s="1229"/>
      <c r="Y9" s="1218"/>
      <c r="Z9" s="657"/>
      <c r="AA9" s="992"/>
      <c r="AB9" s="971"/>
      <c r="AC9" s="549"/>
      <c r="AD9" s="549"/>
      <c r="AE9" s="549"/>
    </row>
    <row r="10" spans="1:31" s="1013" customFormat="1" ht="39" customHeight="1">
      <c r="A10" s="1223"/>
      <c r="B10" s="1223"/>
      <c r="C10" s="1223"/>
      <c r="D10" s="1223"/>
      <c r="E10" s="1224"/>
      <c r="F10" s="1220"/>
      <c r="G10" s="1220"/>
      <c r="H10" s="1221"/>
      <c r="I10" s="1220"/>
      <c r="J10" s="1220"/>
      <c r="K10" s="1220"/>
      <c r="L10" s="1220"/>
      <c r="M10" s="1230"/>
      <c r="N10" s="1220"/>
      <c r="O10" s="1220"/>
      <c r="P10" s="1230"/>
      <c r="Q10" s="1232"/>
      <c r="R10" s="1232"/>
      <c r="S10" s="1232"/>
      <c r="T10" s="1220"/>
      <c r="U10" s="1220"/>
      <c r="V10" s="1220"/>
      <c r="W10" s="1222"/>
      <c r="X10" s="1229"/>
      <c r="Y10" s="1219"/>
      <c r="Z10" s="657"/>
      <c r="AA10" s="992" t="s">
        <v>1513</v>
      </c>
      <c r="AB10" s="971" t="s">
        <v>1724</v>
      </c>
      <c r="AC10" s="549"/>
      <c r="AD10" s="549"/>
      <c r="AE10" s="549"/>
    </row>
    <row r="11" spans="1:31" s="318" customFormat="1" ht="15">
      <c r="A11" s="319">
        <v>1</v>
      </c>
      <c r="B11" s="319">
        <v>2</v>
      </c>
      <c r="C11" s="319">
        <v>3</v>
      </c>
      <c r="D11" s="319">
        <v>4</v>
      </c>
      <c r="E11" s="757">
        <v>5</v>
      </c>
      <c r="F11" s="242">
        <v>6</v>
      </c>
      <c r="G11" s="319">
        <v>7</v>
      </c>
      <c r="H11" s="319">
        <v>8</v>
      </c>
      <c r="I11" s="319">
        <v>9</v>
      </c>
      <c r="J11" s="319">
        <v>10</v>
      </c>
      <c r="K11" s="319">
        <v>11</v>
      </c>
      <c r="L11" s="319">
        <v>12</v>
      </c>
      <c r="M11" s="319">
        <v>13</v>
      </c>
      <c r="N11" s="319">
        <v>14</v>
      </c>
      <c r="O11" s="319">
        <v>15</v>
      </c>
      <c r="P11" s="319">
        <v>16</v>
      </c>
      <c r="Q11" s="824"/>
      <c r="R11" s="824"/>
      <c r="S11" s="824"/>
      <c r="T11" s="319">
        <v>14</v>
      </c>
      <c r="U11" s="319">
        <v>15</v>
      </c>
      <c r="V11" s="319">
        <v>16</v>
      </c>
      <c r="W11" s="319">
        <v>17</v>
      </c>
      <c r="X11" s="319">
        <v>18</v>
      </c>
      <c r="Y11" s="319">
        <v>22</v>
      </c>
      <c r="Z11" s="657"/>
      <c r="AA11" s="993"/>
      <c r="AB11" s="972"/>
    </row>
    <row r="12" spans="1:31" s="5" customFormat="1" ht="15.75">
      <c r="A12" s="563"/>
      <c r="B12" s="564"/>
      <c r="C12" s="565"/>
      <c r="D12" s="565"/>
      <c r="E12" s="566"/>
      <c r="F12" s="682"/>
      <c r="G12" s="563"/>
      <c r="H12" s="563"/>
      <c r="I12" s="563"/>
      <c r="J12" s="563"/>
      <c r="K12" s="563"/>
      <c r="L12" s="563"/>
      <c r="M12" s="563"/>
      <c r="N12" s="563"/>
      <c r="O12" s="567"/>
      <c r="P12" s="563"/>
      <c r="Q12" s="825">
        <f>968968+1177000-Q13</f>
        <v>-231572</v>
      </c>
      <c r="R12" s="825">
        <f>968968-R13</f>
        <v>-440379</v>
      </c>
      <c r="S12" s="825">
        <f>1177000-S13</f>
        <v>208807</v>
      </c>
      <c r="T12" s="567">
        <f>968968+1177000-T13</f>
        <v>-6600</v>
      </c>
      <c r="U12" s="567">
        <f>968968-U13</f>
        <v>0</v>
      </c>
      <c r="V12" s="567">
        <f>1177000-V13</f>
        <v>-6600</v>
      </c>
      <c r="W12" s="682"/>
      <c r="X12" s="682"/>
      <c r="Y12" s="567"/>
      <c r="Z12" s="657"/>
      <c r="AA12" s="975"/>
      <c r="AB12" s="875"/>
    </row>
    <row r="13" spans="1:31" s="10" customFormat="1" ht="29.25" customHeight="1">
      <c r="A13" s="568"/>
      <c r="B13" s="569" t="s">
        <v>24</v>
      </c>
      <c r="C13" s="570"/>
      <c r="D13" s="570"/>
      <c r="E13" s="571"/>
      <c r="F13" s="683"/>
      <c r="G13" s="572">
        <f t="shared" ref="G13:V13" si="0">SUM(G22,G52,G61,G69,G117,G107,G126,G148,G177,G239,G250,G291,G312,G363,G407,G425,G426)</f>
        <v>19680819</v>
      </c>
      <c r="H13" s="572">
        <f t="shared" si="0"/>
        <v>10152787</v>
      </c>
      <c r="I13" s="572">
        <f t="shared" si="0"/>
        <v>4099830</v>
      </c>
      <c r="J13" s="572">
        <f t="shared" si="0"/>
        <v>2027462</v>
      </c>
      <c r="K13" s="572">
        <f t="shared" si="0"/>
        <v>15054528.953333335</v>
      </c>
      <c r="L13" s="572">
        <f t="shared" si="0"/>
        <v>9573060.6333333328</v>
      </c>
      <c r="M13" s="572">
        <f t="shared" si="0"/>
        <v>0</v>
      </c>
      <c r="N13" s="572">
        <f t="shared" si="0"/>
        <v>4584082.3</v>
      </c>
      <c r="O13" s="572">
        <f t="shared" si="0"/>
        <v>2852991</v>
      </c>
      <c r="P13" s="572">
        <f t="shared" si="0"/>
        <v>0</v>
      </c>
      <c r="Q13" s="572">
        <f t="shared" si="0"/>
        <v>2377540</v>
      </c>
      <c r="R13" s="572">
        <f t="shared" si="0"/>
        <v>1409347</v>
      </c>
      <c r="S13" s="572">
        <f t="shared" si="0"/>
        <v>968193</v>
      </c>
      <c r="T13" s="572">
        <f t="shared" si="0"/>
        <v>2152568</v>
      </c>
      <c r="U13" s="572">
        <f t="shared" si="0"/>
        <v>968968</v>
      </c>
      <c r="V13" s="572">
        <f t="shared" si="0"/>
        <v>1183600</v>
      </c>
      <c r="W13" s="572"/>
      <c r="X13" s="572"/>
      <c r="Y13" s="572">
        <f>SUM(Y22,Y52,Y61,Y69,Y117,Y107,Y126,Y148,Y177,Y239,Y250,Y291,Y312,Y363,Y407,Y425,Y426)</f>
        <v>264</v>
      </c>
      <c r="Z13" s="658"/>
      <c r="AA13" s="975">
        <f>SUM(AA22:AA426)</f>
        <v>126505</v>
      </c>
      <c r="AB13" s="974">
        <f>AA13/1177000*100</f>
        <v>10.748088360237892</v>
      </c>
    </row>
    <row r="14" spans="1:31" s="750" customFormat="1" ht="28.5" customHeight="1">
      <c r="A14" s="747"/>
      <c r="B14" s="65" t="s">
        <v>1727</v>
      </c>
      <c r="C14" s="668"/>
      <c r="D14" s="668"/>
      <c r="E14" s="748"/>
      <c r="F14" s="1012"/>
      <c r="G14" s="643">
        <f t="shared" ref="G14:V14" si="1">SUM(G23,G62,G70,G108,G127,G149,G178,G240,G251,G292,G313,G364,G408,)</f>
        <v>3139203</v>
      </c>
      <c r="H14" s="643">
        <f t="shared" si="1"/>
        <v>1673496</v>
      </c>
      <c r="I14" s="643">
        <f t="shared" si="1"/>
        <v>500</v>
      </c>
      <c r="J14" s="643">
        <f t="shared" si="1"/>
        <v>500</v>
      </c>
      <c r="K14" s="643">
        <f t="shared" si="1"/>
        <v>2746198</v>
      </c>
      <c r="L14" s="643">
        <f t="shared" si="1"/>
        <v>2090367</v>
      </c>
      <c r="M14" s="643">
        <f t="shared" si="1"/>
        <v>0</v>
      </c>
      <c r="N14" s="643">
        <f t="shared" si="1"/>
        <v>148758</v>
      </c>
      <c r="O14" s="643">
        <f t="shared" si="1"/>
        <v>68758</v>
      </c>
      <c r="P14" s="643">
        <f t="shared" si="1"/>
        <v>0</v>
      </c>
      <c r="Q14" s="643">
        <f t="shared" si="1"/>
        <v>20058</v>
      </c>
      <c r="R14" s="643">
        <f t="shared" si="1"/>
        <v>15358</v>
      </c>
      <c r="S14" s="643">
        <f t="shared" si="1"/>
        <v>4700</v>
      </c>
      <c r="T14" s="643">
        <f t="shared" si="1"/>
        <v>20558</v>
      </c>
      <c r="U14" s="643">
        <f t="shared" si="1"/>
        <v>12872</v>
      </c>
      <c r="V14" s="643">
        <f t="shared" si="1"/>
        <v>7686</v>
      </c>
      <c r="W14" s="643"/>
      <c r="X14" s="643"/>
      <c r="Y14" s="643">
        <f>SUM(Y23,Y62,Y70,Y108,Y127,Y149,Y178,Y240,Y251,Y292,Y313,Y364,Y408,)</f>
        <v>53</v>
      </c>
      <c r="Z14" s="657"/>
      <c r="AA14" s="975"/>
      <c r="AB14" s="975"/>
    </row>
    <row r="15" spans="1:31" s="750" customFormat="1" ht="28.5" customHeight="1">
      <c r="A15" s="747"/>
      <c r="B15" s="65" t="s">
        <v>1728</v>
      </c>
      <c r="C15" s="668"/>
      <c r="D15" s="668"/>
      <c r="E15" s="748"/>
      <c r="F15" s="1012"/>
      <c r="G15" s="643">
        <f t="shared" ref="G15:V15" si="2">SUM(G28,G53,G63,G75,G110,G118,G131,G158,G195,G242,G254,G295,G320,G370,G410,G425)</f>
        <v>16541616</v>
      </c>
      <c r="H15" s="643">
        <f t="shared" si="2"/>
        <v>8479291</v>
      </c>
      <c r="I15" s="643">
        <f t="shared" si="2"/>
        <v>4099330</v>
      </c>
      <c r="J15" s="643">
        <f t="shared" si="2"/>
        <v>2026962</v>
      </c>
      <c r="K15" s="643">
        <f t="shared" si="2"/>
        <v>12037838.953333333</v>
      </c>
      <c r="L15" s="643">
        <f t="shared" si="2"/>
        <v>7212201.6333333328</v>
      </c>
      <c r="M15" s="643">
        <f t="shared" si="2"/>
        <v>0</v>
      </c>
      <c r="N15" s="643">
        <f t="shared" si="2"/>
        <v>4358613.3</v>
      </c>
      <c r="O15" s="643">
        <f t="shared" si="2"/>
        <v>2707522</v>
      </c>
      <c r="P15" s="643">
        <f t="shared" si="2"/>
        <v>0</v>
      </c>
      <c r="Q15" s="643">
        <f t="shared" si="2"/>
        <v>2280771</v>
      </c>
      <c r="R15" s="643">
        <f t="shared" si="2"/>
        <v>1363138</v>
      </c>
      <c r="S15" s="643">
        <f t="shared" si="2"/>
        <v>917633</v>
      </c>
      <c r="T15" s="643">
        <f t="shared" si="2"/>
        <v>2055299</v>
      </c>
      <c r="U15" s="643">
        <f t="shared" si="2"/>
        <v>925127</v>
      </c>
      <c r="V15" s="643">
        <f t="shared" si="2"/>
        <v>1130172</v>
      </c>
      <c r="W15" s="643"/>
      <c r="X15" s="643"/>
      <c r="Y15" s="643">
        <f>SUM(Y28,Y53,Y63,Y75,Y110,Y118,Y131,Y158,Y195,Y242,Y254,Y295,Y320,Y370,Y410,Y425)</f>
        <v>211</v>
      </c>
      <c r="Z15" s="657"/>
      <c r="AA15" s="975"/>
      <c r="AB15" s="975"/>
    </row>
    <row r="16" spans="1:31" s="750" customFormat="1" ht="29.25" customHeight="1">
      <c r="A16" s="747"/>
      <c r="B16" s="586" t="s">
        <v>1575</v>
      </c>
      <c r="C16" s="668"/>
      <c r="D16" s="668"/>
      <c r="E16" s="748"/>
      <c r="F16" s="1012"/>
      <c r="G16" s="643">
        <f t="shared" ref="G16:V16" si="3">G255</f>
        <v>17604</v>
      </c>
      <c r="H16" s="643">
        <f t="shared" si="3"/>
        <v>6223</v>
      </c>
      <c r="I16" s="643">
        <f t="shared" si="3"/>
        <v>4692</v>
      </c>
      <c r="J16" s="643">
        <f t="shared" si="3"/>
        <v>3972</v>
      </c>
      <c r="K16" s="643">
        <f t="shared" si="3"/>
        <v>12912</v>
      </c>
      <c r="L16" s="643">
        <f t="shared" si="3"/>
        <v>2251</v>
      </c>
      <c r="M16" s="643">
        <f t="shared" si="3"/>
        <v>0</v>
      </c>
      <c r="N16" s="643">
        <f t="shared" si="3"/>
        <v>12900</v>
      </c>
      <c r="O16" s="643">
        <f t="shared" si="3"/>
        <v>2250</v>
      </c>
      <c r="P16" s="643">
        <f t="shared" si="3"/>
        <v>0</v>
      </c>
      <c r="Q16" s="643">
        <f t="shared" si="3"/>
        <v>2250</v>
      </c>
      <c r="R16" s="643">
        <f t="shared" si="3"/>
        <v>0</v>
      </c>
      <c r="S16" s="643">
        <f t="shared" si="3"/>
        <v>2250</v>
      </c>
      <c r="T16" s="643">
        <f t="shared" si="3"/>
        <v>2250</v>
      </c>
      <c r="U16" s="643">
        <f t="shared" si="3"/>
        <v>0</v>
      </c>
      <c r="V16" s="643">
        <f t="shared" si="3"/>
        <v>2250</v>
      </c>
      <c r="W16" s="643"/>
      <c r="X16" s="643"/>
      <c r="Y16" s="643">
        <f>Y255</f>
        <v>1</v>
      </c>
      <c r="Z16" s="657"/>
      <c r="AA16" s="975"/>
      <c r="AB16" s="975"/>
    </row>
    <row r="17" spans="1:31" s="750" customFormat="1" ht="29.25" customHeight="1">
      <c r="A17" s="747"/>
      <c r="B17" s="586" t="s">
        <v>1576</v>
      </c>
      <c r="C17" s="668"/>
      <c r="D17" s="668"/>
      <c r="E17" s="748"/>
      <c r="F17" s="1012"/>
      <c r="G17" s="643">
        <f t="shared" ref="G17:V17" si="4">SUM(G29,G76,G111,G119,G159,G196,G243,G257,G296,G321,G371,G411,G425)</f>
        <v>4020901</v>
      </c>
      <c r="H17" s="643">
        <f t="shared" si="4"/>
        <v>2382992</v>
      </c>
      <c r="I17" s="643">
        <f t="shared" si="4"/>
        <v>1884814</v>
      </c>
      <c r="J17" s="643">
        <f t="shared" si="4"/>
        <v>1290356</v>
      </c>
      <c r="K17" s="643">
        <f t="shared" si="4"/>
        <v>2379720.1</v>
      </c>
      <c r="L17" s="643">
        <f t="shared" si="4"/>
        <v>1542072</v>
      </c>
      <c r="M17" s="643">
        <f t="shared" si="4"/>
        <v>0</v>
      </c>
      <c r="N17" s="643">
        <f t="shared" si="4"/>
        <v>1138598.3</v>
      </c>
      <c r="O17" s="643">
        <f t="shared" si="4"/>
        <v>645509</v>
      </c>
      <c r="P17" s="643">
        <f t="shared" si="4"/>
        <v>0</v>
      </c>
      <c r="Q17" s="643">
        <f t="shared" si="4"/>
        <v>535134</v>
      </c>
      <c r="R17" s="643">
        <f t="shared" si="4"/>
        <v>412578</v>
      </c>
      <c r="S17" s="643">
        <f t="shared" si="4"/>
        <v>122556</v>
      </c>
      <c r="T17" s="643">
        <f t="shared" si="4"/>
        <v>515817</v>
      </c>
      <c r="U17" s="643">
        <f t="shared" si="4"/>
        <v>224094</v>
      </c>
      <c r="V17" s="643">
        <f t="shared" si="4"/>
        <v>291723</v>
      </c>
      <c r="W17" s="643"/>
      <c r="X17" s="643"/>
      <c r="Y17" s="643">
        <f>SUM(Y29,Y76,Y111,Y119,Y159,Y196,Y243,Y257,Y296,Y321,Y371,Y411,Y425)</f>
        <v>59</v>
      </c>
      <c r="Z17" s="657"/>
      <c r="AA17" s="975"/>
      <c r="AB17" s="975"/>
    </row>
    <row r="18" spans="1:31" s="750" customFormat="1" ht="29.25" customHeight="1">
      <c r="A18" s="747" t="s">
        <v>1572</v>
      </c>
      <c r="B18" s="65" t="s">
        <v>1573</v>
      </c>
      <c r="C18" s="668"/>
      <c r="D18" s="668"/>
      <c r="E18" s="748"/>
      <c r="F18" s="1012"/>
      <c r="G18" s="643">
        <f t="shared" ref="G18:V18" si="5">SUM(G44,G54,G64,G84,G121,G132,G161,G205,G248,G380,G416)</f>
        <v>6870104</v>
      </c>
      <c r="H18" s="643">
        <f t="shared" si="5"/>
        <v>2997635</v>
      </c>
      <c r="I18" s="643">
        <f t="shared" si="5"/>
        <v>2185136</v>
      </c>
      <c r="J18" s="643">
        <f t="shared" si="5"/>
        <v>707523</v>
      </c>
      <c r="K18" s="643">
        <f t="shared" si="5"/>
        <v>4870680.92</v>
      </c>
      <c r="L18" s="643">
        <f t="shared" si="5"/>
        <v>2665854.6999999997</v>
      </c>
      <c r="M18" s="643">
        <f t="shared" si="5"/>
        <v>0</v>
      </c>
      <c r="N18" s="643">
        <f t="shared" si="5"/>
        <v>1763177</v>
      </c>
      <c r="O18" s="643">
        <f t="shared" si="5"/>
        <v>908829</v>
      </c>
      <c r="P18" s="643">
        <f t="shared" si="5"/>
        <v>0</v>
      </c>
      <c r="Q18" s="643">
        <f t="shared" si="5"/>
        <v>847938</v>
      </c>
      <c r="R18" s="643">
        <f t="shared" si="5"/>
        <v>545238</v>
      </c>
      <c r="S18" s="643">
        <f t="shared" si="5"/>
        <v>302700</v>
      </c>
      <c r="T18" s="643">
        <f t="shared" si="5"/>
        <v>689441</v>
      </c>
      <c r="U18" s="643">
        <f t="shared" si="5"/>
        <v>407300</v>
      </c>
      <c r="V18" s="643">
        <f t="shared" si="5"/>
        <v>282141</v>
      </c>
      <c r="W18" s="643"/>
      <c r="X18" s="643"/>
      <c r="Y18" s="643">
        <f>SUM(Y44,Y54,Y64,Y84,Y121,Y132,Y161,Y205,Y248,Y380,Y416)</f>
        <v>44</v>
      </c>
      <c r="Z18" s="657"/>
      <c r="AA18" s="975"/>
      <c r="AB18" s="975"/>
    </row>
    <row r="19" spans="1:31" s="750" customFormat="1" ht="29.25" customHeight="1">
      <c r="A19" s="747"/>
      <c r="B19" s="751" t="s">
        <v>1574</v>
      </c>
      <c r="C19" s="668"/>
      <c r="D19" s="668"/>
      <c r="E19" s="748"/>
      <c r="F19" s="1012"/>
      <c r="G19" s="643">
        <f t="shared" ref="G19:V19" si="6">SUM(G46,G56,G66,G96,G113,G124,G136,G171,G212,G264,G302,G325,G390,G419)</f>
        <v>5633007</v>
      </c>
      <c r="H19" s="643">
        <f t="shared" si="6"/>
        <v>3092441</v>
      </c>
      <c r="I19" s="643">
        <f t="shared" si="6"/>
        <v>24688</v>
      </c>
      <c r="J19" s="643">
        <f t="shared" si="6"/>
        <v>25111</v>
      </c>
      <c r="K19" s="643">
        <f t="shared" si="6"/>
        <v>4774525.9333333327</v>
      </c>
      <c r="L19" s="643">
        <f t="shared" si="6"/>
        <v>3002023.9333333336</v>
      </c>
      <c r="M19" s="643">
        <f t="shared" si="6"/>
        <v>0</v>
      </c>
      <c r="N19" s="643">
        <f t="shared" si="6"/>
        <v>1443938</v>
      </c>
      <c r="O19" s="643">
        <f t="shared" si="6"/>
        <v>1150934</v>
      </c>
      <c r="P19" s="643">
        <f t="shared" si="6"/>
        <v>0</v>
      </c>
      <c r="Q19" s="643">
        <f t="shared" si="6"/>
        <v>895449</v>
      </c>
      <c r="R19" s="643">
        <f t="shared" si="6"/>
        <v>405322</v>
      </c>
      <c r="S19" s="643">
        <f t="shared" si="6"/>
        <v>490127</v>
      </c>
      <c r="T19" s="643">
        <f t="shared" si="6"/>
        <v>847791</v>
      </c>
      <c r="U19" s="643">
        <f t="shared" si="6"/>
        <v>293733</v>
      </c>
      <c r="V19" s="643">
        <f t="shared" si="6"/>
        <v>554058</v>
      </c>
      <c r="W19" s="643"/>
      <c r="X19" s="643"/>
      <c r="Y19" s="643">
        <f>SUM(Y46,Y56,Y66,Y96,Y113,Y124,Y136,Y171,Y212,Y264,Y302,Y325,Y390,Y419)</f>
        <v>107</v>
      </c>
      <c r="Z19" s="657"/>
      <c r="AA19" s="975"/>
      <c r="AB19" s="975"/>
    </row>
    <row r="20" spans="1:31" s="750" customFormat="1" ht="29.25" customHeight="1">
      <c r="A20" s="747"/>
      <c r="B20" s="84" t="s">
        <v>1729</v>
      </c>
      <c r="C20" s="668"/>
      <c r="D20" s="668"/>
      <c r="E20" s="748"/>
      <c r="F20" s="1012"/>
      <c r="G20" s="643"/>
      <c r="H20" s="643"/>
      <c r="I20" s="643"/>
      <c r="J20" s="643"/>
      <c r="K20" s="643">
        <f t="shared" ref="K20:L20" si="7">+K426</f>
        <v>270492</v>
      </c>
      <c r="L20" s="643">
        <f t="shared" si="7"/>
        <v>270492</v>
      </c>
      <c r="M20" s="643"/>
      <c r="N20" s="643">
        <f t="shared" ref="N20:S20" si="8">+N426</f>
        <v>76711</v>
      </c>
      <c r="O20" s="643">
        <f t="shared" si="8"/>
        <v>76711</v>
      </c>
      <c r="P20" s="643">
        <f t="shared" si="8"/>
        <v>0</v>
      </c>
      <c r="Q20" s="643">
        <f t="shared" si="8"/>
        <v>76711</v>
      </c>
      <c r="R20" s="643">
        <f t="shared" si="8"/>
        <v>30851</v>
      </c>
      <c r="S20" s="643">
        <f t="shared" si="8"/>
        <v>45860</v>
      </c>
      <c r="T20" s="643">
        <f>+T426</f>
        <v>76711</v>
      </c>
      <c r="U20" s="643">
        <f t="shared" ref="U20:V20" si="9">+U426</f>
        <v>30969</v>
      </c>
      <c r="V20" s="643">
        <f t="shared" si="9"/>
        <v>45742</v>
      </c>
      <c r="W20" s="643"/>
      <c r="X20" s="643"/>
      <c r="Y20" s="643"/>
      <c r="Z20" s="657"/>
      <c r="AA20" s="975"/>
      <c r="AB20" s="975"/>
    </row>
    <row r="21" spans="1:31" s="750" customFormat="1" ht="15.75">
      <c r="A21" s="747"/>
      <c r="B21" s="19"/>
      <c r="C21" s="668"/>
      <c r="D21" s="668"/>
      <c r="E21" s="748"/>
      <c r="F21" s="1012"/>
      <c r="G21" s="643"/>
      <c r="H21" s="643"/>
      <c r="I21" s="643"/>
      <c r="J21" s="643"/>
      <c r="K21" s="643"/>
      <c r="L21" s="643"/>
      <c r="M21" s="643"/>
      <c r="N21" s="643"/>
      <c r="O21" s="643"/>
      <c r="P21" s="643"/>
      <c r="Q21" s="123"/>
      <c r="R21" s="123"/>
      <c r="S21" s="123"/>
      <c r="T21" s="643"/>
      <c r="U21" s="643"/>
      <c r="V21" s="643"/>
      <c r="W21" s="749"/>
      <c r="X21" s="749"/>
      <c r="Y21" s="643"/>
      <c r="Z21" s="657"/>
      <c r="AA21" s="975"/>
      <c r="AB21" s="975"/>
    </row>
    <row r="22" spans="1:31" s="623" customFormat="1" ht="30.75" customHeight="1">
      <c r="A22" s="617" t="s">
        <v>25</v>
      </c>
      <c r="B22" s="618" t="s">
        <v>1139</v>
      </c>
      <c r="C22" s="619"/>
      <c r="D22" s="619"/>
      <c r="E22" s="620"/>
      <c r="F22" s="684"/>
      <c r="G22" s="621">
        <f t="shared" ref="G22:V22" si="10">SUM(G23,G28)</f>
        <v>3365760</v>
      </c>
      <c r="H22" s="621">
        <f t="shared" si="10"/>
        <v>924914</v>
      </c>
      <c r="I22" s="621">
        <f t="shared" si="10"/>
        <v>659891</v>
      </c>
      <c r="J22" s="621">
        <f t="shared" si="10"/>
        <v>229902</v>
      </c>
      <c r="K22" s="621">
        <f t="shared" si="10"/>
        <v>2430028.9000000004</v>
      </c>
      <c r="L22" s="621">
        <f t="shared" si="10"/>
        <v>895867.4</v>
      </c>
      <c r="M22" s="621">
        <f t="shared" si="10"/>
        <v>0</v>
      </c>
      <c r="N22" s="621">
        <f t="shared" si="10"/>
        <v>701856</v>
      </c>
      <c r="O22" s="621">
        <f t="shared" si="10"/>
        <v>291094</v>
      </c>
      <c r="P22" s="621">
        <f t="shared" si="10"/>
        <v>0</v>
      </c>
      <c r="Q22" s="826">
        <f t="shared" si="10"/>
        <v>227032</v>
      </c>
      <c r="R22" s="826">
        <f t="shared" si="10"/>
        <v>164156</v>
      </c>
      <c r="S22" s="826">
        <f t="shared" si="10"/>
        <v>62876</v>
      </c>
      <c r="T22" s="621">
        <f t="shared" si="10"/>
        <v>203945</v>
      </c>
      <c r="U22" s="621">
        <f t="shared" si="10"/>
        <v>26469</v>
      </c>
      <c r="V22" s="621">
        <f t="shared" si="10"/>
        <v>177476</v>
      </c>
      <c r="W22" s="684"/>
      <c r="X22" s="684"/>
      <c r="Y22" s="621">
        <f>SUM(Y23,Y28)</f>
        <v>19</v>
      </c>
      <c r="Z22" s="659"/>
      <c r="AA22" s="990"/>
      <c r="AB22" s="976"/>
      <c r="AC22" s="622"/>
      <c r="AD22" s="622"/>
      <c r="AE22" s="622"/>
    </row>
    <row r="23" spans="1:31" s="268" customFormat="1" ht="30.6" customHeight="1">
      <c r="A23" s="82" t="s">
        <v>525</v>
      </c>
      <c r="B23" s="65" t="s">
        <v>26</v>
      </c>
      <c r="C23" s="350"/>
      <c r="D23" s="350"/>
      <c r="E23" s="351"/>
      <c r="F23" s="352"/>
      <c r="G23" s="45">
        <f t="shared" ref="G23:V23" si="11">SUM(G24:G27)</f>
        <v>472509</v>
      </c>
      <c r="H23" s="45">
        <f t="shared" si="11"/>
        <v>194338</v>
      </c>
      <c r="I23" s="45">
        <f t="shared" si="11"/>
        <v>0</v>
      </c>
      <c r="J23" s="45">
        <f t="shared" si="11"/>
        <v>0</v>
      </c>
      <c r="K23" s="45">
        <f t="shared" si="11"/>
        <v>372509</v>
      </c>
      <c r="L23" s="45">
        <f t="shared" si="11"/>
        <v>271330</v>
      </c>
      <c r="M23" s="45">
        <f t="shared" si="11"/>
        <v>0</v>
      </c>
      <c r="N23" s="45">
        <f t="shared" si="11"/>
        <v>60400</v>
      </c>
      <c r="O23" s="45">
        <f t="shared" si="11"/>
        <v>30400</v>
      </c>
      <c r="P23" s="45">
        <f t="shared" si="11"/>
        <v>0</v>
      </c>
      <c r="Q23" s="827">
        <f t="shared" si="11"/>
        <v>1000</v>
      </c>
      <c r="R23" s="827">
        <f t="shared" si="11"/>
        <v>1000</v>
      </c>
      <c r="S23" s="827">
        <f t="shared" si="11"/>
        <v>0</v>
      </c>
      <c r="T23" s="45">
        <f t="shared" si="11"/>
        <v>1000</v>
      </c>
      <c r="U23" s="45">
        <f t="shared" si="11"/>
        <v>1000</v>
      </c>
      <c r="V23" s="45">
        <f t="shared" si="11"/>
        <v>0</v>
      </c>
      <c r="W23" s="352"/>
      <c r="X23" s="352"/>
      <c r="Y23" s="45">
        <f>SUM(Y24:Y27)</f>
        <v>4</v>
      </c>
      <c r="Z23" s="657"/>
      <c r="AA23" s="994"/>
      <c r="AB23" s="977"/>
      <c r="AC23" s="66"/>
      <c r="AD23" s="66"/>
      <c r="AE23" s="66"/>
    </row>
    <row r="24" spans="1:31" s="66" customFormat="1" ht="45">
      <c r="A24" s="67">
        <v>1</v>
      </c>
      <c r="B24" s="68" t="s">
        <v>203</v>
      </c>
      <c r="C24" s="19" t="s">
        <v>204</v>
      </c>
      <c r="D24" s="101"/>
      <c r="E24" s="70" t="s">
        <v>163</v>
      </c>
      <c r="F24" s="685" t="s">
        <v>205</v>
      </c>
      <c r="G24" s="71">
        <v>41262</v>
      </c>
      <c r="H24" s="72">
        <f>+G24</f>
        <v>41262</v>
      </c>
      <c r="I24" s="72"/>
      <c r="J24" s="72"/>
      <c r="K24" s="72">
        <f>+G24</f>
        <v>41262</v>
      </c>
      <c r="L24" s="72">
        <f>+H24</f>
        <v>41262</v>
      </c>
      <c r="M24" s="72"/>
      <c r="N24" s="73">
        <v>200</v>
      </c>
      <c r="O24" s="73">
        <v>200</v>
      </c>
      <c r="P24" s="73"/>
      <c r="Q24" s="828">
        <v>200</v>
      </c>
      <c r="R24" s="828">
        <v>200</v>
      </c>
      <c r="S24" s="828"/>
      <c r="T24" s="73">
        <f>SUM(U24:V24)</f>
        <v>200</v>
      </c>
      <c r="U24" s="73">
        <v>200</v>
      </c>
      <c r="V24" s="73"/>
      <c r="W24" s="513" t="s">
        <v>1514</v>
      </c>
      <c r="X24" s="1012"/>
      <c r="Y24" s="73">
        <v>1</v>
      </c>
      <c r="Z24" s="657"/>
      <c r="AA24" s="994"/>
      <c r="AB24" s="977"/>
    </row>
    <row r="25" spans="1:31" s="66" customFormat="1" ht="60">
      <c r="A25" s="67">
        <v>2</v>
      </c>
      <c r="B25" s="74" t="s">
        <v>206</v>
      </c>
      <c r="C25" s="75" t="s">
        <v>589</v>
      </c>
      <c r="D25" s="75" t="s">
        <v>207</v>
      </c>
      <c r="E25" s="879" t="s">
        <v>120</v>
      </c>
      <c r="F25" s="685"/>
      <c r="G25" s="76">
        <v>400076</v>
      </c>
      <c r="H25" s="77">
        <v>133076</v>
      </c>
      <c r="I25" s="72"/>
      <c r="J25" s="72"/>
      <c r="K25" s="176">
        <f>133076+167000</f>
        <v>300076</v>
      </c>
      <c r="L25" s="223">
        <v>210068</v>
      </c>
      <c r="M25" s="72"/>
      <c r="N25" s="73">
        <v>200</v>
      </c>
      <c r="O25" s="73">
        <v>200</v>
      </c>
      <c r="P25" s="73"/>
      <c r="Q25" s="828">
        <v>200</v>
      </c>
      <c r="R25" s="828">
        <v>200</v>
      </c>
      <c r="S25" s="828"/>
      <c r="T25" s="73">
        <f>SUM(U25:V25)</f>
        <v>200</v>
      </c>
      <c r="U25" s="73">
        <v>200</v>
      </c>
      <c r="V25" s="73"/>
      <c r="W25" s="513" t="s">
        <v>1514</v>
      </c>
      <c r="X25" s="1012" t="s">
        <v>1604</v>
      </c>
      <c r="Y25" s="73">
        <v>1</v>
      </c>
      <c r="Z25" s="657"/>
      <c r="AA25" s="994"/>
      <c r="AB25" s="977"/>
    </row>
    <row r="26" spans="1:31" s="66" customFormat="1" ht="38.25">
      <c r="A26" s="67">
        <v>3</v>
      </c>
      <c r="B26" s="74" t="s">
        <v>1500</v>
      </c>
      <c r="C26" s="75" t="s">
        <v>29</v>
      </c>
      <c r="D26" s="75"/>
      <c r="E26" s="879" t="s">
        <v>120</v>
      </c>
      <c r="F26" s="685"/>
      <c r="G26" s="76"/>
      <c r="H26" s="77"/>
      <c r="I26" s="72"/>
      <c r="J26" s="72"/>
      <c r="K26" s="176"/>
      <c r="L26" s="223"/>
      <c r="M26" s="72"/>
      <c r="N26" s="73">
        <v>60000</v>
      </c>
      <c r="O26" s="73">
        <v>30000</v>
      </c>
      <c r="P26" s="73"/>
      <c r="Q26" s="828">
        <f>SUM(R26:S26)</f>
        <v>200</v>
      </c>
      <c r="R26" s="828">
        <v>200</v>
      </c>
      <c r="S26" s="828"/>
      <c r="T26" s="73">
        <f>SUM(U26:V26)</f>
        <v>200</v>
      </c>
      <c r="U26" s="73">
        <v>200</v>
      </c>
      <c r="V26" s="73"/>
      <c r="W26" s="513" t="s">
        <v>1514</v>
      </c>
      <c r="X26" s="1012" t="s">
        <v>1605</v>
      </c>
      <c r="Y26" s="73">
        <v>1</v>
      </c>
      <c r="Z26" s="657"/>
      <c r="AA26" s="994"/>
      <c r="AB26" s="977"/>
    </row>
    <row r="27" spans="1:31" s="66" customFormat="1" ht="45">
      <c r="A27" s="67">
        <v>4</v>
      </c>
      <c r="B27" s="74" t="s">
        <v>1197</v>
      </c>
      <c r="C27" s="75" t="s">
        <v>1198</v>
      </c>
      <c r="D27" s="75" t="s">
        <v>1199</v>
      </c>
      <c r="E27" s="879"/>
      <c r="F27" s="685"/>
      <c r="G27" s="76">
        <v>31171</v>
      </c>
      <c r="H27" s="77">
        <v>20000</v>
      </c>
      <c r="I27" s="72"/>
      <c r="J27" s="72"/>
      <c r="K27" s="176">
        <v>31171</v>
      </c>
      <c r="L27" s="223">
        <v>20000</v>
      </c>
      <c r="M27" s="72"/>
      <c r="N27" s="73"/>
      <c r="O27" s="73"/>
      <c r="P27" s="73"/>
      <c r="Q27" s="828">
        <v>400</v>
      </c>
      <c r="R27" s="828">
        <v>400</v>
      </c>
      <c r="S27" s="828"/>
      <c r="T27" s="73">
        <f>SUM(U27:V27)</f>
        <v>400</v>
      </c>
      <c r="U27" s="73">
        <v>400</v>
      </c>
      <c r="V27" s="73"/>
      <c r="W27" s="513" t="s">
        <v>1514</v>
      </c>
      <c r="X27" s="1012"/>
      <c r="Y27" s="73">
        <v>1</v>
      </c>
      <c r="Z27" s="657"/>
      <c r="AA27" s="994"/>
      <c r="AB27" s="977"/>
    </row>
    <row r="28" spans="1:31" s="268" customFormat="1" ht="30" customHeight="1">
      <c r="A28" s="82" t="s">
        <v>499</v>
      </c>
      <c r="B28" s="586" t="s">
        <v>31</v>
      </c>
      <c r="C28" s="350"/>
      <c r="D28" s="350"/>
      <c r="E28" s="351"/>
      <c r="F28" s="352"/>
      <c r="G28" s="45">
        <f t="shared" ref="G28:V28" si="12">SUM(G29,G44,G46)</f>
        <v>2893251</v>
      </c>
      <c r="H28" s="45">
        <f t="shared" si="12"/>
        <v>730576</v>
      </c>
      <c r="I28" s="45">
        <f t="shared" si="12"/>
        <v>659891</v>
      </c>
      <c r="J28" s="45">
        <f t="shared" si="12"/>
        <v>229902</v>
      </c>
      <c r="K28" s="45">
        <f t="shared" si="12"/>
        <v>2057519.9000000001</v>
      </c>
      <c r="L28" s="45">
        <f t="shared" si="12"/>
        <v>624537.4</v>
      </c>
      <c r="M28" s="45">
        <f t="shared" si="12"/>
        <v>0</v>
      </c>
      <c r="N28" s="45">
        <f t="shared" si="12"/>
        <v>641456</v>
      </c>
      <c r="O28" s="45">
        <f t="shared" si="12"/>
        <v>260694</v>
      </c>
      <c r="P28" s="45">
        <f t="shared" si="12"/>
        <v>0</v>
      </c>
      <c r="Q28" s="827">
        <f t="shared" si="12"/>
        <v>226032</v>
      </c>
      <c r="R28" s="827">
        <f t="shared" si="12"/>
        <v>163156</v>
      </c>
      <c r="S28" s="827">
        <f t="shared" si="12"/>
        <v>62876</v>
      </c>
      <c r="T28" s="45">
        <f t="shared" si="12"/>
        <v>202945</v>
      </c>
      <c r="U28" s="45">
        <f t="shared" si="12"/>
        <v>25469</v>
      </c>
      <c r="V28" s="45">
        <f t="shared" si="12"/>
        <v>177476</v>
      </c>
      <c r="W28" s="352"/>
      <c r="X28" s="352"/>
      <c r="Y28" s="45">
        <f>SUM(Y29,Y44,Y46)</f>
        <v>15</v>
      </c>
      <c r="Z28" s="657"/>
      <c r="AA28" s="994"/>
      <c r="AB28" s="977"/>
      <c r="AC28" s="66"/>
      <c r="AD28" s="66"/>
      <c r="AE28" s="66"/>
    </row>
    <row r="29" spans="1:31" s="51" customFormat="1" ht="33" customHeight="1">
      <c r="A29" s="11" t="s">
        <v>78</v>
      </c>
      <c r="B29" s="65" t="s">
        <v>79</v>
      </c>
      <c r="C29" s="13"/>
      <c r="D29" s="13"/>
      <c r="E29" s="14"/>
      <c r="F29" s="89"/>
      <c r="G29" s="90">
        <f t="shared" ref="G29:V29" si="13">SUM(G30:G31,G35:G43)</f>
        <v>1529151</v>
      </c>
      <c r="H29" s="90">
        <f t="shared" si="13"/>
        <v>485624</v>
      </c>
      <c r="I29" s="90">
        <f t="shared" si="13"/>
        <v>606091</v>
      </c>
      <c r="J29" s="90">
        <f t="shared" si="13"/>
        <v>226102</v>
      </c>
      <c r="K29" s="90">
        <f t="shared" si="13"/>
        <v>789790.3</v>
      </c>
      <c r="L29" s="90">
        <f t="shared" si="13"/>
        <v>398080.6</v>
      </c>
      <c r="M29" s="90">
        <f t="shared" si="13"/>
        <v>0</v>
      </c>
      <c r="N29" s="90">
        <f t="shared" si="13"/>
        <v>513271</v>
      </c>
      <c r="O29" s="90">
        <f t="shared" si="13"/>
        <v>194194</v>
      </c>
      <c r="P29" s="90">
        <f t="shared" si="13"/>
        <v>0</v>
      </c>
      <c r="Q29" s="829">
        <f t="shared" si="13"/>
        <v>159532</v>
      </c>
      <c r="R29" s="829">
        <f t="shared" si="13"/>
        <v>141156</v>
      </c>
      <c r="S29" s="829">
        <f t="shared" si="13"/>
        <v>18376</v>
      </c>
      <c r="T29" s="90">
        <f t="shared" si="13"/>
        <v>156445</v>
      </c>
      <c r="U29" s="90">
        <f t="shared" si="13"/>
        <v>3469</v>
      </c>
      <c r="V29" s="90">
        <f t="shared" si="13"/>
        <v>152976</v>
      </c>
      <c r="W29" s="699"/>
      <c r="X29" s="699"/>
      <c r="Y29" s="90">
        <f>SUM(Y30:Y31,Y35:Y43)</f>
        <v>11</v>
      </c>
      <c r="Z29" s="660"/>
      <c r="AA29" s="990"/>
      <c r="AB29" s="976"/>
      <c r="AC29" s="552"/>
      <c r="AD29" s="552"/>
      <c r="AE29" s="552"/>
    </row>
    <row r="30" spans="1:31" s="270" customFormat="1" ht="60">
      <c r="A30" s="518">
        <v>1</v>
      </c>
      <c r="B30" s="587" t="s">
        <v>1151</v>
      </c>
      <c r="C30" s="70" t="s">
        <v>29</v>
      </c>
      <c r="D30" s="70" t="s">
        <v>1152</v>
      </c>
      <c r="E30" s="70" t="s">
        <v>94</v>
      </c>
      <c r="F30" s="98" t="s">
        <v>1153</v>
      </c>
      <c r="G30" s="634">
        <v>377927</v>
      </c>
      <c r="H30" s="634">
        <v>112007</v>
      </c>
      <c r="I30" s="96">
        <f>90368+60000</f>
        <v>150368</v>
      </c>
      <c r="J30" s="96">
        <f>87268+3100</f>
        <v>90368</v>
      </c>
      <c r="K30" s="634">
        <f>112007+20000</f>
        <v>132007</v>
      </c>
      <c r="L30" s="634">
        <v>112007</v>
      </c>
      <c r="M30" s="588"/>
      <c r="N30" s="634">
        <v>150920</v>
      </c>
      <c r="O30" s="634">
        <v>5000</v>
      </c>
      <c r="P30" s="585"/>
      <c r="Q30" s="830">
        <v>8000</v>
      </c>
      <c r="R30" s="830"/>
      <c r="S30" s="830">
        <v>8000</v>
      </c>
      <c r="T30" s="73">
        <f>SUM(U30:V30)</f>
        <v>5000</v>
      </c>
      <c r="U30" s="634"/>
      <c r="V30" s="634">
        <v>5000</v>
      </c>
      <c r="W30" s="513" t="s">
        <v>1514</v>
      </c>
      <c r="X30" s="24" t="s">
        <v>1594</v>
      </c>
      <c r="Y30" s="905">
        <v>1</v>
      </c>
      <c r="Z30" s="657"/>
      <c r="AA30" s="991"/>
      <c r="AB30" s="970"/>
      <c r="AC30" s="550"/>
      <c r="AD30" s="550"/>
      <c r="AE30" s="550"/>
    </row>
    <row r="31" spans="1:31" s="271" customFormat="1" ht="30">
      <c r="A31" s="97" t="s">
        <v>41</v>
      </c>
      <c r="B31" s="589" t="s">
        <v>1154</v>
      </c>
      <c r="C31" s="136"/>
      <c r="D31" s="136"/>
      <c r="E31" s="136"/>
      <c r="F31" s="449"/>
      <c r="G31" s="104">
        <f t="shared" ref="G31:V31" si="14">G32+G33+G34</f>
        <v>431705</v>
      </c>
      <c r="H31" s="104">
        <f t="shared" si="14"/>
        <v>75669</v>
      </c>
      <c r="I31" s="104">
        <f t="shared" si="14"/>
        <v>259758</v>
      </c>
      <c r="J31" s="104">
        <f t="shared" si="14"/>
        <v>65550</v>
      </c>
      <c r="K31" s="104">
        <f t="shared" si="14"/>
        <v>91414</v>
      </c>
      <c r="L31" s="104">
        <f t="shared" si="14"/>
        <v>29411</v>
      </c>
      <c r="M31" s="104">
        <f t="shared" si="14"/>
        <v>0</v>
      </c>
      <c r="N31" s="104">
        <f t="shared" si="14"/>
        <v>65835</v>
      </c>
      <c r="O31" s="104">
        <f t="shared" si="14"/>
        <v>11029</v>
      </c>
      <c r="P31" s="104">
        <f t="shared" si="14"/>
        <v>0</v>
      </c>
      <c r="Q31" s="831">
        <f t="shared" si="14"/>
        <v>10105</v>
      </c>
      <c r="R31" s="831">
        <f t="shared" si="14"/>
        <v>0</v>
      </c>
      <c r="S31" s="831">
        <f t="shared" si="14"/>
        <v>10105</v>
      </c>
      <c r="T31" s="104">
        <f t="shared" si="14"/>
        <v>10105</v>
      </c>
      <c r="U31" s="104">
        <f t="shared" si="14"/>
        <v>0</v>
      </c>
      <c r="V31" s="104">
        <f t="shared" si="14"/>
        <v>10105</v>
      </c>
      <c r="W31" s="513" t="s">
        <v>1514</v>
      </c>
      <c r="X31" s="100"/>
      <c r="Y31" s="104">
        <v>1</v>
      </c>
      <c r="Z31" s="657"/>
      <c r="AA31" s="991"/>
      <c r="AB31" s="970"/>
      <c r="AC31" s="550"/>
      <c r="AD31" s="550"/>
      <c r="AE31" s="550"/>
    </row>
    <row r="32" spans="1:31" s="270" customFormat="1" ht="30">
      <c r="A32" s="130"/>
      <c r="B32" s="93" t="s">
        <v>1155</v>
      </c>
      <c r="C32" s="101" t="s">
        <v>1156</v>
      </c>
      <c r="D32" s="19"/>
      <c r="E32" s="95" t="s">
        <v>1157</v>
      </c>
      <c r="F32" s="100" t="s">
        <v>1158</v>
      </c>
      <c r="G32" s="104">
        <v>292210</v>
      </c>
      <c r="H32" s="104">
        <v>58380</v>
      </c>
      <c r="I32" s="104">
        <f>178928+7500</f>
        <v>186428</v>
      </c>
      <c r="J32" s="104">
        <f>43470+7500</f>
        <v>50970</v>
      </c>
      <c r="K32" s="590">
        <f>14890+17288</f>
        <v>32178</v>
      </c>
      <c r="L32" s="104">
        <v>14890</v>
      </c>
      <c r="M32" s="588"/>
      <c r="N32" s="634">
        <v>59000</v>
      </c>
      <c r="O32" s="634">
        <v>7500</v>
      </c>
      <c r="P32" s="585"/>
      <c r="Q32" s="831">
        <v>7400</v>
      </c>
      <c r="R32" s="831"/>
      <c r="S32" s="831">
        <v>7400</v>
      </c>
      <c r="T32" s="73">
        <f t="shared" ref="T32:T38" si="15">SUM(U32:V32)</f>
        <v>7400</v>
      </c>
      <c r="U32" s="104"/>
      <c r="V32" s="104">
        <v>7400</v>
      </c>
      <c r="W32" s="513" t="s">
        <v>1514</v>
      </c>
      <c r="X32" s="24"/>
      <c r="Y32" s="104"/>
      <c r="Z32" s="657"/>
      <c r="AA32" s="991"/>
      <c r="AB32" s="970"/>
      <c r="AC32" s="550"/>
      <c r="AD32" s="550"/>
      <c r="AE32" s="550"/>
    </row>
    <row r="33" spans="1:31" s="270" customFormat="1" ht="60">
      <c r="A33" s="130"/>
      <c r="B33" s="93" t="s">
        <v>1159</v>
      </c>
      <c r="C33" s="19" t="s">
        <v>1160</v>
      </c>
      <c r="D33" s="19" t="s">
        <v>1203</v>
      </c>
      <c r="E33" s="70" t="s">
        <v>1157</v>
      </c>
      <c r="F33" s="121" t="s">
        <v>1161</v>
      </c>
      <c r="G33" s="175">
        <v>131024</v>
      </c>
      <c r="H33" s="175">
        <v>16124</v>
      </c>
      <c r="I33" s="175">
        <f>62413+9877</f>
        <v>72290</v>
      </c>
      <c r="J33" s="175">
        <f>7437+6103</f>
        <v>13540</v>
      </c>
      <c r="K33" s="175">
        <v>58071</v>
      </c>
      <c r="L33" s="175">
        <v>13356</v>
      </c>
      <c r="M33" s="588"/>
      <c r="N33" s="634">
        <v>5404</v>
      </c>
      <c r="O33" s="634">
        <v>3404</v>
      </c>
      <c r="P33" s="585"/>
      <c r="Q33" s="832">
        <v>2580</v>
      </c>
      <c r="R33" s="832"/>
      <c r="S33" s="832">
        <v>2580</v>
      </c>
      <c r="T33" s="73">
        <f t="shared" si="15"/>
        <v>2580</v>
      </c>
      <c r="U33" s="373"/>
      <c r="V33" s="373">
        <v>2580</v>
      </c>
      <c r="W33" s="513" t="s">
        <v>1514</v>
      </c>
      <c r="X33" s="24" t="s">
        <v>1570</v>
      </c>
      <c r="Y33" s="373"/>
      <c r="Z33" s="657"/>
      <c r="AA33" s="991"/>
      <c r="AB33" s="970"/>
      <c r="AC33" s="550"/>
      <c r="AD33" s="550"/>
      <c r="AE33" s="550"/>
    </row>
    <row r="34" spans="1:31" s="270" customFormat="1" ht="60">
      <c r="A34" s="130"/>
      <c r="B34" s="93" t="s">
        <v>1162</v>
      </c>
      <c r="C34" s="19" t="s">
        <v>1163</v>
      </c>
      <c r="D34" s="19" t="s">
        <v>1164</v>
      </c>
      <c r="E34" s="95" t="s">
        <v>94</v>
      </c>
      <c r="F34" s="121" t="s">
        <v>1165</v>
      </c>
      <c r="G34" s="175">
        <v>8471</v>
      </c>
      <c r="H34" s="175">
        <v>1165</v>
      </c>
      <c r="I34" s="175">
        <v>1040</v>
      </c>
      <c r="J34" s="175">
        <v>1040</v>
      </c>
      <c r="K34" s="175">
        <f>+L34</f>
        <v>1165</v>
      </c>
      <c r="L34" s="175">
        <v>1165</v>
      </c>
      <c r="M34" s="588"/>
      <c r="N34" s="634">
        <v>1431</v>
      </c>
      <c r="O34" s="634">
        <v>125</v>
      </c>
      <c r="P34" s="585"/>
      <c r="Q34" s="832">
        <v>125</v>
      </c>
      <c r="R34" s="832"/>
      <c r="S34" s="832">
        <v>125</v>
      </c>
      <c r="T34" s="73">
        <f t="shared" si="15"/>
        <v>125</v>
      </c>
      <c r="U34" s="373"/>
      <c r="V34" s="373">
        <v>125</v>
      </c>
      <c r="W34" s="513" t="s">
        <v>1515</v>
      </c>
      <c r="X34" s="24"/>
      <c r="Y34" s="373"/>
      <c r="Z34" s="657"/>
      <c r="AA34" s="991"/>
      <c r="AB34" s="970"/>
      <c r="AC34" s="550"/>
      <c r="AD34" s="550"/>
      <c r="AE34" s="550"/>
    </row>
    <row r="35" spans="1:31" s="194" customFormat="1" ht="60">
      <c r="A35" s="97" t="s">
        <v>58</v>
      </c>
      <c r="B35" s="93" t="s">
        <v>1166</v>
      </c>
      <c r="C35" s="101" t="s">
        <v>1156</v>
      </c>
      <c r="D35" s="19"/>
      <c r="E35" s="95" t="s">
        <v>1167</v>
      </c>
      <c r="F35" s="100" t="s">
        <v>1168</v>
      </c>
      <c r="G35" s="21">
        <v>23967</v>
      </c>
      <c r="H35" s="104">
        <v>3134</v>
      </c>
      <c r="I35" s="104">
        <f>+J35</f>
        <v>2000</v>
      </c>
      <c r="J35" s="104">
        <v>2000</v>
      </c>
      <c r="K35" s="21">
        <f>G35*0.9-550</f>
        <v>21020.3</v>
      </c>
      <c r="L35" s="104">
        <f>H35*0.9-550</f>
        <v>2270.6</v>
      </c>
      <c r="M35" s="591"/>
      <c r="N35" s="634">
        <v>13067</v>
      </c>
      <c r="O35" s="634">
        <v>584</v>
      </c>
      <c r="P35" s="207"/>
      <c r="Q35" s="833">
        <v>271</v>
      </c>
      <c r="R35" s="831"/>
      <c r="S35" s="833">
        <v>271</v>
      </c>
      <c r="T35" s="73">
        <f t="shared" si="15"/>
        <v>271</v>
      </c>
      <c r="U35" s="104"/>
      <c r="V35" s="21">
        <v>271</v>
      </c>
      <c r="W35" s="513" t="s">
        <v>1514</v>
      </c>
      <c r="X35" s="24"/>
      <c r="Y35" s="21">
        <v>1</v>
      </c>
      <c r="Z35" s="657"/>
      <c r="AA35" s="990"/>
      <c r="AB35" s="811"/>
      <c r="AC35" s="551"/>
      <c r="AD35" s="551"/>
      <c r="AE35" s="551"/>
    </row>
    <row r="36" spans="1:31" ht="45">
      <c r="A36" s="97" t="s">
        <v>64</v>
      </c>
      <c r="B36" s="93" t="s">
        <v>230</v>
      </c>
      <c r="C36" s="101" t="s">
        <v>29</v>
      </c>
      <c r="D36" s="19" t="s">
        <v>1501</v>
      </c>
      <c r="E36" s="95" t="s">
        <v>94</v>
      </c>
      <c r="F36" s="80" t="s">
        <v>232</v>
      </c>
      <c r="G36" s="96">
        <v>96264</v>
      </c>
      <c r="H36" s="96">
        <v>86264</v>
      </c>
      <c r="I36" s="21">
        <f>10061</f>
        <v>10061</v>
      </c>
      <c r="J36" s="21">
        <v>61</v>
      </c>
      <c r="K36" s="21">
        <f>G36-I36</f>
        <v>86203</v>
      </c>
      <c r="L36" s="21">
        <f>H36-J36</f>
        <v>86203</v>
      </c>
      <c r="M36" s="21"/>
      <c r="N36" s="81">
        <f>SUM(O36:P36)</f>
        <v>65000</v>
      </c>
      <c r="O36" s="81">
        <v>65000</v>
      </c>
      <c r="P36" s="81"/>
      <c r="Q36" s="106">
        <f>SUM(R36:S36)</f>
        <v>65000</v>
      </c>
      <c r="R36" s="106">
        <v>65000</v>
      </c>
      <c r="S36" s="106"/>
      <c r="T36" s="73">
        <f t="shared" si="15"/>
        <v>65000</v>
      </c>
      <c r="U36" s="81"/>
      <c r="V36" s="81">
        <v>65000</v>
      </c>
      <c r="W36" s="513" t="s">
        <v>1514</v>
      </c>
      <c r="X36" s="24" t="s">
        <v>1606</v>
      </c>
      <c r="Y36" s="81">
        <v>1</v>
      </c>
    </row>
    <row r="37" spans="1:31" ht="63" customHeight="1">
      <c r="A37" s="97" t="s">
        <v>69</v>
      </c>
      <c r="B37" s="93" t="s">
        <v>233</v>
      </c>
      <c r="C37" s="101" t="s">
        <v>29</v>
      </c>
      <c r="D37" s="19" t="s">
        <v>234</v>
      </c>
      <c r="E37" s="95" t="s">
        <v>235</v>
      </c>
      <c r="F37" s="80" t="s">
        <v>236</v>
      </c>
      <c r="G37" s="96">
        <v>161681</v>
      </c>
      <c r="H37" s="96">
        <v>58648</v>
      </c>
      <c r="I37" s="21">
        <f>18133+68561</f>
        <v>86694</v>
      </c>
      <c r="J37" s="21">
        <v>11148</v>
      </c>
      <c r="K37" s="21">
        <v>74987</v>
      </c>
      <c r="L37" s="21">
        <v>47500</v>
      </c>
      <c r="M37" s="21"/>
      <c r="N37" s="81">
        <f>74987-25000</f>
        <v>49987</v>
      </c>
      <c r="O37" s="81">
        <f>45000-25000</f>
        <v>20000</v>
      </c>
      <c r="P37" s="81"/>
      <c r="Q37" s="106">
        <f>SUM(R37:S37)</f>
        <v>20000</v>
      </c>
      <c r="R37" s="106">
        <f>45000-25000</f>
        <v>20000</v>
      </c>
      <c r="S37" s="106"/>
      <c r="T37" s="73">
        <f t="shared" si="15"/>
        <v>20000</v>
      </c>
      <c r="U37" s="81"/>
      <c r="V37" s="81">
        <f>45000-25000</f>
        <v>20000</v>
      </c>
      <c r="W37" s="729" t="s">
        <v>1527</v>
      </c>
      <c r="X37" s="24"/>
      <c r="Y37" s="81">
        <v>1</v>
      </c>
    </row>
    <row r="38" spans="1:31" ht="51" customHeight="1">
      <c r="A38" s="97" t="s">
        <v>74</v>
      </c>
      <c r="B38" s="93" t="s">
        <v>237</v>
      </c>
      <c r="C38" s="101" t="s">
        <v>43</v>
      </c>
      <c r="D38" s="19" t="s">
        <v>238</v>
      </c>
      <c r="E38" s="95" t="s">
        <v>235</v>
      </c>
      <c r="F38" s="80" t="s">
        <v>239</v>
      </c>
      <c r="G38" s="96">
        <v>82565</v>
      </c>
      <c r="H38" s="96">
        <v>82270</v>
      </c>
      <c r="I38" s="21">
        <f>19200+35+98</f>
        <v>19333</v>
      </c>
      <c r="J38" s="21">
        <f>19200+98</f>
        <v>19298</v>
      </c>
      <c r="K38" s="21">
        <v>63330</v>
      </c>
      <c r="L38" s="21">
        <v>63070</v>
      </c>
      <c r="M38" s="21"/>
      <c r="N38" s="315">
        <f>82565-19200</f>
        <v>63365</v>
      </c>
      <c r="O38" s="315">
        <v>55466</v>
      </c>
      <c r="P38" s="315"/>
      <c r="Q38" s="106">
        <v>26613</v>
      </c>
      <c r="R38" s="106">
        <v>26613</v>
      </c>
      <c r="S38" s="106"/>
      <c r="T38" s="73">
        <f t="shared" si="15"/>
        <v>26600</v>
      </c>
      <c r="U38" s="81"/>
      <c r="V38" s="81">
        <v>26600</v>
      </c>
      <c r="W38" s="691" t="s">
        <v>1530</v>
      </c>
      <c r="X38" s="24"/>
      <c r="Y38" s="81">
        <v>1</v>
      </c>
    </row>
    <row r="39" spans="1:31" s="1" customFormat="1" ht="36.75" customHeight="1">
      <c r="A39" s="97" t="s">
        <v>141</v>
      </c>
      <c r="B39" s="93" t="s">
        <v>240</v>
      </c>
      <c r="C39" s="101" t="s">
        <v>71</v>
      </c>
      <c r="D39" s="19" t="s">
        <v>241</v>
      </c>
      <c r="E39" s="95" t="s">
        <v>242</v>
      </c>
      <c r="F39" s="80" t="s">
        <v>243</v>
      </c>
      <c r="G39" s="96">
        <v>253805</v>
      </c>
      <c r="H39" s="96">
        <v>13664</v>
      </c>
      <c r="I39" s="21">
        <f>20000+3664+9500</f>
        <v>33164</v>
      </c>
      <c r="J39" s="21">
        <f>3664+9500</f>
        <v>13164</v>
      </c>
      <c r="K39" s="21">
        <v>233805</v>
      </c>
      <c r="L39" s="96">
        <v>13664</v>
      </c>
      <c r="M39" s="21"/>
      <c r="N39" s="81">
        <v>7660</v>
      </c>
      <c r="O39" s="81">
        <v>7660</v>
      </c>
      <c r="P39" s="81"/>
      <c r="Q39" s="106">
        <v>500</v>
      </c>
      <c r="R39" s="106">
        <v>500</v>
      </c>
      <c r="S39" s="106"/>
      <c r="T39" s="81">
        <v>500</v>
      </c>
      <c r="U39" s="81"/>
      <c r="V39" s="81">
        <v>500</v>
      </c>
      <c r="W39" s="513" t="s">
        <v>1516</v>
      </c>
      <c r="X39" s="24"/>
      <c r="Y39" s="81">
        <v>1</v>
      </c>
      <c r="Z39" s="657"/>
      <c r="AA39" s="995"/>
      <c r="AB39" s="970"/>
      <c r="AC39" s="550"/>
      <c r="AD39" s="550"/>
      <c r="AE39" s="550"/>
    </row>
    <row r="40" spans="1:31" ht="35.25" customHeight="1">
      <c r="A40" s="97" t="s">
        <v>146</v>
      </c>
      <c r="B40" s="93" t="s">
        <v>244</v>
      </c>
      <c r="C40" s="101" t="s">
        <v>60</v>
      </c>
      <c r="D40" s="19" t="s">
        <v>245</v>
      </c>
      <c r="E40" s="95" t="s">
        <v>87</v>
      </c>
      <c r="F40" s="80" t="s">
        <v>246</v>
      </c>
      <c r="G40" s="96">
        <v>85412</v>
      </c>
      <c r="H40" s="96">
        <v>42087</v>
      </c>
      <c r="I40" s="21">
        <f>10013+10000+3000+16500</f>
        <v>39513</v>
      </c>
      <c r="J40" s="21">
        <f>10013+10000</f>
        <v>20013</v>
      </c>
      <c r="K40" s="96">
        <v>71199</v>
      </c>
      <c r="L40" s="96">
        <v>32074</v>
      </c>
      <c r="M40" s="21"/>
      <c r="N40" s="81">
        <v>85412</v>
      </c>
      <c r="O40" s="81">
        <v>22074</v>
      </c>
      <c r="P40" s="81"/>
      <c r="Q40" s="106">
        <v>22074</v>
      </c>
      <c r="R40" s="106">
        <v>22074</v>
      </c>
      <c r="S40" s="106"/>
      <c r="T40" s="73">
        <f>SUM(U40:V40)</f>
        <v>22000</v>
      </c>
      <c r="U40" s="81"/>
      <c r="V40" s="81">
        <v>22000</v>
      </c>
      <c r="W40" s="513" t="s">
        <v>1517</v>
      </c>
      <c r="X40" s="24"/>
      <c r="Y40" s="81">
        <v>1</v>
      </c>
    </row>
    <row r="41" spans="1:31" s="51" customFormat="1" ht="35.25" customHeight="1">
      <c r="A41" s="97" t="s">
        <v>179</v>
      </c>
      <c r="B41" s="93" t="s">
        <v>250</v>
      </c>
      <c r="C41" s="101" t="s">
        <v>60</v>
      </c>
      <c r="D41" s="19" t="s">
        <v>1204</v>
      </c>
      <c r="E41" s="95" t="s">
        <v>94</v>
      </c>
      <c r="F41" s="80" t="s">
        <v>252</v>
      </c>
      <c r="G41" s="96">
        <v>6152</v>
      </c>
      <c r="H41" s="96">
        <v>3271</v>
      </c>
      <c r="I41" s="21">
        <v>2200</v>
      </c>
      <c r="J41" s="21">
        <v>1500</v>
      </c>
      <c r="K41" s="96">
        <v>6152</v>
      </c>
      <c r="L41" s="96">
        <v>3271</v>
      </c>
      <c r="M41" s="21"/>
      <c r="N41" s="81">
        <v>5352</v>
      </c>
      <c r="O41" s="81">
        <v>1771</v>
      </c>
      <c r="P41" s="81"/>
      <c r="Q41" s="106">
        <v>1771</v>
      </c>
      <c r="R41" s="106">
        <v>1771</v>
      </c>
      <c r="S41" s="106"/>
      <c r="T41" s="73">
        <f>SUM(U41:V41)</f>
        <v>1771</v>
      </c>
      <c r="U41" s="81">
        <v>1771</v>
      </c>
      <c r="V41" s="81"/>
      <c r="W41" s="513" t="s">
        <v>1517</v>
      </c>
      <c r="X41" s="24"/>
      <c r="Y41" s="81">
        <v>1</v>
      </c>
      <c r="Z41" s="660"/>
      <c r="AA41" s="990"/>
      <c r="AB41" s="976"/>
      <c r="AC41" s="552"/>
      <c r="AD41" s="552"/>
      <c r="AE41" s="552"/>
    </row>
    <row r="42" spans="1:31" s="51" customFormat="1" ht="35.25" customHeight="1">
      <c r="A42" s="97" t="s">
        <v>182</v>
      </c>
      <c r="B42" s="93" t="s">
        <v>253</v>
      </c>
      <c r="C42" s="101" t="s">
        <v>43</v>
      </c>
      <c r="D42" s="19" t="s">
        <v>254</v>
      </c>
      <c r="E42" s="95" t="s">
        <v>30</v>
      </c>
      <c r="F42" s="80" t="s">
        <v>255</v>
      </c>
      <c r="G42" s="96">
        <v>2761</v>
      </c>
      <c r="H42" s="96">
        <v>1698</v>
      </c>
      <c r="I42" s="23">
        <f>+J42</f>
        <v>0</v>
      </c>
      <c r="J42" s="23"/>
      <c r="K42" s="96">
        <v>2761</v>
      </c>
      <c r="L42" s="96">
        <v>1698</v>
      </c>
      <c r="M42" s="21"/>
      <c r="N42" s="103">
        <v>2761</v>
      </c>
      <c r="O42" s="103">
        <v>1698</v>
      </c>
      <c r="P42" s="103"/>
      <c r="Q42" s="834">
        <v>1698</v>
      </c>
      <c r="R42" s="834">
        <v>1698</v>
      </c>
      <c r="S42" s="106"/>
      <c r="T42" s="73">
        <f>SUM(U42:V42)</f>
        <v>1698</v>
      </c>
      <c r="U42" s="103">
        <v>1698</v>
      </c>
      <c r="V42" s="81"/>
      <c r="W42" s="691" t="s">
        <v>1530</v>
      </c>
      <c r="X42" s="24"/>
      <c r="Y42" s="81">
        <v>1</v>
      </c>
      <c r="Z42" s="660"/>
      <c r="AA42" s="990"/>
      <c r="AB42" s="976"/>
      <c r="AC42" s="552"/>
      <c r="AD42" s="552"/>
      <c r="AE42" s="552"/>
    </row>
    <row r="43" spans="1:31" ht="30">
      <c r="A43" s="97" t="s">
        <v>187</v>
      </c>
      <c r="B43" s="93" t="s">
        <v>263</v>
      </c>
      <c r="C43" s="101" t="s">
        <v>143</v>
      </c>
      <c r="D43" s="19"/>
      <c r="E43" s="95"/>
      <c r="F43" s="80" t="s">
        <v>264</v>
      </c>
      <c r="G43" s="96">
        <v>6912</v>
      </c>
      <c r="H43" s="96">
        <v>6912</v>
      </c>
      <c r="I43" s="23">
        <f>+J43</f>
        <v>3000</v>
      </c>
      <c r="J43" s="23">
        <v>3000</v>
      </c>
      <c r="K43" s="96">
        <v>6912</v>
      </c>
      <c r="L43" s="96">
        <v>6912</v>
      </c>
      <c r="M43" s="21"/>
      <c r="N43" s="81">
        <v>3912</v>
      </c>
      <c r="O43" s="81">
        <v>3912</v>
      </c>
      <c r="P43" s="81"/>
      <c r="Q43" s="106">
        <v>3500</v>
      </c>
      <c r="R43" s="106">
        <v>3500</v>
      </c>
      <c r="S43" s="106"/>
      <c r="T43" s="73">
        <f>SUM(U43:V43)</f>
        <v>3500</v>
      </c>
      <c r="U43" s="81"/>
      <c r="V43" s="81">
        <v>3500</v>
      </c>
      <c r="W43" s="513" t="s">
        <v>1518</v>
      </c>
      <c r="X43" s="24"/>
      <c r="Y43" s="81">
        <v>1</v>
      </c>
    </row>
    <row r="44" spans="1:31" ht="38.25" customHeight="1">
      <c r="A44" s="11" t="s">
        <v>116</v>
      </c>
      <c r="B44" s="65" t="s">
        <v>117</v>
      </c>
      <c r="C44" s="13"/>
      <c r="D44" s="13"/>
      <c r="E44" s="14"/>
      <c r="F44" s="89"/>
      <c r="G44" s="90">
        <f t="shared" ref="G44:V44" si="16">G45</f>
        <v>333444</v>
      </c>
      <c r="H44" s="90">
        <f t="shared" si="16"/>
        <v>50826</v>
      </c>
      <c r="I44" s="90">
        <f t="shared" si="16"/>
        <v>50300</v>
      </c>
      <c r="J44" s="90">
        <f t="shared" si="16"/>
        <v>300</v>
      </c>
      <c r="K44" s="90">
        <f t="shared" si="16"/>
        <v>300099.60000000003</v>
      </c>
      <c r="L44" s="90">
        <f t="shared" si="16"/>
        <v>45743.4</v>
      </c>
      <c r="M44" s="90">
        <f t="shared" si="16"/>
        <v>0</v>
      </c>
      <c r="N44" s="90">
        <f t="shared" si="16"/>
        <v>39500</v>
      </c>
      <c r="O44" s="90">
        <f t="shared" si="16"/>
        <v>4500</v>
      </c>
      <c r="P44" s="90">
        <f t="shared" si="16"/>
        <v>0</v>
      </c>
      <c r="Q44" s="90">
        <f t="shared" si="16"/>
        <v>4500</v>
      </c>
      <c r="R44" s="90">
        <f t="shared" si="16"/>
        <v>0</v>
      </c>
      <c r="S44" s="90">
        <f t="shared" si="16"/>
        <v>4500</v>
      </c>
      <c r="T44" s="90">
        <f t="shared" si="16"/>
        <v>4500</v>
      </c>
      <c r="U44" s="90">
        <f t="shared" si="16"/>
        <v>0</v>
      </c>
      <c r="V44" s="90">
        <f t="shared" si="16"/>
        <v>4500</v>
      </c>
      <c r="W44" s="90"/>
      <c r="X44" s="90"/>
      <c r="Y44" s="90">
        <f>Y45</f>
        <v>1</v>
      </c>
    </row>
    <row r="45" spans="1:31" s="270" customFormat="1" ht="45">
      <c r="A45" s="97" t="s">
        <v>27</v>
      </c>
      <c r="B45" s="592" t="s">
        <v>1169</v>
      </c>
      <c r="C45" s="19" t="s">
        <v>1170</v>
      </c>
      <c r="D45" s="19"/>
      <c r="E45" s="95" t="s">
        <v>120</v>
      </c>
      <c r="F45" s="686" t="s">
        <v>1171</v>
      </c>
      <c r="G45" s="21">
        <v>333444</v>
      </c>
      <c r="H45" s="96">
        <v>50826</v>
      </c>
      <c r="I45" s="21">
        <v>50300</v>
      </c>
      <c r="J45" s="96">
        <v>300</v>
      </c>
      <c r="K45" s="21">
        <f>G45*0.9</f>
        <v>300099.60000000003</v>
      </c>
      <c r="L45" s="96">
        <f>H45*0.9</f>
        <v>45743.4</v>
      </c>
      <c r="M45" s="588"/>
      <c r="N45" s="634">
        <v>39500</v>
      </c>
      <c r="O45" s="634">
        <v>4500</v>
      </c>
      <c r="P45" s="585"/>
      <c r="Q45" s="835">
        <v>4500</v>
      </c>
      <c r="R45" s="835"/>
      <c r="S45" s="835">
        <v>4500</v>
      </c>
      <c r="T45" s="73">
        <f>SUM(U45:V45)</f>
        <v>4500</v>
      </c>
      <c r="U45" s="382"/>
      <c r="V45" s="382">
        <v>4500</v>
      </c>
      <c r="W45" s="513" t="s">
        <v>1514</v>
      </c>
      <c r="X45" s="24"/>
      <c r="Y45" s="382">
        <v>1</v>
      </c>
      <c r="Z45" s="657"/>
      <c r="AA45" s="991"/>
      <c r="AB45" s="970"/>
      <c r="AC45" s="550"/>
      <c r="AD45" s="550"/>
      <c r="AE45" s="550"/>
    </row>
    <row r="46" spans="1:31" ht="35.25" customHeight="1">
      <c r="A46" s="107" t="s">
        <v>150</v>
      </c>
      <c r="B46" s="84" t="s">
        <v>151</v>
      </c>
      <c r="C46" s="85"/>
      <c r="D46" s="85"/>
      <c r="E46" s="86"/>
      <c r="F46" s="687"/>
      <c r="G46" s="87">
        <f t="shared" ref="G46:V46" si="17">SUM(G47,G49:G50)</f>
        <v>1030656</v>
      </c>
      <c r="H46" s="87">
        <f t="shared" si="17"/>
        <v>194126</v>
      </c>
      <c r="I46" s="87">
        <f t="shared" si="17"/>
        <v>3500</v>
      </c>
      <c r="J46" s="87">
        <f t="shared" si="17"/>
        <v>3500</v>
      </c>
      <c r="K46" s="87">
        <f t="shared" si="17"/>
        <v>967630</v>
      </c>
      <c r="L46" s="87">
        <f t="shared" si="17"/>
        <v>180713.40000000002</v>
      </c>
      <c r="M46" s="87">
        <f t="shared" si="17"/>
        <v>0</v>
      </c>
      <c r="N46" s="87">
        <f t="shared" si="17"/>
        <v>88685</v>
      </c>
      <c r="O46" s="87">
        <f t="shared" si="17"/>
        <v>62000</v>
      </c>
      <c r="P46" s="87">
        <f t="shared" si="17"/>
        <v>0</v>
      </c>
      <c r="Q46" s="837">
        <f t="shared" si="17"/>
        <v>62000</v>
      </c>
      <c r="R46" s="837">
        <f t="shared" si="17"/>
        <v>22000</v>
      </c>
      <c r="S46" s="837">
        <f t="shared" si="17"/>
        <v>40000</v>
      </c>
      <c r="T46" s="87">
        <f t="shared" si="17"/>
        <v>42000</v>
      </c>
      <c r="U46" s="87">
        <f t="shared" si="17"/>
        <v>22000</v>
      </c>
      <c r="V46" s="87">
        <f t="shared" si="17"/>
        <v>20000</v>
      </c>
      <c r="W46" s="687"/>
      <c r="X46" s="687"/>
      <c r="Y46" s="87">
        <f>SUM(Y47,Y49:Y50)</f>
        <v>3</v>
      </c>
    </row>
    <row r="47" spans="1:31" s="194" customFormat="1" ht="30">
      <c r="A47" s="97" t="s">
        <v>27</v>
      </c>
      <c r="B47" s="118" t="s">
        <v>1496</v>
      </c>
      <c r="C47" s="41"/>
      <c r="D47" s="119"/>
      <c r="E47" s="120"/>
      <c r="F47" s="121"/>
      <c r="G47" s="72">
        <f t="shared" ref="G47:O47" si="18">G48</f>
        <v>680030</v>
      </c>
      <c r="H47" s="72">
        <f t="shared" si="18"/>
        <v>134126</v>
      </c>
      <c r="I47" s="72">
        <f t="shared" si="18"/>
        <v>3500</v>
      </c>
      <c r="J47" s="72">
        <f t="shared" si="18"/>
        <v>3500</v>
      </c>
      <c r="K47" s="72">
        <f t="shared" si="18"/>
        <v>612027</v>
      </c>
      <c r="L47" s="72">
        <f t="shared" si="18"/>
        <v>120713.40000000001</v>
      </c>
      <c r="M47" s="72">
        <f t="shared" si="18"/>
        <v>0</v>
      </c>
      <c r="N47" s="72">
        <f t="shared" si="18"/>
        <v>40000</v>
      </c>
      <c r="O47" s="72">
        <f t="shared" si="18"/>
        <v>40000</v>
      </c>
      <c r="P47" s="72"/>
      <c r="Q47" s="123">
        <f>Q48</f>
        <v>40000</v>
      </c>
      <c r="R47" s="123"/>
      <c r="S47" s="123">
        <f>S48</f>
        <v>40000</v>
      </c>
      <c r="T47" s="72">
        <f>T48</f>
        <v>20000</v>
      </c>
      <c r="U47" s="72"/>
      <c r="V47" s="72">
        <f>V48</f>
        <v>20000</v>
      </c>
      <c r="W47" s="1012"/>
      <c r="X47" s="1012"/>
      <c r="Y47" s="72">
        <f>Y48</f>
        <v>1</v>
      </c>
      <c r="Z47" s="657"/>
      <c r="AA47" s="990"/>
      <c r="AB47" s="811"/>
      <c r="AC47" s="551"/>
      <c r="AD47" s="551"/>
      <c r="AE47" s="551"/>
    </row>
    <row r="48" spans="1:31" s="270" customFormat="1" ht="45">
      <c r="A48" s="593"/>
      <c r="B48" s="118" t="s">
        <v>1174</v>
      </c>
      <c r="C48" s="41" t="s">
        <v>1175</v>
      </c>
      <c r="D48" s="119"/>
      <c r="E48" s="120" t="s">
        <v>313</v>
      </c>
      <c r="F48" s="688" t="s">
        <v>1176</v>
      </c>
      <c r="G48" s="71">
        <v>680030</v>
      </c>
      <c r="H48" s="72">
        <v>134126</v>
      </c>
      <c r="I48" s="21">
        <v>3500</v>
      </c>
      <c r="J48" s="21">
        <v>3500</v>
      </c>
      <c r="K48" s="71">
        <f>G48*0.9</f>
        <v>612027</v>
      </c>
      <c r="L48" s="72">
        <f>H48*0.9</f>
        <v>120713.40000000001</v>
      </c>
      <c r="M48" s="588"/>
      <c r="N48" s="21">
        <v>40000</v>
      </c>
      <c r="O48" s="21">
        <v>40000</v>
      </c>
      <c r="P48" s="21"/>
      <c r="Q48" s="833">
        <v>40000</v>
      </c>
      <c r="R48" s="833"/>
      <c r="S48" s="833">
        <v>40000</v>
      </c>
      <c r="T48" s="73">
        <f>SUM(U48:V48)</f>
        <v>20000</v>
      </c>
      <c r="U48" s="21"/>
      <c r="V48" s="21">
        <v>20000</v>
      </c>
      <c r="W48" s="513" t="s">
        <v>1514</v>
      </c>
      <c r="X48" s="24"/>
      <c r="Y48" s="21">
        <v>1</v>
      </c>
      <c r="Z48" s="657"/>
      <c r="AA48" s="991"/>
      <c r="AB48" s="970"/>
      <c r="AC48" s="550"/>
      <c r="AD48" s="550"/>
      <c r="AE48" s="550"/>
    </row>
    <row r="49" spans="1:31" s="194" customFormat="1" ht="38.25">
      <c r="A49" s="97" t="s">
        <v>41</v>
      </c>
      <c r="B49" s="118" t="s">
        <v>269</v>
      </c>
      <c r="C49" s="41" t="s">
        <v>5</v>
      </c>
      <c r="D49" s="119" t="s">
        <v>270</v>
      </c>
      <c r="E49" s="120" t="s">
        <v>120</v>
      </c>
      <c r="F49" s="688"/>
      <c r="G49" s="72">
        <v>341941</v>
      </c>
      <c r="H49" s="72">
        <v>58000</v>
      </c>
      <c r="I49" s="72"/>
      <c r="J49" s="72"/>
      <c r="K49" s="72">
        <v>346918</v>
      </c>
      <c r="L49" s="72">
        <v>58000</v>
      </c>
      <c r="M49" s="72"/>
      <c r="N49" s="72">
        <v>40000</v>
      </c>
      <c r="O49" s="72">
        <v>20000</v>
      </c>
      <c r="P49" s="72"/>
      <c r="Q49" s="123">
        <v>20000</v>
      </c>
      <c r="R49" s="123">
        <v>20000</v>
      </c>
      <c r="S49" s="123"/>
      <c r="T49" s="72">
        <f>SUM(U49:V49)</f>
        <v>20000</v>
      </c>
      <c r="U49" s="72">
        <v>20000</v>
      </c>
      <c r="V49" s="72"/>
      <c r="W49" s="1012" t="s">
        <v>1514</v>
      </c>
      <c r="X49" s="1012" t="s">
        <v>1664</v>
      </c>
      <c r="Y49" s="72">
        <v>1</v>
      </c>
      <c r="Z49" s="657"/>
      <c r="AA49" s="990"/>
      <c r="AB49" s="811"/>
      <c r="AC49" s="551"/>
      <c r="AD49" s="551"/>
      <c r="AE49" s="551"/>
    </row>
    <row r="50" spans="1:31" s="25" customFormat="1" ht="60">
      <c r="A50" s="97" t="s">
        <v>58</v>
      </c>
      <c r="B50" s="184" t="s">
        <v>272</v>
      </c>
      <c r="C50" s="70"/>
      <c r="D50" s="70"/>
      <c r="E50" s="70"/>
      <c r="F50" s="24"/>
      <c r="G50" s="277">
        <f t="shared" ref="G50:V50" si="19">G51</f>
        <v>8685</v>
      </c>
      <c r="H50" s="277">
        <f t="shared" si="19"/>
        <v>2000</v>
      </c>
      <c r="I50" s="277">
        <f t="shared" si="19"/>
        <v>0</v>
      </c>
      <c r="J50" s="277">
        <f t="shared" si="19"/>
        <v>0</v>
      </c>
      <c r="K50" s="277">
        <f t="shared" si="19"/>
        <v>8685</v>
      </c>
      <c r="L50" s="277">
        <f t="shared" si="19"/>
        <v>2000</v>
      </c>
      <c r="M50" s="277">
        <f t="shared" si="19"/>
        <v>0</v>
      </c>
      <c r="N50" s="277">
        <f t="shared" si="19"/>
        <v>8685</v>
      </c>
      <c r="O50" s="277">
        <f t="shared" si="19"/>
        <v>2000</v>
      </c>
      <c r="P50" s="277">
        <f t="shared" si="19"/>
        <v>0</v>
      </c>
      <c r="Q50" s="838">
        <f t="shared" si="19"/>
        <v>2000</v>
      </c>
      <c r="R50" s="838">
        <f t="shared" si="19"/>
        <v>2000</v>
      </c>
      <c r="S50" s="838">
        <f t="shared" si="19"/>
        <v>0</v>
      </c>
      <c r="T50" s="277">
        <f t="shared" si="19"/>
        <v>2000</v>
      </c>
      <c r="U50" s="277">
        <f t="shared" si="19"/>
        <v>2000</v>
      </c>
      <c r="V50" s="277">
        <f t="shared" si="19"/>
        <v>0</v>
      </c>
      <c r="W50" s="730"/>
      <c r="X50" s="24"/>
      <c r="Y50" s="277">
        <v>1</v>
      </c>
      <c r="Z50" s="657"/>
      <c r="AA50" s="996"/>
      <c r="AB50" s="978"/>
      <c r="AC50" s="553"/>
      <c r="AD50" s="553"/>
      <c r="AE50" s="553"/>
    </row>
    <row r="51" spans="1:31" s="278" customFormat="1" ht="25.5">
      <c r="A51" s="67"/>
      <c r="B51" s="68" t="s">
        <v>1200</v>
      </c>
      <c r="C51" s="19" t="s">
        <v>112</v>
      </c>
      <c r="D51" s="19" t="s">
        <v>1201</v>
      </c>
      <c r="E51" s="137">
        <v>2017</v>
      </c>
      <c r="F51" s="80" t="s">
        <v>1202</v>
      </c>
      <c r="G51" s="277">
        <v>8685</v>
      </c>
      <c r="H51" s="77">
        <v>2000</v>
      </c>
      <c r="I51" s="594"/>
      <c r="J51" s="594"/>
      <c r="K51" s="277">
        <v>8685</v>
      </c>
      <c r="L51" s="277">
        <v>2000</v>
      </c>
      <c r="M51" s="277"/>
      <c r="N51" s="277">
        <v>8685</v>
      </c>
      <c r="O51" s="277">
        <v>2000</v>
      </c>
      <c r="P51" s="595"/>
      <c r="Q51" s="838">
        <v>2000</v>
      </c>
      <c r="R51" s="838">
        <v>2000</v>
      </c>
      <c r="S51" s="839"/>
      <c r="T51" s="73">
        <f>SUM(U51:V51)</f>
        <v>2000</v>
      </c>
      <c r="U51" s="277">
        <v>2000</v>
      </c>
      <c r="V51" s="595"/>
      <c r="W51" s="100"/>
      <c r="X51" s="98"/>
      <c r="Y51" s="175"/>
      <c r="Z51" s="661"/>
      <c r="AA51" s="997"/>
      <c r="AB51" s="979"/>
      <c r="AC51" s="555"/>
      <c r="AD51" s="555"/>
      <c r="AE51" s="555"/>
    </row>
    <row r="52" spans="1:31" s="629" customFormat="1" ht="24" customHeight="1">
      <c r="A52" s="624" t="s">
        <v>281</v>
      </c>
      <c r="B52" s="618" t="s">
        <v>1140</v>
      </c>
      <c r="C52" s="625"/>
      <c r="D52" s="625"/>
      <c r="E52" s="626"/>
      <c r="F52" s="690"/>
      <c r="G52" s="627">
        <f t="shared" ref="G52:V52" si="20">SUM(G53)</f>
        <v>742054</v>
      </c>
      <c r="H52" s="627">
        <f t="shared" si="20"/>
        <v>52158</v>
      </c>
      <c r="I52" s="627">
        <f t="shared" si="20"/>
        <v>47397</v>
      </c>
      <c r="J52" s="627">
        <f t="shared" si="20"/>
        <v>21397</v>
      </c>
      <c r="K52" s="627">
        <f t="shared" si="20"/>
        <v>198696</v>
      </c>
      <c r="L52" s="627">
        <f t="shared" si="20"/>
        <v>67696</v>
      </c>
      <c r="M52" s="627">
        <f t="shared" si="20"/>
        <v>0</v>
      </c>
      <c r="N52" s="627">
        <f t="shared" si="20"/>
        <v>51800</v>
      </c>
      <c r="O52" s="627">
        <f t="shared" si="20"/>
        <v>6800</v>
      </c>
      <c r="P52" s="627">
        <f t="shared" si="20"/>
        <v>0</v>
      </c>
      <c r="Q52" s="840">
        <f t="shared" si="20"/>
        <v>9200</v>
      </c>
      <c r="R52" s="840">
        <f t="shared" si="20"/>
        <v>9200</v>
      </c>
      <c r="S52" s="840">
        <f t="shared" si="20"/>
        <v>0</v>
      </c>
      <c r="T52" s="627">
        <f t="shared" si="20"/>
        <v>9200</v>
      </c>
      <c r="U52" s="627">
        <f t="shared" si="20"/>
        <v>9200</v>
      </c>
      <c r="V52" s="627">
        <f t="shared" si="20"/>
        <v>0</v>
      </c>
      <c r="W52" s="734"/>
      <c r="X52" s="734"/>
      <c r="Y52" s="627">
        <f>SUM(Y53)</f>
        <v>4</v>
      </c>
      <c r="Z52" s="662"/>
      <c r="AA52" s="990"/>
      <c r="AB52" s="811"/>
      <c r="AC52" s="628"/>
      <c r="AD52" s="628"/>
      <c r="AE52" s="628"/>
    </row>
    <row r="53" spans="1:31" s="265" customFormat="1" ht="23.25" customHeight="1">
      <c r="A53" s="82" t="s">
        <v>499</v>
      </c>
      <c r="B53" s="586" t="s">
        <v>31</v>
      </c>
      <c r="C53" s="350"/>
      <c r="D53" s="350"/>
      <c r="E53" s="351"/>
      <c r="F53" s="352"/>
      <c r="G53" s="90">
        <f t="shared" ref="G53:V53" si="21">SUM(G54,G56)</f>
        <v>742054</v>
      </c>
      <c r="H53" s="90">
        <f t="shared" si="21"/>
        <v>52158</v>
      </c>
      <c r="I53" s="90">
        <f t="shared" si="21"/>
        <v>47397</v>
      </c>
      <c r="J53" s="90">
        <f t="shared" si="21"/>
        <v>21397</v>
      </c>
      <c r="K53" s="90">
        <f t="shared" si="21"/>
        <v>198696</v>
      </c>
      <c r="L53" s="90">
        <f t="shared" si="21"/>
        <v>67696</v>
      </c>
      <c r="M53" s="90">
        <f t="shared" si="21"/>
        <v>0</v>
      </c>
      <c r="N53" s="90">
        <f t="shared" si="21"/>
        <v>51800</v>
      </c>
      <c r="O53" s="90">
        <f t="shared" si="21"/>
        <v>6800</v>
      </c>
      <c r="P53" s="90">
        <f t="shared" si="21"/>
        <v>0</v>
      </c>
      <c r="Q53" s="829">
        <f t="shared" si="21"/>
        <v>9200</v>
      </c>
      <c r="R53" s="829">
        <f t="shared" si="21"/>
        <v>9200</v>
      </c>
      <c r="S53" s="829">
        <f t="shared" si="21"/>
        <v>0</v>
      </c>
      <c r="T53" s="90">
        <f t="shared" si="21"/>
        <v>9200</v>
      </c>
      <c r="U53" s="90">
        <f t="shared" si="21"/>
        <v>9200</v>
      </c>
      <c r="V53" s="90">
        <f t="shared" si="21"/>
        <v>0</v>
      </c>
      <c r="W53" s="699"/>
      <c r="X53" s="699"/>
      <c r="Y53" s="90">
        <f>SUM(Y54,Y56)</f>
        <v>4</v>
      </c>
      <c r="Z53" s="657"/>
      <c r="AA53" s="990"/>
      <c r="AB53" s="811"/>
      <c r="AC53" s="551"/>
      <c r="AD53" s="551"/>
      <c r="AE53" s="551"/>
    </row>
    <row r="54" spans="1:31" ht="28.5">
      <c r="A54" s="11" t="s">
        <v>116</v>
      </c>
      <c r="B54" s="65" t="s">
        <v>117</v>
      </c>
      <c r="C54" s="19"/>
      <c r="D54" s="19"/>
      <c r="E54" s="70"/>
      <c r="F54" s="80"/>
      <c r="G54" s="33">
        <f t="shared" ref="G54:V54" si="22">G55</f>
        <v>64476</v>
      </c>
      <c r="H54" s="33">
        <f t="shared" si="22"/>
        <v>38476</v>
      </c>
      <c r="I54" s="33">
        <f t="shared" si="22"/>
        <v>47051</v>
      </c>
      <c r="J54" s="33">
        <f t="shared" si="22"/>
        <v>21051</v>
      </c>
      <c r="K54" s="33">
        <f t="shared" si="22"/>
        <v>22500</v>
      </c>
      <c r="L54" s="33">
        <f t="shared" si="22"/>
        <v>22500</v>
      </c>
      <c r="M54" s="33">
        <f t="shared" si="22"/>
        <v>0</v>
      </c>
      <c r="N54" s="33">
        <f t="shared" si="22"/>
        <v>700</v>
      </c>
      <c r="O54" s="33">
        <f t="shared" si="22"/>
        <v>700</v>
      </c>
      <c r="P54" s="33">
        <f t="shared" si="22"/>
        <v>0</v>
      </c>
      <c r="Q54" s="841">
        <f t="shared" si="22"/>
        <v>700</v>
      </c>
      <c r="R54" s="841">
        <f t="shared" si="22"/>
        <v>700</v>
      </c>
      <c r="S54" s="841">
        <f t="shared" si="22"/>
        <v>0</v>
      </c>
      <c r="T54" s="33">
        <f t="shared" si="22"/>
        <v>700</v>
      </c>
      <c r="U54" s="33">
        <f t="shared" si="22"/>
        <v>700</v>
      </c>
      <c r="V54" s="33">
        <f t="shared" si="22"/>
        <v>0</v>
      </c>
      <c r="W54" s="699"/>
      <c r="X54" s="699"/>
      <c r="Y54" s="33">
        <f>Y55</f>
        <v>1</v>
      </c>
    </row>
    <row r="55" spans="1:31" ht="33">
      <c r="A55" s="97" t="s">
        <v>27</v>
      </c>
      <c r="B55" s="93" t="s">
        <v>297</v>
      </c>
      <c r="C55" s="101" t="s">
        <v>112</v>
      </c>
      <c r="D55" s="101" t="s">
        <v>298</v>
      </c>
      <c r="E55" s="137" t="s">
        <v>94</v>
      </c>
      <c r="F55" s="100" t="s">
        <v>299</v>
      </c>
      <c r="G55" s="22">
        <v>64476</v>
      </c>
      <c r="H55" s="21">
        <v>38476</v>
      </c>
      <c r="I55" s="21">
        <f>26000+51+21000</f>
        <v>47051</v>
      </c>
      <c r="J55" s="21">
        <f>51+21000</f>
        <v>21051</v>
      </c>
      <c r="K55" s="176">
        <v>22500</v>
      </c>
      <c r="L55" s="176">
        <v>22500</v>
      </c>
      <c r="M55" s="21"/>
      <c r="N55" s="81">
        <v>700</v>
      </c>
      <c r="O55" s="81">
        <v>700</v>
      </c>
      <c r="P55" s="81"/>
      <c r="Q55" s="106">
        <v>700</v>
      </c>
      <c r="R55" s="106">
        <v>700</v>
      </c>
      <c r="S55" s="106"/>
      <c r="T55" s="73">
        <f>SUM(U55:V55)</f>
        <v>700</v>
      </c>
      <c r="U55" s="81">
        <v>700</v>
      </c>
      <c r="V55" s="81"/>
      <c r="W55" s="729" t="s">
        <v>1520</v>
      </c>
      <c r="X55" s="728"/>
      <c r="Y55" s="81">
        <v>1</v>
      </c>
    </row>
    <row r="56" spans="1:31">
      <c r="A56" s="11" t="s">
        <v>150</v>
      </c>
      <c r="B56" s="65" t="s">
        <v>151</v>
      </c>
      <c r="C56" s="13"/>
      <c r="D56" s="13"/>
      <c r="E56" s="14"/>
      <c r="F56" s="89"/>
      <c r="G56" s="90">
        <f t="shared" ref="G56:V56" si="23">SUM(G57:G58,G60:G60)</f>
        <v>677578</v>
      </c>
      <c r="H56" s="90">
        <f t="shared" si="23"/>
        <v>13682</v>
      </c>
      <c r="I56" s="90">
        <f t="shared" si="23"/>
        <v>346</v>
      </c>
      <c r="J56" s="90">
        <f t="shared" si="23"/>
        <v>346</v>
      </c>
      <c r="K56" s="90">
        <f t="shared" si="23"/>
        <v>176196</v>
      </c>
      <c r="L56" s="90">
        <f t="shared" si="23"/>
        <v>45196</v>
      </c>
      <c r="M56" s="90">
        <f t="shared" si="23"/>
        <v>0</v>
      </c>
      <c r="N56" s="90">
        <f t="shared" si="23"/>
        <v>51100</v>
      </c>
      <c r="O56" s="90">
        <f t="shared" si="23"/>
        <v>6100</v>
      </c>
      <c r="P56" s="90">
        <f t="shared" si="23"/>
        <v>0</v>
      </c>
      <c r="Q56" s="829">
        <f t="shared" si="23"/>
        <v>8500</v>
      </c>
      <c r="R56" s="829">
        <f t="shared" si="23"/>
        <v>8500</v>
      </c>
      <c r="S56" s="829">
        <f t="shared" si="23"/>
        <v>0</v>
      </c>
      <c r="T56" s="90">
        <f t="shared" si="23"/>
        <v>8500</v>
      </c>
      <c r="U56" s="90">
        <f t="shared" si="23"/>
        <v>8500</v>
      </c>
      <c r="V56" s="90">
        <f t="shared" si="23"/>
        <v>0</v>
      </c>
      <c r="W56" s="699"/>
      <c r="X56" s="699"/>
      <c r="Y56" s="90">
        <f>SUM(Y57:Y58,Y60:Y60)</f>
        <v>3</v>
      </c>
    </row>
    <row r="57" spans="1:31" ht="33">
      <c r="A57" s="138">
        <v>1</v>
      </c>
      <c r="B57" s="68" t="s">
        <v>300</v>
      </c>
      <c r="C57" s="19" t="s">
        <v>260</v>
      </c>
      <c r="D57" s="19" t="s">
        <v>301</v>
      </c>
      <c r="E57" s="70" t="s">
        <v>355</v>
      </c>
      <c r="F57" s="752" t="s">
        <v>1503</v>
      </c>
      <c r="G57" s="139">
        <v>102486</v>
      </c>
      <c r="H57" s="22">
        <v>12486</v>
      </c>
      <c r="I57" s="22">
        <f>+J57</f>
        <v>196</v>
      </c>
      <c r="J57" s="22">
        <f>100+96</f>
        <v>196</v>
      </c>
      <c r="K57" s="22">
        <v>80000</v>
      </c>
      <c r="L57" s="22">
        <v>30000</v>
      </c>
      <c r="M57" s="22"/>
      <c r="N57" s="133">
        <v>30000</v>
      </c>
      <c r="O57" s="133"/>
      <c r="P57" s="133"/>
      <c r="Q57" s="842">
        <f>SUM(R57:S57)</f>
        <v>2400</v>
      </c>
      <c r="R57" s="842">
        <v>2400</v>
      </c>
      <c r="S57" s="842"/>
      <c r="T57" s="73">
        <f>SUM(U57:V57)</f>
        <v>2400</v>
      </c>
      <c r="U57" s="133">
        <v>2400</v>
      </c>
      <c r="V57" s="133"/>
      <c r="W57" s="729" t="s">
        <v>1520</v>
      </c>
      <c r="X57" s="728"/>
      <c r="Y57" s="133">
        <v>1</v>
      </c>
    </row>
    <row r="58" spans="1:31" ht="30">
      <c r="A58" s="138">
        <v>2</v>
      </c>
      <c r="B58" s="118" t="s">
        <v>304</v>
      </c>
      <c r="C58" s="41" t="s">
        <v>305</v>
      </c>
      <c r="D58" s="119" t="s">
        <v>306</v>
      </c>
      <c r="E58" s="120" t="s">
        <v>120</v>
      </c>
      <c r="F58" s="691" t="s">
        <v>307</v>
      </c>
      <c r="G58" s="72">
        <v>573896</v>
      </c>
      <c r="H58" s="22"/>
      <c r="I58" s="808">
        <v>150</v>
      </c>
      <c r="J58" s="808">
        <v>150</v>
      </c>
      <c r="K58" s="72">
        <v>95000</v>
      </c>
      <c r="L58" s="22">
        <v>14000</v>
      </c>
      <c r="M58" s="22"/>
      <c r="N58" s="133">
        <v>20000</v>
      </c>
      <c r="O58" s="133">
        <v>5000</v>
      </c>
      <c r="P58" s="133"/>
      <c r="Q58" s="842">
        <v>5000</v>
      </c>
      <c r="R58" s="842">
        <v>5000</v>
      </c>
      <c r="S58" s="842"/>
      <c r="T58" s="73">
        <f>SUM(U58:V58)</f>
        <v>5000</v>
      </c>
      <c r="U58" s="133">
        <v>5000</v>
      </c>
      <c r="V58" s="133"/>
      <c r="W58" s="729" t="s">
        <v>1522</v>
      </c>
      <c r="X58" s="728"/>
      <c r="Y58" s="133">
        <v>1</v>
      </c>
    </row>
    <row r="59" spans="1:31">
      <c r="A59" s="138"/>
      <c r="B59" s="68" t="s">
        <v>308</v>
      </c>
      <c r="C59" s="19"/>
      <c r="D59" s="19"/>
      <c r="E59" s="70"/>
      <c r="F59" s="691"/>
      <c r="G59" s="139">
        <v>106000</v>
      </c>
      <c r="H59" s="22">
        <v>16000</v>
      </c>
      <c r="I59" s="22"/>
      <c r="J59" s="22"/>
      <c r="K59" s="22">
        <v>95000</v>
      </c>
      <c r="L59" s="22">
        <v>14000</v>
      </c>
      <c r="M59" s="22"/>
      <c r="N59" s="133">
        <v>20000</v>
      </c>
      <c r="O59" s="133">
        <v>5000</v>
      </c>
      <c r="P59" s="133"/>
      <c r="Q59" s="842">
        <v>5000</v>
      </c>
      <c r="R59" s="842">
        <v>5000</v>
      </c>
      <c r="S59" s="842"/>
      <c r="T59" s="73">
        <f>SUM(U59:V59)</f>
        <v>5000</v>
      </c>
      <c r="U59" s="133">
        <v>5000</v>
      </c>
      <c r="V59" s="133"/>
      <c r="W59" s="729"/>
      <c r="X59" s="728"/>
      <c r="Y59" s="133"/>
      <c r="Z59" s="714"/>
    </row>
    <row r="60" spans="1:31" ht="30">
      <c r="A60" s="138">
        <v>3</v>
      </c>
      <c r="B60" s="68" t="s">
        <v>309</v>
      </c>
      <c r="C60" s="19" t="s">
        <v>112</v>
      </c>
      <c r="D60" s="300" t="s">
        <v>310</v>
      </c>
      <c r="E60" s="307" t="s">
        <v>166</v>
      </c>
      <c r="F60" s="693" t="s">
        <v>1607</v>
      </c>
      <c r="G60" s="404">
        <v>1196</v>
      </c>
      <c r="H60" s="404">
        <v>1196</v>
      </c>
      <c r="I60" s="22"/>
      <c r="J60" s="22"/>
      <c r="K60" s="22">
        <v>1196</v>
      </c>
      <c r="L60" s="22">
        <v>1196</v>
      </c>
      <c r="M60" s="22"/>
      <c r="N60" s="133">
        <f>+O60</f>
        <v>1100</v>
      </c>
      <c r="O60" s="133">
        <v>1100</v>
      </c>
      <c r="P60" s="133"/>
      <c r="Q60" s="842">
        <f>+R60</f>
        <v>1100</v>
      </c>
      <c r="R60" s="842">
        <v>1100</v>
      </c>
      <c r="S60" s="842"/>
      <c r="T60" s="133">
        <f>+U60</f>
        <v>1100</v>
      </c>
      <c r="U60" s="133">
        <v>1100</v>
      </c>
      <c r="V60" s="133"/>
      <c r="W60" s="729" t="s">
        <v>1520</v>
      </c>
      <c r="X60" s="24"/>
      <c r="Y60" s="133">
        <v>1</v>
      </c>
    </row>
    <row r="61" spans="1:31" s="629" customFormat="1" ht="28.5" customHeight="1">
      <c r="A61" s="630" t="s">
        <v>315</v>
      </c>
      <c r="B61" s="618" t="s">
        <v>1141</v>
      </c>
      <c r="C61" s="631"/>
      <c r="D61" s="631"/>
      <c r="E61" s="632"/>
      <c r="F61" s="692"/>
      <c r="G61" s="627">
        <f t="shared" ref="G61:V61" si="24">+G62+G63</f>
        <v>322580</v>
      </c>
      <c r="H61" s="627">
        <f t="shared" si="24"/>
        <v>70589</v>
      </c>
      <c r="I61" s="627">
        <f t="shared" si="24"/>
        <v>52869</v>
      </c>
      <c r="J61" s="627">
        <f t="shared" si="24"/>
        <v>1118</v>
      </c>
      <c r="K61" s="627">
        <f t="shared" si="24"/>
        <v>165536</v>
      </c>
      <c r="L61" s="627">
        <f t="shared" si="24"/>
        <v>70170</v>
      </c>
      <c r="M61" s="627">
        <f t="shared" si="24"/>
        <v>0</v>
      </c>
      <c r="N61" s="627">
        <f t="shared" si="24"/>
        <v>49216</v>
      </c>
      <c r="O61" s="627">
        <f t="shared" si="24"/>
        <v>19216</v>
      </c>
      <c r="P61" s="627">
        <f t="shared" si="24"/>
        <v>0</v>
      </c>
      <c r="Q61" s="840">
        <f t="shared" si="24"/>
        <v>15411</v>
      </c>
      <c r="R61" s="840">
        <f t="shared" si="24"/>
        <v>15411</v>
      </c>
      <c r="S61" s="840">
        <f t="shared" si="24"/>
        <v>0</v>
      </c>
      <c r="T61" s="627">
        <f t="shared" si="24"/>
        <v>15411</v>
      </c>
      <c r="U61" s="627">
        <f t="shared" si="24"/>
        <v>15411</v>
      </c>
      <c r="V61" s="627">
        <f t="shared" si="24"/>
        <v>0</v>
      </c>
      <c r="W61" s="734"/>
      <c r="X61" s="734"/>
      <c r="Y61" s="627">
        <f>+Y62+Y63</f>
        <v>3</v>
      </c>
      <c r="Z61" s="662"/>
      <c r="AA61" s="990"/>
      <c r="AB61" s="811"/>
      <c r="AC61" s="628"/>
      <c r="AD61" s="628"/>
      <c r="AE61" s="628"/>
    </row>
    <row r="62" spans="1:31" s="265" customFormat="1">
      <c r="A62" s="82" t="s">
        <v>525</v>
      </c>
      <c r="B62" s="65" t="s">
        <v>26</v>
      </c>
      <c r="C62" s="350"/>
      <c r="D62" s="350"/>
      <c r="E62" s="351"/>
      <c r="F62" s="352"/>
      <c r="G62" s="597"/>
      <c r="H62" s="597"/>
      <c r="I62" s="597"/>
      <c r="J62" s="597"/>
      <c r="K62" s="597"/>
      <c r="L62" s="597"/>
      <c r="M62" s="597"/>
      <c r="N62" s="597"/>
      <c r="O62" s="597"/>
      <c r="P62" s="597"/>
      <c r="Q62" s="844"/>
      <c r="R62" s="844"/>
      <c r="S62" s="844"/>
      <c r="T62" s="597"/>
      <c r="U62" s="597"/>
      <c r="V62" s="597"/>
      <c r="W62" s="731"/>
      <c r="X62" s="731"/>
      <c r="Y62" s="597"/>
      <c r="Z62" s="657"/>
      <c r="AA62" s="990"/>
      <c r="AB62" s="811"/>
      <c r="AC62" s="551"/>
      <c r="AD62" s="551"/>
      <c r="AE62" s="551"/>
    </row>
    <row r="63" spans="1:31" s="265" customFormat="1">
      <c r="A63" s="78" t="s">
        <v>499</v>
      </c>
      <c r="B63" s="586" t="s">
        <v>31</v>
      </c>
      <c r="C63" s="19"/>
      <c r="D63" s="19"/>
      <c r="E63" s="70"/>
      <c r="F63" s="80"/>
      <c r="G63" s="90">
        <f t="shared" ref="G63:V63" si="25">G64+G66</f>
        <v>322580</v>
      </c>
      <c r="H63" s="90">
        <f t="shared" si="25"/>
        <v>70589</v>
      </c>
      <c r="I63" s="90">
        <f t="shared" si="25"/>
        <v>52869</v>
      </c>
      <c r="J63" s="90">
        <f t="shared" si="25"/>
        <v>1118</v>
      </c>
      <c r="K63" s="90">
        <f t="shared" si="25"/>
        <v>165536</v>
      </c>
      <c r="L63" s="90">
        <f t="shared" si="25"/>
        <v>70170</v>
      </c>
      <c r="M63" s="90">
        <f t="shared" si="25"/>
        <v>0</v>
      </c>
      <c r="N63" s="90">
        <f t="shared" si="25"/>
        <v>49216</v>
      </c>
      <c r="O63" s="90">
        <f t="shared" si="25"/>
        <v>19216</v>
      </c>
      <c r="P63" s="90">
        <f t="shared" si="25"/>
        <v>0</v>
      </c>
      <c r="Q63" s="829">
        <f t="shared" si="25"/>
        <v>15411</v>
      </c>
      <c r="R63" s="829">
        <f t="shared" si="25"/>
        <v>15411</v>
      </c>
      <c r="S63" s="829">
        <f t="shared" si="25"/>
        <v>0</v>
      </c>
      <c r="T63" s="90">
        <f t="shared" si="25"/>
        <v>15411</v>
      </c>
      <c r="U63" s="90">
        <f t="shared" si="25"/>
        <v>15411</v>
      </c>
      <c r="V63" s="90">
        <f t="shared" si="25"/>
        <v>0</v>
      </c>
      <c r="W63" s="699"/>
      <c r="X63" s="699"/>
      <c r="Y63" s="90">
        <f>Y64+Y66</f>
        <v>3</v>
      </c>
      <c r="Z63" s="657"/>
      <c r="AA63" s="990"/>
      <c r="AB63" s="811"/>
      <c r="AC63" s="551"/>
      <c r="AD63" s="551"/>
      <c r="AE63" s="551"/>
    </row>
    <row r="64" spans="1:31" ht="28.5">
      <c r="A64" s="11" t="s">
        <v>116</v>
      </c>
      <c r="B64" s="65" t="s">
        <v>117</v>
      </c>
      <c r="C64" s="13"/>
      <c r="D64" s="13"/>
      <c r="E64" s="14"/>
      <c r="F64" s="89"/>
      <c r="G64" s="90">
        <f t="shared" ref="G64:V64" si="26">SUM(G65:G65)</f>
        <v>147860</v>
      </c>
      <c r="H64" s="90">
        <f t="shared" si="26"/>
        <v>6335</v>
      </c>
      <c r="I64" s="90">
        <f t="shared" si="26"/>
        <v>52869</v>
      </c>
      <c r="J64" s="90">
        <f t="shared" si="26"/>
        <v>1118</v>
      </c>
      <c r="K64" s="90">
        <f t="shared" si="26"/>
        <v>5916</v>
      </c>
      <c r="L64" s="90">
        <f t="shared" si="26"/>
        <v>5916</v>
      </c>
      <c r="M64" s="90">
        <f t="shared" si="26"/>
        <v>0</v>
      </c>
      <c r="N64" s="90">
        <f t="shared" si="26"/>
        <v>4216</v>
      </c>
      <c r="O64" s="90">
        <f t="shared" si="26"/>
        <v>4216</v>
      </c>
      <c r="P64" s="90">
        <f t="shared" si="26"/>
        <v>0</v>
      </c>
      <c r="Q64" s="829">
        <f t="shared" si="26"/>
        <v>2000</v>
      </c>
      <c r="R64" s="829">
        <f t="shared" si="26"/>
        <v>2000</v>
      </c>
      <c r="S64" s="829">
        <f t="shared" si="26"/>
        <v>0</v>
      </c>
      <c r="T64" s="90">
        <f t="shared" si="26"/>
        <v>2000</v>
      </c>
      <c r="U64" s="90">
        <f t="shared" si="26"/>
        <v>2000</v>
      </c>
      <c r="V64" s="90">
        <f t="shared" si="26"/>
        <v>0</v>
      </c>
      <c r="W64" s="699"/>
      <c r="X64" s="699"/>
      <c r="Y64" s="90">
        <f>SUM(Y65:Y65)</f>
        <v>1</v>
      </c>
    </row>
    <row r="65" spans="1:31" ht="84.75" customHeight="1">
      <c r="A65" s="97" t="s">
        <v>27</v>
      </c>
      <c r="B65" s="93" t="s">
        <v>328</v>
      </c>
      <c r="C65" s="101" t="s">
        <v>85</v>
      </c>
      <c r="D65" s="101" t="s">
        <v>329</v>
      </c>
      <c r="E65" s="137" t="s">
        <v>330</v>
      </c>
      <c r="F65" s="100" t="s">
        <v>331</v>
      </c>
      <c r="G65" s="22">
        <v>147860</v>
      </c>
      <c r="H65" s="22">
        <v>6335</v>
      </c>
      <c r="I65" s="22">
        <v>52869</v>
      </c>
      <c r="J65" s="22">
        <v>1118</v>
      </c>
      <c r="K65" s="22">
        <v>5916</v>
      </c>
      <c r="L65" s="22">
        <v>5916</v>
      </c>
      <c r="M65" s="22"/>
      <c r="N65" s="133">
        <f>+O65</f>
        <v>4216</v>
      </c>
      <c r="O65" s="133">
        <v>4216</v>
      </c>
      <c r="P65" s="133"/>
      <c r="Q65" s="842">
        <f>+R65</f>
        <v>2000</v>
      </c>
      <c r="R65" s="842">
        <v>2000</v>
      </c>
      <c r="S65" s="842"/>
      <c r="T65" s="73">
        <f>SUM(U65:V65)</f>
        <v>2000</v>
      </c>
      <c r="U65" s="133">
        <v>2000</v>
      </c>
      <c r="V65" s="133"/>
      <c r="W65" s="729" t="s">
        <v>1520</v>
      </c>
      <c r="X65" s="728"/>
      <c r="Y65" s="133">
        <v>1</v>
      </c>
    </row>
    <row r="66" spans="1:31" ht="26.25" customHeight="1">
      <c r="A66" s="11" t="s">
        <v>150</v>
      </c>
      <c r="B66" s="65" t="s">
        <v>151</v>
      </c>
      <c r="C66" s="13"/>
      <c r="D66" s="13"/>
      <c r="E66" s="14"/>
      <c r="F66" s="89"/>
      <c r="G66" s="90">
        <f t="shared" ref="G66:Y66" si="27">SUM(G67:G68)</f>
        <v>174720</v>
      </c>
      <c r="H66" s="90">
        <f t="shared" si="27"/>
        <v>64254</v>
      </c>
      <c r="I66" s="90">
        <f t="shared" si="27"/>
        <v>0</v>
      </c>
      <c r="J66" s="90">
        <f t="shared" si="27"/>
        <v>0</v>
      </c>
      <c r="K66" s="90">
        <f t="shared" si="27"/>
        <v>159620</v>
      </c>
      <c r="L66" s="90">
        <f t="shared" si="27"/>
        <v>64254</v>
      </c>
      <c r="M66" s="90">
        <f t="shared" si="27"/>
        <v>0</v>
      </c>
      <c r="N66" s="90">
        <f t="shared" si="27"/>
        <v>45000</v>
      </c>
      <c r="O66" s="90">
        <f t="shared" si="27"/>
        <v>15000</v>
      </c>
      <c r="P66" s="90">
        <f t="shared" si="27"/>
        <v>0</v>
      </c>
      <c r="Q66" s="90">
        <f t="shared" si="27"/>
        <v>13411</v>
      </c>
      <c r="R66" s="90">
        <f t="shared" si="27"/>
        <v>13411</v>
      </c>
      <c r="S66" s="90">
        <f t="shared" si="27"/>
        <v>0</v>
      </c>
      <c r="T66" s="90">
        <f t="shared" si="27"/>
        <v>13411</v>
      </c>
      <c r="U66" s="90">
        <f t="shared" si="27"/>
        <v>13411</v>
      </c>
      <c r="V66" s="90">
        <f t="shared" si="27"/>
        <v>0</v>
      </c>
      <c r="W66" s="90"/>
      <c r="X66" s="90"/>
      <c r="Y66" s="90">
        <f t="shared" si="27"/>
        <v>2</v>
      </c>
    </row>
    <row r="67" spans="1:31" ht="40.5" customHeight="1">
      <c r="A67" s="97" t="s">
        <v>27</v>
      </c>
      <c r="B67" s="68" t="s">
        <v>340</v>
      </c>
      <c r="C67" s="19" t="s">
        <v>143</v>
      </c>
      <c r="D67" s="809" t="s">
        <v>1612</v>
      </c>
      <c r="E67" s="880" t="s">
        <v>120</v>
      </c>
      <c r="F67" s="809" t="s">
        <v>1613</v>
      </c>
      <c r="G67" s="175">
        <v>102383</v>
      </c>
      <c r="H67" s="22">
        <v>25994</v>
      </c>
      <c r="I67" s="22"/>
      <c r="J67" s="22"/>
      <c r="K67" s="22">
        <v>102383</v>
      </c>
      <c r="L67" s="22">
        <v>25994</v>
      </c>
      <c r="M67" s="22"/>
      <c r="N67" s="133">
        <v>35000</v>
      </c>
      <c r="O67" s="133">
        <v>5000</v>
      </c>
      <c r="P67" s="133"/>
      <c r="Q67" s="842">
        <v>6000</v>
      </c>
      <c r="R67" s="842">
        <v>6000</v>
      </c>
      <c r="S67" s="842"/>
      <c r="T67" s="73">
        <v>6000</v>
      </c>
      <c r="U67" s="133">
        <v>6000</v>
      </c>
      <c r="V67" s="133"/>
      <c r="W67" s="729" t="s">
        <v>1520</v>
      </c>
      <c r="X67" s="728"/>
      <c r="Y67" s="133">
        <v>1</v>
      </c>
      <c r="Z67" s="779"/>
    </row>
    <row r="68" spans="1:31" ht="25.5">
      <c r="A68" s="97" t="s">
        <v>41</v>
      </c>
      <c r="B68" s="280" t="s">
        <v>342</v>
      </c>
      <c r="C68" s="19" t="s">
        <v>5</v>
      </c>
      <c r="D68" s="598" t="s">
        <v>343</v>
      </c>
      <c r="E68" s="70" t="s">
        <v>120</v>
      </c>
      <c r="F68" s="693" t="s">
        <v>344</v>
      </c>
      <c r="G68" s="223">
        <v>72337</v>
      </c>
      <c r="H68" s="223">
        <v>38260</v>
      </c>
      <c r="I68" s="22"/>
      <c r="J68" s="22"/>
      <c r="K68" s="22">
        <v>57237</v>
      </c>
      <c r="L68" s="22">
        <v>38260</v>
      </c>
      <c r="M68" s="22"/>
      <c r="N68" s="133">
        <v>10000</v>
      </c>
      <c r="O68" s="133">
        <v>10000</v>
      </c>
      <c r="P68" s="133"/>
      <c r="Q68" s="842">
        <v>7411</v>
      </c>
      <c r="R68" s="842">
        <v>7411</v>
      </c>
      <c r="S68" s="842"/>
      <c r="T68" s="73">
        <f>SUM(U68:V68)</f>
        <v>7411</v>
      </c>
      <c r="U68" s="133">
        <v>7411</v>
      </c>
      <c r="V68" s="133"/>
      <c r="W68" s="729" t="s">
        <v>1521</v>
      </c>
      <c r="X68" s="728" t="s">
        <v>345</v>
      </c>
      <c r="Y68" s="133">
        <v>1</v>
      </c>
    </row>
    <row r="69" spans="1:31" s="629" customFormat="1" ht="26.1" customHeight="1">
      <c r="A69" s="630" t="s">
        <v>350</v>
      </c>
      <c r="B69" s="618" t="s">
        <v>1142</v>
      </c>
      <c r="C69" s="625"/>
      <c r="D69" s="625"/>
      <c r="E69" s="626"/>
      <c r="F69" s="690"/>
      <c r="G69" s="621">
        <f t="shared" ref="G69:V69" si="28">SUM(G70,G75)</f>
        <v>4248106</v>
      </c>
      <c r="H69" s="621">
        <f t="shared" si="28"/>
        <v>2413641</v>
      </c>
      <c r="I69" s="621">
        <f t="shared" si="28"/>
        <v>1651722</v>
      </c>
      <c r="J69" s="621">
        <f t="shared" si="28"/>
        <v>605168</v>
      </c>
      <c r="K69" s="621">
        <f t="shared" si="28"/>
        <v>2856241</v>
      </c>
      <c r="L69" s="621">
        <f t="shared" si="28"/>
        <v>2048359</v>
      </c>
      <c r="M69" s="621">
        <f t="shared" si="28"/>
        <v>0</v>
      </c>
      <c r="N69" s="621">
        <f t="shared" si="28"/>
        <v>737426</v>
      </c>
      <c r="O69" s="621">
        <f t="shared" si="28"/>
        <v>552442</v>
      </c>
      <c r="P69" s="621">
        <f t="shared" si="28"/>
        <v>0</v>
      </c>
      <c r="Q69" s="826">
        <f t="shared" si="28"/>
        <v>508857</v>
      </c>
      <c r="R69" s="826">
        <f t="shared" si="28"/>
        <v>508857</v>
      </c>
      <c r="S69" s="826">
        <f t="shared" si="28"/>
        <v>0</v>
      </c>
      <c r="T69" s="621">
        <f t="shared" si="28"/>
        <v>407096</v>
      </c>
      <c r="U69" s="621">
        <f t="shared" si="28"/>
        <v>276000</v>
      </c>
      <c r="V69" s="621">
        <f t="shared" si="28"/>
        <v>131096</v>
      </c>
      <c r="W69" s="684"/>
      <c r="X69" s="684"/>
      <c r="Y69" s="621">
        <f>SUM(Y70,Y75)</f>
        <v>30</v>
      </c>
      <c r="Z69" s="662"/>
      <c r="AA69" s="990"/>
      <c r="AB69" s="811"/>
      <c r="AC69" s="628"/>
      <c r="AD69" s="628"/>
      <c r="AE69" s="628"/>
    </row>
    <row r="70" spans="1:31" s="265" customFormat="1" ht="26.1" customHeight="1">
      <c r="A70" s="82" t="s">
        <v>525</v>
      </c>
      <c r="B70" s="65" t="s">
        <v>26</v>
      </c>
      <c r="C70" s="350"/>
      <c r="D70" s="350"/>
      <c r="E70" s="351"/>
      <c r="F70" s="352"/>
      <c r="G70" s="45">
        <f t="shared" ref="G70:V70" si="29">SUM(G71:G74)</f>
        <v>597574</v>
      </c>
      <c r="H70" s="45">
        <f t="shared" si="29"/>
        <v>485574</v>
      </c>
      <c r="I70" s="45">
        <f t="shared" si="29"/>
        <v>0</v>
      </c>
      <c r="J70" s="45">
        <f t="shared" si="29"/>
        <v>0</v>
      </c>
      <c r="K70" s="45">
        <f t="shared" si="29"/>
        <v>595163</v>
      </c>
      <c r="L70" s="45">
        <f t="shared" si="29"/>
        <v>495163</v>
      </c>
      <c r="M70" s="45">
        <f t="shared" si="29"/>
        <v>0</v>
      </c>
      <c r="N70" s="45">
        <f t="shared" si="29"/>
        <v>5800</v>
      </c>
      <c r="O70" s="45">
        <f t="shared" si="29"/>
        <v>5800</v>
      </c>
      <c r="P70" s="45">
        <f t="shared" si="29"/>
        <v>0</v>
      </c>
      <c r="Q70" s="827">
        <f t="shared" si="29"/>
        <v>2500</v>
      </c>
      <c r="R70" s="827">
        <f t="shared" si="29"/>
        <v>2500</v>
      </c>
      <c r="S70" s="827">
        <f t="shared" si="29"/>
        <v>0</v>
      </c>
      <c r="T70" s="45">
        <f t="shared" si="29"/>
        <v>3000</v>
      </c>
      <c r="U70" s="45">
        <f t="shared" si="29"/>
        <v>3000</v>
      </c>
      <c r="V70" s="45">
        <f t="shared" si="29"/>
        <v>0</v>
      </c>
      <c r="W70" s="352"/>
      <c r="X70" s="352"/>
      <c r="Y70" s="45">
        <f>SUM(Y71:Y74)</f>
        <v>4</v>
      </c>
      <c r="Z70" s="657"/>
      <c r="AA70" s="990"/>
      <c r="AB70" s="811"/>
      <c r="AC70" s="551"/>
      <c r="AD70" s="551"/>
      <c r="AE70" s="551"/>
    </row>
    <row r="71" spans="1:31" ht="26.1" customHeight="1">
      <c r="A71" s="150">
        <v>1</v>
      </c>
      <c r="B71" s="151" t="s">
        <v>351</v>
      </c>
      <c r="C71" s="635" t="s">
        <v>29</v>
      </c>
      <c r="D71" s="635" t="s">
        <v>352</v>
      </c>
      <c r="E71" s="120" t="s">
        <v>120</v>
      </c>
      <c r="F71" s="1012"/>
      <c r="G71" s="72">
        <v>114900</v>
      </c>
      <c r="H71" s="72">
        <v>114900</v>
      </c>
      <c r="I71" s="72"/>
      <c r="J71" s="72"/>
      <c r="K71" s="72">
        <v>142500</v>
      </c>
      <c r="L71" s="72">
        <v>142500</v>
      </c>
      <c r="M71" s="72"/>
      <c r="N71" s="73">
        <v>1000</v>
      </c>
      <c r="O71" s="73">
        <v>1000</v>
      </c>
      <c r="P71" s="73"/>
      <c r="Q71" s="828">
        <v>1000</v>
      </c>
      <c r="R71" s="828">
        <v>1000</v>
      </c>
      <c r="S71" s="828"/>
      <c r="T71" s="73">
        <f>SUM(U71:V71)</f>
        <v>1000</v>
      </c>
      <c r="U71" s="73">
        <v>1000</v>
      </c>
      <c r="V71" s="73"/>
      <c r="W71" s="513" t="s">
        <v>1524</v>
      </c>
      <c r="X71" s="24"/>
      <c r="Y71" s="73">
        <v>1</v>
      </c>
    </row>
    <row r="72" spans="1:31" ht="26.1" customHeight="1">
      <c r="A72" s="150">
        <v>2</v>
      </c>
      <c r="B72" s="93" t="s">
        <v>353</v>
      </c>
      <c r="C72" s="152" t="s">
        <v>354</v>
      </c>
      <c r="D72" s="152"/>
      <c r="E72" s="120" t="s">
        <v>355</v>
      </c>
      <c r="F72" s="695"/>
      <c r="G72" s="153">
        <v>120001</v>
      </c>
      <c r="H72" s="153">
        <v>120001</v>
      </c>
      <c r="I72" s="72"/>
      <c r="J72" s="72"/>
      <c r="K72" s="153">
        <v>120001</v>
      </c>
      <c r="L72" s="153">
        <v>120001</v>
      </c>
      <c r="M72" s="72"/>
      <c r="N72" s="73">
        <v>1000</v>
      </c>
      <c r="O72" s="73">
        <v>1000</v>
      </c>
      <c r="P72" s="73"/>
      <c r="Q72" s="828">
        <v>500</v>
      </c>
      <c r="R72" s="828">
        <v>500</v>
      </c>
      <c r="S72" s="828"/>
      <c r="T72" s="73">
        <f>SUM(U72:V72)</f>
        <v>500</v>
      </c>
      <c r="U72" s="73">
        <v>500</v>
      </c>
      <c r="V72" s="73"/>
      <c r="W72" s="513" t="s">
        <v>1524</v>
      </c>
      <c r="X72" s="24"/>
      <c r="Y72" s="73">
        <v>1</v>
      </c>
    </row>
    <row r="73" spans="1:31" ht="38.25">
      <c r="A73" s="150">
        <v>3</v>
      </c>
      <c r="B73" s="93" t="s">
        <v>356</v>
      </c>
      <c r="C73" s="152" t="s">
        <v>173</v>
      </c>
      <c r="D73" s="70" t="s">
        <v>357</v>
      </c>
      <c r="E73" s="70" t="s">
        <v>163</v>
      </c>
      <c r="F73" s="24" t="s">
        <v>358</v>
      </c>
      <c r="G73" s="596">
        <v>62558</v>
      </c>
      <c r="H73" s="596">
        <v>62558</v>
      </c>
      <c r="I73" s="72"/>
      <c r="J73" s="72"/>
      <c r="K73" s="596">
        <v>62558</v>
      </c>
      <c r="L73" s="596">
        <v>62558</v>
      </c>
      <c r="M73" s="72"/>
      <c r="N73" s="73">
        <v>1000</v>
      </c>
      <c r="O73" s="73">
        <v>1000</v>
      </c>
      <c r="P73" s="73"/>
      <c r="Q73" s="828">
        <v>500</v>
      </c>
      <c r="R73" s="828">
        <v>500</v>
      </c>
      <c r="S73" s="828"/>
      <c r="T73" s="73">
        <f>SUM(U73:V73)</f>
        <v>500</v>
      </c>
      <c r="U73" s="73">
        <v>500</v>
      </c>
      <c r="V73" s="73"/>
      <c r="W73" s="513" t="s">
        <v>1524</v>
      </c>
      <c r="X73" s="24" t="s">
        <v>1615</v>
      </c>
      <c r="Y73" s="73">
        <v>1</v>
      </c>
    </row>
    <row r="74" spans="1:31" ht="60">
      <c r="A74" s="150">
        <v>4</v>
      </c>
      <c r="B74" s="93" t="s">
        <v>359</v>
      </c>
      <c r="C74" s="152" t="s">
        <v>360</v>
      </c>
      <c r="D74" s="70" t="s">
        <v>361</v>
      </c>
      <c r="E74" s="70" t="s">
        <v>120</v>
      </c>
      <c r="F74" s="24"/>
      <c r="G74" s="596">
        <v>300115</v>
      </c>
      <c r="H74" s="596">
        <v>188115</v>
      </c>
      <c r="I74" s="72"/>
      <c r="J74" s="72"/>
      <c r="K74" s="596">
        <v>270104</v>
      </c>
      <c r="L74" s="596">
        <v>170104</v>
      </c>
      <c r="M74" s="72"/>
      <c r="N74" s="73">
        <v>2800</v>
      </c>
      <c r="O74" s="73">
        <v>2800</v>
      </c>
      <c r="P74" s="73"/>
      <c r="Q74" s="828">
        <v>500</v>
      </c>
      <c r="R74" s="828">
        <v>500</v>
      </c>
      <c r="S74" s="828"/>
      <c r="T74" s="965">
        <f>SUM(U74:V74)</f>
        <v>1000</v>
      </c>
      <c r="U74" s="965">
        <v>1000</v>
      </c>
      <c r="V74" s="965"/>
      <c r="W74" s="513" t="s">
        <v>1517</v>
      </c>
      <c r="X74" s="24" t="s">
        <v>1616</v>
      </c>
      <c r="Y74" s="73">
        <v>1</v>
      </c>
    </row>
    <row r="75" spans="1:31" s="265" customFormat="1" ht="26.1" customHeight="1">
      <c r="A75" s="82" t="s">
        <v>499</v>
      </c>
      <c r="B75" s="586" t="s">
        <v>31</v>
      </c>
      <c r="C75" s="350"/>
      <c r="D75" s="350"/>
      <c r="E75" s="351"/>
      <c r="F75" s="352"/>
      <c r="G75" s="45">
        <f t="shared" ref="G75:V75" si="30">SUM(G76,G84,G96)</f>
        <v>3650532</v>
      </c>
      <c r="H75" s="45">
        <f t="shared" si="30"/>
        <v>1928067</v>
      </c>
      <c r="I75" s="45">
        <f t="shared" si="30"/>
        <v>1651722</v>
      </c>
      <c r="J75" s="45">
        <f t="shared" si="30"/>
        <v>605168</v>
      </c>
      <c r="K75" s="45">
        <f t="shared" si="30"/>
        <v>2261078</v>
      </c>
      <c r="L75" s="45">
        <f t="shared" si="30"/>
        <v>1553196</v>
      </c>
      <c r="M75" s="45">
        <f t="shared" si="30"/>
        <v>0</v>
      </c>
      <c r="N75" s="45">
        <f t="shared" si="30"/>
        <v>731626</v>
      </c>
      <c r="O75" s="45">
        <f t="shared" si="30"/>
        <v>546642</v>
      </c>
      <c r="P75" s="45">
        <f t="shared" si="30"/>
        <v>0</v>
      </c>
      <c r="Q75" s="827">
        <f t="shared" si="30"/>
        <v>506357</v>
      </c>
      <c r="R75" s="827">
        <f t="shared" si="30"/>
        <v>506357</v>
      </c>
      <c r="S75" s="827">
        <f t="shared" si="30"/>
        <v>0</v>
      </c>
      <c r="T75" s="45">
        <f t="shared" si="30"/>
        <v>404096</v>
      </c>
      <c r="U75" s="45">
        <f t="shared" si="30"/>
        <v>273000</v>
      </c>
      <c r="V75" s="45">
        <f t="shared" si="30"/>
        <v>131096</v>
      </c>
      <c r="W75" s="352"/>
      <c r="X75" s="352"/>
      <c r="Y75" s="45">
        <f>SUM(Y76,Y84,Y96)</f>
        <v>26</v>
      </c>
      <c r="Z75" s="657"/>
      <c r="AA75" s="990"/>
      <c r="AB75" s="811"/>
      <c r="AC75" s="551"/>
      <c r="AD75" s="551"/>
      <c r="AE75" s="551"/>
    </row>
    <row r="76" spans="1:31" ht="28.5" customHeight="1">
      <c r="A76" s="11" t="s">
        <v>78</v>
      </c>
      <c r="B76" s="65" t="s">
        <v>79</v>
      </c>
      <c r="C76" s="13"/>
      <c r="D76" s="13"/>
      <c r="E76" s="14"/>
      <c r="F76" s="89"/>
      <c r="G76" s="15">
        <f t="shared" ref="G76:V76" si="31">SUM(G77:G83)</f>
        <v>578224</v>
      </c>
      <c r="H76" s="15">
        <f t="shared" si="31"/>
        <v>578224</v>
      </c>
      <c r="I76" s="15">
        <f t="shared" si="31"/>
        <v>277925</v>
      </c>
      <c r="J76" s="15">
        <f t="shared" si="31"/>
        <v>277925</v>
      </c>
      <c r="K76" s="15">
        <f t="shared" si="31"/>
        <v>354366</v>
      </c>
      <c r="L76" s="15">
        <f t="shared" si="31"/>
        <v>354366</v>
      </c>
      <c r="M76" s="15">
        <f t="shared" si="31"/>
        <v>0</v>
      </c>
      <c r="N76" s="15">
        <f t="shared" si="31"/>
        <v>107567</v>
      </c>
      <c r="O76" s="15">
        <f t="shared" si="31"/>
        <v>107567</v>
      </c>
      <c r="P76" s="15">
        <f t="shared" si="31"/>
        <v>0</v>
      </c>
      <c r="Q76" s="846">
        <f t="shared" si="31"/>
        <v>107567</v>
      </c>
      <c r="R76" s="846">
        <f t="shared" si="31"/>
        <v>107567</v>
      </c>
      <c r="S76" s="846">
        <f t="shared" si="31"/>
        <v>0</v>
      </c>
      <c r="T76" s="15">
        <f t="shared" si="31"/>
        <v>107567</v>
      </c>
      <c r="U76" s="15">
        <f t="shared" si="31"/>
        <v>75000</v>
      </c>
      <c r="V76" s="15">
        <f t="shared" si="31"/>
        <v>32567</v>
      </c>
      <c r="W76" s="89"/>
      <c r="X76" s="89"/>
      <c r="Y76" s="15">
        <f>SUM(Y77:Y83)</f>
        <v>7</v>
      </c>
    </row>
    <row r="77" spans="1:31" ht="30">
      <c r="A77" s="97" t="s">
        <v>27</v>
      </c>
      <c r="B77" s="171" t="s">
        <v>388</v>
      </c>
      <c r="C77" s="172" t="s">
        <v>389</v>
      </c>
      <c r="D77" s="172" t="s">
        <v>390</v>
      </c>
      <c r="E77" s="163" t="s">
        <v>235</v>
      </c>
      <c r="F77" s="696" t="s">
        <v>391</v>
      </c>
      <c r="G77" s="173">
        <v>284306</v>
      </c>
      <c r="H77" s="173">
        <v>284306</v>
      </c>
      <c r="I77" s="23">
        <v>195306</v>
      </c>
      <c r="J77" s="23">
        <v>195306</v>
      </c>
      <c r="K77" s="23">
        <v>113358</v>
      </c>
      <c r="L77" s="23">
        <v>113358</v>
      </c>
      <c r="M77" s="23"/>
      <c r="N77" s="105">
        <v>25000</v>
      </c>
      <c r="O77" s="105">
        <v>25000</v>
      </c>
      <c r="P77" s="105"/>
      <c r="Q77" s="836">
        <v>25000</v>
      </c>
      <c r="R77" s="836">
        <v>25000</v>
      </c>
      <c r="S77" s="836"/>
      <c r="T77" s="73">
        <f t="shared" ref="T77:T83" si="32">SUM(U77:V77)</f>
        <v>25000</v>
      </c>
      <c r="U77" s="105">
        <v>25000</v>
      </c>
      <c r="V77" s="105"/>
      <c r="W77" s="513" t="s">
        <v>1524</v>
      </c>
      <c r="X77" s="24"/>
      <c r="Y77" s="105">
        <v>1</v>
      </c>
    </row>
    <row r="78" spans="1:31" ht="30">
      <c r="A78" s="97" t="s">
        <v>41</v>
      </c>
      <c r="B78" s="179" t="s">
        <v>392</v>
      </c>
      <c r="C78" s="152" t="s">
        <v>29</v>
      </c>
      <c r="D78" s="180" t="s">
        <v>393</v>
      </c>
      <c r="E78" s="181" t="s">
        <v>87</v>
      </c>
      <c r="F78" s="697" t="s">
        <v>394</v>
      </c>
      <c r="G78" s="96">
        <v>177888</v>
      </c>
      <c r="H78" s="96">
        <v>177888</v>
      </c>
      <c r="I78" s="182">
        <f>10622+17000+25000</f>
        <v>52622</v>
      </c>
      <c r="J78" s="182">
        <f>10622+17000+25000</f>
        <v>52622</v>
      </c>
      <c r="K78" s="23">
        <v>151595</v>
      </c>
      <c r="L78" s="23">
        <v>151595</v>
      </c>
      <c r="M78" s="23"/>
      <c r="N78" s="604">
        <v>10000</v>
      </c>
      <c r="O78" s="604">
        <v>10000</v>
      </c>
      <c r="P78" s="604"/>
      <c r="Q78" s="847">
        <v>10000</v>
      </c>
      <c r="R78" s="847">
        <v>10000</v>
      </c>
      <c r="S78" s="836"/>
      <c r="T78" s="73">
        <f t="shared" si="32"/>
        <v>10000</v>
      </c>
      <c r="U78" s="604">
        <v>10000</v>
      </c>
      <c r="V78" s="105"/>
      <c r="W78" s="513" t="s">
        <v>1524</v>
      </c>
      <c r="X78" s="24"/>
      <c r="Y78" s="105">
        <v>1</v>
      </c>
    </row>
    <row r="79" spans="1:31" ht="51">
      <c r="A79" s="97" t="s">
        <v>58</v>
      </c>
      <c r="B79" s="93" t="s">
        <v>398</v>
      </c>
      <c r="C79" s="101" t="s">
        <v>5</v>
      </c>
      <c r="D79" s="101" t="s">
        <v>399</v>
      </c>
      <c r="E79" s="95" t="s">
        <v>400</v>
      </c>
      <c r="F79" s="697" t="s">
        <v>1614</v>
      </c>
      <c r="G79" s="96">
        <v>95250</v>
      </c>
      <c r="H79" s="96">
        <v>95250</v>
      </c>
      <c r="I79" s="182">
        <f>13614+10500</f>
        <v>24114</v>
      </c>
      <c r="J79" s="182">
        <f>13614+10500</f>
        <v>24114</v>
      </c>
      <c r="K79" s="23">
        <v>70963</v>
      </c>
      <c r="L79" s="23">
        <v>70963</v>
      </c>
      <c r="M79" s="175"/>
      <c r="N79" s="176">
        <v>60000</v>
      </c>
      <c r="O79" s="176">
        <v>60000</v>
      </c>
      <c r="P79" s="176"/>
      <c r="Q79" s="848">
        <v>60000</v>
      </c>
      <c r="R79" s="848">
        <v>60000</v>
      </c>
      <c r="S79" s="849"/>
      <c r="T79" s="73">
        <f t="shared" si="32"/>
        <v>60000</v>
      </c>
      <c r="U79" s="176">
        <v>40000</v>
      </c>
      <c r="V79" s="177">
        <v>20000</v>
      </c>
      <c r="W79" s="513" t="s">
        <v>1524</v>
      </c>
      <c r="X79" s="178"/>
      <c r="Y79" s="177">
        <v>1</v>
      </c>
    </row>
    <row r="80" spans="1:31" ht="38.25" customHeight="1">
      <c r="A80" s="97" t="s">
        <v>64</v>
      </c>
      <c r="B80" s="183" t="s">
        <v>416</v>
      </c>
      <c r="C80" s="167" t="s">
        <v>66</v>
      </c>
      <c r="D80" s="172" t="s">
        <v>417</v>
      </c>
      <c r="E80" s="163" t="s">
        <v>166</v>
      </c>
      <c r="F80" s="696" t="s">
        <v>418</v>
      </c>
      <c r="G80" s="173">
        <v>5079</v>
      </c>
      <c r="H80" s="173">
        <v>5079</v>
      </c>
      <c r="I80" s="175">
        <v>1300</v>
      </c>
      <c r="J80" s="175">
        <v>1300</v>
      </c>
      <c r="K80" s="173">
        <v>4867</v>
      </c>
      <c r="L80" s="173">
        <v>4867</v>
      </c>
      <c r="M80" s="175"/>
      <c r="N80" s="176">
        <v>3567</v>
      </c>
      <c r="O80" s="176">
        <v>3567</v>
      </c>
      <c r="P80" s="176"/>
      <c r="Q80" s="848">
        <v>3567</v>
      </c>
      <c r="R80" s="848">
        <v>3567</v>
      </c>
      <c r="S80" s="849"/>
      <c r="T80" s="73">
        <f t="shared" si="32"/>
        <v>3567</v>
      </c>
      <c r="U80" s="176"/>
      <c r="V80" s="176">
        <v>3567</v>
      </c>
      <c r="W80" s="513" t="s">
        <v>1526</v>
      </c>
      <c r="X80" s="178"/>
      <c r="Y80" s="177">
        <v>1</v>
      </c>
      <c r="AA80" s="990">
        <f>V80</f>
        <v>3567</v>
      </c>
    </row>
    <row r="81" spans="1:27" ht="26.1" customHeight="1">
      <c r="A81" s="97" t="s">
        <v>69</v>
      </c>
      <c r="B81" s="93" t="s">
        <v>424</v>
      </c>
      <c r="C81" s="152" t="s">
        <v>66</v>
      </c>
      <c r="D81" s="162" t="s">
        <v>420</v>
      </c>
      <c r="E81" s="163" t="s">
        <v>30</v>
      </c>
      <c r="F81" s="696" t="s">
        <v>425</v>
      </c>
      <c r="G81" s="164">
        <v>3957</v>
      </c>
      <c r="H81" s="164">
        <v>3957</v>
      </c>
      <c r="I81" s="22">
        <v>1583</v>
      </c>
      <c r="J81" s="22">
        <v>1583</v>
      </c>
      <c r="K81" s="164">
        <v>3583</v>
      </c>
      <c r="L81" s="164">
        <v>3583</v>
      </c>
      <c r="M81" s="175"/>
      <c r="N81" s="176">
        <v>2000</v>
      </c>
      <c r="O81" s="176">
        <v>2000</v>
      </c>
      <c r="P81" s="176"/>
      <c r="Q81" s="848">
        <v>2000</v>
      </c>
      <c r="R81" s="848">
        <v>2000</v>
      </c>
      <c r="S81" s="849"/>
      <c r="T81" s="73">
        <f t="shared" si="32"/>
        <v>2000</v>
      </c>
      <c r="U81" s="176"/>
      <c r="V81" s="176">
        <v>2000</v>
      </c>
      <c r="W81" s="513" t="s">
        <v>1526</v>
      </c>
      <c r="X81" s="178"/>
      <c r="Y81" s="177">
        <v>1</v>
      </c>
      <c r="AA81" s="990">
        <f t="shared" ref="AA81:AA83" si="33">V81</f>
        <v>2000</v>
      </c>
    </row>
    <row r="82" spans="1:27" ht="26.1" customHeight="1">
      <c r="A82" s="97" t="s">
        <v>74</v>
      </c>
      <c r="B82" s="93" t="s">
        <v>426</v>
      </c>
      <c r="C82" s="152" t="s">
        <v>66</v>
      </c>
      <c r="D82" s="162" t="s">
        <v>427</v>
      </c>
      <c r="E82" s="163" t="s">
        <v>30</v>
      </c>
      <c r="F82" s="696" t="s">
        <v>428</v>
      </c>
      <c r="G82" s="164">
        <v>6460</v>
      </c>
      <c r="H82" s="164">
        <v>6460</v>
      </c>
      <c r="I82" s="22">
        <v>1500</v>
      </c>
      <c r="J82" s="22">
        <v>1500</v>
      </c>
      <c r="K82" s="164">
        <v>5500</v>
      </c>
      <c r="L82" s="164">
        <v>5500</v>
      </c>
      <c r="M82" s="175"/>
      <c r="N82" s="176">
        <v>4000</v>
      </c>
      <c r="O82" s="176">
        <v>4000</v>
      </c>
      <c r="P82" s="176"/>
      <c r="Q82" s="848">
        <v>4000</v>
      </c>
      <c r="R82" s="848">
        <v>4000</v>
      </c>
      <c r="S82" s="849"/>
      <c r="T82" s="73">
        <f t="shared" si="32"/>
        <v>4000</v>
      </c>
      <c r="U82" s="176"/>
      <c r="V82" s="176">
        <v>4000</v>
      </c>
      <c r="W82" s="513" t="s">
        <v>1526</v>
      </c>
      <c r="X82" s="178"/>
      <c r="Y82" s="177">
        <v>1</v>
      </c>
      <c r="AA82" s="990">
        <f t="shared" si="33"/>
        <v>4000</v>
      </c>
    </row>
    <row r="83" spans="1:27" ht="26.1" customHeight="1">
      <c r="A83" s="97" t="s">
        <v>141</v>
      </c>
      <c r="B83" s="93" t="s">
        <v>429</v>
      </c>
      <c r="C83" s="152" t="s">
        <v>66</v>
      </c>
      <c r="D83" s="162" t="s">
        <v>427</v>
      </c>
      <c r="E83" s="163" t="s">
        <v>30</v>
      </c>
      <c r="F83" s="696" t="s">
        <v>430</v>
      </c>
      <c r="G83" s="164">
        <v>5284</v>
      </c>
      <c r="H83" s="164">
        <v>5284</v>
      </c>
      <c r="I83" s="22">
        <v>1500</v>
      </c>
      <c r="J83" s="22">
        <v>1500</v>
      </c>
      <c r="K83" s="164">
        <v>4500</v>
      </c>
      <c r="L83" s="164">
        <v>4500</v>
      </c>
      <c r="M83" s="175"/>
      <c r="N83" s="176">
        <v>3000</v>
      </c>
      <c r="O83" s="176">
        <v>3000</v>
      </c>
      <c r="P83" s="176"/>
      <c r="Q83" s="848">
        <v>3000</v>
      </c>
      <c r="R83" s="848">
        <v>3000</v>
      </c>
      <c r="S83" s="849"/>
      <c r="T83" s="73">
        <f t="shared" si="32"/>
        <v>3000</v>
      </c>
      <c r="U83" s="176"/>
      <c r="V83" s="176">
        <v>3000</v>
      </c>
      <c r="W83" s="513" t="s">
        <v>1526</v>
      </c>
      <c r="X83" s="178"/>
      <c r="Y83" s="177">
        <v>1</v>
      </c>
      <c r="AA83" s="990">
        <f t="shared" si="33"/>
        <v>3000</v>
      </c>
    </row>
    <row r="84" spans="1:27" ht="28.5">
      <c r="A84" s="11" t="s">
        <v>116</v>
      </c>
      <c r="B84" s="65" t="s">
        <v>117</v>
      </c>
      <c r="C84" s="13"/>
      <c r="D84" s="13"/>
      <c r="E84" s="14"/>
      <c r="F84" s="89"/>
      <c r="G84" s="15">
        <f t="shared" ref="G84:V84" si="34">SUM(G85:G87,G90:G95)</f>
        <v>2779654</v>
      </c>
      <c r="H84" s="15">
        <f t="shared" si="34"/>
        <v>1096418</v>
      </c>
      <c r="I84" s="15">
        <f t="shared" si="34"/>
        <v>1373597</v>
      </c>
      <c r="J84" s="15">
        <f t="shared" si="34"/>
        <v>327043</v>
      </c>
      <c r="K84" s="15">
        <f t="shared" si="34"/>
        <v>1633245</v>
      </c>
      <c r="L84" s="15">
        <f t="shared" si="34"/>
        <v>955087</v>
      </c>
      <c r="M84" s="15">
        <f t="shared" si="34"/>
        <v>0</v>
      </c>
      <c r="N84" s="15">
        <f t="shared" si="34"/>
        <v>499100</v>
      </c>
      <c r="O84" s="15">
        <f t="shared" si="34"/>
        <v>343902</v>
      </c>
      <c r="P84" s="15">
        <f t="shared" si="34"/>
        <v>0</v>
      </c>
      <c r="Q84" s="15">
        <f t="shared" si="34"/>
        <v>330902</v>
      </c>
      <c r="R84" s="15">
        <f t="shared" si="34"/>
        <v>330902</v>
      </c>
      <c r="S84" s="15">
        <f t="shared" si="34"/>
        <v>0</v>
      </c>
      <c r="T84" s="15">
        <f t="shared" si="34"/>
        <v>228641</v>
      </c>
      <c r="U84" s="15">
        <f t="shared" si="34"/>
        <v>198000</v>
      </c>
      <c r="V84" s="15">
        <f t="shared" si="34"/>
        <v>30641</v>
      </c>
      <c r="W84" s="89"/>
      <c r="X84" s="89"/>
      <c r="Y84" s="15">
        <f>SUM(Y85:Y87,Y90:Y95)</f>
        <v>9</v>
      </c>
    </row>
    <row r="85" spans="1:27" ht="45">
      <c r="A85" s="97" t="s">
        <v>27</v>
      </c>
      <c r="B85" s="184" t="s">
        <v>402</v>
      </c>
      <c r="C85" s="70" t="s">
        <v>143</v>
      </c>
      <c r="D85" s="185" t="s">
        <v>403</v>
      </c>
      <c r="E85" s="186" t="s">
        <v>404</v>
      </c>
      <c r="F85" s="697" t="s">
        <v>405</v>
      </c>
      <c r="G85" s="96">
        <v>962215</v>
      </c>
      <c r="H85" s="96">
        <v>414980</v>
      </c>
      <c r="I85" s="182">
        <f>676748+60000</f>
        <v>736748</v>
      </c>
      <c r="J85" s="182">
        <v>161263</v>
      </c>
      <c r="K85" s="23">
        <v>353406</v>
      </c>
      <c r="L85" s="164">
        <v>284571</v>
      </c>
      <c r="M85" s="22"/>
      <c r="N85" s="188">
        <v>150000</v>
      </c>
      <c r="O85" s="188">
        <v>150000</v>
      </c>
      <c r="P85" s="188"/>
      <c r="Q85" s="850">
        <v>150000</v>
      </c>
      <c r="R85" s="850">
        <v>150000</v>
      </c>
      <c r="S85" s="842"/>
      <c r="T85" s="73">
        <f>SUM(U85:V85)</f>
        <v>83000</v>
      </c>
      <c r="U85" s="188">
        <v>83000</v>
      </c>
      <c r="V85" s="133"/>
      <c r="W85" s="513" t="s">
        <v>1518</v>
      </c>
      <c r="X85" s="24"/>
      <c r="Y85" s="133">
        <v>1</v>
      </c>
    </row>
    <row r="86" spans="1:27" ht="26.1" customHeight="1">
      <c r="A86" s="97" t="s">
        <v>41</v>
      </c>
      <c r="B86" s="184" t="s">
        <v>406</v>
      </c>
      <c r="C86" s="70" t="s">
        <v>85</v>
      </c>
      <c r="D86" s="70" t="s">
        <v>407</v>
      </c>
      <c r="E86" s="70" t="s">
        <v>404</v>
      </c>
      <c r="F86" s="697" t="s">
        <v>408</v>
      </c>
      <c r="G86" s="96">
        <v>571675</v>
      </c>
      <c r="H86" s="96">
        <v>238919</v>
      </c>
      <c r="I86" s="182">
        <f>358298+22000</f>
        <v>380298</v>
      </c>
      <c r="J86" s="182">
        <f>71281+22000</f>
        <v>93281</v>
      </c>
      <c r="K86" s="23">
        <v>208892</v>
      </c>
      <c r="L86" s="164">
        <v>143747</v>
      </c>
      <c r="M86" s="22"/>
      <c r="N86" s="722">
        <v>120000</v>
      </c>
      <c r="O86" s="722">
        <v>74261</v>
      </c>
      <c r="P86" s="722"/>
      <c r="Q86" s="850">
        <v>74261</v>
      </c>
      <c r="R86" s="850">
        <v>74261</v>
      </c>
      <c r="S86" s="842"/>
      <c r="T86" s="73">
        <f>SUM(U86:V86)</f>
        <v>65000</v>
      </c>
      <c r="U86" s="188">
        <v>65000</v>
      </c>
      <c r="V86" s="133"/>
      <c r="W86" s="513" t="s">
        <v>1525</v>
      </c>
      <c r="X86" s="24"/>
      <c r="Y86" s="133">
        <v>1</v>
      </c>
    </row>
    <row r="87" spans="1:27" ht="76.5">
      <c r="A87" s="97" t="s">
        <v>58</v>
      </c>
      <c r="B87" s="93" t="s">
        <v>431</v>
      </c>
      <c r="C87" s="152" t="s">
        <v>432</v>
      </c>
      <c r="D87" s="162" t="s">
        <v>433</v>
      </c>
      <c r="E87" s="163" t="s">
        <v>338</v>
      </c>
      <c r="F87" s="698" t="s">
        <v>434</v>
      </c>
      <c r="G87" s="164">
        <f t="shared" ref="G87:V87" si="35">SUM(G88:G89)</f>
        <v>994699</v>
      </c>
      <c r="H87" s="164">
        <f t="shared" si="35"/>
        <v>226807</v>
      </c>
      <c r="I87" s="164">
        <f t="shared" si="35"/>
        <v>233052</v>
      </c>
      <c r="J87" s="164">
        <f t="shared" si="35"/>
        <v>49000</v>
      </c>
      <c r="K87" s="164">
        <f t="shared" si="35"/>
        <v>825059</v>
      </c>
      <c r="L87" s="164">
        <f t="shared" si="35"/>
        <v>316234</v>
      </c>
      <c r="M87" s="164">
        <f t="shared" si="35"/>
        <v>0</v>
      </c>
      <c r="N87" s="176">
        <f t="shared" si="35"/>
        <v>115000</v>
      </c>
      <c r="O87" s="176">
        <f t="shared" si="35"/>
        <v>30000</v>
      </c>
      <c r="P87" s="176">
        <f t="shared" si="35"/>
        <v>0</v>
      </c>
      <c r="Q87" s="848">
        <f t="shared" si="35"/>
        <v>30000</v>
      </c>
      <c r="R87" s="848">
        <f t="shared" si="35"/>
        <v>30000</v>
      </c>
      <c r="S87" s="849">
        <f t="shared" si="35"/>
        <v>0</v>
      </c>
      <c r="T87" s="73">
        <f t="shared" si="35"/>
        <v>30000</v>
      </c>
      <c r="U87" s="176">
        <f t="shared" si="35"/>
        <v>30000</v>
      </c>
      <c r="V87" s="176">
        <f t="shared" si="35"/>
        <v>0</v>
      </c>
      <c r="W87" s="513" t="s">
        <v>1524</v>
      </c>
      <c r="X87" s="735"/>
      <c r="Y87" s="176">
        <v>1</v>
      </c>
    </row>
    <row r="88" spans="1:27" ht="30">
      <c r="A88" s="190"/>
      <c r="B88" s="93" t="s">
        <v>435</v>
      </c>
      <c r="C88" s="152" t="s">
        <v>60</v>
      </c>
      <c r="D88" s="162"/>
      <c r="E88" s="163" t="s">
        <v>94</v>
      </c>
      <c r="F88" s="696" t="s">
        <v>436</v>
      </c>
      <c r="G88" s="164">
        <v>348233</v>
      </c>
      <c r="H88" s="164">
        <v>73658</v>
      </c>
      <c r="I88" s="164">
        <f>134052+34000</f>
        <v>168052</v>
      </c>
      <c r="J88" s="22">
        <v>34000</v>
      </c>
      <c r="K88" s="77">
        <v>243240</v>
      </c>
      <c r="L88" s="22">
        <v>75131</v>
      </c>
      <c r="M88" s="22"/>
      <c r="N88" s="176">
        <v>85000</v>
      </c>
      <c r="O88" s="176">
        <v>10000</v>
      </c>
      <c r="P88" s="176"/>
      <c r="Q88" s="848">
        <f>SUM(R88:S88)</f>
        <v>10000</v>
      </c>
      <c r="R88" s="848">
        <v>10000</v>
      </c>
      <c r="S88" s="849"/>
      <c r="T88" s="73">
        <f t="shared" ref="T88:T95" si="36">SUM(U88:V88)</f>
        <v>10000</v>
      </c>
      <c r="U88" s="176">
        <v>10000</v>
      </c>
      <c r="V88" s="176"/>
      <c r="W88" s="729"/>
      <c r="X88" s="24"/>
      <c r="Y88" s="176"/>
    </row>
    <row r="89" spans="1:27" ht="30">
      <c r="A89" s="190"/>
      <c r="B89" s="93" t="s">
        <v>437</v>
      </c>
      <c r="C89" s="152" t="s">
        <v>432</v>
      </c>
      <c r="D89" s="162"/>
      <c r="E89" s="163" t="s">
        <v>120</v>
      </c>
      <c r="F89" s="696" t="s">
        <v>438</v>
      </c>
      <c r="G89" s="164">
        <v>646466</v>
      </c>
      <c r="H89" s="164">
        <f>646466-493317</f>
        <v>153149</v>
      </c>
      <c r="I89" s="164">
        <f>50000+15000</f>
        <v>65000</v>
      </c>
      <c r="J89" s="164">
        <v>15000</v>
      </c>
      <c r="K89" s="277">
        <v>581819</v>
      </c>
      <c r="L89" s="164">
        <v>241103</v>
      </c>
      <c r="M89" s="22"/>
      <c r="N89" s="176">
        <v>30000</v>
      </c>
      <c r="O89" s="176">
        <v>20000</v>
      </c>
      <c r="P89" s="176"/>
      <c r="Q89" s="848">
        <f>SUM(R89:S89)</f>
        <v>20000</v>
      </c>
      <c r="R89" s="848">
        <v>20000</v>
      </c>
      <c r="S89" s="849"/>
      <c r="T89" s="73">
        <f t="shared" si="36"/>
        <v>20000</v>
      </c>
      <c r="U89" s="176">
        <v>20000</v>
      </c>
      <c r="V89" s="176"/>
      <c r="W89" s="729"/>
      <c r="X89" s="24"/>
      <c r="Y89" s="176"/>
    </row>
    <row r="90" spans="1:27" ht="30">
      <c r="A90" s="190" t="s">
        <v>64</v>
      </c>
      <c r="B90" s="151" t="s">
        <v>439</v>
      </c>
      <c r="C90" s="172" t="s">
        <v>66</v>
      </c>
      <c r="D90" s="172" t="s">
        <v>440</v>
      </c>
      <c r="E90" s="120" t="s">
        <v>120</v>
      </c>
      <c r="F90" s="696" t="s">
        <v>441</v>
      </c>
      <c r="G90" s="173">
        <v>96996</v>
      </c>
      <c r="H90" s="173">
        <v>96996</v>
      </c>
      <c r="I90" s="173">
        <v>15000</v>
      </c>
      <c r="J90" s="173">
        <v>15000</v>
      </c>
      <c r="K90" s="173">
        <v>96996</v>
      </c>
      <c r="L90" s="173">
        <v>96996</v>
      </c>
      <c r="M90" s="22"/>
      <c r="N90" s="133">
        <v>33000</v>
      </c>
      <c r="O90" s="133">
        <v>33000</v>
      </c>
      <c r="P90" s="133"/>
      <c r="Q90" s="842">
        <v>20000</v>
      </c>
      <c r="R90" s="842">
        <v>20000</v>
      </c>
      <c r="S90" s="842"/>
      <c r="T90" s="73">
        <f t="shared" si="36"/>
        <v>5000</v>
      </c>
      <c r="U90" s="133">
        <v>5000</v>
      </c>
      <c r="V90" s="133"/>
      <c r="W90" s="729" t="s">
        <v>1526</v>
      </c>
      <c r="X90" s="24"/>
      <c r="Y90" s="133">
        <v>1</v>
      </c>
    </row>
    <row r="91" spans="1:27" ht="37.5" customHeight="1">
      <c r="A91" s="190" t="s">
        <v>69</v>
      </c>
      <c r="B91" s="171" t="s">
        <v>445</v>
      </c>
      <c r="C91" s="172" t="s">
        <v>85</v>
      </c>
      <c r="D91" s="172" t="s">
        <v>446</v>
      </c>
      <c r="E91" s="163" t="s">
        <v>30</v>
      </c>
      <c r="F91" s="696" t="s">
        <v>447</v>
      </c>
      <c r="G91" s="173">
        <v>42248</v>
      </c>
      <c r="H91" s="173">
        <v>42248</v>
      </c>
      <c r="I91" s="173">
        <v>699</v>
      </c>
      <c r="J91" s="173">
        <v>699</v>
      </c>
      <c r="K91" s="173">
        <v>41871</v>
      </c>
      <c r="L91" s="173">
        <v>41871</v>
      </c>
      <c r="M91" s="22"/>
      <c r="N91" s="133">
        <v>20000</v>
      </c>
      <c r="O91" s="133">
        <v>20000</v>
      </c>
      <c r="P91" s="133"/>
      <c r="Q91" s="842">
        <v>20000</v>
      </c>
      <c r="R91" s="842">
        <v>20000</v>
      </c>
      <c r="S91" s="842"/>
      <c r="T91" s="73">
        <f t="shared" si="36"/>
        <v>15000</v>
      </c>
      <c r="U91" s="133">
        <v>15000</v>
      </c>
      <c r="V91" s="133"/>
      <c r="W91" s="513" t="s">
        <v>1524</v>
      </c>
      <c r="X91" s="24"/>
      <c r="Y91" s="133">
        <v>1</v>
      </c>
    </row>
    <row r="92" spans="1:27" ht="26.1" customHeight="1">
      <c r="A92" s="190" t="s">
        <v>74</v>
      </c>
      <c r="B92" s="183" t="s">
        <v>448</v>
      </c>
      <c r="C92" s="191" t="s">
        <v>29</v>
      </c>
      <c r="D92" s="162" t="s">
        <v>449</v>
      </c>
      <c r="E92" s="163" t="s">
        <v>30</v>
      </c>
      <c r="F92" s="696" t="s">
        <v>450</v>
      </c>
      <c r="G92" s="164">
        <v>22711</v>
      </c>
      <c r="H92" s="164">
        <v>5141</v>
      </c>
      <c r="I92" s="173"/>
      <c r="J92" s="173"/>
      <c r="K92" s="173">
        <v>22711</v>
      </c>
      <c r="L92" s="164">
        <v>5141</v>
      </c>
      <c r="M92" s="22"/>
      <c r="N92" s="133">
        <v>10000</v>
      </c>
      <c r="O92" s="133">
        <v>5141</v>
      </c>
      <c r="P92" s="133"/>
      <c r="Q92" s="842">
        <v>5141</v>
      </c>
      <c r="R92" s="842">
        <v>5141</v>
      </c>
      <c r="S92" s="842"/>
      <c r="T92" s="73">
        <f t="shared" si="36"/>
        <v>5141</v>
      </c>
      <c r="U92" s="133"/>
      <c r="V92" s="133">
        <v>5141</v>
      </c>
      <c r="W92" s="729" t="s">
        <v>1527</v>
      </c>
      <c r="X92" s="24"/>
      <c r="Y92" s="133">
        <v>1</v>
      </c>
    </row>
    <row r="93" spans="1:27" ht="60.75" customHeight="1">
      <c r="A93" s="190" t="s">
        <v>141</v>
      </c>
      <c r="B93" s="93" t="s">
        <v>451</v>
      </c>
      <c r="C93" s="152"/>
      <c r="D93" s="162" t="s">
        <v>452</v>
      </c>
      <c r="E93" s="163" t="s">
        <v>30</v>
      </c>
      <c r="F93" s="696" t="s">
        <v>453</v>
      </c>
      <c r="G93" s="164">
        <v>32583</v>
      </c>
      <c r="H93" s="173">
        <v>14800</v>
      </c>
      <c r="I93" s="173">
        <v>4800</v>
      </c>
      <c r="J93" s="173">
        <v>4800</v>
      </c>
      <c r="K93" s="173">
        <f>G93-I93</f>
        <v>27783</v>
      </c>
      <c r="L93" s="22">
        <f>H93-J93</f>
        <v>10000</v>
      </c>
      <c r="M93" s="22"/>
      <c r="N93" s="133">
        <v>29600</v>
      </c>
      <c r="O93" s="133">
        <v>10000</v>
      </c>
      <c r="P93" s="133"/>
      <c r="Q93" s="842">
        <v>10000</v>
      </c>
      <c r="R93" s="842">
        <v>10000</v>
      </c>
      <c r="S93" s="842"/>
      <c r="T93" s="73">
        <f t="shared" si="36"/>
        <v>9000</v>
      </c>
      <c r="U93" s="133"/>
      <c r="V93" s="133">
        <v>9000</v>
      </c>
      <c r="W93" s="729" t="s">
        <v>1527</v>
      </c>
      <c r="X93" s="24"/>
      <c r="Y93" s="133">
        <v>1</v>
      </c>
    </row>
    <row r="94" spans="1:27" ht="35.25" customHeight="1">
      <c r="A94" s="190" t="s">
        <v>146</v>
      </c>
      <c r="B94" s="93" t="s">
        <v>454</v>
      </c>
      <c r="C94" s="172" t="s">
        <v>71</v>
      </c>
      <c r="D94" s="162" t="s">
        <v>455</v>
      </c>
      <c r="E94" s="163" t="s">
        <v>30</v>
      </c>
      <c r="F94" s="696" t="s">
        <v>456</v>
      </c>
      <c r="G94" s="164">
        <v>37999</v>
      </c>
      <c r="H94" s="164">
        <v>37999</v>
      </c>
      <c r="I94" s="173">
        <v>1000</v>
      </c>
      <c r="J94" s="173">
        <v>1000</v>
      </c>
      <c r="K94" s="173">
        <v>37999</v>
      </c>
      <c r="L94" s="164">
        <v>37999</v>
      </c>
      <c r="M94" s="22"/>
      <c r="N94" s="133">
        <v>15000</v>
      </c>
      <c r="O94" s="133">
        <v>15000</v>
      </c>
      <c r="P94" s="133"/>
      <c r="Q94" s="842">
        <v>15000</v>
      </c>
      <c r="R94" s="842">
        <v>15000</v>
      </c>
      <c r="S94" s="842"/>
      <c r="T94" s="73">
        <f t="shared" si="36"/>
        <v>10000</v>
      </c>
      <c r="U94" s="133"/>
      <c r="V94" s="133">
        <v>10000</v>
      </c>
      <c r="W94" s="729" t="s">
        <v>1516</v>
      </c>
      <c r="X94" s="24"/>
      <c r="Y94" s="133">
        <v>1</v>
      </c>
    </row>
    <row r="95" spans="1:27" ht="26.1" customHeight="1">
      <c r="A95" s="190" t="s">
        <v>179</v>
      </c>
      <c r="B95" s="93" t="s">
        <v>457</v>
      </c>
      <c r="C95" s="172" t="s">
        <v>60</v>
      </c>
      <c r="D95" s="162" t="s">
        <v>458</v>
      </c>
      <c r="E95" s="163" t="s">
        <v>30</v>
      </c>
      <c r="F95" s="696" t="s">
        <v>459</v>
      </c>
      <c r="G95" s="164">
        <v>18528</v>
      </c>
      <c r="H95" s="164">
        <v>18528</v>
      </c>
      <c r="I95" s="173">
        <v>2000</v>
      </c>
      <c r="J95" s="173">
        <v>2000</v>
      </c>
      <c r="K95" s="173">
        <v>18528</v>
      </c>
      <c r="L95" s="164">
        <v>18528</v>
      </c>
      <c r="M95" s="22"/>
      <c r="N95" s="133">
        <v>6500</v>
      </c>
      <c r="O95" s="133">
        <v>6500</v>
      </c>
      <c r="P95" s="133"/>
      <c r="Q95" s="842">
        <v>6500</v>
      </c>
      <c r="R95" s="842">
        <v>6500</v>
      </c>
      <c r="S95" s="842"/>
      <c r="T95" s="73">
        <f t="shared" si="36"/>
        <v>6500</v>
      </c>
      <c r="U95" s="133"/>
      <c r="V95" s="133">
        <v>6500</v>
      </c>
      <c r="W95" s="513" t="s">
        <v>1517</v>
      </c>
      <c r="X95" s="24"/>
      <c r="Y95" s="133">
        <v>1</v>
      </c>
      <c r="AA95" s="996">
        <f>V95</f>
        <v>6500</v>
      </c>
    </row>
    <row r="96" spans="1:27" ht="32.25" customHeight="1">
      <c r="A96" s="192" t="s">
        <v>150</v>
      </c>
      <c r="B96" s="159" t="s">
        <v>151</v>
      </c>
      <c r="C96" s="160"/>
      <c r="D96" s="160"/>
      <c r="E96" s="161"/>
      <c r="F96" s="699"/>
      <c r="G96" s="90">
        <f t="shared" ref="G96:V96" si="37">SUM(G97:G106)</f>
        <v>292654</v>
      </c>
      <c r="H96" s="90">
        <f t="shared" si="37"/>
        <v>253425</v>
      </c>
      <c r="I96" s="90">
        <f t="shared" si="37"/>
        <v>200</v>
      </c>
      <c r="J96" s="90">
        <f t="shared" si="37"/>
        <v>200</v>
      </c>
      <c r="K96" s="90">
        <f t="shared" si="37"/>
        <v>273467</v>
      </c>
      <c r="L96" s="90">
        <f t="shared" si="37"/>
        <v>243743</v>
      </c>
      <c r="M96" s="90">
        <f t="shared" si="37"/>
        <v>0</v>
      </c>
      <c r="N96" s="90">
        <f t="shared" si="37"/>
        <v>124959</v>
      </c>
      <c r="O96" s="90">
        <f t="shared" si="37"/>
        <v>95173</v>
      </c>
      <c r="P96" s="90">
        <f t="shared" si="37"/>
        <v>0</v>
      </c>
      <c r="Q96" s="829">
        <f t="shared" si="37"/>
        <v>67888</v>
      </c>
      <c r="R96" s="829">
        <f t="shared" si="37"/>
        <v>67888</v>
      </c>
      <c r="S96" s="829">
        <f t="shared" si="37"/>
        <v>0</v>
      </c>
      <c r="T96" s="90">
        <f t="shared" si="37"/>
        <v>67888</v>
      </c>
      <c r="U96" s="90">
        <f t="shared" si="37"/>
        <v>0</v>
      </c>
      <c r="V96" s="90">
        <f t="shared" si="37"/>
        <v>67888</v>
      </c>
      <c r="W96" s="699"/>
      <c r="X96" s="699"/>
      <c r="Y96" s="90">
        <f>SUM(Y97:Y106)</f>
        <v>10</v>
      </c>
    </row>
    <row r="97" spans="1:38" ht="45">
      <c r="A97" s="150">
        <v>1</v>
      </c>
      <c r="B97" s="151" t="s">
        <v>464</v>
      </c>
      <c r="C97" s="172" t="s">
        <v>66</v>
      </c>
      <c r="D97" s="172" t="s">
        <v>465</v>
      </c>
      <c r="E97" s="163" t="s">
        <v>120</v>
      </c>
      <c r="F97" s="698" t="s">
        <v>466</v>
      </c>
      <c r="G97" s="153">
        <v>80211</v>
      </c>
      <c r="H97" s="153">
        <v>80211</v>
      </c>
      <c r="I97" s="72"/>
      <c r="J97" s="72"/>
      <c r="K97" s="72">
        <f>G97-I97</f>
        <v>80211</v>
      </c>
      <c r="L97" s="72">
        <f>H97-J97</f>
        <v>80211</v>
      </c>
      <c r="M97" s="72"/>
      <c r="N97" s="73">
        <v>30000</v>
      </c>
      <c r="O97" s="73">
        <v>30000</v>
      </c>
      <c r="P97" s="73"/>
      <c r="Q97" s="828">
        <v>30000</v>
      </c>
      <c r="R97" s="828">
        <v>30000</v>
      </c>
      <c r="S97" s="828"/>
      <c r="T97" s="73">
        <f t="shared" ref="T97:T106" si="38">SUM(U97:V97)</f>
        <v>30000</v>
      </c>
      <c r="U97" s="73"/>
      <c r="V97" s="73">
        <v>30000</v>
      </c>
      <c r="W97" s="513" t="s">
        <v>1524</v>
      </c>
      <c r="X97" s="24" t="s">
        <v>467</v>
      </c>
      <c r="Y97" s="73">
        <v>1</v>
      </c>
      <c r="AA97" s="996">
        <f>V97</f>
        <v>30000</v>
      </c>
    </row>
    <row r="98" spans="1:38" ht="26.1" customHeight="1">
      <c r="A98" s="150">
        <v>2</v>
      </c>
      <c r="B98" s="151" t="s">
        <v>468</v>
      </c>
      <c r="C98" s="172" t="s">
        <v>71</v>
      </c>
      <c r="D98" s="172" t="s">
        <v>469</v>
      </c>
      <c r="E98" s="163" t="s">
        <v>163</v>
      </c>
      <c r="F98" s="693" t="s">
        <v>470</v>
      </c>
      <c r="G98" s="175">
        <v>48146</v>
      </c>
      <c r="H98" s="175">
        <v>48146</v>
      </c>
      <c r="I98" s="72"/>
      <c r="J98" s="72"/>
      <c r="K98" s="175">
        <v>48146</v>
      </c>
      <c r="L98" s="175">
        <v>48146</v>
      </c>
      <c r="M98" s="72"/>
      <c r="N98" s="73">
        <v>10000</v>
      </c>
      <c r="O98" s="73">
        <v>10000</v>
      </c>
      <c r="P98" s="73"/>
      <c r="Q98" s="828">
        <v>10000</v>
      </c>
      <c r="R98" s="828">
        <v>10000</v>
      </c>
      <c r="S98" s="828"/>
      <c r="T98" s="73">
        <f t="shared" si="38"/>
        <v>10000</v>
      </c>
      <c r="U98" s="73"/>
      <c r="V98" s="73">
        <v>10000</v>
      </c>
      <c r="W98" s="513" t="s">
        <v>1524</v>
      </c>
      <c r="X98" s="24"/>
      <c r="Y98" s="73">
        <v>1</v>
      </c>
    </row>
    <row r="99" spans="1:38" s="194" customFormat="1" ht="30">
      <c r="A99" s="150">
        <v>3</v>
      </c>
      <c r="B99" s="280" t="s">
        <v>471</v>
      </c>
      <c r="C99" s="70" t="s">
        <v>29</v>
      </c>
      <c r="D99" s="70" t="s">
        <v>472</v>
      </c>
      <c r="E99" s="70" t="s">
        <v>120</v>
      </c>
      <c r="F99" s="24" t="s">
        <v>473</v>
      </c>
      <c r="G99" s="596">
        <v>6299</v>
      </c>
      <c r="H99" s="596">
        <v>6299</v>
      </c>
      <c r="I99" s="72"/>
      <c r="J99" s="72"/>
      <c r="K99" s="173">
        <v>5888</v>
      </c>
      <c r="L99" s="173">
        <v>5888</v>
      </c>
      <c r="M99" s="72"/>
      <c r="N99" s="605">
        <v>5888</v>
      </c>
      <c r="O99" s="605">
        <v>5888</v>
      </c>
      <c r="P99" s="605"/>
      <c r="Q99" s="851">
        <v>5888</v>
      </c>
      <c r="R99" s="851">
        <v>5888</v>
      </c>
      <c r="S99" s="828"/>
      <c r="T99" s="73">
        <f t="shared" si="38"/>
        <v>5888</v>
      </c>
      <c r="U99" s="605"/>
      <c r="V99" s="605">
        <v>5888</v>
      </c>
      <c r="W99" s="729" t="s">
        <v>1528</v>
      </c>
      <c r="X99" s="24"/>
      <c r="Y99" s="605">
        <v>1</v>
      </c>
      <c r="Z99" s="657"/>
      <c r="AA99" s="990"/>
      <c r="AB99" s="811"/>
      <c r="AC99" s="551"/>
      <c r="AD99" s="551"/>
      <c r="AE99" s="551"/>
    </row>
    <row r="100" spans="1:38" ht="30">
      <c r="A100" s="150">
        <v>4</v>
      </c>
      <c r="B100" s="280" t="s">
        <v>1617</v>
      </c>
      <c r="C100" s="70" t="s">
        <v>29</v>
      </c>
      <c r="D100" s="70" t="s">
        <v>1618</v>
      </c>
      <c r="E100" s="70" t="s">
        <v>30</v>
      </c>
      <c r="F100" s="24" t="s">
        <v>1619</v>
      </c>
      <c r="G100" s="596">
        <v>14626</v>
      </c>
      <c r="H100" s="596">
        <v>6943</v>
      </c>
      <c r="I100" s="72"/>
      <c r="J100" s="72"/>
      <c r="K100" s="173">
        <v>14626</v>
      </c>
      <c r="L100" s="173">
        <v>6943</v>
      </c>
      <c r="M100" s="72"/>
      <c r="N100" s="605">
        <v>5000</v>
      </c>
      <c r="O100" s="605">
        <v>3000</v>
      </c>
      <c r="P100" s="605"/>
      <c r="Q100" s="828">
        <f>SUM(R100:S100)</f>
        <v>3000</v>
      </c>
      <c r="R100" s="851">
        <v>3000</v>
      </c>
      <c r="S100" s="828"/>
      <c r="T100" s="73">
        <f t="shared" si="38"/>
        <v>3000</v>
      </c>
      <c r="U100" s="605"/>
      <c r="V100" s="605">
        <v>3000</v>
      </c>
      <c r="W100" s="729" t="s">
        <v>1620</v>
      </c>
      <c r="X100" s="24"/>
      <c r="Y100" s="605">
        <v>1</v>
      </c>
    </row>
    <row r="101" spans="1:38" s="194" customFormat="1" ht="102">
      <c r="A101" s="150">
        <v>5</v>
      </c>
      <c r="B101" s="280" t="s">
        <v>474</v>
      </c>
      <c r="C101" s="70" t="s">
        <v>112</v>
      </c>
      <c r="D101" s="70" t="s">
        <v>475</v>
      </c>
      <c r="E101" s="307" t="s">
        <v>30</v>
      </c>
      <c r="F101" s="24" t="s">
        <v>476</v>
      </c>
      <c r="G101" s="596">
        <v>19245</v>
      </c>
      <c r="H101" s="596">
        <v>9623</v>
      </c>
      <c r="I101" s="72"/>
      <c r="J101" s="72"/>
      <c r="K101" s="173"/>
      <c r="L101" s="173"/>
      <c r="M101" s="72"/>
      <c r="N101" s="605">
        <v>11723</v>
      </c>
      <c r="O101" s="605">
        <v>7200</v>
      </c>
      <c r="P101" s="605"/>
      <c r="Q101" s="851">
        <v>3000</v>
      </c>
      <c r="R101" s="851">
        <v>3000</v>
      </c>
      <c r="S101" s="828"/>
      <c r="T101" s="73">
        <f t="shared" si="38"/>
        <v>3000</v>
      </c>
      <c r="U101" s="605"/>
      <c r="V101" s="605">
        <v>3000</v>
      </c>
      <c r="W101" s="513" t="s">
        <v>1529</v>
      </c>
      <c r="X101" s="24"/>
      <c r="Y101" s="605">
        <v>1</v>
      </c>
      <c r="Z101" s="657"/>
      <c r="AA101" s="996">
        <f t="shared" ref="AA101:AA106" si="39">V101</f>
        <v>3000</v>
      </c>
      <c r="AB101" s="811"/>
      <c r="AC101" s="551"/>
      <c r="AD101" s="551"/>
      <c r="AE101" s="551"/>
    </row>
    <row r="102" spans="1:38" ht="50.25" customHeight="1">
      <c r="A102" s="150">
        <v>6</v>
      </c>
      <c r="B102" s="151" t="s">
        <v>477</v>
      </c>
      <c r="C102" s="172" t="s">
        <v>112</v>
      </c>
      <c r="D102" s="606" t="s">
        <v>478</v>
      </c>
      <c r="E102" s="307" t="s">
        <v>166</v>
      </c>
      <c r="F102" s="696" t="s">
        <v>479</v>
      </c>
      <c r="G102" s="173">
        <v>5381</v>
      </c>
      <c r="H102" s="173">
        <v>5381</v>
      </c>
      <c r="I102" s="72">
        <v>100</v>
      </c>
      <c r="J102" s="72">
        <v>100</v>
      </c>
      <c r="K102" s="173">
        <v>5733</v>
      </c>
      <c r="L102" s="173">
        <v>5733</v>
      </c>
      <c r="M102" s="72"/>
      <c r="N102" s="73">
        <v>5281</v>
      </c>
      <c r="O102" s="73">
        <v>5281</v>
      </c>
      <c r="P102" s="73"/>
      <c r="Q102" s="828">
        <v>2000</v>
      </c>
      <c r="R102" s="828">
        <v>2000</v>
      </c>
      <c r="S102" s="828"/>
      <c r="T102" s="73">
        <f t="shared" si="38"/>
        <v>2000</v>
      </c>
      <c r="U102" s="73"/>
      <c r="V102" s="73">
        <v>2000</v>
      </c>
      <c r="W102" s="513" t="s">
        <v>1529</v>
      </c>
      <c r="X102" s="24"/>
      <c r="Y102" s="73">
        <v>1</v>
      </c>
      <c r="AA102" s="996">
        <f t="shared" si="39"/>
        <v>2000</v>
      </c>
    </row>
    <row r="103" spans="1:38" ht="45">
      <c r="A103" s="150">
        <v>7</v>
      </c>
      <c r="B103" s="151" t="s">
        <v>480</v>
      </c>
      <c r="C103" s="172" t="s">
        <v>112</v>
      </c>
      <c r="D103" s="172" t="s">
        <v>481</v>
      </c>
      <c r="E103" s="163" t="s">
        <v>154</v>
      </c>
      <c r="F103" s="696" t="s">
        <v>482</v>
      </c>
      <c r="G103" s="173">
        <v>12030</v>
      </c>
      <c r="H103" s="173">
        <v>12030</v>
      </c>
      <c r="I103" s="72">
        <v>100</v>
      </c>
      <c r="J103" s="72">
        <v>100</v>
      </c>
      <c r="K103" s="173">
        <v>12030</v>
      </c>
      <c r="L103" s="173">
        <v>12030</v>
      </c>
      <c r="M103" s="72"/>
      <c r="N103" s="73">
        <v>8400</v>
      </c>
      <c r="O103" s="73">
        <v>8400</v>
      </c>
      <c r="P103" s="73"/>
      <c r="Q103" s="828">
        <v>2000</v>
      </c>
      <c r="R103" s="828">
        <v>2000</v>
      </c>
      <c r="S103" s="828"/>
      <c r="T103" s="73">
        <f t="shared" si="38"/>
        <v>2000</v>
      </c>
      <c r="U103" s="73"/>
      <c r="V103" s="73">
        <v>2000</v>
      </c>
      <c r="W103" s="513" t="s">
        <v>1529</v>
      </c>
      <c r="X103" s="24"/>
      <c r="Y103" s="73">
        <v>1</v>
      </c>
      <c r="AA103" s="996">
        <f t="shared" si="39"/>
        <v>2000</v>
      </c>
    </row>
    <row r="104" spans="1:38" ht="45">
      <c r="A104" s="150">
        <v>8</v>
      </c>
      <c r="B104" s="93" t="s">
        <v>483</v>
      </c>
      <c r="C104" s="101" t="s">
        <v>484</v>
      </c>
      <c r="D104" s="606" t="s">
        <v>485</v>
      </c>
      <c r="E104" s="307" t="s">
        <v>30</v>
      </c>
      <c r="F104" s="685" t="s">
        <v>486</v>
      </c>
      <c r="G104" s="71">
        <v>6710</v>
      </c>
      <c r="H104" s="71">
        <v>6710</v>
      </c>
      <c r="I104" s="72"/>
      <c r="J104" s="72"/>
      <c r="K104" s="71">
        <v>6710</v>
      </c>
      <c r="L104" s="71">
        <v>6710</v>
      </c>
      <c r="M104" s="72"/>
      <c r="N104" s="73">
        <v>6743</v>
      </c>
      <c r="O104" s="73">
        <v>5404</v>
      </c>
      <c r="P104" s="73"/>
      <c r="Q104" s="828">
        <v>2000</v>
      </c>
      <c r="R104" s="828">
        <v>2000</v>
      </c>
      <c r="S104" s="828"/>
      <c r="T104" s="73">
        <f t="shared" si="38"/>
        <v>2000</v>
      </c>
      <c r="U104" s="73"/>
      <c r="V104" s="73">
        <v>2000</v>
      </c>
      <c r="W104" s="513" t="s">
        <v>1529</v>
      </c>
      <c r="X104" s="1012"/>
      <c r="Y104" s="73">
        <v>1</v>
      </c>
      <c r="AA104" s="996">
        <f t="shared" si="39"/>
        <v>2000</v>
      </c>
    </row>
    <row r="105" spans="1:38" s="195" customFormat="1" ht="30">
      <c r="A105" s="150">
        <v>9</v>
      </c>
      <c r="B105" s="607" t="s">
        <v>487</v>
      </c>
      <c r="C105" s="101" t="s">
        <v>112</v>
      </c>
      <c r="D105" s="606" t="s">
        <v>488</v>
      </c>
      <c r="E105" s="307" t="s">
        <v>489</v>
      </c>
      <c r="F105" s="696" t="s">
        <v>490</v>
      </c>
      <c r="G105" s="164">
        <v>39713</v>
      </c>
      <c r="H105" s="72">
        <v>31984</v>
      </c>
      <c r="I105" s="72"/>
      <c r="J105" s="72"/>
      <c r="K105" s="71">
        <v>39713</v>
      </c>
      <c r="L105" s="72">
        <v>31984</v>
      </c>
      <c r="M105" s="72"/>
      <c r="N105" s="605">
        <v>15729</v>
      </c>
      <c r="O105" s="72">
        <v>8000</v>
      </c>
      <c r="P105" s="72"/>
      <c r="Q105" s="123">
        <v>5000</v>
      </c>
      <c r="R105" s="123">
        <v>5000</v>
      </c>
      <c r="S105" s="828"/>
      <c r="T105" s="73">
        <f t="shared" si="38"/>
        <v>5000</v>
      </c>
      <c r="U105" s="72"/>
      <c r="V105" s="72">
        <v>5000</v>
      </c>
      <c r="W105" s="513" t="s">
        <v>1529</v>
      </c>
      <c r="X105" s="24"/>
      <c r="Y105" s="72">
        <v>1</v>
      </c>
      <c r="Z105" s="657"/>
      <c r="AA105" s="996">
        <f t="shared" si="39"/>
        <v>5000</v>
      </c>
      <c r="AB105" s="978"/>
      <c r="AC105" s="553"/>
      <c r="AD105" s="553"/>
      <c r="AE105" s="553"/>
    </row>
    <row r="106" spans="1:38" s="195" customFormat="1" ht="30">
      <c r="A106" s="150">
        <v>10</v>
      </c>
      <c r="B106" s="607" t="s">
        <v>493</v>
      </c>
      <c r="C106" s="101" t="s">
        <v>112</v>
      </c>
      <c r="D106" s="606" t="s">
        <v>494</v>
      </c>
      <c r="E106" s="307" t="s">
        <v>489</v>
      </c>
      <c r="F106" s="696" t="s">
        <v>495</v>
      </c>
      <c r="G106" s="164">
        <v>60293</v>
      </c>
      <c r="H106" s="72">
        <v>46098</v>
      </c>
      <c r="I106" s="72"/>
      <c r="J106" s="72"/>
      <c r="K106" s="71">
        <v>60410</v>
      </c>
      <c r="L106" s="72">
        <v>46098</v>
      </c>
      <c r="M106" s="72"/>
      <c r="N106" s="605">
        <v>26195</v>
      </c>
      <c r="O106" s="72">
        <v>12000</v>
      </c>
      <c r="P106" s="72"/>
      <c r="Q106" s="123">
        <v>5000</v>
      </c>
      <c r="R106" s="123">
        <v>5000</v>
      </c>
      <c r="S106" s="828"/>
      <c r="T106" s="73">
        <f t="shared" si="38"/>
        <v>5000</v>
      </c>
      <c r="U106" s="72"/>
      <c r="V106" s="72">
        <v>5000</v>
      </c>
      <c r="W106" s="513" t="s">
        <v>1529</v>
      </c>
      <c r="X106" s="24"/>
      <c r="Y106" s="72">
        <v>1</v>
      </c>
      <c r="Z106" s="657"/>
      <c r="AA106" s="996">
        <f t="shared" si="39"/>
        <v>5000</v>
      </c>
      <c r="AB106" s="978"/>
      <c r="AC106" s="553"/>
      <c r="AD106" s="553"/>
      <c r="AE106" s="553"/>
    </row>
    <row r="107" spans="1:38" s="633" customFormat="1" ht="27.75" customHeight="1">
      <c r="A107" s="630" t="s">
        <v>498</v>
      </c>
      <c r="B107" s="618" t="s">
        <v>1144</v>
      </c>
      <c r="C107" s="625"/>
      <c r="D107" s="625"/>
      <c r="E107" s="626"/>
      <c r="F107" s="690"/>
      <c r="G107" s="627">
        <f t="shared" ref="G107:V107" si="40">G108+G110</f>
        <v>204304</v>
      </c>
      <c r="H107" s="627">
        <f t="shared" si="40"/>
        <v>191678</v>
      </c>
      <c r="I107" s="627">
        <f t="shared" si="40"/>
        <v>18626</v>
      </c>
      <c r="J107" s="627">
        <f t="shared" si="40"/>
        <v>6000</v>
      </c>
      <c r="K107" s="627">
        <f t="shared" si="40"/>
        <v>177651</v>
      </c>
      <c r="L107" s="627">
        <f t="shared" si="40"/>
        <v>175025</v>
      </c>
      <c r="M107" s="627">
        <f t="shared" si="40"/>
        <v>0</v>
      </c>
      <c r="N107" s="627">
        <f t="shared" si="40"/>
        <v>57014</v>
      </c>
      <c r="O107" s="627">
        <f t="shared" si="40"/>
        <v>57014</v>
      </c>
      <c r="P107" s="627">
        <f t="shared" si="40"/>
        <v>0</v>
      </c>
      <c r="Q107" s="840">
        <f t="shared" si="40"/>
        <v>35300</v>
      </c>
      <c r="R107" s="840">
        <f t="shared" si="40"/>
        <v>29300</v>
      </c>
      <c r="S107" s="840">
        <f t="shared" si="40"/>
        <v>6000</v>
      </c>
      <c r="T107" s="627">
        <f t="shared" si="40"/>
        <v>33300</v>
      </c>
      <c r="U107" s="627">
        <f t="shared" si="40"/>
        <v>33300</v>
      </c>
      <c r="V107" s="627">
        <f t="shared" si="40"/>
        <v>0</v>
      </c>
      <c r="W107" s="734"/>
      <c r="X107" s="734"/>
      <c r="Y107" s="627">
        <f>Y108+Y110</f>
        <v>4</v>
      </c>
      <c r="Z107" s="662"/>
      <c r="AA107" s="990"/>
      <c r="AB107" s="811"/>
      <c r="AC107" s="628"/>
      <c r="AD107" s="628"/>
      <c r="AE107" s="628"/>
      <c r="AG107" s="629"/>
      <c r="AH107" s="629"/>
      <c r="AI107" s="629"/>
      <c r="AJ107" s="629"/>
      <c r="AK107" s="629"/>
      <c r="AL107" s="629"/>
    </row>
    <row r="108" spans="1:38" s="721" customFormat="1" ht="27.75" customHeight="1">
      <c r="A108" s="715" t="s">
        <v>525</v>
      </c>
      <c r="B108" s="65" t="s">
        <v>26</v>
      </c>
      <c r="C108" s="716"/>
      <c r="D108" s="716"/>
      <c r="E108" s="717"/>
      <c r="F108" s="767"/>
      <c r="G108" s="718">
        <f t="shared" ref="G108:V108" si="41">SUM(G109:G109)</f>
        <v>0</v>
      </c>
      <c r="H108" s="718">
        <f t="shared" si="41"/>
        <v>0</v>
      </c>
      <c r="I108" s="718">
        <f t="shared" si="41"/>
        <v>0</v>
      </c>
      <c r="J108" s="718">
        <f t="shared" si="41"/>
        <v>0</v>
      </c>
      <c r="K108" s="718">
        <f t="shared" si="41"/>
        <v>0</v>
      </c>
      <c r="L108" s="718">
        <f t="shared" si="41"/>
        <v>0</v>
      </c>
      <c r="M108" s="718">
        <f t="shared" si="41"/>
        <v>0</v>
      </c>
      <c r="N108" s="718">
        <f t="shared" si="41"/>
        <v>500</v>
      </c>
      <c r="O108" s="718">
        <f t="shared" si="41"/>
        <v>500</v>
      </c>
      <c r="P108" s="718">
        <f t="shared" si="41"/>
        <v>0</v>
      </c>
      <c r="Q108" s="852">
        <f t="shared" si="41"/>
        <v>300</v>
      </c>
      <c r="R108" s="852">
        <f t="shared" si="41"/>
        <v>300</v>
      </c>
      <c r="S108" s="852">
        <f t="shared" si="41"/>
        <v>0</v>
      </c>
      <c r="T108" s="718">
        <f t="shared" si="41"/>
        <v>300</v>
      </c>
      <c r="U108" s="718">
        <f t="shared" si="41"/>
        <v>300</v>
      </c>
      <c r="V108" s="718">
        <f t="shared" si="41"/>
        <v>0</v>
      </c>
      <c r="W108" s="736"/>
      <c r="X108" s="736"/>
      <c r="Y108" s="718">
        <f>SUM(Y109:Y109)</f>
        <v>1</v>
      </c>
      <c r="Z108" s="719"/>
      <c r="AA108" s="990"/>
      <c r="AB108" s="811"/>
      <c r="AC108" s="720"/>
      <c r="AD108" s="720"/>
      <c r="AE108" s="720"/>
      <c r="AG108" s="194"/>
      <c r="AH108" s="194"/>
      <c r="AI108" s="194"/>
      <c r="AJ108" s="194"/>
      <c r="AK108" s="194"/>
      <c r="AL108" s="194"/>
    </row>
    <row r="109" spans="1:38" s="54" customFormat="1" ht="30">
      <c r="A109" s="215">
        <v>1</v>
      </c>
      <c r="B109" s="282" t="s">
        <v>1506</v>
      </c>
      <c r="C109" s="32" t="s">
        <v>1507</v>
      </c>
      <c r="D109" s="101" t="s">
        <v>1508</v>
      </c>
      <c r="E109" s="39" t="s">
        <v>489</v>
      </c>
      <c r="F109" s="100"/>
      <c r="G109" s="22"/>
      <c r="H109" s="22"/>
      <c r="I109" s="22"/>
      <c r="J109" s="22"/>
      <c r="K109" s="22"/>
      <c r="L109" s="22"/>
      <c r="M109" s="22"/>
      <c r="N109" s="22">
        <v>500</v>
      </c>
      <c r="O109" s="22">
        <v>500</v>
      </c>
      <c r="P109" s="78"/>
      <c r="Q109" s="853">
        <v>300</v>
      </c>
      <c r="R109" s="853">
        <v>300</v>
      </c>
      <c r="S109" s="853"/>
      <c r="T109" s="73">
        <v>300</v>
      </c>
      <c r="U109" s="22">
        <v>300</v>
      </c>
      <c r="V109" s="22"/>
      <c r="W109" s="691" t="s">
        <v>1530</v>
      </c>
      <c r="X109" s="24"/>
      <c r="Y109" s="22">
        <v>1</v>
      </c>
      <c r="Z109" s="657"/>
      <c r="AA109" s="990"/>
      <c r="AB109" s="811"/>
      <c r="AC109" s="551"/>
      <c r="AD109" s="551"/>
      <c r="AE109" s="551"/>
      <c r="AG109" s="57"/>
      <c r="AH109" s="57"/>
      <c r="AI109" s="57"/>
      <c r="AJ109" s="57"/>
      <c r="AK109" s="57"/>
      <c r="AL109" s="57"/>
    </row>
    <row r="110" spans="1:38" s="266" customFormat="1">
      <c r="A110" s="82" t="s">
        <v>499</v>
      </c>
      <c r="B110" s="586" t="s">
        <v>31</v>
      </c>
      <c r="C110" s="350"/>
      <c r="D110" s="350"/>
      <c r="E110" s="351"/>
      <c r="F110" s="352"/>
      <c r="G110" s="597">
        <f>G111+G113</f>
        <v>204304</v>
      </c>
      <c r="H110" s="597">
        <f t="shared" ref="H110:Y110" si="42">H111+H113</f>
        <v>191678</v>
      </c>
      <c r="I110" s="597">
        <f t="shared" si="42"/>
        <v>18626</v>
      </c>
      <c r="J110" s="597">
        <f t="shared" si="42"/>
        <v>6000</v>
      </c>
      <c r="K110" s="597">
        <f t="shared" si="42"/>
        <v>177651</v>
      </c>
      <c r="L110" s="597">
        <f t="shared" si="42"/>
        <v>175025</v>
      </c>
      <c r="M110" s="597">
        <f t="shared" si="42"/>
        <v>0</v>
      </c>
      <c r="N110" s="597">
        <f t="shared" si="42"/>
        <v>56514</v>
      </c>
      <c r="O110" s="597">
        <f t="shared" si="42"/>
        <v>56514</v>
      </c>
      <c r="P110" s="597">
        <f t="shared" si="42"/>
        <v>0</v>
      </c>
      <c r="Q110" s="597">
        <f t="shared" si="42"/>
        <v>35000</v>
      </c>
      <c r="R110" s="597">
        <f t="shared" si="42"/>
        <v>29000</v>
      </c>
      <c r="S110" s="597">
        <f t="shared" si="42"/>
        <v>6000</v>
      </c>
      <c r="T110" s="597">
        <f t="shared" si="42"/>
        <v>33000</v>
      </c>
      <c r="U110" s="597">
        <f t="shared" si="42"/>
        <v>33000</v>
      </c>
      <c r="V110" s="597">
        <f t="shared" si="42"/>
        <v>0</v>
      </c>
      <c r="W110" s="597"/>
      <c r="X110" s="597"/>
      <c r="Y110" s="597">
        <f t="shared" si="42"/>
        <v>3</v>
      </c>
      <c r="Z110" s="657"/>
      <c r="AA110" s="990"/>
      <c r="AB110" s="811"/>
      <c r="AC110" s="551"/>
      <c r="AD110" s="551"/>
      <c r="AE110" s="551"/>
      <c r="AG110" s="265"/>
      <c r="AH110" s="265"/>
      <c r="AI110" s="265"/>
      <c r="AJ110" s="265"/>
      <c r="AK110" s="265"/>
      <c r="AL110" s="265"/>
    </row>
    <row r="111" spans="1:38" s="54" customFormat="1">
      <c r="A111" s="11" t="s">
        <v>78</v>
      </c>
      <c r="B111" s="65" t="s">
        <v>79</v>
      </c>
      <c r="C111" s="19"/>
      <c r="D111" s="19"/>
      <c r="E111" s="70"/>
      <c r="F111" s="80"/>
      <c r="G111" s="199">
        <f t="shared" ref="G111:V111" si="43">G112</f>
        <v>29725</v>
      </c>
      <c r="H111" s="199">
        <f t="shared" si="43"/>
        <v>17099</v>
      </c>
      <c r="I111" s="199">
        <f t="shared" si="43"/>
        <v>17626</v>
      </c>
      <c r="J111" s="199">
        <f t="shared" si="43"/>
        <v>5000</v>
      </c>
      <c r="K111" s="199">
        <f t="shared" si="43"/>
        <v>19225</v>
      </c>
      <c r="L111" s="199">
        <f t="shared" si="43"/>
        <v>16599</v>
      </c>
      <c r="M111" s="199">
        <f t="shared" si="43"/>
        <v>0</v>
      </c>
      <c r="N111" s="199">
        <f t="shared" si="43"/>
        <v>4000</v>
      </c>
      <c r="O111" s="199">
        <f t="shared" si="43"/>
        <v>4000</v>
      </c>
      <c r="P111" s="199">
        <f t="shared" si="43"/>
        <v>0</v>
      </c>
      <c r="Q111" s="854">
        <f t="shared" si="43"/>
        <v>4000</v>
      </c>
      <c r="R111" s="854">
        <f t="shared" si="43"/>
        <v>4000</v>
      </c>
      <c r="S111" s="854">
        <f t="shared" si="43"/>
        <v>0</v>
      </c>
      <c r="T111" s="199">
        <f t="shared" si="43"/>
        <v>4000</v>
      </c>
      <c r="U111" s="199">
        <f t="shared" si="43"/>
        <v>4000</v>
      </c>
      <c r="V111" s="199">
        <f t="shared" si="43"/>
        <v>0</v>
      </c>
      <c r="W111" s="699"/>
      <c r="X111" s="699"/>
      <c r="Y111" s="199">
        <f>Y112</f>
        <v>1</v>
      </c>
      <c r="Z111" s="657"/>
      <c r="AA111" s="990"/>
      <c r="AB111" s="811"/>
      <c r="AC111" s="551"/>
      <c r="AD111" s="551"/>
      <c r="AE111" s="551"/>
      <c r="AG111" s="57"/>
      <c r="AH111" s="57"/>
      <c r="AI111" s="57"/>
      <c r="AJ111" s="57"/>
      <c r="AK111" s="57"/>
      <c r="AL111" s="57"/>
    </row>
    <row r="112" spans="1:38" s="54" customFormat="1" ht="30">
      <c r="A112" s="215" t="s">
        <v>27</v>
      </c>
      <c r="B112" s="282" t="s">
        <v>737</v>
      </c>
      <c r="C112" s="32" t="s">
        <v>738</v>
      </c>
      <c r="D112" s="101" t="s">
        <v>739</v>
      </c>
      <c r="E112" s="39" t="s">
        <v>87</v>
      </c>
      <c r="F112" s="100" t="s">
        <v>740</v>
      </c>
      <c r="G112" s="22">
        <v>29725</v>
      </c>
      <c r="H112" s="22">
        <f>G112-12626</f>
        <v>17099</v>
      </c>
      <c r="I112" s="22">
        <f>10000+500+4500+2626</f>
        <v>17626</v>
      </c>
      <c r="J112" s="22">
        <v>5000</v>
      </c>
      <c r="K112" s="22">
        <f>G112-10000-500</f>
        <v>19225</v>
      </c>
      <c r="L112" s="22">
        <f>K112-2626</f>
        <v>16599</v>
      </c>
      <c r="M112" s="22"/>
      <c r="N112" s="22">
        <v>4000</v>
      </c>
      <c r="O112" s="22">
        <v>4000</v>
      </c>
      <c r="P112" s="78"/>
      <c r="Q112" s="853">
        <f>SUM(R112:S112)</f>
        <v>4000</v>
      </c>
      <c r="R112" s="853">
        <v>4000</v>
      </c>
      <c r="S112" s="853"/>
      <c r="T112" s="73">
        <f>SUM(U112:V112)</f>
        <v>4000</v>
      </c>
      <c r="U112" s="22">
        <v>4000</v>
      </c>
      <c r="V112" s="22"/>
      <c r="W112" s="691" t="s">
        <v>1526</v>
      </c>
      <c r="X112" s="24"/>
      <c r="Y112" s="22">
        <v>1</v>
      </c>
      <c r="Z112" s="657"/>
      <c r="AA112" s="990"/>
      <c r="AB112" s="811"/>
      <c r="AC112" s="551"/>
      <c r="AD112" s="551"/>
      <c r="AE112" s="551"/>
      <c r="AG112" s="57"/>
      <c r="AH112" s="57"/>
      <c r="AI112" s="57"/>
      <c r="AJ112" s="57"/>
      <c r="AK112" s="57"/>
      <c r="AL112" s="57"/>
    </row>
    <row r="113" spans="1:38" s="54" customFormat="1">
      <c r="A113" s="64" t="s">
        <v>150</v>
      </c>
      <c r="B113" s="197" t="s">
        <v>632</v>
      </c>
      <c r="C113" s="301"/>
      <c r="D113" s="19"/>
      <c r="E113" s="95"/>
      <c r="F113" s="80"/>
      <c r="G113" s="199">
        <f t="shared" ref="G113:V113" si="44">SUM(G114:G116)</f>
        <v>174579</v>
      </c>
      <c r="H113" s="199">
        <f t="shared" si="44"/>
        <v>174579</v>
      </c>
      <c r="I113" s="199">
        <f t="shared" si="44"/>
        <v>1000</v>
      </c>
      <c r="J113" s="199">
        <f t="shared" si="44"/>
        <v>1000</v>
      </c>
      <c r="K113" s="199">
        <f t="shared" si="44"/>
        <v>158426</v>
      </c>
      <c r="L113" s="199">
        <f t="shared" si="44"/>
        <v>158426</v>
      </c>
      <c r="M113" s="199">
        <f t="shared" si="44"/>
        <v>0</v>
      </c>
      <c r="N113" s="199">
        <f t="shared" si="44"/>
        <v>52514</v>
      </c>
      <c r="O113" s="199">
        <f t="shared" si="44"/>
        <v>52514</v>
      </c>
      <c r="P113" s="199">
        <f t="shared" si="44"/>
        <v>0</v>
      </c>
      <c r="Q113" s="199">
        <f t="shared" si="44"/>
        <v>31000</v>
      </c>
      <c r="R113" s="199">
        <f t="shared" si="44"/>
        <v>25000</v>
      </c>
      <c r="S113" s="199">
        <f t="shared" si="44"/>
        <v>6000</v>
      </c>
      <c r="T113" s="199">
        <f t="shared" si="44"/>
        <v>29000</v>
      </c>
      <c r="U113" s="199">
        <f t="shared" si="44"/>
        <v>29000</v>
      </c>
      <c r="V113" s="199">
        <f t="shared" si="44"/>
        <v>0</v>
      </c>
      <c r="W113" s="732"/>
      <c r="X113" s="732"/>
      <c r="Y113" s="199">
        <f>SUM(Y114:Y115)</f>
        <v>2</v>
      </c>
      <c r="Z113" s="657"/>
      <c r="AA113" s="990"/>
      <c r="AB113" s="811"/>
      <c r="AC113" s="551"/>
      <c r="AD113" s="551"/>
      <c r="AE113" s="551"/>
      <c r="AG113" s="57"/>
      <c r="AH113" s="57"/>
      <c r="AI113" s="57"/>
      <c r="AJ113" s="57"/>
      <c r="AK113" s="57"/>
      <c r="AL113" s="57"/>
    </row>
    <row r="114" spans="1:38" s="54" customFormat="1" ht="25.5">
      <c r="A114" s="97" t="s">
        <v>27</v>
      </c>
      <c r="B114" s="68" t="s">
        <v>745</v>
      </c>
      <c r="C114" s="19" t="s">
        <v>5</v>
      </c>
      <c r="D114" s="19"/>
      <c r="E114" s="129"/>
      <c r="F114" s="691" t="s">
        <v>1733</v>
      </c>
      <c r="G114" s="22">
        <v>73948</v>
      </c>
      <c r="H114" s="22">
        <v>73948</v>
      </c>
      <c r="I114" s="22">
        <v>500</v>
      </c>
      <c r="J114" s="22">
        <v>500</v>
      </c>
      <c r="K114" s="22">
        <v>73948</v>
      </c>
      <c r="L114" s="22">
        <v>73948</v>
      </c>
      <c r="M114" s="22"/>
      <c r="N114" s="22">
        <v>6500</v>
      </c>
      <c r="O114" s="22">
        <v>6500</v>
      </c>
      <c r="P114" s="78"/>
      <c r="Q114" s="853">
        <f>SUM(R114:S114)</f>
        <v>6000</v>
      </c>
      <c r="R114" s="853"/>
      <c r="S114" s="853">
        <v>6000</v>
      </c>
      <c r="T114" s="73">
        <f>SUM(U114:V114)</f>
        <v>6000</v>
      </c>
      <c r="U114" s="22">
        <v>6000</v>
      </c>
      <c r="V114" s="22"/>
      <c r="W114" s="691" t="s">
        <v>1521</v>
      </c>
      <c r="X114" s="24"/>
      <c r="Y114" s="22">
        <v>1</v>
      </c>
      <c r="Z114" s="657"/>
      <c r="AA114" s="990"/>
      <c r="AB114" s="811"/>
      <c r="AC114" s="551"/>
      <c r="AD114" s="551"/>
      <c r="AE114" s="551"/>
      <c r="AG114" s="2"/>
      <c r="AH114" s="2"/>
      <c r="AI114" s="2"/>
      <c r="AJ114" s="2"/>
      <c r="AK114" s="2"/>
      <c r="AL114" s="2"/>
    </row>
    <row r="115" spans="1:38" s="960" customFormat="1" ht="25.5">
      <c r="A115" s="97" t="s">
        <v>41</v>
      </c>
      <c r="B115" s="68" t="s">
        <v>1509</v>
      </c>
      <c r="C115" s="19" t="s">
        <v>43</v>
      </c>
      <c r="D115" s="962" t="s">
        <v>1622</v>
      </c>
      <c r="E115" s="70" t="s">
        <v>355</v>
      </c>
      <c r="F115" s="80"/>
      <c r="G115" s="963">
        <v>84475</v>
      </c>
      <c r="H115" s="963">
        <v>84475</v>
      </c>
      <c r="I115" s="22">
        <v>500</v>
      </c>
      <c r="J115" s="22">
        <v>500</v>
      </c>
      <c r="K115" s="963">
        <v>84478</v>
      </c>
      <c r="L115" s="963">
        <v>84478</v>
      </c>
      <c r="M115" s="22"/>
      <c r="N115" s="964">
        <v>29857</v>
      </c>
      <c r="O115" s="964">
        <v>29857</v>
      </c>
      <c r="P115" s="78"/>
      <c r="Q115" s="853">
        <f>SUM(R115:S115)</f>
        <v>15000</v>
      </c>
      <c r="R115" s="853">
        <v>15000</v>
      </c>
      <c r="S115" s="853"/>
      <c r="T115" s="22">
        <f>SUM(U115:V115)</f>
        <v>18000</v>
      </c>
      <c r="U115" s="22">
        <v>18000</v>
      </c>
      <c r="V115" s="22"/>
      <c r="W115" s="691" t="s">
        <v>1530</v>
      </c>
      <c r="X115" s="80"/>
      <c r="Y115" s="22">
        <v>1</v>
      </c>
      <c r="Z115" s="714"/>
      <c r="AA115" s="990"/>
      <c r="AB115" s="980"/>
      <c r="AC115" s="959"/>
      <c r="AD115" s="959"/>
      <c r="AE115" s="959"/>
      <c r="AG115" s="124"/>
      <c r="AH115" s="124"/>
      <c r="AI115" s="124"/>
      <c r="AJ115" s="124"/>
      <c r="AK115" s="124"/>
      <c r="AL115" s="124"/>
    </row>
    <row r="116" spans="1:38" s="960" customFormat="1" ht="30">
      <c r="A116" s="97" t="s">
        <v>58</v>
      </c>
      <c r="B116" s="68" t="s">
        <v>1504</v>
      </c>
      <c r="C116" s="19" t="s">
        <v>43</v>
      </c>
      <c r="D116" s="962" t="s">
        <v>1505</v>
      </c>
      <c r="E116" s="70" t="s">
        <v>163</v>
      </c>
      <c r="F116" s="80"/>
      <c r="G116" s="963">
        <v>16156</v>
      </c>
      <c r="H116" s="963">
        <v>16156</v>
      </c>
      <c r="I116" s="22"/>
      <c r="J116" s="22"/>
      <c r="K116" s="963"/>
      <c r="L116" s="963"/>
      <c r="M116" s="22"/>
      <c r="N116" s="964">
        <v>16157</v>
      </c>
      <c r="O116" s="964">
        <v>16157</v>
      </c>
      <c r="P116" s="78"/>
      <c r="Q116" s="853">
        <v>10000</v>
      </c>
      <c r="R116" s="853">
        <v>10000</v>
      </c>
      <c r="S116" s="853"/>
      <c r="T116" s="22">
        <f>SUM(U116:V116)</f>
        <v>5000</v>
      </c>
      <c r="U116" s="22">
        <v>5000</v>
      </c>
      <c r="V116" s="22"/>
      <c r="W116" s="691" t="s">
        <v>1530</v>
      </c>
      <c r="X116" s="80"/>
      <c r="Y116" s="22">
        <v>1</v>
      </c>
      <c r="Z116" s="714"/>
      <c r="AA116" s="990"/>
      <c r="AB116" s="980"/>
      <c r="AC116" s="959"/>
      <c r="AD116" s="959"/>
      <c r="AE116" s="959"/>
      <c r="AG116" s="124"/>
      <c r="AH116" s="124"/>
      <c r="AI116" s="124"/>
      <c r="AJ116" s="124"/>
      <c r="AK116" s="124"/>
      <c r="AL116" s="124"/>
    </row>
    <row r="117" spans="1:38" s="633" customFormat="1" ht="34.5" customHeight="1">
      <c r="A117" s="630" t="s">
        <v>524</v>
      </c>
      <c r="B117" s="618" t="s">
        <v>1143</v>
      </c>
      <c r="C117" s="625"/>
      <c r="D117" s="625"/>
      <c r="E117" s="626"/>
      <c r="F117" s="690"/>
      <c r="G117" s="627">
        <f t="shared" ref="G117:V117" si="45">+G118</f>
        <v>385656</v>
      </c>
      <c r="H117" s="627">
        <f t="shared" si="45"/>
        <v>383923</v>
      </c>
      <c r="I117" s="627">
        <f t="shared" si="45"/>
        <v>146570</v>
      </c>
      <c r="J117" s="627">
        <f t="shared" si="45"/>
        <v>146570</v>
      </c>
      <c r="K117" s="627">
        <f t="shared" si="45"/>
        <v>226740</v>
      </c>
      <c r="L117" s="627">
        <f t="shared" si="45"/>
        <v>225007</v>
      </c>
      <c r="M117" s="627">
        <f t="shared" si="45"/>
        <v>0</v>
      </c>
      <c r="N117" s="627">
        <f t="shared" si="45"/>
        <v>84800</v>
      </c>
      <c r="O117" s="627">
        <f t="shared" si="45"/>
        <v>84700</v>
      </c>
      <c r="P117" s="627">
        <f t="shared" si="45"/>
        <v>0</v>
      </c>
      <c r="Q117" s="840">
        <f t="shared" si="45"/>
        <v>85200</v>
      </c>
      <c r="R117" s="840">
        <f t="shared" si="45"/>
        <v>85200</v>
      </c>
      <c r="S117" s="840">
        <f t="shared" si="45"/>
        <v>0</v>
      </c>
      <c r="T117" s="627">
        <f t="shared" si="45"/>
        <v>85200</v>
      </c>
      <c r="U117" s="627">
        <f t="shared" si="45"/>
        <v>85200</v>
      </c>
      <c r="V117" s="627">
        <f t="shared" si="45"/>
        <v>0</v>
      </c>
      <c r="W117" s="734"/>
      <c r="X117" s="734"/>
      <c r="Y117" s="627">
        <f>+Y118</f>
        <v>4</v>
      </c>
      <c r="Z117" s="662"/>
      <c r="AA117" s="990"/>
      <c r="AB117" s="811"/>
      <c r="AC117" s="628"/>
      <c r="AD117" s="628"/>
      <c r="AE117" s="628"/>
      <c r="AG117" s="629"/>
      <c r="AH117" s="629"/>
      <c r="AI117" s="629"/>
      <c r="AJ117" s="629"/>
      <c r="AK117" s="629"/>
      <c r="AL117" s="629"/>
    </row>
    <row r="118" spans="1:38" s="266" customFormat="1" ht="32.25" customHeight="1">
      <c r="A118" s="11"/>
      <c r="B118" s="586" t="s">
        <v>31</v>
      </c>
      <c r="C118" s="13"/>
      <c r="D118" s="13"/>
      <c r="E118" s="14"/>
      <c r="F118" s="89"/>
      <c r="G118" s="90">
        <f t="shared" ref="G118:V118" si="46">SUM(G119,G121,G124)</f>
        <v>385656</v>
      </c>
      <c r="H118" s="90">
        <f t="shared" si="46"/>
        <v>383923</v>
      </c>
      <c r="I118" s="90">
        <f t="shared" si="46"/>
        <v>146570</v>
      </c>
      <c r="J118" s="90">
        <f t="shared" si="46"/>
        <v>146570</v>
      </c>
      <c r="K118" s="90">
        <f t="shared" si="46"/>
        <v>226740</v>
      </c>
      <c r="L118" s="90">
        <f t="shared" si="46"/>
        <v>225007</v>
      </c>
      <c r="M118" s="90">
        <f t="shared" si="46"/>
        <v>0</v>
      </c>
      <c r="N118" s="90">
        <f t="shared" si="46"/>
        <v>84800</v>
      </c>
      <c r="O118" s="90">
        <f t="shared" si="46"/>
        <v>84700</v>
      </c>
      <c r="P118" s="90">
        <f t="shared" si="46"/>
        <v>0</v>
      </c>
      <c r="Q118" s="829">
        <f t="shared" si="46"/>
        <v>85200</v>
      </c>
      <c r="R118" s="829">
        <f t="shared" si="46"/>
        <v>85200</v>
      </c>
      <c r="S118" s="829">
        <f t="shared" si="46"/>
        <v>0</v>
      </c>
      <c r="T118" s="90">
        <f t="shared" si="46"/>
        <v>85200</v>
      </c>
      <c r="U118" s="90">
        <f t="shared" si="46"/>
        <v>85200</v>
      </c>
      <c r="V118" s="90">
        <f t="shared" si="46"/>
        <v>0</v>
      </c>
      <c r="W118" s="699"/>
      <c r="X118" s="699"/>
      <c r="Y118" s="90">
        <f>SUM(Y119,Y121,Y124)</f>
        <v>4</v>
      </c>
      <c r="Z118" s="657"/>
      <c r="AA118" s="990"/>
      <c r="AB118" s="811"/>
      <c r="AC118" s="551"/>
      <c r="AD118" s="551"/>
      <c r="AE118" s="551"/>
      <c r="AG118" s="265"/>
      <c r="AH118" s="265"/>
      <c r="AI118" s="265"/>
      <c r="AJ118" s="265"/>
      <c r="AK118" s="265"/>
      <c r="AL118" s="265"/>
    </row>
    <row r="119" spans="1:38" s="54" customFormat="1" ht="28.5">
      <c r="A119" s="158" t="s">
        <v>78</v>
      </c>
      <c r="B119" s="159" t="s">
        <v>747</v>
      </c>
      <c r="C119" s="160"/>
      <c r="D119" s="301"/>
      <c r="E119" s="882"/>
      <c r="F119" s="700"/>
      <c r="G119" s="90">
        <f t="shared" ref="G119:V119" si="47">G120</f>
        <v>265838</v>
      </c>
      <c r="H119" s="90">
        <f t="shared" si="47"/>
        <v>265838</v>
      </c>
      <c r="I119" s="90">
        <f t="shared" si="47"/>
        <v>133070</v>
      </c>
      <c r="J119" s="90">
        <f t="shared" si="47"/>
        <v>133070</v>
      </c>
      <c r="K119" s="90">
        <f t="shared" si="47"/>
        <v>106922</v>
      </c>
      <c r="L119" s="90">
        <f t="shared" si="47"/>
        <v>106922</v>
      </c>
      <c r="M119" s="90">
        <f t="shared" si="47"/>
        <v>0</v>
      </c>
      <c r="N119" s="90">
        <f t="shared" si="47"/>
        <v>51100</v>
      </c>
      <c r="O119" s="90">
        <f t="shared" si="47"/>
        <v>51000</v>
      </c>
      <c r="P119" s="90">
        <f t="shared" si="47"/>
        <v>0</v>
      </c>
      <c r="Q119" s="829">
        <f t="shared" si="47"/>
        <v>51000</v>
      </c>
      <c r="R119" s="829">
        <f t="shared" si="47"/>
        <v>51000</v>
      </c>
      <c r="S119" s="829">
        <f t="shared" si="47"/>
        <v>0</v>
      </c>
      <c r="T119" s="90">
        <f t="shared" si="47"/>
        <v>51000</v>
      </c>
      <c r="U119" s="90">
        <f t="shared" si="47"/>
        <v>51000</v>
      </c>
      <c r="V119" s="90">
        <f t="shared" si="47"/>
        <v>0</v>
      </c>
      <c r="W119" s="699"/>
      <c r="X119" s="699"/>
      <c r="Y119" s="90">
        <f>Y120</f>
        <v>1</v>
      </c>
      <c r="Z119" s="657"/>
      <c r="AA119" s="990"/>
      <c r="AB119" s="811"/>
      <c r="AC119" s="551"/>
      <c r="AD119" s="551"/>
      <c r="AE119" s="551"/>
      <c r="AG119" s="57"/>
      <c r="AH119" s="57"/>
      <c r="AI119" s="57"/>
      <c r="AJ119" s="57"/>
      <c r="AK119" s="57"/>
      <c r="AL119" s="57"/>
    </row>
    <row r="120" spans="1:38" s="54" customFormat="1" ht="25.5">
      <c r="A120" s="215">
        <v>1</v>
      </c>
      <c r="B120" s="282" t="s">
        <v>748</v>
      </c>
      <c r="C120" s="32" t="s">
        <v>112</v>
      </c>
      <c r="D120" s="101" t="s">
        <v>749</v>
      </c>
      <c r="E120" s="39" t="s">
        <v>750</v>
      </c>
      <c r="F120" s="100" t="s">
        <v>751</v>
      </c>
      <c r="G120" s="22">
        <v>265838</v>
      </c>
      <c r="H120" s="22">
        <v>265838</v>
      </c>
      <c r="I120" s="22">
        <f>108858+33212-9000</f>
        <v>133070</v>
      </c>
      <c r="J120" s="22">
        <f>108858+33212-9000</f>
        <v>133070</v>
      </c>
      <c r="K120" s="22">
        <v>106922</v>
      </c>
      <c r="L120" s="22">
        <v>106922</v>
      </c>
      <c r="M120" s="22"/>
      <c r="N120" s="22">
        <v>51100</v>
      </c>
      <c r="O120" s="22">
        <v>51000</v>
      </c>
      <c r="P120" s="78"/>
      <c r="Q120" s="828">
        <f>SUM(R120:S120)</f>
        <v>51000</v>
      </c>
      <c r="R120" s="853">
        <v>51000</v>
      </c>
      <c r="S120" s="853"/>
      <c r="T120" s="73">
        <f>SUM(U120:V120)</f>
        <v>51000</v>
      </c>
      <c r="U120" s="22">
        <v>51000</v>
      </c>
      <c r="V120" s="22"/>
      <c r="W120" s="691" t="s">
        <v>1531</v>
      </c>
      <c r="X120" s="24"/>
      <c r="Y120" s="22">
        <v>1</v>
      </c>
      <c r="Z120" s="657"/>
      <c r="AA120" s="990"/>
      <c r="AB120" s="811"/>
      <c r="AC120" s="551"/>
      <c r="AD120" s="551"/>
      <c r="AE120" s="551"/>
      <c r="AG120" s="57"/>
      <c r="AH120" s="57"/>
      <c r="AI120" s="57"/>
      <c r="AJ120" s="57"/>
      <c r="AK120" s="57"/>
      <c r="AL120" s="57"/>
    </row>
    <row r="121" spans="1:38" s="54" customFormat="1" ht="28.5">
      <c r="A121" s="158" t="s">
        <v>116</v>
      </c>
      <c r="B121" s="159" t="s">
        <v>117</v>
      </c>
      <c r="C121" s="160"/>
      <c r="D121" s="301"/>
      <c r="E121" s="882"/>
      <c r="F121" s="700"/>
      <c r="G121" s="90">
        <f t="shared" ref="G121:V121" si="48">SUM(G122:G123)</f>
        <v>107277</v>
      </c>
      <c r="H121" s="90">
        <f t="shared" si="48"/>
        <v>105544</v>
      </c>
      <c r="I121" s="90">
        <f t="shared" si="48"/>
        <v>13300</v>
      </c>
      <c r="J121" s="90">
        <f t="shared" si="48"/>
        <v>13300</v>
      </c>
      <c r="K121" s="90">
        <f t="shared" si="48"/>
        <v>107277</v>
      </c>
      <c r="L121" s="90">
        <f t="shared" si="48"/>
        <v>105544</v>
      </c>
      <c r="M121" s="90">
        <f t="shared" si="48"/>
        <v>0</v>
      </c>
      <c r="N121" s="90">
        <f t="shared" si="48"/>
        <v>29700</v>
      </c>
      <c r="O121" s="90">
        <f t="shared" si="48"/>
        <v>29700</v>
      </c>
      <c r="P121" s="90">
        <f t="shared" si="48"/>
        <v>0</v>
      </c>
      <c r="Q121" s="829">
        <f t="shared" si="48"/>
        <v>30200</v>
      </c>
      <c r="R121" s="829">
        <f t="shared" si="48"/>
        <v>30200</v>
      </c>
      <c r="S121" s="829">
        <f t="shared" si="48"/>
        <v>0</v>
      </c>
      <c r="T121" s="90">
        <f t="shared" si="48"/>
        <v>30200</v>
      </c>
      <c r="U121" s="90">
        <f t="shared" si="48"/>
        <v>30200</v>
      </c>
      <c r="V121" s="90">
        <f t="shared" si="48"/>
        <v>0</v>
      </c>
      <c r="W121" s="699"/>
      <c r="X121" s="699"/>
      <c r="Y121" s="90">
        <f>SUM(Y122:Y123)</f>
        <v>2</v>
      </c>
      <c r="Z121" s="657"/>
      <c r="AA121" s="990"/>
      <c r="AB121" s="811"/>
      <c r="AC121" s="551"/>
      <c r="AD121" s="551"/>
      <c r="AE121" s="551"/>
      <c r="AG121" s="57"/>
      <c r="AH121" s="57"/>
      <c r="AI121" s="57"/>
      <c r="AJ121" s="57"/>
      <c r="AK121" s="57"/>
      <c r="AL121" s="57"/>
    </row>
    <row r="122" spans="1:38" s="54" customFormat="1" ht="38.25">
      <c r="A122" s="215">
        <v>1</v>
      </c>
      <c r="B122" s="282" t="s">
        <v>752</v>
      </c>
      <c r="C122" s="32" t="s">
        <v>112</v>
      </c>
      <c r="D122" s="101" t="s">
        <v>753</v>
      </c>
      <c r="E122" s="39" t="s">
        <v>120</v>
      </c>
      <c r="F122" s="100" t="s">
        <v>754</v>
      </c>
      <c r="G122" s="22">
        <v>91967</v>
      </c>
      <c r="H122" s="22">
        <v>91967</v>
      </c>
      <c r="I122" s="22">
        <v>10000</v>
      </c>
      <c r="J122" s="22">
        <v>10000</v>
      </c>
      <c r="K122" s="22">
        <v>91967</v>
      </c>
      <c r="L122" s="22">
        <v>91967</v>
      </c>
      <c r="M122" s="22"/>
      <c r="N122" s="22">
        <v>22500</v>
      </c>
      <c r="O122" s="22">
        <v>22500</v>
      </c>
      <c r="P122" s="78"/>
      <c r="Q122" s="828">
        <f>+R122</f>
        <v>23000</v>
      </c>
      <c r="R122" s="73">
        <v>23000</v>
      </c>
      <c r="S122" s="853"/>
      <c r="T122" s="73">
        <f>SUM(U122:V122)</f>
        <v>23000</v>
      </c>
      <c r="U122" s="73">
        <v>23000</v>
      </c>
      <c r="V122" s="22"/>
      <c r="W122" s="691" t="s">
        <v>1532</v>
      </c>
      <c r="X122" s="24"/>
      <c r="Y122" s="22">
        <v>1</v>
      </c>
      <c r="Z122" s="657"/>
      <c r="AA122" s="990"/>
      <c r="AB122" s="811"/>
      <c r="AC122" s="551"/>
      <c r="AD122" s="551"/>
      <c r="AE122" s="551"/>
      <c r="AG122" s="57"/>
      <c r="AH122" s="57"/>
      <c r="AI122" s="57"/>
      <c r="AJ122" s="57"/>
      <c r="AK122" s="57"/>
      <c r="AL122" s="57"/>
    </row>
    <row r="123" spans="1:38" s="54" customFormat="1" ht="30">
      <c r="A123" s="215">
        <v>2</v>
      </c>
      <c r="B123" s="282" t="s">
        <v>755</v>
      </c>
      <c r="C123" s="32" t="s">
        <v>29</v>
      </c>
      <c r="D123" s="101" t="s">
        <v>753</v>
      </c>
      <c r="E123" s="39" t="s">
        <v>120</v>
      </c>
      <c r="F123" s="100" t="s">
        <v>756</v>
      </c>
      <c r="G123" s="22">
        <v>15310</v>
      </c>
      <c r="H123" s="22">
        <v>13577</v>
      </c>
      <c r="I123" s="22">
        <v>3300</v>
      </c>
      <c r="J123" s="22">
        <v>3300</v>
      </c>
      <c r="K123" s="22">
        <v>15310</v>
      </c>
      <c r="L123" s="22">
        <v>13577</v>
      </c>
      <c r="M123" s="22"/>
      <c r="N123" s="22">
        <v>7200</v>
      </c>
      <c r="O123" s="22">
        <v>7200</v>
      </c>
      <c r="P123" s="78"/>
      <c r="Q123" s="828">
        <f>SUM(R123:S123)</f>
        <v>7200</v>
      </c>
      <c r="R123" s="853">
        <v>7200</v>
      </c>
      <c r="S123" s="853"/>
      <c r="T123" s="73">
        <f>SUM(U123:V123)</f>
        <v>7200</v>
      </c>
      <c r="U123" s="22">
        <v>7200</v>
      </c>
      <c r="V123" s="22"/>
      <c r="W123" s="691" t="s">
        <v>1533</v>
      </c>
      <c r="X123" s="24"/>
      <c r="Y123" s="22">
        <v>1</v>
      </c>
      <c r="Z123" s="657"/>
      <c r="AA123" s="990"/>
      <c r="AB123" s="811"/>
      <c r="AC123" s="551"/>
      <c r="AD123" s="551"/>
      <c r="AE123" s="551"/>
      <c r="AG123" s="57"/>
      <c r="AH123" s="57"/>
      <c r="AI123" s="57"/>
      <c r="AJ123" s="57"/>
      <c r="AK123" s="57"/>
      <c r="AL123" s="57"/>
    </row>
    <row r="124" spans="1:38" s="54" customFormat="1">
      <c r="A124" s="158" t="s">
        <v>150</v>
      </c>
      <c r="B124" s="283" t="s">
        <v>151</v>
      </c>
      <c r="C124" s="32"/>
      <c r="D124" s="101"/>
      <c r="E124" s="39"/>
      <c r="F124" s="100"/>
      <c r="G124" s="90">
        <f t="shared" ref="G124:V124" si="49">G125</f>
        <v>12541</v>
      </c>
      <c r="H124" s="90">
        <f t="shared" si="49"/>
        <v>12541</v>
      </c>
      <c r="I124" s="90">
        <f t="shared" si="49"/>
        <v>200</v>
      </c>
      <c r="J124" s="90">
        <f t="shared" si="49"/>
        <v>200</v>
      </c>
      <c r="K124" s="90">
        <f t="shared" si="49"/>
        <v>12541</v>
      </c>
      <c r="L124" s="90">
        <f t="shared" si="49"/>
        <v>12541</v>
      </c>
      <c r="M124" s="90">
        <f t="shared" si="49"/>
        <v>0</v>
      </c>
      <c r="N124" s="90">
        <f t="shared" si="49"/>
        <v>4000</v>
      </c>
      <c r="O124" s="90">
        <f t="shared" si="49"/>
        <v>4000</v>
      </c>
      <c r="P124" s="90">
        <f t="shared" si="49"/>
        <v>0</v>
      </c>
      <c r="Q124" s="829">
        <f t="shared" si="49"/>
        <v>4000</v>
      </c>
      <c r="R124" s="829">
        <f t="shared" si="49"/>
        <v>4000</v>
      </c>
      <c r="S124" s="829">
        <f t="shared" si="49"/>
        <v>0</v>
      </c>
      <c r="T124" s="90">
        <f t="shared" si="49"/>
        <v>4000</v>
      </c>
      <c r="U124" s="90">
        <f t="shared" si="49"/>
        <v>4000</v>
      </c>
      <c r="V124" s="90">
        <f t="shared" si="49"/>
        <v>0</v>
      </c>
      <c r="W124" s="699"/>
      <c r="X124" s="699"/>
      <c r="Y124" s="90">
        <f>Y125</f>
        <v>1</v>
      </c>
      <c r="Z124" s="657"/>
      <c r="AA124" s="990"/>
      <c r="AB124" s="811"/>
      <c r="AC124" s="551"/>
      <c r="AD124" s="551"/>
      <c r="AE124" s="551"/>
      <c r="AG124" s="57"/>
      <c r="AH124" s="57"/>
      <c r="AI124" s="57"/>
      <c r="AJ124" s="57"/>
      <c r="AK124" s="57"/>
      <c r="AL124" s="57"/>
    </row>
    <row r="125" spans="1:38" s="54" customFormat="1" ht="60">
      <c r="A125" s="215">
        <v>1</v>
      </c>
      <c r="B125" s="282" t="s">
        <v>1495</v>
      </c>
      <c r="C125" s="32" t="s">
        <v>112</v>
      </c>
      <c r="D125" s="101" t="s">
        <v>758</v>
      </c>
      <c r="E125" s="39" t="s">
        <v>154</v>
      </c>
      <c r="F125" s="100" t="s">
        <v>759</v>
      </c>
      <c r="G125" s="22">
        <v>12541</v>
      </c>
      <c r="H125" s="22">
        <v>12541</v>
      </c>
      <c r="I125" s="22">
        <v>200</v>
      </c>
      <c r="J125" s="22">
        <v>200</v>
      </c>
      <c r="K125" s="22">
        <v>12541</v>
      </c>
      <c r="L125" s="22">
        <v>12541</v>
      </c>
      <c r="M125" s="22"/>
      <c r="N125" s="22">
        <v>4000</v>
      </c>
      <c r="O125" s="22">
        <v>4000</v>
      </c>
      <c r="P125" s="78"/>
      <c r="Q125" s="853">
        <f>SUM(R125:S125)</f>
        <v>4000</v>
      </c>
      <c r="R125" s="853">
        <v>4000</v>
      </c>
      <c r="S125" s="853"/>
      <c r="T125" s="73">
        <f>SUM(U125:V125)</f>
        <v>4000</v>
      </c>
      <c r="U125" s="22">
        <v>4000</v>
      </c>
      <c r="V125" s="22"/>
      <c r="W125" s="691" t="s">
        <v>1534</v>
      </c>
      <c r="X125" s="24"/>
      <c r="Y125" s="22">
        <v>1</v>
      </c>
      <c r="Z125" s="657"/>
      <c r="AA125" s="990"/>
      <c r="AB125" s="811"/>
      <c r="AC125" s="551"/>
      <c r="AD125" s="551"/>
      <c r="AE125" s="551"/>
      <c r="AG125" s="57"/>
      <c r="AH125" s="57"/>
      <c r="AI125" s="57"/>
      <c r="AJ125" s="57"/>
      <c r="AK125" s="57"/>
      <c r="AL125" s="57"/>
    </row>
    <row r="126" spans="1:38" s="633" customFormat="1" ht="24.75" customHeight="1">
      <c r="A126" s="630" t="s">
        <v>526</v>
      </c>
      <c r="B126" s="618" t="s">
        <v>1490</v>
      </c>
      <c r="C126" s="625"/>
      <c r="D126" s="625"/>
      <c r="E126" s="626"/>
      <c r="F126" s="690"/>
      <c r="G126" s="636">
        <f t="shared" ref="G126:V126" si="50">SUM(G127,G131)</f>
        <v>333777</v>
      </c>
      <c r="H126" s="636">
        <f t="shared" si="50"/>
        <v>192879</v>
      </c>
      <c r="I126" s="636">
        <f t="shared" si="50"/>
        <v>8324</v>
      </c>
      <c r="J126" s="636">
        <f t="shared" si="50"/>
        <v>8324</v>
      </c>
      <c r="K126" s="636">
        <f t="shared" si="50"/>
        <v>239990.33333333334</v>
      </c>
      <c r="L126" s="636">
        <f t="shared" si="50"/>
        <v>176360.33333333334</v>
      </c>
      <c r="M126" s="636">
        <f t="shared" si="50"/>
        <v>0</v>
      </c>
      <c r="N126" s="636">
        <f t="shared" si="50"/>
        <v>70151</v>
      </c>
      <c r="O126" s="636">
        <f t="shared" si="50"/>
        <v>63875</v>
      </c>
      <c r="P126" s="636">
        <f t="shared" si="50"/>
        <v>0</v>
      </c>
      <c r="Q126" s="855">
        <f t="shared" si="50"/>
        <v>61775</v>
      </c>
      <c r="R126" s="855">
        <f t="shared" si="50"/>
        <v>36575</v>
      </c>
      <c r="S126" s="855">
        <f t="shared" si="50"/>
        <v>25200</v>
      </c>
      <c r="T126" s="636">
        <f t="shared" si="50"/>
        <v>59375</v>
      </c>
      <c r="U126" s="636">
        <f t="shared" si="50"/>
        <v>59375</v>
      </c>
      <c r="V126" s="636">
        <f t="shared" si="50"/>
        <v>0</v>
      </c>
      <c r="W126" s="690"/>
      <c r="X126" s="690"/>
      <c r="Y126" s="636">
        <f>SUM(Y127,Y131)</f>
        <v>16</v>
      </c>
      <c r="Z126" s="662"/>
      <c r="AA126" s="990"/>
      <c r="AB126" s="811"/>
      <c r="AC126" s="628"/>
      <c r="AD126" s="628"/>
      <c r="AE126" s="628"/>
      <c r="AG126" s="629"/>
      <c r="AH126" s="629"/>
      <c r="AI126" s="629"/>
      <c r="AJ126" s="629"/>
      <c r="AK126" s="629"/>
      <c r="AL126" s="629"/>
    </row>
    <row r="127" spans="1:38" s="266" customFormat="1">
      <c r="A127" s="82" t="s">
        <v>525</v>
      </c>
      <c r="B127" s="608" t="s">
        <v>26</v>
      </c>
      <c r="C127" s="350"/>
      <c r="D127" s="350"/>
      <c r="E127" s="351"/>
      <c r="F127" s="352"/>
      <c r="G127" s="609">
        <f t="shared" ref="G127:V127" si="51">SUM(G128:G130)</f>
        <v>8274</v>
      </c>
      <c r="H127" s="609">
        <f t="shared" si="51"/>
        <v>8274</v>
      </c>
      <c r="I127" s="609">
        <f t="shared" si="51"/>
        <v>0</v>
      </c>
      <c r="J127" s="609">
        <f t="shared" si="51"/>
        <v>0</v>
      </c>
      <c r="K127" s="609">
        <f t="shared" si="51"/>
        <v>8274</v>
      </c>
      <c r="L127" s="609">
        <f t="shared" si="51"/>
        <v>8274</v>
      </c>
      <c r="M127" s="609">
        <f t="shared" si="51"/>
        <v>0</v>
      </c>
      <c r="N127" s="609">
        <f t="shared" si="51"/>
        <v>230</v>
      </c>
      <c r="O127" s="609">
        <f t="shared" si="51"/>
        <v>230</v>
      </c>
      <c r="P127" s="609">
        <f t="shared" si="51"/>
        <v>0</v>
      </c>
      <c r="Q127" s="856">
        <f t="shared" si="51"/>
        <v>230</v>
      </c>
      <c r="R127" s="856">
        <f t="shared" si="51"/>
        <v>230</v>
      </c>
      <c r="S127" s="856">
        <f t="shared" si="51"/>
        <v>0</v>
      </c>
      <c r="T127" s="609">
        <f t="shared" si="51"/>
        <v>230</v>
      </c>
      <c r="U127" s="609">
        <f t="shared" si="51"/>
        <v>230</v>
      </c>
      <c r="V127" s="609">
        <f t="shared" si="51"/>
        <v>0</v>
      </c>
      <c r="W127" s="733"/>
      <c r="X127" s="733"/>
      <c r="Y127" s="609">
        <f>SUM(Y128:Y130)</f>
        <v>3</v>
      </c>
      <c r="Z127" s="657"/>
      <c r="AA127" s="990"/>
      <c r="AB127" s="811"/>
      <c r="AC127" s="551"/>
      <c r="AD127" s="551"/>
      <c r="AE127" s="551"/>
      <c r="AG127" s="265"/>
      <c r="AH127" s="265"/>
      <c r="AI127" s="265"/>
      <c r="AJ127" s="265"/>
      <c r="AK127" s="265"/>
      <c r="AL127" s="265"/>
    </row>
    <row r="128" spans="1:38" s="54" customFormat="1" ht="51">
      <c r="A128" s="97" t="s">
        <v>27</v>
      </c>
      <c r="B128" s="284" t="s">
        <v>761</v>
      </c>
      <c r="C128" s="216" t="s">
        <v>29</v>
      </c>
      <c r="D128" s="233" t="s">
        <v>762</v>
      </c>
      <c r="E128" s="39" t="s">
        <v>154</v>
      </c>
      <c r="F128" s="701"/>
      <c r="G128" s="217">
        <v>2317</v>
      </c>
      <c r="H128" s="217">
        <v>2317</v>
      </c>
      <c r="I128" s="217"/>
      <c r="J128" s="217"/>
      <c r="K128" s="217">
        <v>2317</v>
      </c>
      <c r="L128" s="217">
        <v>2317</v>
      </c>
      <c r="M128" s="217"/>
      <c r="N128" s="217">
        <v>80</v>
      </c>
      <c r="O128" s="217">
        <v>80</v>
      </c>
      <c r="P128" s="78"/>
      <c r="Q128" s="857">
        <f>SUM(R128:S128)</f>
        <v>80</v>
      </c>
      <c r="R128" s="857">
        <v>80</v>
      </c>
      <c r="S128" s="857"/>
      <c r="T128" s="73">
        <f>SUM(U128:V128)</f>
        <v>80</v>
      </c>
      <c r="U128" s="217">
        <v>80</v>
      </c>
      <c r="V128" s="217"/>
      <c r="W128" s="728" t="s">
        <v>1535</v>
      </c>
      <c r="X128" s="98" t="s">
        <v>1089</v>
      </c>
      <c r="Y128" s="217">
        <v>1</v>
      </c>
      <c r="Z128" s="657"/>
      <c r="AA128" s="990"/>
      <c r="AB128" s="811"/>
      <c r="AC128" s="551"/>
      <c r="AD128" s="551"/>
      <c r="AE128" s="551"/>
      <c r="AG128" s="57"/>
      <c r="AH128" s="57"/>
      <c r="AI128" s="57"/>
      <c r="AJ128" s="57"/>
      <c r="AK128" s="57"/>
      <c r="AL128" s="57"/>
    </row>
    <row r="129" spans="1:38" s="54" customFormat="1" ht="51">
      <c r="A129" s="97" t="s">
        <v>41</v>
      </c>
      <c r="B129" s="284" t="s">
        <v>763</v>
      </c>
      <c r="C129" s="216" t="s">
        <v>29</v>
      </c>
      <c r="D129" s="233" t="s">
        <v>762</v>
      </c>
      <c r="E129" s="39" t="s">
        <v>519</v>
      </c>
      <c r="F129" s="701"/>
      <c r="G129" s="217">
        <v>1201</v>
      </c>
      <c r="H129" s="217">
        <v>1201</v>
      </c>
      <c r="I129" s="217"/>
      <c r="J129" s="217"/>
      <c r="K129" s="217">
        <v>1201</v>
      </c>
      <c r="L129" s="217">
        <v>1201</v>
      </c>
      <c r="M129" s="217"/>
      <c r="N129" s="217">
        <v>50</v>
      </c>
      <c r="O129" s="217">
        <v>50</v>
      </c>
      <c r="P129" s="78"/>
      <c r="Q129" s="857">
        <f>SUM(R129:S129)</f>
        <v>50</v>
      </c>
      <c r="R129" s="857">
        <v>50</v>
      </c>
      <c r="S129" s="857"/>
      <c r="T129" s="73">
        <f>SUM(U129:V129)</f>
        <v>50</v>
      </c>
      <c r="U129" s="217">
        <v>50</v>
      </c>
      <c r="V129" s="217"/>
      <c r="W129" s="728" t="s">
        <v>1536</v>
      </c>
      <c r="X129" s="98" t="s">
        <v>1090</v>
      </c>
      <c r="Y129" s="217">
        <v>1</v>
      </c>
      <c r="Z129" s="657"/>
      <c r="AA129" s="990"/>
      <c r="AB129" s="811"/>
      <c r="AC129" s="551"/>
      <c r="AD129" s="551"/>
      <c r="AE129" s="551"/>
      <c r="AG129" s="57"/>
      <c r="AH129" s="57"/>
      <c r="AI129" s="57"/>
      <c r="AJ129" s="57"/>
      <c r="AK129" s="57"/>
      <c r="AL129" s="57"/>
    </row>
    <row r="130" spans="1:38" s="54" customFormat="1" ht="51">
      <c r="A130" s="97" t="s">
        <v>58</v>
      </c>
      <c r="B130" s="284" t="s">
        <v>764</v>
      </c>
      <c r="C130" s="216" t="s">
        <v>765</v>
      </c>
      <c r="D130" s="233" t="s">
        <v>762</v>
      </c>
      <c r="E130" s="39" t="s">
        <v>163</v>
      </c>
      <c r="F130" s="98"/>
      <c r="G130" s="217">
        <v>4756</v>
      </c>
      <c r="H130" s="217">
        <v>4756</v>
      </c>
      <c r="I130" s="217"/>
      <c r="J130" s="217"/>
      <c r="K130" s="217">
        <v>4756</v>
      </c>
      <c r="L130" s="217">
        <v>4756</v>
      </c>
      <c r="M130" s="217"/>
      <c r="N130" s="217">
        <v>100</v>
      </c>
      <c r="O130" s="217">
        <v>100</v>
      </c>
      <c r="P130" s="78"/>
      <c r="Q130" s="857">
        <f>SUM(R130:S130)</f>
        <v>100</v>
      </c>
      <c r="R130" s="857">
        <v>100</v>
      </c>
      <c r="S130" s="857"/>
      <c r="T130" s="73">
        <f>SUM(U130:V130)</f>
        <v>100</v>
      </c>
      <c r="U130" s="217">
        <v>100</v>
      </c>
      <c r="V130" s="217"/>
      <c r="W130" s="728" t="s">
        <v>1537</v>
      </c>
      <c r="X130" s="98" t="s">
        <v>1091</v>
      </c>
      <c r="Y130" s="217">
        <v>1</v>
      </c>
      <c r="Z130" s="657"/>
      <c r="AA130" s="990"/>
      <c r="AB130" s="811"/>
      <c r="AC130" s="551"/>
      <c r="AD130" s="551"/>
      <c r="AE130" s="551"/>
      <c r="AG130" s="57"/>
      <c r="AH130" s="57"/>
      <c r="AI130" s="57"/>
      <c r="AJ130" s="57"/>
      <c r="AK130" s="57"/>
      <c r="AL130" s="57"/>
    </row>
    <row r="131" spans="1:38" s="54" customFormat="1">
      <c r="A131" s="158" t="s">
        <v>499</v>
      </c>
      <c r="B131" s="283" t="s">
        <v>31</v>
      </c>
      <c r="C131" s="218"/>
      <c r="D131" s="303"/>
      <c r="E131" s="882"/>
      <c r="F131" s="702"/>
      <c r="G131" s="219">
        <f t="shared" ref="G131:V131" si="52">SUM(G132,G136)</f>
        <v>325503</v>
      </c>
      <c r="H131" s="219">
        <f t="shared" si="52"/>
        <v>184605</v>
      </c>
      <c r="I131" s="219">
        <f t="shared" si="52"/>
        <v>8324</v>
      </c>
      <c r="J131" s="219">
        <f t="shared" si="52"/>
        <v>8324</v>
      </c>
      <c r="K131" s="219">
        <f t="shared" si="52"/>
        <v>231716.33333333334</v>
      </c>
      <c r="L131" s="219">
        <f t="shared" si="52"/>
        <v>168086.33333333334</v>
      </c>
      <c r="M131" s="219">
        <f t="shared" si="52"/>
        <v>0</v>
      </c>
      <c r="N131" s="219">
        <f t="shared" si="52"/>
        <v>69921</v>
      </c>
      <c r="O131" s="219">
        <f t="shared" si="52"/>
        <v>63645</v>
      </c>
      <c r="P131" s="219">
        <f t="shared" si="52"/>
        <v>0</v>
      </c>
      <c r="Q131" s="858">
        <f t="shared" si="52"/>
        <v>61545</v>
      </c>
      <c r="R131" s="858">
        <f t="shared" si="52"/>
        <v>36345</v>
      </c>
      <c r="S131" s="858">
        <f t="shared" si="52"/>
        <v>25200</v>
      </c>
      <c r="T131" s="219">
        <f t="shared" si="52"/>
        <v>59145</v>
      </c>
      <c r="U131" s="219">
        <f t="shared" si="52"/>
        <v>59145</v>
      </c>
      <c r="V131" s="219">
        <f t="shared" si="52"/>
        <v>0</v>
      </c>
      <c r="W131" s="737"/>
      <c r="X131" s="737"/>
      <c r="Y131" s="219">
        <f>SUM(Y132,Y136)</f>
        <v>13</v>
      </c>
      <c r="Z131" s="657"/>
      <c r="AA131" s="990"/>
      <c r="AB131" s="811"/>
      <c r="AC131" s="551"/>
      <c r="AD131" s="551"/>
      <c r="AE131" s="551"/>
      <c r="AG131" s="57"/>
      <c r="AH131" s="57"/>
      <c r="AI131" s="57"/>
      <c r="AJ131" s="57"/>
      <c r="AK131" s="57"/>
      <c r="AL131" s="57"/>
    </row>
    <row r="132" spans="1:38" s="54" customFormat="1" ht="28.5">
      <c r="A132" s="158" t="s">
        <v>116</v>
      </c>
      <c r="B132" s="283" t="s">
        <v>117</v>
      </c>
      <c r="C132" s="218"/>
      <c r="D132" s="303"/>
      <c r="E132" s="882"/>
      <c r="F132" s="702"/>
      <c r="G132" s="219">
        <f t="shared" ref="G132:V132" si="53">SUM(G133:G135)</f>
        <v>32695</v>
      </c>
      <c r="H132" s="219">
        <f t="shared" si="53"/>
        <v>32695</v>
      </c>
      <c r="I132" s="219">
        <f t="shared" si="53"/>
        <v>7306</v>
      </c>
      <c r="J132" s="219">
        <f t="shared" si="53"/>
        <v>7306</v>
      </c>
      <c r="K132" s="219">
        <f t="shared" si="53"/>
        <v>32595</v>
      </c>
      <c r="L132" s="219">
        <f t="shared" si="53"/>
        <v>32595</v>
      </c>
      <c r="M132" s="219">
        <f t="shared" si="53"/>
        <v>0</v>
      </c>
      <c r="N132" s="219">
        <f t="shared" si="53"/>
        <v>17000</v>
      </c>
      <c r="O132" s="219">
        <f t="shared" si="53"/>
        <v>17000</v>
      </c>
      <c r="P132" s="219">
        <f t="shared" si="53"/>
        <v>0</v>
      </c>
      <c r="Q132" s="858">
        <f t="shared" si="53"/>
        <v>15200</v>
      </c>
      <c r="R132" s="858">
        <f t="shared" si="53"/>
        <v>0</v>
      </c>
      <c r="S132" s="858">
        <f t="shared" si="53"/>
        <v>15200</v>
      </c>
      <c r="T132" s="219">
        <f t="shared" si="53"/>
        <v>15200</v>
      </c>
      <c r="U132" s="219">
        <f t="shared" si="53"/>
        <v>15200</v>
      </c>
      <c r="V132" s="219">
        <f t="shared" si="53"/>
        <v>0</v>
      </c>
      <c r="W132" s="737"/>
      <c r="X132" s="737"/>
      <c r="Y132" s="219">
        <f>SUM(Y133:Y135)</f>
        <v>3</v>
      </c>
      <c r="Z132" s="657"/>
      <c r="AA132" s="990"/>
      <c r="AB132" s="811"/>
      <c r="AC132" s="551"/>
      <c r="AD132" s="551"/>
      <c r="AE132" s="551"/>
      <c r="AG132" s="57"/>
      <c r="AH132" s="57"/>
      <c r="AI132" s="57"/>
      <c r="AJ132" s="57"/>
      <c r="AK132" s="57"/>
      <c r="AL132" s="57"/>
    </row>
    <row r="133" spans="1:38" s="54" customFormat="1" ht="45">
      <c r="A133" s="97" t="s">
        <v>27</v>
      </c>
      <c r="B133" s="284" t="s">
        <v>781</v>
      </c>
      <c r="C133" s="216" t="s">
        <v>278</v>
      </c>
      <c r="D133" s="233" t="s">
        <v>782</v>
      </c>
      <c r="E133" s="39" t="s">
        <v>30</v>
      </c>
      <c r="F133" s="98" t="s">
        <v>783</v>
      </c>
      <c r="G133" s="217">
        <v>11907</v>
      </c>
      <c r="H133" s="217">
        <v>11907</v>
      </c>
      <c r="I133" s="217">
        <v>1126</v>
      </c>
      <c r="J133" s="217">
        <f>126+1000</f>
        <v>1126</v>
      </c>
      <c r="K133" s="217">
        <v>11807</v>
      </c>
      <c r="L133" s="217">
        <v>11807</v>
      </c>
      <c r="M133" s="217"/>
      <c r="N133" s="217">
        <v>6800</v>
      </c>
      <c r="O133" s="217">
        <v>6800</v>
      </c>
      <c r="P133" s="78"/>
      <c r="Q133" s="828">
        <f>SUM(R133:S133)</f>
        <v>5000</v>
      </c>
      <c r="R133" s="857"/>
      <c r="S133" s="857">
        <v>5000</v>
      </c>
      <c r="T133" s="73">
        <f>SUM(U133:V133)</f>
        <v>5000</v>
      </c>
      <c r="U133" s="217">
        <v>5000</v>
      </c>
      <c r="V133" s="217"/>
      <c r="W133" s="728" t="s">
        <v>1537</v>
      </c>
      <c r="X133" s="24"/>
      <c r="Y133" s="217">
        <v>1</v>
      </c>
      <c r="Z133" s="657"/>
      <c r="AA133" s="990"/>
      <c r="AB133" s="811"/>
      <c r="AC133" s="551"/>
      <c r="AD133" s="551"/>
      <c r="AE133" s="551"/>
      <c r="AG133" s="57"/>
      <c r="AH133" s="57"/>
      <c r="AI133" s="57"/>
      <c r="AJ133" s="57"/>
      <c r="AK133" s="57"/>
      <c r="AL133" s="57"/>
    </row>
    <row r="134" spans="1:38" s="54" customFormat="1" ht="75">
      <c r="A134" s="97" t="s">
        <v>41</v>
      </c>
      <c r="B134" s="284" t="s">
        <v>784</v>
      </c>
      <c r="C134" s="216" t="s">
        <v>765</v>
      </c>
      <c r="D134" s="233" t="s">
        <v>785</v>
      </c>
      <c r="E134" s="39" t="s">
        <v>30</v>
      </c>
      <c r="F134" s="98" t="s">
        <v>786</v>
      </c>
      <c r="G134" s="217">
        <v>18000</v>
      </c>
      <c r="H134" s="217">
        <v>18000</v>
      </c>
      <c r="I134" s="217">
        <v>5800</v>
      </c>
      <c r="J134" s="217">
        <v>5800</v>
      </c>
      <c r="K134" s="217">
        <v>18000</v>
      </c>
      <c r="L134" s="217">
        <v>18000</v>
      </c>
      <c r="M134" s="217"/>
      <c r="N134" s="217">
        <f>+O134</f>
        <v>9000</v>
      </c>
      <c r="O134" s="217">
        <v>9000</v>
      </c>
      <c r="P134" s="78"/>
      <c r="Q134" s="828">
        <f>SUM(R134:S134)</f>
        <v>9000</v>
      </c>
      <c r="R134" s="857"/>
      <c r="S134" s="857">
        <v>9000</v>
      </c>
      <c r="T134" s="73">
        <f>SUM(U134:V134)</f>
        <v>9000</v>
      </c>
      <c r="U134" s="217">
        <v>9000</v>
      </c>
      <c r="V134" s="217"/>
      <c r="W134" s="728" t="s">
        <v>1539</v>
      </c>
      <c r="X134" s="24"/>
      <c r="Y134" s="217">
        <v>1</v>
      </c>
      <c r="Z134" s="657"/>
      <c r="AA134" s="990"/>
      <c r="AB134" s="811"/>
      <c r="AC134" s="551"/>
      <c r="AD134" s="551"/>
      <c r="AE134" s="551"/>
      <c r="AG134" s="57"/>
      <c r="AH134" s="57"/>
      <c r="AI134" s="57"/>
      <c r="AJ134" s="57"/>
      <c r="AK134" s="57"/>
      <c r="AL134" s="57"/>
    </row>
    <row r="135" spans="1:38" s="278" customFormat="1" ht="46.5" customHeight="1">
      <c r="A135" s="97" t="s">
        <v>58</v>
      </c>
      <c r="B135" s="68" t="s">
        <v>775</v>
      </c>
      <c r="C135" s="19" t="s">
        <v>29</v>
      </c>
      <c r="D135" s="19" t="s">
        <v>776</v>
      </c>
      <c r="E135" s="70" t="s">
        <v>30</v>
      </c>
      <c r="F135" s="80" t="s">
        <v>777</v>
      </c>
      <c r="G135" s="277">
        <v>2788</v>
      </c>
      <c r="H135" s="77">
        <v>2788</v>
      </c>
      <c r="I135" s="594">
        <v>380</v>
      </c>
      <c r="J135" s="594">
        <v>380</v>
      </c>
      <c r="K135" s="277">
        <v>2788</v>
      </c>
      <c r="L135" s="277">
        <v>2788</v>
      </c>
      <c r="M135" s="277"/>
      <c r="N135" s="277">
        <v>1200</v>
      </c>
      <c r="O135" s="277">
        <v>1200</v>
      </c>
      <c r="P135" s="595"/>
      <c r="Q135" s="838">
        <v>1200</v>
      </c>
      <c r="R135" s="838"/>
      <c r="S135" s="838">
        <v>1200</v>
      </c>
      <c r="T135" s="73">
        <f>SUM(U135:V135)</f>
        <v>1200</v>
      </c>
      <c r="U135" s="277">
        <v>1200</v>
      </c>
      <c r="V135" s="277"/>
      <c r="W135" s="100" t="s">
        <v>1538</v>
      </c>
      <c r="X135" s="98"/>
      <c r="Y135" s="175">
        <v>1</v>
      </c>
      <c r="Z135" s="661"/>
      <c r="AA135" s="997"/>
      <c r="AB135" s="979"/>
      <c r="AC135" s="555"/>
      <c r="AD135" s="555"/>
      <c r="AE135" s="555"/>
    </row>
    <row r="136" spans="1:38" s="54" customFormat="1">
      <c r="A136" s="158" t="s">
        <v>150</v>
      </c>
      <c r="B136" s="283" t="s">
        <v>151</v>
      </c>
      <c r="C136" s="218"/>
      <c r="D136" s="303"/>
      <c r="E136" s="882"/>
      <c r="F136" s="702"/>
      <c r="G136" s="219">
        <f t="shared" ref="G136:V136" si="54">SUM(G137:G146)</f>
        <v>292808</v>
      </c>
      <c r="H136" s="219">
        <f t="shared" si="54"/>
        <v>151910</v>
      </c>
      <c r="I136" s="219">
        <f t="shared" si="54"/>
        <v>1018</v>
      </c>
      <c r="J136" s="219">
        <f t="shared" si="54"/>
        <v>1018</v>
      </c>
      <c r="K136" s="219">
        <f t="shared" si="54"/>
        <v>199121.33333333334</v>
      </c>
      <c r="L136" s="219">
        <f t="shared" si="54"/>
        <v>135491.33333333334</v>
      </c>
      <c r="M136" s="219">
        <f t="shared" si="54"/>
        <v>0</v>
      </c>
      <c r="N136" s="219">
        <f t="shared" si="54"/>
        <v>52921</v>
      </c>
      <c r="O136" s="219">
        <f t="shared" si="54"/>
        <v>46645</v>
      </c>
      <c r="P136" s="219">
        <f t="shared" si="54"/>
        <v>0</v>
      </c>
      <c r="Q136" s="858">
        <f t="shared" si="54"/>
        <v>46345</v>
      </c>
      <c r="R136" s="858">
        <f t="shared" si="54"/>
        <v>36345</v>
      </c>
      <c r="S136" s="858">
        <f t="shared" si="54"/>
        <v>10000</v>
      </c>
      <c r="T136" s="219">
        <f t="shared" si="54"/>
        <v>43945</v>
      </c>
      <c r="U136" s="219">
        <f t="shared" si="54"/>
        <v>43945</v>
      </c>
      <c r="V136" s="219">
        <f t="shared" si="54"/>
        <v>0</v>
      </c>
      <c r="W136" s="737"/>
      <c r="X136" s="737"/>
      <c r="Y136" s="219">
        <f>SUM(Y137:Y146)</f>
        <v>10</v>
      </c>
      <c r="Z136" s="657"/>
      <c r="AA136" s="990"/>
      <c r="AB136" s="811"/>
      <c r="AC136" s="551"/>
      <c r="AD136" s="551"/>
      <c r="AE136" s="551"/>
      <c r="AG136" s="57"/>
      <c r="AH136" s="57"/>
      <c r="AI136" s="57"/>
      <c r="AJ136" s="57"/>
      <c r="AK136" s="57"/>
      <c r="AL136" s="57"/>
    </row>
    <row r="137" spans="1:38" s="194" customFormat="1" ht="45">
      <c r="A137" s="97" t="s">
        <v>27</v>
      </c>
      <c r="B137" s="68" t="s">
        <v>1190</v>
      </c>
      <c r="C137" s="19" t="s">
        <v>1191</v>
      </c>
      <c r="D137" s="19"/>
      <c r="E137" s="70" t="s">
        <v>1192</v>
      </c>
      <c r="F137" s="80" t="s">
        <v>1590</v>
      </c>
      <c r="G137" s="23">
        <v>140425</v>
      </c>
      <c r="H137" s="23">
        <v>24523</v>
      </c>
      <c r="I137" s="21"/>
      <c r="J137" s="21"/>
      <c r="K137" s="23">
        <f>G137/3</f>
        <v>46808.333333333336</v>
      </c>
      <c r="L137" s="23">
        <f>H137/3</f>
        <v>8174.333333333333</v>
      </c>
      <c r="M137" s="591"/>
      <c r="N137" s="634">
        <v>9421</v>
      </c>
      <c r="O137" s="634">
        <v>3145</v>
      </c>
      <c r="P137" s="207"/>
      <c r="Q137" s="830">
        <v>3145</v>
      </c>
      <c r="R137" s="830">
        <v>3145</v>
      </c>
      <c r="S137" s="859"/>
      <c r="T137" s="73">
        <f t="shared" ref="T137:T146" si="55">SUM(U137:V137)</f>
        <v>3145</v>
      </c>
      <c r="U137" s="634">
        <v>3145</v>
      </c>
      <c r="V137" s="591"/>
      <c r="W137" s="24" t="s">
        <v>1540</v>
      </c>
      <c r="X137" s="24"/>
      <c r="Y137" s="591">
        <v>1</v>
      </c>
      <c r="Z137" s="24" t="s">
        <v>1193</v>
      </c>
      <c r="AA137" s="990"/>
      <c r="AB137" s="811"/>
      <c r="AC137" s="551"/>
      <c r="AD137" s="551"/>
      <c r="AE137" s="551"/>
    </row>
    <row r="138" spans="1:38" s="54" customFormat="1" ht="51">
      <c r="A138" s="97" t="s">
        <v>41</v>
      </c>
      <c r="B138" s="284" t="s">
        <v>787</v>
      </c>
      <c r="C138" s="216" t="s">
        <v>29</v>
      </c>
      <c r="D138" s="233" t="s">
        <v>788</v>
      </c>
      <c r="E138" s="39" t="s">
        <v>355</v>
      </c>
      <c r="F138" s="98" t="s">
        <v>789</v>
      </c>
      <c r="G138" s="217">
        <v>49993</v>
      </c>
      <c r="H138" s="217">
        <v>24997</v>
      </c>
      <c r="I138" s="217"/>
      <c r="J138" s="217"/>
      <c r="K138" s="217">
        <f>G138-I138</f>
        <v>49993</v>
      </c>
      <c r="L138" s="217">
        <f>H138-J138</f>
        <v>24997</v>
      </c>
      <c r="M138" s="217"/>
      <c r="N138" s="217">
        <v>10000</v>
      </c>
      <c r="O138" s="217">
        <v>10000</v>
      </c>
      <c r="P138" s="78"/>
      <c r="Q138" s="857">
        <f t="shared" ref="Q138:Q143" si="56">SUM(R138:S138)</f>
        <v>10000</v>
      </c>
      <c r="R138" s="857"/>
      <c r="S138" s="857">
        <v>10000</v>
      </c>
      <c r="T138" s="73">
        <f t="shared" si="55"/>
        <v>10000</v>
      </c>
      <c r="U138" s="217">
        <v>10000</v>
      </c>
      <c r="V138" s="217"/>
      <c r="W138" s="728" t="s">
        <v>1541</v>
      </c>
      <c r="X138" s="24" t="s">
        <v>1494</v>
      </c>
      <c r="Y138" s="217">
        <v>1</v>
      </c>
      <c r="Z138" s="657"/>
      <c r="AA138" s="990"/>
      <c r="AB138" s="811"/>
      <c r="AC138" s="551"/>
      <c r="AD138" s="551"/>
      <c r="AE138" s="551"/>
      <c r="AG138" s="57"/>
      <c r="AH138" s="57"/>
      <c r="AI138" s="57"/>
      <c r="AJ138" s="57"/>
      <c r="AK138" s="57"/>
      <c r="AL138" s="57"/>
    </row>
    <row r="139" spans="1:38" s="54" customFormat="1" ht="30">
      <c r="A139" s="97" t="s">
        <v>58</v>
      </c>
      <c r="B139" s="284" t="s">
        <v>1672</v>
      </c>
      <c r="C139" s="216" t="s">
        <v>29</v>
      </c>
      <c r="D139" s="233" t="s">
        <v>762</v>
      </c>
      <c r="E139" s="883" t="s">
        <v>154</v>
      </c>
      <c r="F139" s="98" t="s">
        <v>791</v>
      </c>
      <c r="G139" s="217">
        <v>3906</v>
      </c>
      <c r="H139" s="217">
        <v>3906</v>
      </c>
      <c r="I139" s="217">
        <v>100</v>
      </c>
      <c r="J139" s="217">
        <v>100</v>
      </c>
      <c r="K139" s="217">
        <f>G139-100</f>
        <v>3806</v>
      </c>
      <c r="L139" s="217">
        <v>3806</v>
      </c>
      <c r="M139" s="217"/>
      <c r="N139" s="217">
        <v>3000</v>
      </c>
      <c r="O139" s="217">
        <v>3000</v>
      </c>
      <c r="P139" s="78"/>
      <c r="Q139" s="857">
        <f t="shared" si="56"/>
        <v>3000</v>
      </c>
      <c r="R139" s="857">
        <v>3000</v>
      </c>
      <c r="S139" s="857"/>
      <c r="T139" s="73">
        <f t="shared" si="55"/>
        <v>3000</v>
      </c>
      <c r="U139" s="217">
        <v>3000</v>
      </c>
      <c r="V139" s="217"/>
      <c r="W139" s="728" t="s">
        <v>1537</v>
      </c>
      <c r="X139" s="24"/>
      <c r="Y139" s="217">
        <v>1</v>
      </c>
      <c r="Z139" s="657"/>
      <c r="AA139" s="990"/>
      <c r="AB139" s="811"/>
      <c r="AC139" s="551"/>
      <c r="AD139" s="551"/>
      <c r="AE139" s="551"/>
      <c r="AG139" s="57"/>
      <c r="AH139" s="57"/>
      <c r="AI139" s="57"/>
      <c r="AJ139" s="57"/>
      <c r="AK139" s="57"/>
      <c r="AL139" s="57"/>
    </row>
    <row r="140" spans="1:38" s="54" customFormat="1" ht="45">
      <c r="A140" s="97" t="s">
        <v>58</v>
      </c>
      <c r="B140" s="284" t="s">
        <v>1587</v>
      </c>
      <c r="C140" s="216" t="s">
        <v>29</v>
      </c>
      <c r="D140" s="233" t="s">
        <v>1669</v>
      </c>
      <c r="E140" s="39" t="s">
        <v>120</v>
      </c>
      <c r="F140" s="98" t="s">
        <v>1670</v>
      </c>
      <c r="G140" s="217">
        <v>58270</v>
      </c>
      <c r="H140" s="217">
        <v>58270</v>
      </c>
      <c r="I140" s="217">
        <v>468</v>
      </c>
      <c r="J140" s="217">
        <v>468</v>
      </c>
      <c r="K140" s="217">
        <v>58300</v>
      </c>
      <c r="L140" s="217">
        <v>58300</v>
      </c>
      <c r="M140" s="217"/>
      <c r="N140" s="217">
        <f>SUM(O140:P140)</f>
        <v>7000</v>
      </c>
      <c r="O140" s="217">
        <v>7000</v>
      </c>
      <c r="P140" s="78"/>
      <c r="Q140" s="857">
        <f t="shared" si="56"/>
        <v>7000</v>
      </c>
      <c r="R140" s="857">
        <v>7000</v>
      </c>
      <c r="S140" s="857"/>
      <c r="T140" s="73">
        <f t="shared" si="55"/>
        <v>7000</v>
      </c>
      <c r="U140" s="217">
        <v>7000</v>
      </c>
      <c r="V140" s="217"/>
      <c r="W140" s="728" t="s">
        <v>1537</v>
      </c>
      <c r="X140" s="24"/>
      <c r="Y140" s="217">
        <v>1</v>
      </c>
      <c r="Z140" s="657"/>
      <c r="AA140" s="990"/>
      <c r="AB140" s="811"/>
      <c r="AC140" s="551"/>
      <c r="AD140" s="551"/>
      <c r="AE140" s="551"/>
      <c r="AG140" s="57"/>
      <c r="AH140" s="57"/>
      <c r="AI140" s="57"/>
      <c r="AJ140" s="57"/>
      <c r="AK140" s="57"/>
      <c r="AL140" s="57"/>
    </row>
    <row r="141" spans="1:38" s="54" customFormat="1" ht="30">
      <c r="A141" s="97" t="s">
        <v>64</v>
      </c>
      <c r="B141" s="284" t="s">
        <v>792</v>
      </c>
      <c r="C141" s="216" t="s">
        <v>29</v>
      </c>
      <c r="D141" s="233" t="s">
        <v>762</v>
      </c>
      <c r="E141" s="39" t="s">
        <v>30</v>
      </c>
      <c r="F141" s="98" t="s">
        <v>793</v>
      </c>
      <c r="G141" s="217">
        <v>1236</v>
      </c>
      <c r="H141" s="217">
        <v>1236</v>
      </c>
      <c r="I141" s="217">
        <v>50</v>
      </c>
      <c r="J141" s="217">
        <v>50</v>
      </c>
      <c r="K141" s="217">
        <v>1236</v>
      </c>
      <c r="L141" s="217">
        <v>1236</v>
      </c>
      <c r="M141" s="217"/>
      <c r="N141" s="217">
        <v>1200</v>
      </c>
      <c r="O141" s="217">
        <v>1200</v>
      </c>
      <c r="P141" s="78"/>
      <c r="Q141" s="857">
        <f t="shared" si="56"/>
        <v>1200</v>
      </c>
      <c r="R141" s="857">
        <v>1200</v>
      </c>
      <c r="S141" s="857"/>
      <c r="T141" s="73">
        <f t="shared" si="55"/>
        <v>1200</v>
      </c>
      <c r="U141" s="217">
        <v>1200</v>
      </c>
      <c r="V141" s="217"/>
      <c r="W141" s="728" t="s">
        <v>1519</v>
      </c>
      <c r="X141" s="24"/>
      <c r="Y141" s="217">
        <v>1</v>
      </c>
      <c r="Z141" s="657"/>
      <c r="AA141" s="990"/>
      <c r="AB141" s="811"/>
      <c r="AC141" s="551"/>
      <c r="AD141" s="551"/>
      <c r="AE141" s="551"/>
      <c r="AG141" s="57"/>
      <c r="AH141" s="57"/>
      <c r="AI141" s="57"/>
      <c r="AJ141" s="57"/>
      <c r="AK141" s="57"/>
      <c r="AL141" s="57"/>
    </row>
    <row r="142" spans="1:38" s="646" customFormat="1" ht="45">
      <c r="A142" s="650" t="s">
        <v>69</v>
      </c>
      <c r="B142" s="284" t="s">
        <v>1671</v>
      </c>
      <c r="C142" s="665" t="s">
        <v>29</v>
      </c>
      <c r="D142" s="233" t="s">
        <v>762</v>
      </c>
      <c r="E142" s="884">
        <v>2017</v>
      </c>
      <c r="F142" s="98" t="s">
        <v>795</v>
      </c>
      <c r="G142" s="667">
        <v>2909</v>
      </c>
      <c r="H142" s="667">
        <v>2909</v>
      </c>
      <c r="I142" s="667">
        <v>50</v>
      </c>
      <c r="J142" s="667">
        <v>50</v>
      </c>
      <c r="K142" s="667">
        <v>2909</v>
      </c>
      <c r="L142" s="667">
        <v>2909</v>
      </c>
      <c r="M142" s="667"/>
      <c r="N142" s="667">
        <v>2700</v>
      </c>
      <c r="O142" s="667">
        <v>2700</v>
      </c>
      <c r="P142" s="641"/>
      <c r="Q142" s="857">
        <f t="shared" si="56"/>
        <v>2700</v>
      </c>
      <c r="R142" s="857">
        <v>2700</v>
      </c>
      <c r="S142" s="857"/>
      <c r="T142" s="73">
        <f t="shared" si="55"/>
        <v>2700</v>
      </c>
      <c r="U142" s="667">
        <v>2700</v>
      </c>
      <c r="V142" s="667"/>
      <c r="W142" s="728" t="s">
        <v>1542</v>
      </c>
      <c r="X142" s="98"/>
      <c r="Y142" s="667">
        <v>1</v>
      </c>
      <c r="Z142" s="657"/>
      <c r="AA142" s="990"/>
      <c r="AB142" s="981"/>
      <c r="AC142" s="645"/>
      <c r="AD142" s="645"/>
      <c r="AE142" s="645"/>
      <c r="AG142" s="647"/>
      <c r="AH142" s="647"/>
      <c r="AI142" s="647"/>
      <c r="AJ142" s="647"/>
      <c r="AK142" s="647"/>
      <c r="AL142" s="647"/>
    </row>
    <row r="143" spans="1:38" s="646" customFormat="1" ht="45">
      <c r="A143" s="650" t="s">
        <v>74</v>
      </c>
      <c r="B143" s="284" t="s">
        <v>796</v>
      </c>
      <c r="C143" s="665" t="s">
        <v>29</v>
      </c>
      <c r="D143" s="666" t="s">
        <v>797</v>
      </c>
      <c r="E143" s="884" t="s">
        <v>154</v>
      </c>
      <c r="F143" s="98" t="s">
        <v>798</v>
      </c>
      <c r="G143" s="667">
        <v>18499</v>
      </c>
      <c r="H143" s="667">
        <v>18499</v>
      </c>
      <c r="I143" s="667">
        <v>190</v>
      </c>
      <c r="J143" s="667">
        <v>190</v>
      </c>
      <c r="K143" s="667">
        <v>18499</v>
      </c>
      <c r="L143" s="667">
        <v>18499</v>
      </c>
      <c r="M143" s="667"/>
      <c r="N143" s="667">
        <f>+O143</f>
        <v>11000</v>
      </c>
      <c r="O143" s="667">
        <v>11000</v>
      </c>
      <c r="P143" s="641"/>
      <c r="Q143" s="828">
        <f t="shared" si="56"/>
        <v>11000</v>
      </c>
      <c r="R143" s="857">
        <v>11000</v>
      </c>
      <c r="S143" s="857"/>
      <c r="T143" s="73">
        <f t="shared" si="55"/>
        <v>8600</v>
      </c>
      <c r="U143" s="217">
        <f>11000-2400</f>
        <v>8600</v>
      </c>
      <c r="V143" s="667"/>
      <c r="W143" s="728" t="s">
        <v>1543</v>
      </c>
      <c r="X143" s="98"/>
      <c r="Y143" s="667">
        <v>1</v>
      </c>
      <c r="Z143" s="657"/>
      <c r="AA143" s="990"/>
      <c r="AB143" s="981"/>
      <c r="AC143" s="645"/>
      <c r="AD143" s="645"/>
      <c r="AE143" s="645"/>
      <c r="AG143" s="647"/>
      <c r="AH143" s="647"/>
      <c r="AI143" s="647"/>
      <c r="AJ143" s="647"/>
      <c r="AK143" s="647"/>
      <c r="AL143" s="647"/>
    </row>
    <row r="144" spans="1:38" s="54" customFormat="1" ht="45">
      <c r="A144" s="97" t="s">
        <v>141</v>
      </c>
      <c r="B144" s="284" t="s">
        <v>799</v>
      </c>
      <c r="C144" s="216" t="s">
        <v>29</v>
      </c>
      <c r="D144" s="233" t="s">
        <v>762</v>
      </c>
      <c r="E144" s="884" t="s">
        <v>154</v>
      </c>
      <c r="F144" s="703" t="s">
        <v>800</v>
      </c>
      <c r="G144" s="217">
        <v>1890</v>
      </c>
      <c r="H144" s="217">
        <v>1890</v>
      </c>
      <c r="I144" s="217">
        <v>45</v>
      </c>
      <c r="J144" s="217">
        <v>45</v>
      </c>
      <c r="K144" s="217">
        <v>1890</v>
      </c>
      <c r="L144" s="217">
        <v>1890</v>
      </c>
      <c r="M144" s="217"/>
      <c r="N144" s="217">
        <v>1600</v>
      </c>
      <c r="O144" s="217">
        <v>1600</v>
      </c>
      <c r="P144" s="78"/>
      <c r="Q144" s="857">
        <v>1300</v>
      </c>
      <c r="R144" s="857">
        <v>1300</v>
      </c>
      <c r="S144" s="857"/>
      <c r="T144" s="73">
        <f t="shared" si="55"/>
        <v>1300</v>
      </c>
      <c r="U144" s="217">
        <v>1300</v>
      </c>
      <c r="V144" s="217"/>
      <c r="W144" s="728" t="s">
        <v>1544</v>
      </c>
      <c r="X144" s="98"/>
      <c r="Y144" s="217">
        <v>1</v>
      </c>
      <c r="Z144" s="657"/>
      <c r="AA144" s="990"/>
      <c r="AB144" s="811"/>
      <c r="AC144" s="551"/>
      <c r="AD144" s="551"/>
      <c r="AE144" s="551"/>
      <c r="AG144" s="57"/>
      <c r="AH144" s="57"/>
      <c r="AI144" s="57"/>
      <c r="AJ144" s="57"/>
      <c r="AK144" s="57"/>
      <c r="AL144" s="57"/>
    </row>
    <row r="145" spans="1:38" s="54" customFormat="1" ht="30">
      <c r="A145" s="97" t="s">
        <v>146</v>
      </c>
      <c r="B145" s="93" t="s">
        <v>801</v>
      </c>
      <c r="C145" s="101" t="s">
        <v>29</v>
      </c>
      <c r="D145" s="233" t="s">
        <v>782</v>
      </c>
      <c r="E145" s="95" t="s">
        <v>163</v>
      </c>
      <c r="F145" s="703" t="s">
        <v>802</v>
      </c>
      <c r="G145" s="96">
        <v>5683</v>
      </c>
      <c r="H145" s="96">
        <v>5683</v>
      </c>
      <c r="I145" s="21">
        <v>115</v>
      </c>
      <c r="J145" s="21">
        <v>115</v>
      </c>
      <c r="K145" s="21">
        <f>+G145</f>
        <v>5683</v>
      </c>
      <c r="L145" s="21">
        <f>+K145</f>
        <v>5683</v>
      </c>
      <c r="M145" s="21"/>
      <c r="N145" s="22">
        <v>2000</v>
      </c>
      <c r="O145" s="217">
        <v>2000</v>
      </c>
      <c r="P145" s="78"/>
      <c r="Q145" s="857">
        <f>SUM(R145:S145)</f>
        <v>2000</v>
      </c>
      <c r="R145" s="853">
        <v>2000</v>
      </c>
      <c r="S145" s="853"/>
      <c r="T145" s="73">
        <f t="shared" si="55"/>
        <v>2000</v>
      </c>
      <c r="U145" s="22">
        <v>2000</v>
      </c>
      <c r="V145" s="22"/>
      <c r="W145" s="691" t="s">
        <v>1514</v>
      </c>
      <c r="X145" s="80"/>
      <c r="Y145" s="22">
        <v>1</v>
      </c>
      <c r="Z145" s="657"/>
      <c r="AA145" s="990"/>
      <c r="AB145" s="811"/>
      <c r="AC145" s="551"/>
      <c r="AD145" s="551"/>
      <c r="AE145" s="551"/>
      <c r="AG145" s="57"/>
      <c r="AH145" s="57"/>
      <c r="AI145" s="57"/>
      <c r="AJ145" s="57"/>
      <c r="AK145" s="57"/>
      <c r="AL145" s="57"/>
    </row>
    <row r="146" spans="1:38" s="54" customFormat="1" ht="30">
      <c r="A146" s="97" t="s">
        <v>179</v>
      </c>
      <c r="B146" s="282" t="s">
        <v>803</v>
      </c>
      <c r="C146" s="32" t="s">
        <v>29</v>
      </c>
      <c r="D146" s="101" t="s">
        <v>804</v>
      </c>
      <c r="E146" s="39" t="s">
        <v>154</v>
      </c>
      <c r="F146" s="703" t="s">
        <v>805</v>
      </c>
      <c r="G146" s="22">
        <v>9997</v>
      </c>
      <c r="H146" s="22">
        <v>9997</v>
      </c>
      <c r="I146" s="22"/>
      <c r="J146" s="22"/>
      <c r="K146" s="22">
        <f>G146-I146</f>
        <v>9997</v>
      </c>
      <c r="L146" s="22">
        <f>H146-J146</f>
        <v>9997</v>
      </c>
      <c r="M146" s="22"/>
      <c r="N146" s="22">
        <v>5000</v>
      </c>
      <c r="O146" s="217">
        <v>5000</v>
      </c>
      <c r="P146" s="78"/>
      <c r="Q146" s="857">
        <f>SUM(R146:S146)</f>
        <v>5000</v>
      </c>
      <c r="R146" s="853">
        <v>5000</v>
      </c>
      <c r="S146" s="853"/>
      <c r="T146" s="73">
        <f t="shared" si="55"/>
        <v>5000</v>
      </c>
      <c r="U146" s="22">
        <v>5000</v>
      </c>
      <c r="V146" s="22"/>
      <c r="W146" s="691" t="s">
        <v>1541</v>
      </c>
      <c r="X146" s="80"/>
      <c r="Y146" s="22">
        <v>1</v>
      </c>
      <c r="Z146" s="657"/>
      <c r="AA146" s="990"/>
      <c r="AB146" s="811"/>
      <c r="AC146" s="551"/>
      <c r="AD146" s="551"/>
      <c r="AE146" s="551"/>
      <c r="AG146" s="57"/>
      <c r="AH146" s="57"/>
      <c r="AI146" s="57"/>
      <c r="AJ146" s="57"/>
      <c r="AK146" s="57"/>
      <c r="AL146" s="57"/>
    </row>
    <row r="147" spans="1:38" s="54" customFormat="1">
      <c r="A147" s="215"/>
      <c r="B147" s="282"/>
      <c r="C147" s="32"/>
      <c r="D147" s="101"/>
      <c r="E147" s="39"/>
      <c r="F147" s="703"/>
      <c r="G147" s="22"/>
      <c r="H147" s="22"/>
      <c r="I147" s="22"/>
      <c r="J147" s="22"/>
      <c r="K147" s="22"/>
      <c r="L147" s="22"/>
      <c r="M147" s="22"/>
      <c r="N147" s="22"/>
      <c r="O147" s="217"/>
      <c r="P147" s="78"/>
      <c r="Q147" s="857"/>
      <c r="R147" s="853">
        <f>968968*0.2-R148</f>
        <v>-18231.399999999994</v>
      </c>
      <c r="S147" s="853"/>
      <c r="T147" s="217"/>
      <c r="U147" s="22">
        <f>968968*0.2-U148</f>
        <v>-0.39999999999417923</v>
      </c>
      <c r="V147" s="22"/>
      <c r="W147" s="691"/>
      <c r="X147" s="80"/>
      <c r="Y147" s="22"/>
      <c r="Z147" s="657">
        <f>Z148-1177000*0.5</f>
        <v>878</v>
      </c>
      <c r="AA147" s="990"/>
      <c r="AB147" s="811"/>
      <c r="AC147" s="551"/>
      <c r="AD147" s="551"/>
      <c r="AE147" s="551"/>
      <c r="AG147" s="57"/>
      <c r="AH147" s="57"/>
      <c r="AI147" s="57"/>
      <c r="AJ147" s="57"/>
      <c r="AK147" s="57"/>
      <c r="AL147" s="57"/>
    </row>
    <row r="148" spans="1:38" s="633" customFormat="1" ht="28.5" customHeight="1">
      <c r="A148" s="630" t="s">
        <v>546</v>
      </c>
      <c r="B148" s="618" t="s">
        <v>1145</v>
      </c>
      <c r="C148" s="631"/>
      <c r="D148" s="631"/>
      <c r="E148" s="632"/>
      <c r="F148" s="692"/>
      <c r="G148" s="636">
        <f t="shared" ref="G148:V148" si="57">SUM(G149,G158)</f>
        <v>3073976</v>
      </c>
      <c r="H148" s="636">
        <f t="shared" si="57"/>
        <v>2323807</v>
      </c>
      <c r="I148" s="636">
        <f t="shared" si="57"/>
        <v>253054</v>
      </c>
      <c r="J148" s="636">
        <f t="shared" si="57"/>
        <v>192204</v>
      </c>
      <c r="K148" s="636">
        <f t="shared" si="57"/>
        <v>2825206</v>
      </c>
      <c r="L148" s="636">
        <f t="shared" si="57"/>
        <v>2209443</v>
      </c>
      <c r="M148" s="636">
        <f t="shared" si="57"/>
        <v>0</v>
      </c>
      <c r="N148" s="636">
        <f t="shared" si="57"/>
        <v>806068</v>
      </c>
      <c r="O148" s="636">
        <f t="shared" si="57"/>
        <v>726639</v>
      </c>
      <c r="P148" s="636">
        <f t="shared" si="57"/>
        <v>0</v>
      </c>
      <c r="Q148" s="855">
        <f t="shared" si="57"/>
        <v>621425</v>
      </c>
      <c r="R148" s="855">
        <f t="shared" si="57"/>
        <v>212025</v>
      </c>
      <c r="S148" s="855">
        <f t="shared" si="57"/>
        <v>409400</v>
      </c>
      <c r="T148" s="636">
        <f t="shared" si="57"/>
        <v>580667</v>
      </c>
      <c r="U148" s="636">
        <f t="shared" si="57"/>
        <v>193794</v>
      </c>
      <c r="V148" s="636">
        <f t="shared" si="57"/>
        <v>386873</v>
      </c>
      <c r="W148" s="690"/>
      <c r="X148" s="690"/>
      <c r="Y148" s="636">
        <f>SUM(Y149,Y158)</f>
        <v>23</v>
      </c>
      <c r="Z148" s="662">
        <f>V148+V177</f>
        <v>589378</v>
      </c>
      <c r="AA148" s="990"/>
      <c r="AB148" s="811"/>
      <c r="AC148" s="628"/>
      <c r="AD148" s="628"/>
      <c r="AE148" s="628"/>
      <c r="AG148" s="629"/>
      <c r="AH148" s="629"/>
      <c r="AI148" s="629"/>
      <c r="AJ148" s="629"/>
      <c r="AK148" s="629"/>
      <c r="AL148" s="629"/>
    </row>
    <row r="149" spans="1:38" s="266" customFormat="1" ht="25.5" customHeight="1">
      <c r="A149" s="11" t="s">
        <v>525</v>
      </c>
      <c r="B149" s="65" t="s">
        <v>26</v>
      </c>
      <c r="C149" s="19"/>
      <c r="D149" s="19"/>
      <c r="E149" s="70"/>
      <c r="F149" s="80"/>
      <c r="G149" s="15">
        <f t="shared" ref="G149:V149" si="58">SUM(G150:G157)</f>
        <v>237126</v>
      </c>
      <c r="H149" s="15">
        <f t="shared" si="58"/>
        <v>223418</v>
      </c>
      <c r="I149" s="15">
        <f t="shared" si="58"/>
        <v>500</v>
      </c>
      <c r="J149" s="15">
        <f t="shared" si="58"/>
        <v>500</v>
      </c>
      <c r="K149" s="15">
        <f t="shared" si="58"/>
        <v>237026</v>
      </c>
      <c r="L149" s="15">
        <f t="shared" si="58"/>
        <v>223318</v>
      </c>
      <c r="M149" s="15">
        <f t="shared" si="58"/>
        <v>0</v>
      </c>
      <c r="N149" s="15">
        <f t="shared" si="58"/>
        <v>1600</v>
      </c>
      <c r="O149" s="15">
        <f t="shared" si="58"/>
        <v>1600</v>
      </c>
      <c r="P149" s="15">
        <f t="shared" si="58"/>
        <v>0</v>
      </c>
      <c r="Q149" s="846">
        <f t="shared" si="58"/>
        <v>1300</v>
      </c>
      <c r="R149" s="846">
        <f t="shared" si="58"/>
        <v>900</v>
      </c>
      <c r="S149" s="846">
        <f t="shared" si="58"/>
        <v>400</v>
      </c>
      <c r="T149" s="15">
        <f t="shared" si="58"/>
        <v>1300</v>
      </c>
      <c r="U149" s="15">
        <f t="shared" si="58"/>
        <v>1300</v>
      </c>
      <c r="V149" s="15">
        <f t="shared" si="58"/>
        <v>0</v>
      </c>
      <c r="W149" s="89"/>
      <c r="X149" s="89"/>
      <c r="Y149" s="15">
        <f>SUM(Y150:Y157)</f>
        <v>8</v>
      </c>
      <c r="Z149" s="663"/>
      <c r="AA149" s="990"/>
      <c r="AB149" s="811"/>
      <c r="AC149" s="551"/>
      <c r="AD149" s="551"/>
      <c r="AE149" s="551"/>
      <c r="AG149" s="265"/>
      <c r="AH149" s="265"/>
      <c r="AI149" s="265"/>
      <c r="AJ149" s="265"/>
      <c r="AK149" s="265"/>
      <c r="AL149" s="265"/>
    </row>
    <row r="150" spans="1:38" s="54" customFormat="1" ht="38.25">
      <c r="A150" s="222">
        <v>1</v>
      </c>
      <c r="B150" s="68" t="s">
        <v>808</v>
      </c>
      <c r="C150" s="19" t="s">
        <v>29</v>
      </c>
      <c r="D150" s="19"/>
      <c r="E150" s="70" t="s">
        <v>355</v>
      </c>
      <c r="F150" s="705"/>
      <c r="G150" s="23">
        <f>H150</f>
        <v>19776</v>
      </c>
      <c r="H150" s="23">
        <v>19776</v>
      </c>
      <c r="I150" s="23">
        <f>J150</f>
        <v>200</v>
      </c>
      <c r="J150" s="23">
        <v>200</v>
      </c>
      <c r="K150" s="23">
        <v>19776</v>
      </c>
      <c r="L150" s="23">
        <v>19776</v>
      </c>
      <c r="M150" s="23"/>
      <c r="N150" s="23">
        <v>200</v>
      </c>
      <c r="O150" s="23">
        <v>200</v>
      </c>
      <c r="P150" s="78"/>
      <c r="Q150" s="860">
        <v>200</v>
      </c>
      <c r="R150" s="860"/>
      <c r="S150" s="860">
        <v>200</v>
      </c>
      <c r="T150" s="73">
        <f t="shared" ref="T150:T157" si="59">SUM(U150:V150)</f>
        <v>200</v>
      </c>
      <c r="U150" s="23">
        <v>200</v>
      </c>
      <c r="V150" s="23"/>
      <c r="W150" s="80" t="s">
        <v>1546</v>
      </c>
      <c r="X150" s="741" t="s">
        <v>1096</v>
      </c>
      <c r="Y150" s="23">
        <v>1</v>
      </c>
      <c r="Z150" s="657"/>
      <c r="AA150" s="990"/>
      <c r="AB150" s="811"/>
      <c r="AC150" s="551"/>
      <c r="AD150" s="551"/>
      <c r="AE150" s="551"/>
      <c r="AG150" s="57"/>
      <c r="AH150" s="57"/>
      <c r="AI150" s="57"/>
      <c r="AJ150" s="57"/>
      <c r="AK150" s="57"/>
      <c r="AL150" s="57"/>
    </row>
    <row r="151" spans="1:38" s="54" customFormat="1" ht="30">
      <c r="A151" s="222">
        <v>2</v>
      </c>
      <c r="B151" s="68" t="s">
        <v>809</v>
      </c>
      <c r="C151" s="19" t="s">
        <v>43</v>
      </c>
      <c r="D151" s="19" t="s">
        <v>810</v>
      </c>
      <c r="E151" s="70" t="s">
        <v>163</v>
      </c>
      <c r="F151" s="705"/>
      <c r="G151" s="23">
        <v>65795</v>
      </c>
      <c r="H151" s="23">
        <v>54977</v>
      </c>
      <c r="I151" s="23">
        <v>100</v>
      </c>
      <c r="J151" s="23">
        <v>100</v>
      </c>
      <c r="K151" s="23">
        <v>65795</v>
      </c>
      <c r="L151" s="23">
        <v>54977</v>
      </c>
      <c r="M151" s="23"/>
      <c r="N151" s="23">
        <v>100</v>
      </c>
      <c r="O151" s="23">
        <v>100</v>
      </c>
      <c r="P151" s="78"/>
      <c r="Q151" s="860">
        <v>100</v>
      </c>
      <c r="R151" s="860"/>
      <c r="S151" s="860">
        <v>100</v>
      </c>
      <c r="T151" s="73">
        <f t="shared" si="59"/>
        <v>100</v>
      </c>
      <c r="U151" s="23">
        <v>100</v>
      </c>
      <c r="V151" s="23"/>
      <c r="W151" s="80" t="s">
        <v>1544</v>
      </c>
      <c r="X151" s="741" t="s">
        <v>1097</v>
      </c>
      <c r="Y151" s="23">
        <v>1</v>
      </c>
      <c r="Z151" s="657"/>
      <c r="AA151" s="990"/>
      <c r="AB151" s="811"/>
      <c r="AC151" s="551"/>
      <c r="AD151" s="551"/>
      <c r="AE151" s="551"/>
      <c r="AG151" s="57"/>
      <c r="AH151" s="57"/>
      <c r="AI151" s="57"/>
      <c r="AJ151" s="57"/>
      <c r="AK151" s="57"/>
      <c r="AL151" s="57"/>
    </row>
    <row r="152" spans="1:38" s="54" customFormat="1" ht="38.25">
      <c r="A152" s="222">
        <v>3</v>
      </c>
      <c r="B152" s="68" t="s">
        <v>811</v>
      </c>
      <c r="C152" s="19" t="s">
        <v>173</v>
      </c>
      <c r="D152" s="19" t="s">
        <v>810</v>
      </c>
      <c r="E152" s="70" t="s">
        <v>163</v>
      </c>
      <c r="F152" s="705"/>
      <c r="G152" s="23">
        <v>23414</v>
      </c>
      <c r="H152" s="23">
        <v>20524</v>
      </c>
      <c r="I152" s="23">
        <v>100</v>
      </c>
      <c r="J152" s="23">
        <v>100</v>
      </c>
      <c r="K152" s="23">
        <v>23414</v>
      </c>
      <c r="L152" s="23">
        <v>20524</v>
      </c>
      <c r="M152" s="23"/>
      <c r="N152" s="23">
        <v>100</v>
      </c>
      <c r="O152" s="23">
        <v>100</v>
      </c>
      <c r="P152" s="78"/>
      <c r="Q152" s="860">
        <v>100</v>
      </c>
      <c r="R152" s="860"/>
      <c r="S152" s="860">
        <v>100</v>
      </c>
      <c r="T152" s="73">
        <f t="shared" si="59"/>
        <v>100</v>
      </c>
      <c r="U152" s="23">
        <v>100</v>
      </c>
      <c r="V152" s="23"/>
      <c r="W152" s="80" t="s">
        <v>1544</v>
      </c>
      <c r="X152" s="741" t="s">
        <v>1098</v>
      </c>
      <c r="Y152" s="23">
        <v>1</v>
      </c>
      <c r="Z152" s="657"/>
      <c r="AA152" s="990"/>
      <c r="AB152" s="811"/>
      <c r="AC152" s="551"/>
      <c r="AD152" s="551"/>
      <c r="AE152" s="551"/>
      <c r="AG152" s="57"/>
      <c r="AH152" s="57"/>
      <c r="AI152" s="57"/>
      <c r="AJ152" s="57"/>
      <c r="AK152" s="57"/>
      <c r="AL152" s="57"/>
    </row>
    <row r="153" spans="1:38" s="54" customFormat="1" ht="38.25">
      <c r="A153" s="222">
        <v>4</v>
      </c>
      <c r="B153" s="68" t="s">
        <v>812</v>
      </c>
      <c r="C153" s="19" t="s">
        <v>260</v>
      </c>
      <c r="D153" s="19" t="s">
        <v>813</v>
      </c>
      <c r="E153" s="70" t="s">
        <v>120</v>
      </c>
      <c r="F153" s="80"/>
      <c r="G153" s="223">
        <v>17264</v>
      </c>
      <c r="H153" s="223">
        <v>17264</v>
      </c>
      <c r="I153" s="23">
        <f>J153</f>
        <v>100</v>
      </c>
      <c r="J153" s="23">
        <v>100</v>
      </c>
      <c r="K153" s="72">
        <f t="shared" ref="K153:L157" si="60">G153-I153</f>
        <v>17164</v>
      </c>
      <c r="L153" s="72">
        <f t="shared" si="60"/>
        <v>17164</v>
      </c>
      <c r="M153" s="23"/>
      <c r="N153" s="23">
        <v>150</v>
      </c>
      <c r="O153" s="23">
        <v>150</v>
      </c>
      <c r="P153" s="78"/>
      <c r="Q153" s="860">
        <f>SUM(R153:S153)</f>
        <v>150</v>
      </c>
      <c r="R153" s="860">
        <v>150</v>
      </c>
      <c r="S153" s="860"/>
      <c r="T153" s="73">
        <f t="shared" si="59"/>
        <v>150</v>
      </c>
      <c r="U153" s="23">
        <v>150</v>
      </c>
      <c r="V153" s="23"/>
      <c r="W153" s="80" t="s">
        <v>1545</v>
      </c>
      <c r="X153" s="80" t="s">
        <v>1099</v>
      </c>
      <c r="Y153" s="23">
        <v>1</v>
      </c>
      <c r="Z153" s="657"/>
      <c r="AA153" s="990"/>
      <c r="AB153" s="811"/>
      <c r="AC153" s="551"/>
      <c r="AD153" s="551"/>
      <c r="AE153" s="551"/>
      <c r="AG153" s="57"/>
      <c r="AH153" s="57"/>
      <c r="AI153" s="57"/>
      <c r="AJ153" s="57"/>
      <c r="AK153" s="57"/>
      <c r="AL153" s="57"/>
    </row>
    <row r="154" spans="1:38" s="54" customFormat="1" ht="90">
      <c r="A154" s="222">
        <v>5</v>
      </c>
      <c r="B154" s="68" t="s">
        <v>815</v>
      </c>
      <c r="C154" s="19" t="s">
        <v>143</v>
      </c>
      <c r="D154" s="19" t="s">
        <v>816</v>
      </c>
      <c r="E154" s="70" t="s">
        <v>120</v>
      </c>
      <c r="F154" s="80"/>
      <c r="G154" s="223">
        <v>13476</v>
      </c>
      <c r="H154" s="223">
        <v>13476</v>
      </c>
      <c r="I154" s="23"/>
      <c r="J154" s="23"/>
      <c r="K154" s="72">
        <f t="shared" si="60"/>
        <v>13476</v>
      </c>
      <c r="L154" s="72">
        <f t="shared" si="60"/>
        <v>13476</v>
      </c>
      <c r="M154" s="23"/>
      <c r="N154" s="23">
        <v>700</v>
      </c>
      <c r="O154" s="23">
        <v>700</v>
      </c>
      <c r="P154" s="78"/>
      <c r="Q154" s="860">
        <f>SUM(R154:S154)</f>
        <v>400</v>
      </c>
      <c r="R154" s="860">
        <v>400</v>
      </c>
      <c r="S154" s="860"/>
      <c r="T154" s="73">
        <f t="shared" si="59"/>
        <v>400</v>
      </c>
      <c r="U154" s="23">
        <v>400</v>
      </c>
      <c r="V154" s="23"/>
      <c r="W154" s="80" t="s">
        <v>1545</v>
      </c>
      <c r="X154" s="80" t="s">
        <v>1100</v>
      </c>
      <c r="Y154" s="23">
        <v>1</v>
      </c>
      <c r="Z154" s="657"/>
      <c r="AA154" s="990"/>
      <c r="AB154" s="811"/>
      <c r="AC154" s="551"/>
      <c r="AD154" s="551"/>
      <c r="AE154" s="551"/>
      <c r="AG154" s="57"/>
      <c r="AH154" s="57"/>
      <c r="AI154" s="57"/>
      <c r="AJ154" s="57"/>
      <c r="AK154" s="57"/>
      <c r="AL154" s="57"/>
    </row>
    <row r="155" spans="1:38" s="54" customFormat="1" ht="90">
      <c r="A155" s="222">
        <v>6</v>
      </c>
      <c r="B155" s="68" t="s">
        <v>817</v>
      </c>
      <c r="C155" s="19" t="s">
        <v>5</v>
      </c>
      <c r="D155" s="19" t="s">
        <v>818</v>
      </c>
      <c r="E155" s="70" t="s">
        <v>355</v>
      </c>
      <c r="F155" s="80"/>
      <c r="G155" s="72">
        <v>50535</v>
      </c>
      <c r="H155" s="72">
        <v>50535</v>
      </c>
      <c r="I155" s="23"/>
      <c r="J155" s="23"/>
      <c r="K155" s="72">
        <f t="shared" si="60"/>
        <v>50535</v>
      </c>
      <c r="L155" s="72">
        <f t="shared" si="60"/>
        <v>50535</v>
      </c>
      <c r="M155" s="23"/>
      <c r="N155" s="23">
        <v>150</v>
      </c>
      <c r="O155" s="23">
        <v>150</v>
      </c>
      <c r="P155" s="78"/>
      <c r="Q155" s="860">
        <f>SUM(R155:S155)</f>
        <v>150</v>
      </c>
      <c r="R155" s="860">
        <v>150</v>
      </c>
      <c r="S155" s="860"/>
      <c r="T155" s="73">
        <f t="shared" si="59"/>
        <v>150</v>
      </c>
      <c r="U155" s="23">
        <v>150</v>
      </c>
      <c r="V155" s="23"/>
      <c r="W155" s="80" t="s">
        <v>1545</v>
      </c>
      <c r="X155" s="80" t="s">
        <v>1101</v>
      </c>
      <c r="Y155" s="23">
        <v>1</v>
      </c>
      <c r="Z155" s="657"/>
      <c r="AA155" s="990"/>
      <c r="AB155" s="811"/>
      <c r="AC155" s="551"/>
      <c r="AD155" s="551"/>
      <c r="AE155" s="551"/>
      <c r="AG155" s="57"/>
      <c r="AH155" s="57"/>
      <c r="AI155" s="57"/>
      <c r="AJ155" s="57"/>
      <c r="AK155" s="57"/>
      <c r="AL155" s="57"/>
    </row>
    <row r="156" spans="1:38" s="54" customFormat="1" ht="75">
      <c r="A156" s="222">
        <v>7</v>
      </c>
      <c r="B156" s="68" t="s">
        <v>820</v>
      </c>
      <c r="C156" s="19" t="s">
        <v>60</v>
      </c>
      <c r="D156" s="19" t="s">
        <v>821</v>
      </c>
      <c r="E156" s="70" t="s">
        <v>120</v>
      </c>
      <c r="F156" s="80"/>
      <c r="G156" s="72">
        <v>13500</v>
      </c>
      <c r="H156" s="72">
        <v>13500</v>
      </c>
      <c r="I156" s="23"/>
      <c r="J156" s="23"/>
      <c r="K156" s="72">
        <f t="shared" si="60"/>
        <v>13500</v>
      </c>
      <c r="L156" s="72">
        <f t="shared" si="60"/>
        <v>13500</v>
      </c>
      <c r="M156" s="23"/>
      <c r="N156" s="23">
        <v>100</v>
      </c>
      <c r="O156" s="23">
        <v>100</v>
      </c>
      <c r="P156" s="78"/>
      <c r="Q156" s="860">
        <f>SUM(R156:S156)</f>
        <v>100</v>
      </c>
      <c r="R156" s="860">
        <v>100</v>
      </c>
      <c r="S156" s="860"/>
      <c r="T156" s="73">
        <f t="shared" si="59"/>
        <v>100</v>
      </c>
      <c r="U156" s="23">
        <v>100</v>
      </c>
      <c r="V156" s="23"/>
      <c r="W156" s="80" t="s">
        <v>1545</v>
      </c>
      <c r="X156" s="80" t="s">
        <v>1102</v>
      </c>
      <c r="Y156" s="23">
        <v>1</v>
      </c>
      <c r="Z156" s="657"/>
      <c r="AA156" s="990"/>
      <c r="AB156" s="811"/>
      <c r="AC156" s="551"/>
      <c r="AD156" s="551"/>
      <c r="AE156" s="551"/>
      <c r="AG156" s="57"/>
      <c r="AH156" s="57"/>
      <c r="AI156" s="57"/>
      <c r="AJ156" s="57"/>
      <c r="AK156" s="57"/>
      <c r="AL156" s="57"/>
    </row>
    <row r="157" spans="1:38" s="54" customFormat="1" ht="38.25">
      <c r="A157" s="222">
        <v>8</v>
      </c>
      <c r="B157" s="68" t="s">
        <v>822</v>
      </c>
      <c r="C157" s="19" t="s">
        <v>5</v>
      </c>
      <c r="D157" s="19" t="s">
        <v>823</v>
      </c>
      <c r="E157" s="70" t="s">
        <v>355</v>
      </c>
      <c r="F157" s="80"/>
      <c r="G157" s="72">
        <v>33366</v>
      </c>
      <c r="H157" s="72">
        <v>33366</v>
      </c>
      <c r="I157" s="23"/>
      <c r="J157" s="23"/>
      <c r="K157" s="72">
        <f t="shared" si="60"/>
        <v>33366</v>
      </c>
      <c r="L157" s="72">
        <f t="shared" si="60"/>
        <v>33366</v>
      </c>
      <c r="M157" s="23"/>
      <c r="N157" s="23">
        <v>100</v>
      </c>
      <c r="O157" s="23">
        <v>100</v>
      </c>
      <c r="P157" s="78"/>
      <c r="Q157" s="860">
        <f>SUM(R157:S157)</f>
        <v>100</v>
      </c>
      <c r="R157" s="860">
        <v>100</v>
      </c>
      <c r="S157" s="860"/>
      <c r="T157" s="73">
        <f t="shared" si="59"/>
        <v>100</v>
      </c>
      <c r="U157" s="23">
        <v>100</v>
      </c>
      <c r="V157" s="23"/>
      <c r="W157" s="80" t="s">
        <v>1545</v>
      </c>
      <c r="X157" s="80" t="s">
        <v>1103</v>
      </c>
      <c r="Y157" s="23">
        <v>1</v>
      </c>
      <c r="Z157" s="657"/>
      <c r="AA157" s="990"/>
      <c r="AB157" s="811"/>
      <c r="AC157" s="551"/>
      <c r="AD157" s="551"/>
      <c r="AE157" s="551"/>
      <c r="AG157" s="57"/>
      <c r="AH157" s="57"/>
      <c r="AI157" s="57"/>
      <c r="AJ157" s="57"/>
      <c r="AK157" s="57"/>
      <c r="AL157" s="57"/>
    </row>
    <row r="158" spans="1:38" s="266" customFormat="1">
      <c r="A158" s="11" t="s">
        <v>499</v>
      </c>
      <c r="B158" s="65" t="s">
        <v>31</v>
      </c>
      <c r="C158" s="19"/>
      <c r="D158" s="19"/>
      <c r="E158" s="70"/>
      <c r="F158" s="80"/>
      <c r="G158" s="15">
        <f t="shared" ref="G158:V158" si="61">SUM(G159,G161,G171)</f>
        <v>2836850</v>
      </c>
      <c r="H158" s="15">
        <f t="shared" si="61"/>
        <v>2100389</v>
      </c>
      <c r="I158" s="15">
        <f t="shared" si="61"/>
        <v>252554</v>
      </c>
      <c r="J158" s="15">
        <f t="shared" si="61"/>
        <v>191704</v>
      </c>
      <c r="K158" s="15">
        <f t="shared" si="61"/>
        <v>2588180</v>
      </c>
      <c r="L158" s="15">
        <f t="shared" si="61"/>
        <v>1986125</v>
      </c>
      <c r="M158" s="15">
        <f t="shared" si="61"/>
        <v>0</v>
      </c>
      <c r="N158" s="15">
        <f t="shared" si="61"/>
        <v>804468</v>
      </c>
      <c r="O158" s="15">
        <f t="shared" si="61"/>
        <v>725039</v>
      </c>
      <c r="P158" s="15">
        <f t="shared" si="61"/>
        <v>0</v>
      </c>
      <c r="Q158" s="15">
        <f t="shared" si="61"/>
        <v>620125</v>
      </c>
      <c r="R158" s="15">
        <f t="shared" si="61"/>
        <v>211125</v>
      </c>
      <c r="S158" s="15">
        <f t="shared" si="61"/>
        <v>409000</v>
      </c>
      <c r="T158" s="15">
        <f t="shared" si="61"/>
        <v>579367</v>
      </c>
      <c r="U158" s="15">
        <f t="shared" si="61"/>
        <v>192494</v>
      </c>
      <c r="V158" s="15">
        <f t="shared" si="61"/>
        <v>386873</v>
      </c>
      <c r="W158" s="15"/>
      <c r="X158" s="15"/>
      <c r="Y158" s="15">
        <f>SUM(Y159,Y161,Y171)</f>
        <v>15</v>
      </c>
      <c r="Z158" s="657"/>
      <c r="AA158" s="990"/>
      <c r="AB158" s="811"/>
      <c r="AC158" s="551"/>
      <c r="AD158" s="551"/>
      <c r="AE158" s="551"/>
      <c r="AG158" s="265"/>
      <c r="AH158" s="265"/>
      <c r="AI158" s="265"/>
      <c r="AJ158" s="265"/>
      <c r="AK158" s="265"/>
      <c r="AL158" s="265"/>
    </row>
    <row r="159" spans="1:38" s="54" customFormat="1">
      <c r="A159" s="11" t="s">
        <v>78</v>
      </c>
      <c r="B159" s="65" t="s">
        <v>79</v>
      </c>
      <c r="C159" s="19"/>
      <c r="D159" s="19"/>
      <c r="E159" s="70"/>
      <c r="F159" s="80"/>
      <c r="G159" s="15">
        <f t="shared" ref="G159:V159" si="62">SUM(G160:G160)</f>
        <v>116950</v>
      </c>
      <c r="H159" s="15">
        <f t="shared" si="62"/>
        <v>62705</v>
      </c>
      <c r="I159" s="15">
        <f t="shared" si="62"/>
        <v>92228</v>
      </c>
      <c r="J159" s="15">
        <f t="shared" si="62"/>
        <v>62132</v>
      </c>
      <c r="K159" s="15">
        <f t="shared" si="62"/>
        <v>24722</v>
      </c>
      <c r="L159" s="15">
        <f t="shared" si="62"/>
        <v>15848</v>
      </c>
      <c r="M159" s="15">
        <f t="shared" si="62"/>
        <v>0</v>
      </c>
      <c r="N159" s="15">
        <f t="shared" si="62"/>
        <v>11700</v>
      </c>
      <c r="O159" s="15">
        <f t="shared" si="62"/>
        <v>4125</v>
      </c>
      <c r="P159" s="15">
        <f t="shared" si="62"/>
        <v>0</v>
      </c>
      <c r="Q159" s="846">
        <f t="shared" si="62"/>
        <v>4125</v>
      </c>
      <c r="R159" s="846">
        <f t="shared" si="62"/>
        <v>4125</v>
      </c>
      <c r="S159" s="846">
        <f t="shared" si="62"/>
        <v>0</v>
      </c>
      <c r="T159" s="15">
        <f t="shared" si="62"/>
        <v>4125</v>
      </c>
      <c r="U159" s="15">
        <f t="shared" si="62"/>
        <v>4125</v>
      </c>
      <c r="V159" s="15">
        <f t="shared" si="62"/>
        <v>0</v>
      </c>
      <c r="W159" s="89"/>
      <c r="X159" s="89"/>
      <c r="Y159" s="15">
        <f>SUM(Y160:Y160)</f>
        <v>1</v>
      </c>
      <c r="Z159" s="657"/>
      <c r="AA159" s="990"/>
      <c r="AB159" s="811"/>
      <c r="AC159" s="551"/>
      <c r="AD159" s="551"/>
      <c r="AE159" s="551"/>
      <c r="AG159" s="57"/>
      <c r="AH159" s="57"/>
      <c r="AI159" s="57"/>
      <c r="AJ159" s="57"/>
      <c r="AK159" s="57"/>
      <c r="AL159" s="57"/>
    </row>
    <row r="160" spans="1:38" s="54" customFormat="1" ht="105">
      <c r="A160" s="97" t="s">
        <v>27</v>
      </c>
      <c r="B160" s="179" t="s">
        <v>830</v>
      </c>
      <c r="C160" s="101" t="s">
        <v>43</v>
      </c>
      <c r="D160" s="19" t="s">
        <v>831</v>
      </c>
      <c r="E160" s="70" t="s">
        <v>235</v>
      </c>
      <c r="F160" s="100" t="s">
        <v>832</v>
      </c>
      <c r="G160" s="23">
        <v>116950</v>
      </c>
      <c r="H160" s="226">
        <v>62705</v>
      </c>
      <c r="I160" s="72">
        <v>92228</v>
      </c>
      <c r="J160" s="23">
        <f>50982+11150</f>
        <v>62132</v>
      </c>
      <c r="K160" s="23">
        <f>G160-I160</f>
        <v>24722</v>
      </c>
      <c r="L160" s="23">
        <f>H160-50982+4125</f>
        <v>15848</v>
      </c>
      <c r="M160" s="23"/>
      <c r="N160" s="23">
        <v>11700</v>
      </c>
      <c r="O160" s="23">
        <v>4125</v>
      </c>
      <c r="P160" s="78"/>
      <c r="Q160" s="860">
        <f>SUM(R160:S160)</f>
        <v>4125</v>
      </c>
      <c r="R160" s="860">
        <v>4125</v>
      </c>
      <c r="S160" s="860"/>
      <c r="T160" s="73">
        <f>SUM(U160:V160)</f>
        <v>4125</v>
      </c>
      <c r="U160" s="23">
        <v>4125</v>
      </c>
      <c r="V160" s="23"/>
      <c r="W160" s="80" t="s">
        <v>1545</v>
      </c>
      <c r="X160" s="80"/>
      <c r="Y160" s="23">
        <v>1</v>
      </c>
      <c r="Z160" s="657"/>
      <c r="AA160" s="990"/>
      <c r="AB160" s="811"/>
      <c r="AC160" s="551"/>
      <c r="AD160" s="551"/>
      <c r="AE160" s="551"/>
      <c r="AG160" s="57"/>
      <c r="AH160" s="57"/>
      <c r="AI160" s="57"/>
      <c r="AJ160" s="57"/>
      <c r="AK160" s="57"/>
      <c r="AL160" s="57"/>
    </row>
    <row r="161" spans="1:38" s="54" customFormat="1" ht="28.5">
      <c r="A161" s="11" t="s">
        <v>116</v>
      </c>
      <c r="B161" s="65" t="s">
        <v>117</v>
      </c>
      <c r="C161" s="19"/>
      <c r="D161" s="19"/>
      <c r="E161" s="70"/>
      <c r="F161" s="80"/>
      <c r="G161" s="15">
        <f t="shared" ref="G161:V161" si="63">SUM(G162:G170)</f>
        <v>1028953</v>
      </c>
      <c r="H161" s="15">
        <f t="shared" si="63"/>
        <v>767653</v>
      </c>
      <c r="I161" s="15">
        <f t="shared" si="63"/>
        <v>154866</v>
      </c>
      <c r="J161" s="15">
        <f t="shared" si="63"/>
        <v>124112</v>
      </c>
      <c r="K161" s="15">
        <f t="shared" si="63"/>
        <v>985712</v>
      </c>
      <c r="L161" s="15">
        <f t="shared" si="63"/>
        <v>736760</v>
      </c>
      <c r="M161" s="15">
        <f t="shared" si="63"/>
        <v>0</v>
      </c>
      <c r="N161" s="15">
        <f t="shared" si="63"/>
        <v>256664</v>
      </c>
      <c r="O161" s="15">
        <f t="shared" si="63"/>
        <v>236800</v>
      </c>
      <c r="P161" s="15">
        <f t="shared" si="63"/>
        <v>0</v>
      </c>
      <c r="Q161" s="846">
        <f t="shared" si="63"/>
        <v>242000</v>
      </c>
      <c r="R161" s="846">
        <f t="shared" si="63"/>
        <v>87000</v>
      </c>
      <c r="S161" s="846">
        <f t="shared" si="63"/>
        <v>155000</v>
      </c>
      <c r="T161" s="15">
        <f t="shared" si="63"/>
        <v>216000</v>
      </c>
      <c r="U161" s="15">
        <f t="shared" si="63"/>
        <v>87000</v>
      </c>
      <c r="V161" s="15">
        <f t="shared" si="63"/>
        <v>129000</v>
      </c>
      <c r="W161" s="89"/>
      <c r="X161" s="89"/>
      <c r="Y161" s="15">
        <f>SUM(Y162:Y170)</f>
        <v>9</v>
      </c>
      <c r="Z161" s="657"/>
      <c r="AA161" s="990"/>
      <c r="AB161" s="811"/>
      <c r="AC161" s="551"/>
      <c r="AD161" s="551"/>
      <c r="AE161" s="551"/>
      <c r="AG161" s="57"/>
      <c r="AH161" s="57"/>
      <c r="AI161" s="57"/>
      <c r="AJ161" s="57"/>
      <c r="AK161" s="57"/>
      <c r="AL161" s="57"/>
    </row>
    <row r="162" spans="1:38" s="54" customFormat="1" ht="30">
      <c r="A162" s="97" t="s">
        <v>27</v>
      </c>
      <c r="B162" s="179" t="s">
        <v>854</v>
      </c>
      <c r="C162" s="101" t="s">
        <v>60</v>
      </c>
      <c r="D162" s="297" t="s">
        <v>855</v>
      </c>
      <c r="E162" s="505" t="s">
        <v>856</v>
      </c>
      <c r="F162" s="80" t="s">
        <v>857</v>
      </c>
      <c r="G162" s="72">
        <v>71396</v>
      </c>
      <c r="H162" s="72">
        <v>33160</v>
      </c>
      <c r="I162" s="72">
        <f>4160+18000+J162</f>
        <v>23530</v>
      </c>
      <c r="J162" s="23">
        <f>970+400</f>
        <v>1370</v>
      </c>
      <c r="K162" s="23">
        <f>G162-I162</f>
        <v>47866</v>
      </c>
      <c r="L162" s="23">
        <f>H162-J162</f>
        <v>31790</v>
      </c>
      <c r="M162" s="23"/>
      <c r="N162" s="23">
        <v>27684</v>
      </c>
      <c r="O162" s="23">
        <v>20000</v>
      </c>
      <c r="P162" s="78"/>
      <c r="Q162" s="828">
        <f>SUM(R162:S162)</f>
        <v>10000</v>
      </c>
      <c r="R162" s="860">
        <v>10000</v>
      </c>
      <c r="S162" s="860"/>
      <c r="T162" s="73">
        <f>SUM(U162:V162)</f>
        <v>10000</v>
      </c>
      <c r="U162" s="23">
        <v>10000</v>
      </c>
      <c r="V162" s="23"/>
      <c r="W162" s="80" t="s">
        <v>1545</v>
      </c>
      <c r="X162" s="24"/>
      <c r="Y162" s="23">
        <v>1</v>
      </c>
      <c r="Z162" s="657"/>
      <c r="AA162" s="990"/>
      <c r="AB162" s="811"/>
      <c r="AC162" s="551"/>
      <c r="AD162" s="551"/>
      <c r="AE162" s="551"/>
      <c r="AG162" s="57"/>
      <c r="AH162" s="57"/>
      <c r="AI162" s="57"/>
      <c r="AJ162" s="57"/>
      <c r="AK162" s="57"/>
      <c r="AL162" s="57"/>
    </row>
    <row r="163" spans="1:38" s="54" customFormat="1" ht="30">
      <c r="A163" s="97" t="s">
        <v>41</v>
      </c>
      <c r="B163" s="179" t="s">
        <v>858</v>
      </c>
      <c r="C163" s="101" t="s">
        <v>85</v>
      </c>
      <c r="D163" s="101" t="s">
        <v>859</v>
      </c>
      <c r="E163" s="95" t="s">
        <v>1673</v>
      </c>
      <c r="F163" s="100" t="s">
        <v>861</v>
      </c>
      <c r="G163" s="21">
        <v>83956</v>
      </c>
      <c r="H163" s="226">
        <f>G163</f>
        <v>83956</v>
      </c>
      <c r="I163" s="23">
        <f t="shared" ref="I163:I168" si="64">J163</f>
        <v>43505</v>
      </c>
      <c r="J163" s="23">
        <f>13505+30000</f>
        <v>43505</v>
      </c>
      <c r="K163" s="23">
        <f>L163</f>
        <v>70451</v>
      </c>
      <c r="L163" s="23">
        <f>H163-13505</f>
        <v>70451</v>
      </c>
      <c r="M163" s="23"/>
      <c r="N163" s="23">
        <v>25000</v>
      </c>
      <c r="O163" s="23">
        <v>25000</v>
      </c>
      <c r="P163" s="78"/>
      <c r="Q163" s="828">
        <f>SUM(R163:S163)</f>
        <v>15000</v>
      </c>
      <c r="R163" s="860">
        <v>15000</v>
      </c>
      <c r="S163" s="860"/>
      <c r="T163" s="73">
        <f>SUM(U163:V163)</f>
        <v>15000</v>
      </c>
      <c r="U163" s="23">
        <v>15000</v>
      </c>
      <c r="V163" s="23"/>
      <c r="W163" s="80" t="s">
        <v>1545</v>
      </c>
      <c r="X163" s="24"/>
      <c r="Y163" s="23">
        <v>1</v>
      </c>
      <c r="Z163" s="657"/>
      <c r="AA163" s="990"/>
      <c r="AB163" s="811"/>
      <c r="AC163" s="551"/>
      <c r="AD163" s="551"/>
      <c r="AE163" s="551"/>
      <c r="AG163" s="57"/>
      <c r="AH163" s="57"/>
      <c r="AI163" s="57"/>
      <c r="AJ163" s="57"/>
      <c r="AK163" s="57"/>
      <c r="AL163" s="57"/>
    </row>
    <row r="164" spans="1:38" s="54" customFormat="1" ht="25.5">
      <c r="A164" s="97" t="s">
        <v>58</v>
      </c>
      <c r="B164" s="68" t="s">
        <v>864</v>
      </c>
      <c r="C164" s="19" t="s">
        <v>43</v>
      </c>
      <c r="D164" s="19" t="s">
        <v>865</v>
      </c>
      <c r="E164" s="44" t="s">
        <v>120</v>
      </c>
      <c r="F164" s="80" t="s">
        <v>866</v>
      </c>
      <c r="G164" s="23">
        <v>74513</v>
      </c>
      <c r="H164" s="23">
        <v>74513</v>
      </c>
      <c r="I164" s="23">
        <f t="shared" si="64"/>
        <v>1149</v>
      </c>
      <c r="J164" s="23">
        <f>299+850</f>
        <v>1149</v>
      </c>
      <c r="K164" s="23">
        <f>L164</f>
        <v>74214</v>
      </c>
      <c r="L164" s="23">
        <f>H164-299</f>
        <v>74214</v>
      </c>
      <c r="M164" s="23"/>
      <c r="N164" s="23">
        <v>20000</v>
      </c>
      <c r="O164" s="23">
        <v>20000</v>
      </c>
      <c r="P164" s="78"/>
      <c r="Q164" s="828">
        <v>15000</v>
      </c>
      <c r="R164" s="860">
        <v>15000</v>
      </c>
      <c r="S164" s="860"/>
      <c r="T164" s="73">
        <v>15000</v>
      </c>
      <c r="U164" s="23">
        <v>15000</v>
      </c>
      <c r="V164" s="23"/>
      <c r="W164" s="80" t="s">
        <v>1545</v>
      </c>
      <c r="X164" s="24"/>
      <c r="Y164" s="23">
        <v>1</v>
      </c>
      <c r="Z164" s="657"/>
      <c r="AA164" s="990"/>
      <c r="AB164" s="811"/>
      <c r="AC164" s="551"/>
      <c r="AD164" s="551"/>
      <c r="AE164" s="551"/>
      <c r="AG164" s="57"/>
      <c r="AH164" s="57"/>
      <c r="AI164" s="57"/>
      <c r="AJ164" s="57"/>
      <c r="AK164" s="57"/>
      <c r="AL164" s="57"/>
    </row>
    <row r="165" spans="1:38" s="54" customFormat="1" ht="30">
      <c r="A165" s="97" t="s">
        <v>64</v>
      </c>
      <c r="B165" s="68" t="s">
        <v>867</v>
      </c>
      <c r="C165" s="19" t="s">
        <v>143</v>
      </c>
      <c r="D165" s="19" t="s">
        <v>868</v>
      </c>
      <c r="E165" s="44" t="s">
        <v>120</v>
      </c>
      <c r="F165" s="80" t="s">
        <v>869</v>
      </c>
      <c r="G165" s="23">
        <v>67415</v>
      </c>
      <c r="H165" s="23">
        <v>67415</v>
      </c>
      <c r="I165" s="23">
        <f t="shared" si="64"/>
        <v>700</v>
      </c>
      <c r="J165" s="23">
        <v>700</v>
      </c>
      <c r="K165" s="23">
        <f>L165</f>
        <v>67415</v>
      </c>
      <c r="L165" s="23">
        <f>H165</f>
        <v>67415</v>
      </c>
      <c r="M165" s="23"/>
      <c r="N165" s="23">
        <v>30000</v>
      </c>
      <c r="O165" s="23">
        <v>30000</v>
      </c>
      <c r="P165" s="78"/>
      <c r="Q165" s="828">
        <f t="shared" ref="Q165:Q170" si="65">SUM(R165:S165)</f>
        <v>10000</v>
      </c>
      <c r="R165" s="860">
        <v>10000</v>
      </c>
      <c r="S165" s="860"/>
      <c r="T165" s="73">
        <f t="shared" ref="T165:T170" si="66">SUM(U165:V165)</f>
        <v>10000</v>
      </c>
      <c r="U165" s="23">
        <v>10000</v>
      </c>
      <c r="V165" s="23"/>
      <c r="W165" s="80" t="s">
        <v>1545</v>
      </c>
      <c r="X165" s="24"/>
      <c r="Y165" s="23">
        <v>1</v>
      </c>
      <c r="Z165" s="657"/>
      <c r="AA165" s="990"/>
      <c r="AB165" s="811"/>
      <c r="AC165" s="551"/>
      <c r="AD165" s="551"/>
      <c r="AE165" s="551"/>
      <c r="AG165" s="57"/>
      <c r="AH165" s="57"/>
      <c r="AI165" s="57"/>
      <c r="AJ165" s="57"/>
      <c r="AK165" s="57"/>
      <c r="AL165" s="57"/>
    </row>
    <row r="166" spans="1:38" s="54" customFormat="1" ht="30">
      <c r="A166" s="97" t="s">
        <v>69</v>
      </c>
      <c r="B166" s="93" t="s">
        <v>874</v>
      </c>
      <c r="C166" s="297" t="s">
        <v>85</v>
      </c>
      <c r="D166" s="101" t="s">
        <v>875</v>
      </c>
      <c r="E166" s="312" t="s">
        <v>30</v>
      </c>
      <c r="F166" s="100" t="s">
        <v>877</v>
      </c>
      <c r="G166" s="226">
        <v>16000</v>
      </c>
      <c r="H166" s="226">
        <f>G166</f>
        <v>16000</v>
      </c>
      <c r="I166" s="23">
        <f t="shared" si="64"/>
        <v>680</v>
      </c>
      <c r="J166" s="23">
        <v>680</v>
      </c>
      <c r="K166" s="23">
        <v>16000</v>
      </c>
      <c r="L166" s="23">
        <v>16000</v>
      </c>
      <c r="M166" s="23"/>
      <c r="N166" s="23">
        <v>10000</v>
      </c>
      <c r="O166" s="23">
        <v>10000</v>
      </c>
      <c r="P166" s="78"/>
      <c r="Q166" s="828">
        <f t="shared" si="65"/>
        <v>7000</v>
      </c>
      <c r="R166" s="860">
        <v>7000</v>
      </c>
      <c r="S166" s="860"/>
      <c r="T166" s="73">
        <f t="shared" si="66"/>
        <v>7000</v>
      </c>
      <c r="U166" s="23">
        <v>7000</v>
      </c>
      <c r="V166" s="23"/>
      <c r="W166" s="80" t="s">
        <v>1545</v>
      </c>
      <c r="X166" s="24"/>
      <c r="Y166" s="23">
        <v>1</v>
      </c>
      <c r="Z166" s="657"/>
      <c r="AA166" s="990"/>
      <c r="AB166" s="811"/>
      <c r="AC166" s="551"/>
      <c r="AD166" s="551"/>
      <c r="AE166" s="551"/>
      <c r="AG166" s="57"/>
      <c r="AH166" s="57"/>
      <c r="AI166" s="57"/>
      <c r="AJ166" s="57"/>
      <c r="AK166" s="57"/>
      <c r="AL166" s="57"/>
    </row>
    <row r="167" spans="1:38" s="54" customFormat="1" ht="30">
      <c r="A167" s="97" t="s">
        <v>74</v>
      </c>
      <c r="B167" s="93" t="s">
        <v>878</v>
      </c>
      <c r="C167" s="101" t="s">
        <v>173</v>
      </c>
      <c r="D167" s="101" t="s">
        <v>879</v>
      </c>
      <c r="E167" s="312" t="s">
        <v>30</v>
      </c>
      <c r="F167" s="763" t="s">
        <v>880</v>
      </c>
      <c r="G167" s="764">
        <v>7400</v>
      </c>
      <c r="H167" s="764">
        <f>G167</f>
        <v>7400</v>
      </c>
      <c r="I167" s="23">
        <f t="shared" si="64"/>
        <v>500</v>
      </c>
      <c r="J167" s="23">
        <v>500</v>
      </c>
      <c r="K167" s="23">
        <v>7400</v>
      </c>
      <c r="L167" s="23">
        <v>7400</v>
      </c>
      <c r="M167" s="23"/>
      <c r="N167" s="23">
        <v>3000</v>
      </c>
      <c r="O167" s="23">
        <v>3000</v>
      </c>
      <c r="P167" s="78"/>
      <c r="Q167" s="828">
        <f t="shared" si="65"/>
        <v>2000</v>
      </c>
      <c r="R167" s="860">
        <v>2000</v>
      </c>
      <c r="S167" s="860"/>
      <c r="T167" s="73">
        <f t="shared" si="66"/>
        <v>2000</v>
      </c>
      <c r="U167" s="23">
        <v>2000</v>
      </c>
      <c r="V167" s="23"/>
      <c r="W167" s="80" t="s">
        <v>1545</v>
      </c>
      <c r="X167" s="24"/>
      <c r="Y167" s="23">
        <v>1</v>
      </c>
      <c r="Z167" s="657"/>
      <c r="AA167" s="990"/>
      <c r="AB167" s="811"/>
      <c r="AC167" s="551"/>
      <c r="AD167" s="551"/>
      <c r="AE167" s="551"/>
      <c r="AG167" s="57"/>
      <c r="AH167" s="57"/>
      <c r="AI167" s="57"/>
      <c r="AJ167" s="57"/>
      <c r="AK167" s="57"/>
      <c r="AL167" s="57"/>
    </row>
    <row r="168" spans="1:38" s="54" customFormat="1" ht="45">
      <c r="A168" s="97" t="s">
        <v>141</v>
      </c>
      <c r="B168" s="93" t="s">
        <v>881</v>
      </c>
      <c r="C168" s="297" t="s">
        <v>66</v>
      </c>
      <c r="D168" s="101" t="s">
        <v>882</v>
      </c>
      <c r="E168" s="312" t="s">
        <v>30</v>
      </c>
      <c r="F168" s="100" t="s">
        <v>883</v>
      </c>
      <c r="G168" s="226">
        <f>H168</f>
        <v>6307</v>
      </c>
      <c r="H168" s="226">
        <v>6307</v>
      </c>
      <c r="I168" s="23">
        <f t="shared" si="64"/>
        <v>500</v>
      </c>
      <c r="J168" s="23">
        <v>500</v>
      </c>
      <c r="K168" s="226">
        <v>6307</v>
      </c>
      <c r="L168" s="226">
        <v>6307</v>
      </c>
      <c r="M168" s="23"/>
      <c r="N168" s="23">
        <v>3000</v>
      </c>
      <c r="O168" s="23">
        <v>3000</v>
      </c>
      <c r="P168" s="78"/>
      <c r="Q168" s="828">
        <f t="shared" si="65"/>
        <v>2000</v>
      </c>
      <c r="R168" s="860">
        <v>2000</v>
      </c>
      <c r="S168" s="860"/>
      <c r="T168" s="73">
        <f t="shared" si="66"/>
        <v>2000</v>
      </c>
      <c r="U168" s="23">
        <v>2000</v>
      </c>
      <c r="V168" s="23"/>
      <c r="W168" s="80" t="s">
        <v>1545</v>
      </c>
      <c r="X168" s="24"/>
      <c r="Y168" s="23">
        <v>1</v>
      </c>
      <c r="Z168" s="657"/>
      <c r="AA168" s="990"/>
      <c r="AB168" s="811"/>
      <c r="AC168" s="551"/>
      <c r="AD168" s="551"/>
      <c r="AE168" s="551"/>
      <c r="AG168" s="57"/>
      <c r="AH168" s="57"/>
      <c r="AI168" s="57"/>
      <c r="AJ168" s="57"/>
      <c r="AK168" s="57"/>
      <c r="AL168" s="57"/>
    </row>
    <row r="169" spans="1:38" s="54" customFormat="1" ht="30">
      <c r="A169" s="97" t="s">
        <v>146</v>
      </c>
      <c r="B169" s="286" t="s">
        <v>848</v>
      </c>
      <c r="C169" s="296" t="s">
        <v>222</v>
      </c>
      <c r="D169" s="305"/>
      <c r="E169" s="885"/>
      <c r="F169" s="704"/>
      <c r="G169" s="228">
        <v>66092</v>
      </c>
      <c r="H169" s="228">
        <v>35358</v>
      </c>
      <c r="I169" s="23">
        <v>4302</v>
      </c>
      <c r="J169" s="23">
        <v>4302</v>
      </c>
      <c r="K169" s="23">
        <v>61790</v>
      </c>
      <c r="L169" s="23">
        <v>31056</v>
      </c>
      <c r="M169" s="23">
        <v>0</v>
      </c>
      <c r="N169" s="23">
        <v>11700</v>
      </c>
      <c r="O169" s="23">
        <v>11000</v>
      </c>
      <c r="P169" s="78"/>
      <c r="Q169" s="828">
        <f t="shared" si="65"/>
        <v>16000</v>
      </c>
      <c r="R169" s="860"/>
      <c r="S169" s="860">
        <v>16000</v>
      </c>
      <c r="T169" s="73">
        <f t="shared" si="66"/>
        <v>16000</v>
      </c>
      <c r="U169" s="23"/>
      <c r="V169" s="23">
        <v>16000</v>
      </c>
      <c r="W169" s="80" t="s">
        <v>1548</v>
      </c>
      <c r="X169" s="24"/>
      <c r="Y169" s="23">
        <v>1</v>
      </c>
      <c r="Z169" s="657"/>
      <c r="AA169" s="990"/>
      <c r="AB169" s="811"/>
      <c r="AC169" s="551"/>
      <c r="AD169" s="551"/>
      <c r="AE169" s="551"/>
      <c r="AG169" s="57"/>
      <c r="AH169" s="57"/>
      <c r="AI169" s="57"/>
      <c r="AJ169" s="57"/>
      <c r="AK169" s="57"/>
      <c r="AL169" s="57"/>
    </row>
    <row r="170" spans="1:38" s="54" customFormat="1" ht="51">
      <c r="A170" s="97" t="s">
        <v>179</v>
      </c>
      <c r="B170" s="93" t="s">
        <v>829</v>
      </c>
      <c r="C170" s="297" t="s">
        <v>222</v>
      </c>
      <c r="D170" s="101"/>
      <c r="E170" s="312"/>
      <c r="F170" s="100"/>
      <c r="G170" s="226">
        <v>635874</v>
      </c>
      <c r="H170" s="226">
        <v>443544</v>
      </c>
      <c r="I170" s="23">
        <v>80000</v>
      </c>
      <c r="J170" s="23">
        <v>71406</v>
      </c>
      <c r="K170" s="23">
        <v>634269</v>
      </c>
      <c r="L170" s="23">
        <v>432127</v>
      </c>
      <c r="M170" s="23">
        <v>0</v>
      </c>
      <c r="N170" s="23">
        <v>126280</v>
      </c>
      <c r="O170" s="23">
        <v>114800</v>
      </c>
      <c r="P170" s="78"/>
      <c r="Q170" s="828">
        <f t="shared" si="65"/>
        <v>165000</v>
      </c>
      <c r="R170" s="860">
        <v>26000</v>
      </c>
      <c r="S170" s="860">
        <v>139000</v>
      </c>
      <c r="T170" s="73">
        <f t="shared" si="66"/>
        <v>139000</v>
      </c>
      <c r="U170" s="23">
        <v>26000</v>
      </c>
      <c r="V170" s="23">
        <v>113000</v>
      </c>
      <c r="W170" s="80" t="s">
        <v>1547</v>
      </c>
      <c r="X170" s="24"/>
      <c r="Y170" s="23">
        <v>1</v>
      </c>
      <c r="Z170" s="657"/>
      <c r="AA170" s="990"/>
      <c r="AB170" s="811"/>
      <c r="AC170" s="551"/>
      <c r="AD170" s="551"/>
      <c r="AE170" s="551"/>
      <c r="AG170" s="57"/>
      <c r="AH170" s="57"/>
      <c r="AI170" s="57"/>
      <c r="AJ170" s="57"/>
      <c r="AK170" s="57"/>
      <c r="AL170" s="57"/>
    </row>
    <row r="171" spans="1:38" s="54" customFormat="1">
      <c r="A171" s="11" t="s">
        <v>150</v>
      </c>
      <c r="B171" s="65" t="s">
        <v>151</v>
      </c>
      <c r="C171" s="19"/>
      <c r="D171" s="19"/>
      <c r="E171" s="70"/>
      <c r="F171" s="80"/>
      <c r="G171" s="15">
        <f t="shared" ref="G171:V171" si="67">SUM(G172:G176)</f>
        <v>1690947</v>
      </c>
      <c r="H171" s="15">
        <f t="shared" si="67"/>
        <v>1270031</v>
      </c>
      <c r="I171" s="15">
        <f t="shared" si="67"/>
        <v>5460</v>
      </c>
      <c r="J171" s="15">
        <f t="shared" si="67"/>
        <v>5460</v>
      </c>
      <c r="K171" s="15">
        <f t="shared" si="67"/>
        <v>1577746</v>
      </c>
      <c r="L171" s="15">
        <f t="shared" si="67"/>
        <v>1233517</v>
      </c>
      <c r="M171" s="15">
        <f t="shared" si="67"/>
        <v>0</v>
      </c>
      <c r="N171" s="15">
        <f t="shared" si="67"/>
        <v>536104</v>
      </c>
      <c r="O171" s="15">
        <f t="shared" si="67"/>
        <v>484114</v>
      </c>
      <c r="P171" s="15">
        <f t="shared" si="67"/>
        <v>0</v>
      </c>
      <c r="Q171" s="846">
        <f t="shared" si="67"/>
        <v>374000</v>
      </c>
      <c r="R171" s="846">
        <f t="shared" si="67"/>
        <v>120000</v>
      </c>
      <c r="S171" s="846">
        <f t="shared" si="67"/>
        <v>254000</v>
      </c>
      <c r="T171" s="15">
        <f t="shared" si="67"/>
        <v>359242</v>
      </c>
      <c r="U171" s="15">
        <f t="shared" si="67"/>
        <v>101369</v>
      </c>
      <c r="V171" s="15">
        <f t="shared" si="67"/>
        <v>257873</v>
      </c>
      <c r="W171" s="89"/>
      <c r="X171" s="89"/>
      <c r="Y171" s="15">
        <f>SUM(Y172:Y176)</f>
        <v>5</v>
      </c>
      <c r="Z171" s="657"/>
      <c r="AA171" s="990"/>
      <c r="AB171" s="811"/>
      <c r="AC171" s="551"/>
      <c r="AD171" s="551"/>
      <c r="AE171" s="551"/>
      <c r="AG171" s="57"/>
      <c r="AH171" s="57"/>
      <c r="AI171" s="57"/>
      <c r="AJ171" s="57"/>
      <c r="AK171" s="57"/>
      <c r="AL171" s="57"/>
    </row>
    <row r="172" spans="1:38" s="54" customFormat="1" ht="105">
      <c r="A172" s="97" t="s">
        <v>27</v>
      </c>
      <c r="B172" s="93" t="s">
        <v>884</v>
      </c>
      <c r="C172" s="297" t="s">
        <v>29</v>
      </c>
      <c r="D172" s="101" t="s">
        <v>885</v>
      </c>
      <c r="E172" s="312" t="s">
        <v>355</v>
      </c>
      <c r="F172" s="100" t="s">
        <v>886</v>
      </c>
      <c r="G172" s="226">
        <v>104310</v>
      </c>
      <c r="H172" s="226">
        <v>104310</v>
      </c>
      <c r="I172" s="23">
        <v>750</v>
      </c>
      <c r="J172" s="23">
        <v>750</v>
      </c>
      <c r="K172" s="23">
        <v>104310</v>
      </c>
      <c r="L172" s="23">
        <v>104310</v>
      </c>
      <c r="M172" s="23"/>
      <c r="N172" s="23">
        <v>30000</v>
      </c>
      <c r="O172" s="23">
        <v>30000</v>
      </c>
      <c r="P172" s="78"/>
      <c r="Q172" s="828">
        <f>SUM(R172:S172)</f>
        <v>20000</v>
      </c>
      <c r="R172" s="860">
        <v>20000</v>
      </c>
      <c r="S172" s="860"/>
      <c r="T172" s="73">
        <f>SUM(U172:V172)</f>
        <v>20000</v>
      </c>
      <c r="U172" s="23">
        <v>20000</v>
      </c>
      <c r="V172" s="23"/>
      <c r="W172" s="80" t="s">
        <v>1549</v>
      </c>
      <c r="X172" s="24"/>
      <c r="Y172" s="23">
        <v>1</v>
      </c>
      <c r="Z172" s="657"/>
      <c r="AA172" s="990"/>
      <c r="AB172" s="811"/>
      <c r="AC172" s="551"/>
      <c r="AD172" s="551"/>
      <c r="AE172" s="551"/>
      <c r="AG172" s="57"/>
      <c r="AH172" s="57"/>
      <c r="AI172" s="57"/>
      <c r="AJ172" s="57"/>
      <c r="AK172" s="57"/>
      <c r="AL172" s="57"/>
    </row>
    <row r="173" spans="1:38" s="54" customFormat="1" ht="45">
      <c r="A173" s="97" t="s">
        <v>41</v>
      </c>
      <c r="B173" s="68" t="s">
        <v>887</v>
      </c>
      <c r="C173" s="19" t="s">
        <v>5</v>
      </c>
      <c r="D173" s="19" t="s">
        <v>888</v>
      </c>
      <c r="E173" s="312" t="s">
        <v>120</v>
      </c>
      <c r="F173" s="80" t="s">
        <v>889</v>
      </c>
      <c r="G173" s="23">
        <f>H173</f>
        <v>81155</v>
      </c>
      <c r="H173" s="23">
        <v>81155</v>
      </c>
      <c r="I173" s="23">
        <f>J173</f>
        <v>127</v>
      </c>
      <c r="J173" s="23">
        <v>127</v>
      </c>
      <c r="K173" s="23">
        <f>L173</f>
        <v>81155</v>
      </c>
      <c r="L173" s="23">
        <v>81155</v>
      </c>
      <c r="M173" s="23"/>
      <c r="N173" s="23">
        <v>18405</v>
      </c>
      <c r="O173" s="23">
        <v>18405</v>
      </c>
      <c r="P173" s="78"/>
      <c r="Q173" s="828">
        <f>SUM(R173:S173)</f>
        <v>16000</v>
      </c>
      <c r="R173" s="860">
        <v>16000</v>
      </c>
      <c r="S173" s="860"/>
      <c r="T173" s="73">
        <f>SUM(U173:V173)</f>
        <v>16000</v>
      </c>
      <c r="U173" s="23">
        <v>16000</v>
      </c>
      <c r="V173" s="23"/>
      <c r="W173" s="80" t="s">
        <v>1545</v>
      </c>
      <c r="X173" s="80"/>
      <c r="Y173" s="23">
        <v>1</v>
      </c>
      <c r="Z173" s="657"/>
      <c r="AA173" s="990"/>
      <c r="AB173" s="811"/>
      <c r="AC173" s="551"/>
      <c r="AD173" s="551"/>
      <c r="AE173" s="551"/>
      <c r="AG173" s="57"/>
      <c r="AH173" s="57"/>
      <c r="AI173" s="57"/>
      <c r="AJ173" s="57"/>
      <c r="AK173" s="57"/>
      <c r="AL173" s="57"/>
    </row>
    <row r="174" spans="1:38" s="54" customFormat="1" ht="45">
      <c r="A174" s="97" t="s">
        <v>58</v>
      </c>
      <c r="B174" s="68" t="s">
        <v>890</v>
      </c>
      <c r="C174" s="19" t="s">
        <v>5</v>
      </c>
      <c r="D174" s="19" t="s">
        <v>891</v>
      </c>
      <c r="E174" s="312" t="s">
        <v>489</v>
      </c>
      <c r="F174" s="80" t="s">
        <v>892</v>
      </c>
      <c r="G174" s="23">
        <f>H174</f>
        <v>16628</v>
      </c>
      <c r="H174" s="23">
        <v>16628</v>
      </c>
      <c r="I174" s="23">
        <f>J174</f>
        <v>32</v>
      </c>
      <c r="J174" s="23">
        <v>32</v>
      </c>
      <c r="K174" s="23">
        <v>16628</v>
      </c>
      <c r="L174" s="23">
        <v>16628</v>
      </c>
      <c r="M174" s="23">
        <v>0</v>
      </c>
      <c r="N174" s="23">
        <v>4809</v>
      </c>
      <c r="O174" s="23">
        <v>4809</v>
      </c>
      <c r="P174" s="78"/>
      <c r="Q174" s="828">
        <v>4000</v>
      </c>
      <c r="R174" s="828">
        <v>4000</v>
      </c>
      <c r="S174" s="860"/>
      <c r="T174" s="73">
        <v>4000</v>
      </c>
      <c r="U174" s="73">
        <v>4000</v>
      </c>
      <c r="V174" s="23"/>
      <c r="W174" s="80" t="s">
        <v>1545</v>
      </c>
      <c r="X174" s="100"/>
      <c r="Y174" s="23">
        <v>1</v>
      </c>
      <c r="Z174" s="657"/>
      <c r="AA174" s="990"/>
      <c r="AB174" s="811"/>
      <c r="AC174" s="551"/>
      <c r="AD174" s="551"/>
      <c r="AE174" s="551"/>
      <c r="AG174" s="57"/>
      <c r="AH174" s="57"/>
      <c r="AI174" s="57"/>
      <c r="AJ174" s="57"/>
      <c r="AK174" s="57"/>
      <c r="AL174" s="57"/>
    </row>
    <row r="175" spans="1:38" s="54" customFormat="1" ht="30">
      <c r="A175" s="97" t="s">
        <v>64</v>
      </c>
      <c r="B175" s="286" t="s">
        <v>848</v>
      </c>
      <c r="C175" s="296" t="s">
        <v>222</v>
      </c>
      <c r="D175" s="305"/>
      <c r="E175" s="885"/>
      <c r="F175" s="704"/>
      <c r="G175" s="228">
        <v>236823</v>
      </c>
      <c r="H175" s="228">
        <v>188151</v>
      </c>
      <c r="I175" s="23">
        <v>1380</v>
      </c>
      <c r="J175" s="23">
        <v>1380</v>
      </c>
      <c r="K175" s="23">
        <v>225653</v>
      </c>
      <c r="L175" s="23">
        <v>181424</v>
      </c>
      <c r="M175" s="23">
        <v>0</v>
      </c>
      <c r="N175" s="23">
        <v>55100</v>
      </c>
      <c r="O175" s="23">
        <v>42000</v>
      </c>
      <c r="P175" s="78"/>
      <c r="Q175" s="828">
        <f>SUM(R175:S175)</f>
        <v>54000</v>
      </c>
      <c r="R175" s="828"/>
      <c r="S175" s="860">
        <v>54000</v>
      </c>
      <c r="T175" s="73">
        <f>SUM(U175:V175)</f>
        <v>54000</v>
      </c>
      <c r="U175" s="73"/>
      <c r="V175" s="23">
        <v>54000</v>
      </c>
      <c r="W175" s="80" t="s">
        <v>1548</v>
      </c>
      <c r="X175" s="24"/>
      <c r="Y175" s="23">
        <v>1</v>
      </c>
      <c r="Z175" s="657">
        <f>T175+T169</f>
        <v>70000</v>
      </c>
      <c r="AA175" s="990"/>
      <c r="AB175" s="811"/>
      <c r="AC175" s="551"/>
      <c r="AD175" s="551"/>
      <c r="AE175" s="551"/>
      <c r="AG175" s="57"/>
      <c r="AH175" s="57"/>
      <c r="AI175" s="57"/>
      <c r="AJ175" s="57"/>
      <c r="AK175" s="57"/>
      <c r="AL175" s="57"/>
    </row>
    <row r="176" spans="1:38" s="54" customFormat="1" ht="33" customHeight="1">
      <c r="A176" s="97" t="s">
        <v>69</v>
      </c>
      <c r="B176" s="68" t="s">
        <v>829</v>
      </c>
      <c r="C176" s="19"/>
      <c r="D176" s="19"/>
      <c r="E176" s="70"/>
      <c r="F176" s="80"/>
      <c r="G176" s="23">
        <v>1252031</v>
      </c>
      <c r="H176" s="23">
        <v>879787</v>
      </c>
      <c r="I176" s="223">
        <v>3171</v>
      </c>
      <c r="J176" s="223">
        <v>3171</v>
      </c>
      <c r="K176" s="23">
        <v>1150000</v>
      </c>
      <c r="L176" s="23">
        <v>850000</v>
      </c>
      <c r="M176" s="23"/>
      <c r="N176" s="23">
        <v>427790</v>
      </c>
      <c r="O176" s="23">
        <v>388900</v>
      </c>
      <c r="P176" s="78"/>
      <c r="Q176" s="828">
        <f>SUM(R176:S176)</f>
        <v>280000</v>
      </c>
      <c r="R176" s="828">
        <v>80000</v>
      </c>
      <c r="S176" s="860">
        <v>200000</v>
      </c>
      <c r="T176" s="73">
        <f>SUM(U176:V176)</f>
        <v>265242</v>
      </c>
      <c r="U176" s="73">
        <v>61369</v>
      </c>
      <c r="V176" s="23">
        <v>203873</v>
      </c>
      <c r="W176" s="80" t="s">
        <v>1547</v>
      </c>
      <c r="X176" s="100"/>
      <c r="Y176" s="23">
        <v>1</v>
      </c>
      <c r="Z176" s="657">
        <f>T176+T170</f>
        <v>404242</v>
      </c>
      <c r="AA176" s="990"/>
      <c r="AB176" s="811"/>
      <c r="AC176" s="551"/>
      <c r="AD176" s="551"/>
      <c r="AE176" s="551"/>
      <c r="AG176" s="57"/>
      <c r="AH176" s="57"/>
      <c r="AI176" s="57"/>
      <c r="AJ176" s="57"/>
      <c r="AK176" s="57"/>
      <c r="AL176" s="57"/>
    </row>
    <row r="177" spans="1:38" s="633" customFormat="1" ht="33" customHeight="1">
      <c r="A177" s="630" t="s">
        <v>556</v>
      </c>
      <c r="B177" s="618" t="s">
        <v>1146</v>
      </c>
      <c r="C177" s="625"/>
      <c r="D177" s="625"/>
      <c r="E177" s="626"/>
      <c r="F177" s="690"/>
      <c r="G177" s="636">
        <f t="shared" ref="G177:V177" si="68">G178+G195</f>
        <v>1886529</v>
      </c>
      <c r="H177" s="636">
        <f t="shared" si="68"/>
        <v>1367251</v>
      </c>
      <c r="I177" s="636">
        <f t="shared" si="68"/>
        <v>431762</v>
      </c>
      <c r="J177" s="636">
        <f t="shared" si="68"/>
        <v>264928</v>
      </c>
      <c r="K177" s="636">
        <f t="shared" si="68"/>
        <v>1511591.7200000002</v>
      </c>
      <c r="L177" s="636">
        <f t="shared" si="68"/>
        <v>1175637.7</v>
      </c>
      <c r="M177" s="636">
        <f t="shared" si="68"/>
        <v>0</v>
      </c>
      <c r="N177" s="636">
        <f t="shared" si="68"/>
        <v>585721</v>
      </c>
      <c r="O177" s="636">
        <f t="shared" si="68"/>
        <v>265418</v>
      </c>
      <c r="P177" s="636">
        <f t="shared" si="68"/>
        <v>0</v>
      </c>
      <c r="Q177" s="855">
        <f t="shared" si="68"/>
        <v>202505</v>
      </c>
      <c r="R177" s="855">
        <f t="shared" si="68"/>
        <v>19186</v>
      </c>
      <c r="S177" s="855">
        <f t="shared" si="68"/>
        <v>183319</v>
      </c>
      <c r="T177" s="636">
        <f t="shared" si="68"/>
        <v>202505</v>
      </c>
      <c r="U177" s="636">
        <f t="shared" si="68"/>
        <v>0</v>
      </c>
      <c r="V177" s="636">
        <f t="shared" si="68"/>
        <v>202505</v>
      </c>
      <c r="W177" s="690"/>
      <c r="X177" s="690"/>
      <c r="Y177" s="636">
        <f>Y178+Y195</f>
        <v>56</v>
      </c>
      <c r="Z177" s="664">
        <f>V177/1177000*100</f>
        <v>17.205182667799491</v>
      </c>
      <c r="AA177" s="990"/>
      <c r="AB177" s="811"/>
      <c r="AC177" s="628"/>
      <c r="AD177" s="628"/>
      <c r="AE177" s="628"/>
      <c r="AG177" s="629"/>
      <c r="AH177" s="629"/>
      <c r="AI177" s="629"/>
      <c r="AJ177" s="629"/>
      <c r="AK177" s="629"/>
      <c r="AL177" s="629"/>
    </row>
    <row r="178" spans="1:38" s="266" customFormat="1">
      <c r="A178" s="64" t="s">
        <v>525</v>
      </c>
      <c r="B178" s="65" t="s">
        <v>26</v>
      </c>
      <c r="C178" s="635"/>
      <c r="D178" s="635"/>
      <c r="E178" s="44"/>
      <c r="F178" s="1012"/>
      <c r="G178" s="45">
        <f t="shared" ref="G178:V178" si="69">SUM(G179:G194)</f>
        <v>560496</v>
      </c>
      <c r="H178" s="45">
        <f t="shared" si="69"/>
        <v>493896</v>
      </c>
      <c r="I178" s="45">
        <f t="shared" si="69"/>
        <v>0</v>
      </c>
      <c r="J178" s="45">
        <f t="shared" si="69"/>
        <v>0</v>
      </c>
      <c r="K178" s="45">
        <f t="shared" si="69"/>
        <v>563034</v>
      </c>
      <c r="L178" s="45">
        <f t="shared" si="69"/>
        <v>496431</v>
      </c>
      <c r="M178" s="45">
        <f t="shared" si="69"/>
        <v>0</v>
      </c>
      <c r="N178" s="45">
        <f t="shared" si="69"/>
        <v>6086</v>
      </c>
      <c r="O178" s="45">
        <f t="shared" si="69"/>
        <v>6086</v>
      </c>
      <c r="P178" s="45">
        <f t="shared" si="69"/>
        <v>0</v>
      </c>
      <c r="Q178" s="827">
        <f t="shared" si="69"/>
        <v>5086</v>
      </c>
      <c r="R178" s="827">
        <f t="shared" si="69"/>
        <v>3386</v>
      </c>
      <c r="S178" s="827">
        <f t="shared" si="69"/>
        <v>1700</v>
      </c>
      <c r="T178" s="45">
        <f t="shared" si="69"/>
        <v>5086</v>
      </c>
      <c r="U178" s="45">
        <f t="shared" si="69"/>
        <v>0</v>
      </c>
      <c r="V178" s="45">
        <f t="shared" si="69"/>
        <v>5086</v>
      </c>
      <c r="W178" s="352"/>
      <c r="X178" s="352"/>
      <c r="Y178" s="45">
        <f>SUM(Y179:Y194)</f>
        <v>16</v>
      </c>
      <c r="Z178" s="657"/>
      <c r="AA178" s="990"/>
      <c r="AB178" s="811"/>
      <c r="AC178" s="551"/>
      <c r="AD178" s="551"/>
      <c r="AE178" s="551"/>
      <c r="AG178" s="265"/>
      <c r="AH178" s="265"/>
      <c r="AI178" s="265"/>
      <c r="AJ178" s="265"/>
      <c r="AK178" s="265"/>
      <c r="AL178" s="265"/>
    </row>
    <row r="179" spans="1:38" s="54" customFormat="1" ht="40.5" customHeight="1">
      <c r="A179" s="190" t="s">
        <v>27</v>
      </c>
      <c r="B179" s="287" t="s">
        <v>894</v>
      </c>
      <c r="C179" s="19" t="s">
        <v>66</v>
      </c>
      <c r="D179" s="635"/>
      <c r="E179" s="44"/>
      <c r="F179" s="80" t="s">
        <v>895</v>
      </c>
      <c r="G179" s="223">
        <v>24740</v>
      </c>
      <c r="H179" s="223">
        <v>24740</v>
      </c>
      <c r="I179" s="72"/>
      <c r="J179" s="72"/>
      <c r="K179" s="72">
        <v>24740</v>
      </c>
      <c r="L179" s="72">
        <v>24740</v>
      </c>
      <c r="M179" s="72"/>
      <c r="N179" s="72">
        <v>886</v>
      </c>
      <c r="O179" s="72">
        <v>886</v>
      </c>
      <c r="P179" s="78"/>
      <c r="Q179" s="123">
        <f t="shared" ref="Q179:Q184" si="70">SUM(R179:S179)</f>
        <v>886</v>
      </c>
      <c r="R179" s="123">
        <v>886</v>
      </c>
      <c r="S179" s="123"/>
      <c r="T179" s="73">
        <f t="shared" ref="T179:T194" si="71">SUM(U179:V179)</f>
        <v>886</v>
      </c>
      <c r="U179" s="72"/>
      <c r="V179" s="72">
        <v>886</v>
      </c>
      <c r="W179" s="1012" t="s">
        <v>1550</v>
      </c>
      <c r="X179" s="1012"/>
      <c r="Y179" s="72">
        <v>1</v>
      </c>
      <c r="Z179" s="657"/>
      <c r="AA179" s="990"/>
      <c r="AB179" s="811"/>
      <c r="AC179" s="551"/>
      <c r="AD179" s="551"/>
      <c r="AE179" s="551"/>
      <c r="AG179" s="57"/>
      <c r="AH179" s="57"/>
      <c r="AI179" s="57"/>
      <c r="AJ179" s="57"/>
      <c r="AK179" s="57"/>
      <c r="AL179" s="57"/>
    </row>
    <row r="180" spans="1:38" s="54" customFormat="1">
      <c r="A180" s="190" t="s">
        <v>41</v>
      </c>
      <c r="B180" s="287" t="s">
        <v>917</v>
      </c>
      <c r="C180" s="19" t="s">
        <v>29</v>
      </c>
      <c r="D180" s="635" t="s">
        <v>918</v>
      </c>
      <c r="E180" s="44" t="s">
        <v>120</v>
      </c>
      <c r="F180" s="1012"/>
      <c r="G180" s="72">
        <v>178812</v>
      </c>
      <c r="H180" s="72">
        <v>112212</v>
      </c>
      <c r="I180" s="72"/>
      <c r="J180" s="72"/>
      <c r="K180" s="72">
        <v>178812</v>
      </c>
      <c r="L180" s="72">
        <v>112212</v>
      </c>
      <c r="M180" s="72"/>
      <c r="N180" s="72">
        <v>2000</v>
      </c>
      <c r="O180" s="72">
        <v>2000</v>
      </c>
      <c r="P180" s="78"/>
      <c r="Q180" s="123">
        <f t="shared" si="70"/>
        <v>1000</v>
      </c>
      <c r="R180" s="123">
        <v>1000</v>
      </c>
      <c r="S180" s="123"/>
      <c r="T180" s="73">
        <f t="shared" si="71"/>
        <v>1000</v>
      </c>
      <c r="U180" s="72"/>
      <c r="V180" s="72">
        <v>1000</v>
      </c>
      <c r="W180" s="1012" t="s">
        <v>1550</v>
      </c>
      <c r="X180" s="80"/>
      <c r="Y180" s="72">
        <v>1</v>
      </c>
      <c r="Z180" s="657"/>
      <c r="AA180" s="990"/>
      <c r="AB180" s="811"/>
      <c r="AC180" s="551"/>
      <c r="AD180" s="551"/>
      <c r="AE180" s="551"/>
      <c r="AG180" s="57"/>
      <c r="AH180" s="57"/>
      <c r="AI180" s="57"/>
      <c r="AJ180" s="57"/>
      <c r="AK180" s="57"/>
      <c r="AL180" s="57"/>
    </row>
    <row r="181" spans="1:38" s="54" customFormat="1" ht="90">
      <c r="A181" s="190" t="s">
        <v>58</v>
      </c>
      <c r="B181" s="287" t="s">
        <v>920</v>
      </c>
      <c r="C181" s="19" t="s">
        <v>29</v>
      </c>
      <c r="D181" s="635" t="s">
        <v>921</v>
      </c>
      <c r="E181" s="44" t="s">
        <v>154</v>
      </c>
      <c r="F181" s="706"/>
      <c r="G181" s="72">
        <v>19000</v>
      </c>
      <c r="H181" s="72">
        <v>19000</v>
      </c>
      <c r="I181" s="72"/>
      <c r="J181" s="72"/>
      <c r="K181" s="72">
        <v>19000</v>
      </c>
      <c r="L181" s="72">
        <v>19000</v>
      </c>
      <c r="M181" s="72"/>
      <c r="N181" s="72">
        <v>300</v>
      </c>
      <c r="O181" s="72">
        <v>300</v>
      </c>
      <c r="P181" s="78"/>
      <c r="Q181" s="123">
        <f t="shared" si="70"/>
        <v>300</v>
      </c>
      <c r="R181" s="123"/>
      <c r="S181" s="123">
        <v>300</v>
      </c>
      <c r="T181" s="73">
        <f t="shared" si="71"/>
        <v>300</v>
      </c>
      <c r="U181" s="72"/>
      <c r="V181" s="72">
        <v>300</v>
      </c>
      <c r="W181" s="1012" t="s">
        <v>1550</v>
      </c>
      <c r="X181" s="1012" t="s">
        <v>1113</v>
      </c>
      <c r="Y181" s="72">
        <v>1</v>
      </c>
      <c r="Z181" s="657"/>
      <c r="AA181" s="990"/>
      <c r="AB181" s="811"/>
      <c r="AC181" s="551"/>
      <c r="AD181" s="551"/>
      <c r="AE181" s="551"/>
      <c r="AG181" s="57"/>
      <c r="AH181" s="57"/>
      <c r="AI181" s="57"/>
      <c r="AJ181" s="57"/>
      <c r="AK181" s="57"/>
      <c r="AL181" s="57"/>
    </row>
    <row r="182" spans="1:38" s="54" customFormat="1" ht="105">
      <c r="A182" s="190" t="s">
        <v>64</v>
      </c>
      <c r="B182" s="287" t="s">
        <v>922</v>
      </c>
      <c r="C182" s="19" t="s">
        <v>29</v>
      </c>
      <c r="D182" s="635" t="s">
        <v>923</v>
      </c>
      <c r="E182" s="44" t="s">
        <v>355</v>
      </c>
      <c r="F182" s="707"/>
      <c r="G182" s="72">
        <v>265048</v>
      </c>
      <c r="H182" s="72">
        <v>265048</v>
      </c>
      <c r="I182" s="72"/>
      <c r="J182" s="72"/>
      <c r="K182" s="72">
        <v>265048</v>
      </c>
      <c r="L182" s="72">
        <v>265048</v>
      </c>
      <c r="M182" s="72"/>
      <c r="N182" s="72">
        <v>1000</v>
      </c>
      <c r="O182" s="72">
        <v>1000</v>
      </c>
      <c r="P182" s="78"/>
      <c r="Q182" s="123">
        <f t="shared" si="70"/>
        <v>1000</v>
      </c>
      <c r="R182" s="123"/>
      <c r="S182" s="123">
        <v>1000</v>
      </c>
      <c r="T182" s="73">
        <f t="shared" si="71"/>
        <v>1000</v>
      </c>
      <c r="U182" s="72"/>
      <c r="V182" s="72">
        <v>1000</v>
      </c>
      <c r="W182" s="1012" t="s">
        <v>1550</v>
      </c>
      <c r="X182" s="1012" t="s">
        <v>1114</v>
      </c>
      <c r="Y182" s="72">
        <v>1</v>
      </c>
      <c r="Z182" s="657"/>
      <c r="AA182" s="990"/>
      <c r="AB182" s="811"/>
      <c r="AC182" s="551"/>
      <c r="AD182" s="551"/>
      <c r="AE182" s="551"/>
      <c r="AG182" s="57"/>
      <c r="AH182" s="57"/>
      <c r="AI182" s="57"/>
      <c r="AJ182" s="57"/>
      <c r="AK182" s="57"/>
      <c r="AL182" s="57"/>
    </row>
    <row r="183" spans="1:38" s="54" customFormat="1" ht="51">
      <c r="A183" s="190" t="s">
        <v>69</v>
      </c>
      <c r="B183" s="288" t="s">
        <v>898</v>
      </c>
      <c r="C183" s="19" t="s">
        <v>29</v>
      </c>
      <c r="D183" s="19" t="s">
        <v>899</v>
      </c>
      <c r="E183" s="70" t="s">
        <v>120</v>
      </c>
      <c r="F183" s="706"/>
      <c r="G183" s="72">
        <v>6414</v>
      </c>
      <c r="H183" s="72">
        <v>6414</v>
      </c>
      <c r="I183" s="72"/>
      <c r="J183" s="72"/>
      <c r="K183" s="72">
        <v>6414</v>
      </c>
      <c r="L183" s="72">
        <v>6414</v>
      </c>
      <c r="M183" s="72"/>
      <c r="N183" s="72">
        <v>200</v>
      </c>
      <c r="O183" s="72">
        <v>200</v>
      </c>
      <c r="P183" s="78"/>
      <c r="Q183" s="123">
        <f t="shared" si="70"/>
        <v>200</v>
      </c>
      <c r="R183" s="123"/>
      <c r="S183" s="123">
        <v>200</v>
      </c>
      <c r="T183" s="73">
        <f t="shared" si="71"/>
        <v>200</v>
      </c>
      <c r="U183" s="72"/>
      <c r="V183" s="72">
        <v>200</v>
      </c>
      <c r="W183" s="1012" t="s">
        <v>1527</v>
      </c>
      <c r="X183" s="80" t="s">
        <v>1105</v>
      </c>
      <c r="Y183" s="72">
        <v>1</v>
      </c>
      <c r="Z183" s="657"/>
      <c r="AA183" s="990"/>
      <c r="AB183" s="811"/>
      <c r="AC183" s="551"/>
      <c r="AD183" s="551"/>
      <c r="AE183" s="551"/>
      <c r="AG183" s="57"/>
      <c r="AH183" s="57"/>
      <c r="AI183" s="57"/>
      <c r="AJ183" s="57"/>
      <c r="AK183" s="57"/>
      <c r="AL183" s="57"/>
    </row>
    <row r="184" spans="1:38" s="54" customFormat="1" ht="51">
      <c r="A184" s="190" t="s">
        <v>74</v>
      </c>
      <c r="B184" s="288" t="s">
        <v>900</v>
      </c>
      <c r="C184" s="19" t="s">
        <v>85</v>
      </c>
      <c r="D184" s="19" t="s">
        <v>901</v>
      </c>
      <c r="E184" s="44" t="s">
        <v>163</v>
      </c>
      <c r="F184" s="80"/>
      <c r="G184" s="72">
        <v>6133</v>
      </c>
      <c r="H184" s="72">
        <v>6133</v>
      </c>
      <c r="I184" s="72"/>
      <c r="J184" s="72"/>
      <c r="K184" s="72">
        <v>6133</v>
      </c>
      <c r="L184" s="72">
        <v>6133</v>
      </c>
      <c r="M184" s="72"/>
      <c r="N184" s="72">
        <v>200</v>
      </c>
      <c r="O184" s="72">
        <v>200</v>
      </c>
      <c r="P184" s="78"/>
      <c r="Q184" s="123">
        <f t="shared" si="70"/>
        <v>200</v>
      </c>
      <c r="R184" s="123"/>
      <c r="S184" s="123">
        <v>200</v>
      </c>
      <c r="T184" s="73">
        <f t="shared" si="71"/>
        <v>200</v>
      </c>
      <c r="U184" s="72"/>
      <c r="V184" s="72">
        <v>200</v>
      </c>
      <c r="W184" s="1012" t="s">
        <v>1525</v>
      </c>
      <c r="X184" s="80" t="s">
        <v>1106</v>
      </c>
      <c r="Y184" s="72">
        <v>1</v>
      </c>
      <c r="Z184" s="657"/>
      <c r="AA184" s="990"/>
      <c r="AB184" s="811"/>
      <c r="AC184" s="551"/>
      <c r="AD184" s="551"/>
      <c r="AE184" s="551"/>
      <c r="AG184" s="57"/>
      <c r="AH184" s="57"/>
      <c r="AI184" s="57"/>
      <c r="AJ184" s="57"/>
      <c r="AK184" s="57"/>
      <c r="AL184" s="57"/>
    </row>
    <row r="185" spans="1:38" s="54" customFormat="1" ht="51">
      <c r="A185" s="190" t="s">
        <v>141</v>
      </c>
      <c r="B185" s="288" t="s">
        <v>905</v>
      </c>
      <c r="C185" s="19" t="s">
        <v>143</v>
      </c>
      <c r="D185" s="19" t="s">
        <v>906</v>
      </c>
      <c r="E185" s="70" t="s">
        <v>355</v>
      </c>
      <c r="F185" s="706"/>
      <c r="G185" s="72">
        <v>6249</v>
      </c>
      <c r="H185" s="72">
        <v>6249</v>
      </c>
      <c r="I185" s="72"/>
      <c r="J185" s="72"/>
      <c r="K185" s="72">
        <v>6249</v>
      </c>
      <c r="L185" s="72">
        <v>6249</v>
      </c>
      <c r="M185" s="72"/>
      <c r="N185" s="72">
        <v>200</v>
      </c>
      <c r="O185" s="72">
        <v>200</v>
      </c>
      <c r="P185" s="78"/>
      <c r="Q185" s="123">
        <v>200</v>
      </c>
      <c r="R185" s="123">
        <v>200</v>
      </c>
      <c r="S185" s="123"/>
      <c r="T185" s="73">
        <f t="shared" si="71"/>
        <v>200</v>
      </c>
      <c r="U185" s="72"/>
      <c r="V185" s="72">
        <v>200</v>
      </c>
      <c r="W185" s="1012" t="s">
        <v>1518</v>
      </c>
      <c r="X185" s="80" t="s">
        <v>1109</v>
      </c>
      <c r="Y185" s="72">
        <v>1</v>
      </c>
      <c r="Z185" s="657"/>
      <c r="AA185" s="990"/>
      <c r="AB185" s="811"/>
      <c r="AC185" s="551"/>
      <c r="AD185" s="551"/>
      <c r="AE185" s="551"/>
      <c r="AG185" s="57"/>
      <c r="AH185" s="57"/>
      <c r="AI185" s="57"/>
      <c r="AJ185" s="57"/>
      <c r="AK185" s="57"/>
      <c r="AL185" s="57"/>
    </row>
    <row r="186" spans="1:38" s="54" customFormat="1" ht="30">
      <c r="A186" s="190" t="s">
        <v>146</v>
      </c>
      <c r="B186" s="288" t="s">
        <v>907</v>
      </c>
      <c r="C186" s="19" t="s">
        <v>143</v>
      </c>
      <c r="D186" s="19" t="s">
        <v>1676</v>
      </c>
      <c r="E186" s="70" t="s">
        <v>355</v>
      </c>
      <c r="F186" s="80"/>
      <c r="G186" s="72">
        <v>3459</v>
      </c>
      <c r="H186" s="72">
        <v>3459</v>
      </c>
      <c r="I186" s="72"/>
      <c r="J186" s="72"/>
      <c r="K186" s="72">
        <v>3459</v>
      </c>
      <c r="L186" s="72">
        <v>3459</v>
      </c>
      <c r="M186" s="72"/>
      <c r="N186" s="72">
        <v>50</v>
      </c>
      <c r="O186" s="72">
        <v>50</v>
      </c>
      <c r="P186" s="78"/>
      <c r="Q186" s="123">
        <f t="shared" ref="Q186:Q194" si="72">SUM(R186:S186)</f>
        <v>50</v>
      </c>
      <c r="R186" s="123">
        <v>50</v>
      </c>
      <c r="S186" s="123"/>
      <c r="T186" s="73">
        <f t="shared" si="71"/>
        <v>50</v>
      </c>
      <c r="U186" s="72"/>
      <c r="V186" s="72">
        <v>50</v>
      </c>
      <c r="W186" s="1012" t="s">
        <v>1518</v>
      </c>
      <c r="X186" s="80" t="s">
        <v>1582</v>
      </c>
      <c r="Y186" s="72">
        <v>1</v>
      </c>
      <c r="Z186" s="657"/>
      <c r="AA186" s="990"/>
      <c r="AB186" s="811"/>
      <c r="AC186" s="551"/>
      <c r="AD186" s="551"/>
      <c r="AE186" s="551"/>
      <c r="AG186" s="57"/>
      <c r="AH186" s="57"/>
      <c r="AI186" s="57"/>
      <c r="AJ186" s="57"/>
      <c r="AK186" s="57"/>
      <c r="AL186" s="57"/>
    </row>
    <row r="187" spans="1:38" s="54" customFormat="1" ht="30">
      <c r="A187" s="190" t="s">
        <v>179</v>
      </c>
      <c r="B187" s="288" t="s">
        <v>1675</v>
      </c>
      <c r="C187" s="19" t="s">
        <v>143</v>
      </c>
      <c r="D187" s="19" t="s">
        <v>1676</v>
      </c>
      <c r="E187" s="70" t="s">
        <v>355</v>
      </c>
      <c r="F187" s="80"/>
      <c r="G187" s="72">
        <v>2990</v>
      </c>
      <c r="H187" s="72">
        <v>2990</v>
      </c>
      <c r="I187" s="72"/>
      <c r="J187" s="72"/>
      <c r="K187" s="72">
        <v>2990</v>
      </c>
      <c r="L187" s="72">
        <v>2990</v>
      </c>
      <c r="M187" s="72"/>
      <c r="N187" s="72">
        <v>50</v>
      </c>
      <c r="O187" s="72">
        <v>50</v>
      </c>
      <c r="P187" s="78"/>
      <c r="Q187" s="123">
        <f t="shared" si="72"/>
        <v>50</v>
      </c>
      <c r="R187" s="123">
        <v>50</v>
      </c>
      <c r="S187" s="123"/>
      <c r="T187" s="73">
        <f t="shared" si="71"/>
        <v>50</v>
      </c>
      <c r="U187" s="72"/>
      <c r="V187" s="72">
        <v>50</v>
      </c>
      <c r="W187" s="1012" t="s">
        <v>1518</v>
      </c>
      <c r="X187" s="80" t="s">
        <v>1582</v>
      </c>
      <c r="Y187" s="72">
        <v>1</v>
      </c>
      <c r="Z187" s="657"/>
      <c r="AA187" s="990"/>
      <c r="AB187" s="811"/>
      <c r="AC187" s="551"/>
      <c r="AD187" s="551"/>
      <c r="AE187" s="551"/>
      <c r="AG187" s="57"/>
      <c r="AH187" s="57"/>
      <c r="AI187" s="57"/>
      <c r="AJ187" s="57"/>
      <c r="AK187" s="57"/>
      <c r="AL187" s="57"/>
    </row>
    <row r="188" spans="1:38" s="54" customFormat="1" ht="51">
      <c r="A188" s="190" t="s">
        <v>182</v>
      </c>
      <c r="B188" s="287" t="s">
        <v>896</v>
      </c>
      <c r="C188" s="19" t="s">
        <v>173</v>
      </c>
      <c r="D188" s="19" t="s">
        <v>913</v>
      </c>
      <c r="E188" s="44" t="s">
        <v>163</v>
      </c>
      <c r="F188" s="1012"/>
      <c r="G188" s="72">
        <v>8242</v>
      </c>
      <c r="H188" s="72">
        <v>8242</v>
      </c>
      <c r="I188" s="72"/>
      <c r="J188" s="72"/>
      <c r="K188" s="72">
        <v>8212</v>
      </c>
      <c r="L188" s="72">
        <v>8212</v>
      </c>
      <c r="M188" s="72"/>
      <c r="N188" s="72">
        <v>200</v>
      </c>
      <c r="O188" s="72">
        <v>200</v>
      </c>
      <c r="P188" s="78"/>
      <c r="Q188" s="123">
        <f t="shared" si="72"/>
        <v>200</v>
      </c>
      <c r="R188" s="123">
        <v>200</v>
      </c>
      <c r="S188" s="123"/>
      <c r="T188" s="73">
        <f t="shared" si="71"/>
        <v>200</v>
      </c>
      <c r="U188" s="72"/>
      <c r="V188" s="72">
        <v>200</v>
      </c>
      <c r="W188" s="1012" t="s">
        <v>1551</v>
      </c>
      <c r="X188" s="80" t="s">
        <v>1104</v>
      </c>
      <c r="Y188" s="72">
        <v>1</v>
      </c>
      <c r="Z188" s="657"/>
      <c r="AA188" s="990"/>
      <c r="AB188" s="811"/>
      <c r="AC188" s="551"/>
      <c r="AD188" s="551"/>
      <c r="AE188" s="551"/>
      <c r="AG188" s="57"/>
      <c r="AH188" s="57"/>
      <c r="AI188" s="57"/>
      <c r="AJ188" s="57"/>
      <c r="AK188" s="57"/>
      <c r="AL188" s="57"/>
    </row>
    <row r="189" spans="1:38" s="54" customFormat="1" ht="38.25">
      <c r="A189" s="190" t="s">
        <v>187</v>
      </c>
      <c r="B189" s="288" t="s">
        <v>902</v>
      </c>
      <c r="C189" s="19" t="s">
        <v>112</v>
      </c>
      <c r="D189" s="19"/>
      <c r="E189" s="70" t="s">
        <v>163</v>
      </c>
      <c r="F189" s="706"/>
      <c r="G189" s="72">
        <v>6640</v>
      </c>
      <c r="H189" s="72">
        <v>6640</v>
      </c>
      <c r="I189" s="72"/>
      <c r="J189" s="72"/>
      <c r="K189" s="72">
        <v>6640</v>
      </c>
      <c r="L189" s="72">
        <v>6640</v>
      </c>
      <c r="M189" s="72"/>
      <c r="N189" s="72">
        <v>200</v>
      </c>
      <c r="O189" s="72">
        <v>200</v>
      </c>
      <c r="P189" s="78"/>
      <c r="Q189" s="123">
        <f t="shared" si="72"/>
        <v>200</v>
      </c>
      <c r="R189" s="123">
        <v>200</v>
      </c>
      <c r="S189" s="123"/>
      <c r="T189" s="73">
        <f t="shared" si="71"/>
        <v>200</v>
      </c>
      <c r="U189" s="72"/>
      <c r="V189" s="72">
        <v>200</v>
      </c>
      <c r="W189" s="1012" t="s">
        <v>1551</v>
      </c>
      <c r="X189" s="80" t="s">
        <v>1107</v>
      </c>
      <c r="Y189" s="72">
        <v>1</v>
      </c>
      <c r="Z189" s="657"/>
      <c r="AA189" s="990"/>
      <c r="AB189" s="811"/>
      <c r="AC189" s="551"/>
      <c r="AD189" s="551"/>
      <c r="AE189" s="551"/>
      <c r="AG189" s="57"/>
      <c r="AH189" s="57"/>
      <c r="AI189" s="57"/>
      <c r="AJ189" s="57"/>
      <c r="AK189" s="57"/>
      <c r="AL189" s="57"/>
    </row>
    <row r="190" spans="1:38" s="54" customFormat="1" ht="75">
      <c r="A190" s="190" t="s">
        <v>191</v>
      </c>
      <c r="B190" s="288" t="s">
        <v>903</v>
      </c>
      <c r="C190" s="19" t="s">
        <v>260</v>
      </c>
      <c r="D190" s="19" t="s">
        <v>904</v>
      </c>
      <c r="E190" s="70" t="s">
        <v>163</v>
      </c>
      <c r="F190" s="706"/>
      <c r="G190" s="72">
        <v>5806</v>
      </c>
      <c r="H190" s="72">
        <v>5806</v>
      </c>
      <c r="I190" s="72"/>
      <c r="J190" s="72"/>
      <c r="K190" s="72">
        <v>5806</v>
      </c>
      <c r="L190" s="72">
        <v>5806</v>
      </c>
      <c r="M190" s="72"/>
      <c r="N190" s="72">
        <v>150</v>
      </c>
      <c r="O190" s="72">
        <v>150</v>
      </c>
      <c r="P190" s="78"/>
      <c r="Q190" s="123">
        <f t="shared" si="72"/>
        <v>150</v>
      </c>
      <c r="R190" s="123">
        <v>150</v>
      </c>
      <c r="S190" s="123"/>
      <c r="T190" s="73">
        <f t="shared" si="71"/>
        <v>150</v>
      </c>
      <c r="U190" s="72"/>
      <c r="V190" s="72">
        <v>150</v>
      </c>
      <c r="W190" s="1012" t="s">
        <v>1551</v>
      </c>
      <c r="X190" s="80" t="s">
        <v>1108</v>
      </c>
      <c r="Y190" s="72">
        <v>1</v>
      </c>
      <c r="Z190" s="657"/>
      <c r="AA190" s="990"/>
      <c r="AB190" s="811"/>
      <c r="AC190" s="551"/>
      <c r="AD190" s="551"/>
      <c r="AE190" s="551"/>
      <c r="AG190" s="57"/>
      <c r="AH190" s="57"/>
      <c r="AI190" s="57"/>
      <c r="AJ190" s="57"/>
      <c r="AK190" s="57"/>
      <c r="AL190" s="57"/>
    </row>
    <row r="191" spans="1:38" s="54" customFormat="1" ht="51">
      <c r="A191" s="190" t="s">
        <v>195</v>
      </c>
      <c r="B191" s="288" t="s">
        <v>908</v>
      </c>
      <c r="C191" s="19" t="s">
        <v>71</v>
      </c>
      <c r="D191" s="19" t="s">
        <v>909</v>
      </c>
      <c r="E191" s="70" t="s">
        <v>154</v>
      </c>
      <c r="F191" s="706"/>
      <c r="G191" s="72">
        <v>5839</v>
      </c>
      <c r="H191" s="72">
        <v>5839</v>
      </c>
      <c r="I191" s="72"/>
      <c r="J191" s="72"/>
      <c r="K191" s="72">
        <v>5839</v>
      </c>
      <c r="L191" s="72">
        <v>5839</v>
      </c>
      <c r="M191" s="72"/>
      <c r="N191" s="72">
        <v>150</v>
      </c>
      <c r="O191" s="72">
        <v>150</v>
      </c>
      <c r="P191" s="78"/>
      <c r="Q191" s="123">
        <f t="shared" si="72"/>
        <v>150</v>
      </c>
      <c r="R191" s="123">
        <v>150</v>
      </c>
      <c r="S191" s="123"/>
      <c r="T191" s="73">
        <f t="shared" si="71"/>
        <v>150</v>
      </c>
      <c r="U191" s="72"/>
      <c r="V191" s="72">
        <v>150</v>
      </c>
      <c r="W191" s="1012" t="s">
        <v>1516</v>
      </c>
      <c r="X191" s="80" t="s">
        <v>1110</v>
      </c>
      <c r="Y191" s="72">
        <v>1</v>
      </c>
      <c r="Z191" s="657"/>
      <c r="AA191" s="990"/>
      <c r="AB191" s="811"/>
      <c r="AC191" s="551"/>
      <c r="AD191" s="551"/>
      <c r="AE191" s="551"/>
      <c r="AG191" s="57"/>
      <c r="AH191" s="57"/>
      <c r="AI191" s="57"/>
      <c r="AJ191" s="57"/>
      <c r="AK191" s="57"/>
      <c r="AL191" s="57"/>
    </row>
    <row r="192" spans="1:38" s="54" customFormat="1" ht="51">
      <c r="A192" s="190" t="s">
        <v>590</v>
      </c>
      <c r="B192" s="288" t="s">
        <v>910</v>
      </c>
      <c r="C192" s="19" t="s">
        <v>71</v>
      </c>
      <c r="D192" s="19" t="s">
        <v>911</v>
      </c>
      <c r="E192" s="70" t="s">
        <v>154</v>
      </c>
      <c r="F192" s="706"/>
      <c r="G192" s="72">
        <v>6838</v>
      </c>
      <c r="H192" s="72">
        <v>6838</v>
      </c>
      <c r="I192" s="72"/>
      <c r="J192" s="72"/>
      <c r="K192" s="72">
        <v>6838</v>
      </c>
      <c r="L192" s="72">
        <v>6838</v>
      </c>
      <c r="M192" s="72"/>
      <c r="N192" s="72">
        <v>200</v>
      </c>
      <c r="O192" s="72">
        <v>200</v>
      </c>
      <c r="P192" s="78"/>
      <c r="Q192" s="123">
        <f t="shared" si="72"/>
        <v>200</v>
      </c>
      <c r="R192" s="123">
        <v>200</v>
      </c>
      <c r="S192" s="123"/>
      <c r="T192" s="73">
        <f t="shared" si="71"/>
        <v>200</v>
      </c>
      <c r="U192" s="72"/>
      <c r="V192" s="72">
        <v>200</v>
      </c>
      <c r="W192" s="1012" t="s">
        <v>1516</v>
      </c>
      <c r="X192" s="80" t="s">
        <v>1110</v>
      </c>
      <c r="Y192" s="72">
        <v>1</v>
      </c>
      <c r="Z192" s="657"/>
      <c r="AA192" s="990"/>
      <c r="AB192" s="811"/>
      <c r="AC192" s="551"/>
      <c r="AD192" s="551"/>
      <c r="AE192" s="551"/>
      <c r="AG192" s="57"/>
      <c r="AH192" s="57"/>
      <c r="AI192" s="57"/>
      <c r="AJ192" s="57"/>
      <c r="AK192" s="57"/>
      <c r="AL192" s="57"/>
    </row>
    <row r="193" spans="1:38" s="54" customFormat="1">
      <c r="A193" s="190" t="s">
        <v>591</v>
      </c>
      <c r="B193" s="287" t="s">
        <v>897</v>
      </c>
      <c r="C193" s="19" t="s">
        <v>60</v>
      </c>
      <c r="D193" s="635"/>
      <c r="E193" s="44"/>
      <c r="F193" s="1012"/>
      <c r="G193" s="72">
        <v>6000</v>
      </c>
      <c r="H193" s="72">
        <v>6000</v>
      </c>
      <c r="I193" s="72"/>
      <c r="J193" s="72"/>
      <c r="K193" s="72">
        <v>8568</v>
      </c>
      <c r="L193" s="72">
        <v>8565</v>
      </c>
      <c r="M193" s="72"/>
      <c r="N193" s="72">
        <v>100</v>
      </c>
      <c r="O193" s="72">
        <v>100</v>
      </c>
      <c r="P193" s="78"/>
      <c r="Q193" s="123">
        <f t="shared" si="72"/>
        <v>100</v>
      </c>
      <c r="R193" s="123">
        <v>100</v>
      </c>
      <c r="S193" s="123"/>
      <c r="T193" s="73">
        <f t="shared" si="71"/>
        <v>100</v>
      </c>
      <c r="U193" s="72"/>
      <c r="V193" s="72">
        <v>100</v>
      </c>
      <c r="W193" s="513" t="s">
        <v>1517</v>
      </c>
      <c r="X193" s="80" t="s">
        <v>1582</v>
      </c>
      <c r="Y193" s="72">
        <v>1</v>
      </c>
      <c r="Z193" s="657"/>
      <c r="AA193" s="990"/>
      <c r="AB193" s="811"/>
      <c r="AC193" s="551"/>
      <c r="AD193" s="551"/>
      <c r="AE193" s="551"/>
      <c r="AG193" s="57"/>
      <c r="AH193" s="57"/>
      <c r="AI193" s="57"/>
      <c r="AJ193" s="57"/>
      <c r="AK193" s="57"/>
      <c r="AL193" s="57"/>
    </row>
    <row r="194" spans="1:38" s="54" customFormat="1" ht="51">
      <c r="A194" s="190" t="s">
        <v>916</v>
      </c>
      <c r="B194" s="288" t="s">
        <v>912</v>
      </c>
      <c r="C194" s="19" t="s">
        <v>60</v>
      </c>
      <c r="D194" s="19" t="s">
        <v>913</v>
      </c>
      <c r="E194" s="70" t="s">
        <v>154</v>
      </c>
      <c r="F194" s="706"/>
      <c r="G194" s="72">
        <v>8286</v>
      </c>
      <c r="H194" s="72">
        <v>8286</v>
      </c>
      <c r="I194" s="72"/>
      <c r="J194" s="72"/>
      <c r="K194" s="72">
        <v>8286</v>
      </c>
      <c r="L194" s="72">
        <v>8286</v>
      </c>
      <c r="M194" s="72"/>
      <c r="N194" s="72">
        <v>200</v>
      </c>
      <c r="O194" s="72">
        <v>200</v>
      </c>
      <c r="P194" s="78"/>
      <c r="Q194" s="123">
        <f t="shared" si="72"/>
        <v>200</v>
      </c>
      <c r="R194" s="123">
        <v>200</v>
      </c>
      <c r="S194" s="123"/>
      <c r="T194" s="73">
        <f t="shared" si="71"/>
        <v>200</v>
      </c>
      <c r="U194" s="72"/>
      <c r="V194" s="72">
        <v>200</v>
      </c>
      <c r="W194" s="513" t="s">
        <v>1517</v>
      </c>
      <c r="X194" s="80" t="s">
        <v>1111</v>
      </c>
      <c r="Y194" s="72">
        <v>1</v>
      </c>
      <c r="Z194" s="657"/>
      <c r="AA194" s="990"/>
      <c r="AB194" s="811"/>
      <c r="AC194" s="551"/>
      <c r="AD194" s="551"/>
      <c r="AE194" s="551"/>
      <c r="AG194" s="57"/>
      <c r="AH194" s="57"/>
      <c r="AI194" s="57"/>
      <c r="AJ194" s="57"/>
      <c r="AK194" s="57"/>
      <c r="AL194" s="57"/>
    </row>
    <row r="195" spans="1:38" s="266" customFormat="1">
      <c r="A195" s="11" t="s">
        <v>499</v>
      </c>
      <c r="B195" s="65" t="s">
        <v>31</v>
      </c>
      <c r="C195" s="13"/>
      <c r="D195" s="13"/>
      <c r="E195" s="14"/>
      <c r="F195" s="89"/>
      <c r="G195" s="15">
        <f t="shared" ref="G195:V195" si="73">SUM(G196,G205,G212)</f>
        <v>1326033</v>
      </c>
      <c r="H195" s="15">
        <f t="shared" si="73"/>
        <v>873355</v>
      </c>
      <c r="I195" s="15">
        <f t="shared" si="73"/>
        <v>431762</v>
      </c>
      <c r="J195" s="15">
        <f t="shared" si="73"/>
        <v>264928</v>
      </c>
      <c r="K195" s="15">
        <f t="shared" si="73"/>
        <v>948557.72000000009</v>
      </c>
      <c r="L195" s="15">
        <f t="shared" si="73"/>
        <v>679206.7</v>
      </c>
      <c r="M195" s="15">
        <f t="shared" si="73"/>
        <v>0</v>
      </c>
      <c r="N195" s="15">
        <f t="shared" si="73"/>
        <v>579635</v>
      </c>
      <c r="O195" s="15">
        <f t="shared" si="73"/>
        <v>259332</v>
      </c>
      <c r="P195" s="15">
        <f t="shared" si="73"/>
        <v>0</v>
      </c>
      <c r="Q195" s="846">
        <f t="shared" si="73"/>
        <v>197419</v>
      </c>
      <c r="R195" s="846">
        <f t="shared" si="73"/>
        <v>15800</v>
      </c>
      <c r="S195" s="846">
        <f t="shared" si="73"/>
        <v>181619</v>
      </c>
      <c r="T195" s="15">
        <f t="shared" si="73"/>
        <v>197419</v>
      </c>
      <c r="U195" s="15">
        <f t="shared" si="73"/>
        <v>0</v>
      </c>
      <c r="V195" s="15">
        <f t="shared" si="73"/>
        <v>197419</v>
      </c>
      <c r="W195" s="89"/>
      <c r="X195" s="89"/>
      <c r="Y195" s="15">
        <f>SUM(Y196,Y205,Y212)</f>
        <v>40</v>
      </c>
      <c r="Z195" s="657"/>
      <c r="AA195" s="990"/>
      <c r="AB195" s="811"/>
      <c r="AC195" s="551"/>
      <c r="AD195" s="551"/>
      <c r="AE195" s="551"/>
      <c r="AG195" s="265"/>
      <c r="AH195" s="265"/>
      <c r="AI195" s="265"/>
      <c r="AJ195" s="265"/>
      <c r="AK195" s="265"/>
      <c r="AL195" s="265"/>
    </row>
    <row r="196" spans="1:38" s="54" customFormat="1">
      <c r="A196" s="11" t="s">
        <v>78</v>
      </c>
      <c r="B196" s="65" t="s">
        <v>79</v>
      </c>
      <c r="C196" s="19"/>
      <c r="D196" s="19"/>
      <c r="E196" s="70"/>
      <c r="F196" s="80"/>
      <c r="G196" s="15">
        <f t="shared" ref="G196:V196" si="74">SUM(G197:G204)</f>
        <v>480921</v>
      </c>
      <c r="H196" s="15">
        <f t="shared" si="74"/>
        <v>352833</v>
      </c>
      <c r="I196" s="15">
        <f t="shared" si="74"/>
        <v>365760</v>
      </c>
      <c r="J196" s="15">
        <f t="shared" si="74"/>
        <v>237926</v>
      </c>
      <c r="K196" s="15">
        <f t="shared" si="74"/>
        <v>171020</v>
      </c>
      <c r="L196" s="15">
        <f t="shared" si="74"/>
        <v>171020</v>
      </c>
      <c r="M196" s="15">
        <f t="shared" si="74"/>
        <v>0</v>
      </c>
      <c r="N196" s="15">
        <f t="shared" si="74"/>
        <v>40300</v>
      </c>
      <c r="O196" s="15">
        <f t="shared" si="74"/>
        <v>40300</v>
      </c>
      <c r="P196" s="15">
        <f t="shared" si="74"/>
        <v>0</v>
      </c>
      <c r="Q196" s="846">
        <f t="shared" si="74"/>
        <v>39400</v>
      </c>
      <c r="R196" s="846">
        <f t="shared" si="74"/>
        <v>0</v>
      </c>
      <c r="S196" s="846">
        <f t="shared" si="74"/>
        <v>39400</v>
      </c>
      <c r="T196" s="15">
        <f t="shared" si="74"/>
        <v>39400</v>
      </c>
      <c r="U196" s="15">
        <f t="shared" si="74"/>
        <v>0</v>
      </c>
      <c r="V196" s="15">
        <f t="shared" si="74"/>
        <v>39400</v>
      </c>
      <c r="W196" s="89"/>
      <c r="X196" s="89"/>
      <c r="Y196" s="15">
        <f>SUM(Y197:Y204)</f>
        <v>8</v>
      </c>
      <c r="Z196" s="657"/>
      <c r="AA196" s="990"/>
      <c r="AB196" s="811"/>
      <c r="AC196" s="551"/>
      <c r="AD196" s="551"/>
      <c r="AE196" s="551"/>
      <c r="AG196" s="57"/>
      <c r="AH196" s="57"/>
      <c r="AI196" s="57"/>
      <c r="AJ196" s="57"/>
      <c r="AK196" s="57"/>
      <c r="AL196" s="57"/>
    </row>
    <row r="197" spans="1:38" s="54" customFormat="1" ht="25.5">
      <c r="A197" s="97" t="s">
        <v>27</v>
      </c>
      <c r="B197" s="289" t="s">
        <v>952</v>
      </c>
      <c r="C197" s="19" t="s">
        <v>43</v>
      </c>
      <c r="D197" s="19" t="s">
        <v>953</v>
      </c>
      <c r="E197" s="70" t="s">
        <v>82</v>
      </c>
      <c r="F197" s="100" t="s">
        <v>954</v>
      </c>
      <c r="G197" s="22">
        <v>375073</v>
      </c>
      <c r="H197" s="22">
        <f>+G197-108435</f>
        <v>266638</v>
      </c>
      <c r="I197" s="22">
        <f>271207+33161</f>
        <v>304368</v>
      </c>
      <c r="J197" s="22">
        <f>162773+33161</f>
        <v>195934</v>
      </c>
      <c r="K197" s="22">
        <v>103865</v>
      </c>
      <c r="L197" s="22">
        <f>H197-162773</f>
        <v>103865</v>
      </c>
      <c r="M197" s="22">
        <v>0</v>
      </c>
      <c r="N197" s="22">
        <v>16000</v>
      </c>
      <c r="O197" s="22">
        <v>16000</v>
      </c>
      <c r="P197" s="78"/>
      <c r="Q197" s="828">
        <f t="shared" ref="Q197:Q204" si="75">SUM(R197:S197)</f>
        <v>16000</v>
      </c>
      <c r="R197" s="853"/>
      <c r="S197" s="853">
        <v>16000</v>
      </c>
      <c r="T197" s="73">
        <f t="shared" ref="T197:T204" si="76">SUM(U197:V197)</f>
        <v>16000</v>
      </c>
      <c r="U197" s="22"/>
      <c r="V197" s="22">
        <v>16000</v>
      </c>
      <c r="W197" s="1012" t="s">
        <v>1550</v>
      </c>
      <c r="X197" s="24" t="s">
        <v>1677</v>
      </c>
      <c r="Y197" s="22">
        <v>1</v>
      </c>
      <c r="Z197" s="657"/>
      <c r="AA197" s="990"/>
      <c r="AB197" s="811"/>
      <c r="AC197" s="551"/>
      <c r="AD197" s="551"/>
      <c r="AE197" s="551"/>
      <c r="AG197" s="57"/>
      <c r="AH197" s="57"/>
      <c r="AI197" s="57"/>
      <c r="AJ197" s="57"/>
      <c r="AK197" s="57"/>
      <c r="AL197" s="57"/>
    </row>
    <row r="198" spans="1:38" s="54" customFormat="1" ht="30">
      <c r="A198" s="97" t="s">
        <v>41</v>
      </c>
      <c r="B198" s="289" t="s">
        <v>955</v>
      </c>
      <c r="C198" s="19" t="s">
        <v>29</v>
      </c>
      <c r="D198" s="19" t="s">
        <v>929</v>
      </c>
      <c r="E198" s="70" t="s">
        <v>30</v>
      </c>
      <c r="F198" s="100" t="s">
        <v>956</v>
      </c>
      <c r="G198" s="22">
        <v>35299</v>
      </c>
      <c r="H198" s="22">
        <v>35299</v>
      </c>
      <c r="I198" s="22">
        <v>25000</v>
      </c>
      <c r="J198" s="22">
        <v>25000</v>
      </c>
      <c r="K198" s="22">
        <v>35299</v>
      </c>
      <c r="L198" s="22">
        <v>35299</v>
      </c>
      <c r="M198" s="22"/>
      <c r="N198" s="22">
        <v>10300</v>
      </c>
      <c r="O198" s="22">
        <v>10300</v>
      </c>
      <c r="P198" s="78"/>
      <c r="Q198" s="828">
        <f t="shared" si="75"/>
        <v>10000</v>
      </c>
      <c r="R198" s="853"/>
      <c r="S198" s="853">
        <v>10000</v>
      </c>
      <c r="T198" s="73">
        <f t="shared" si="76"/>
        <v>10000</v>
      </c>
      <c r="U198" s="22"/>
      <c r="V198" s="22">
        <v>10000</v>
      </c>
      <c r="W198" s="1012" t="s">
        <v>1550</v>
      </c>
      <c r="X198" s="24" t="s">
        <v>1677</v>
      </c>
      <c r="Y198" s="22">
        <v>1</v>
      </c>
      <c r="Z198" s="657"/>
      <c r="AA198" s="990"/>
      <c r="AB198" s="811"/>
      <c r="AC198" s="551"/>
      <c r="AD198" s="551"/>
      <c r="AE198" s="551"/>
      <c r="AG198" s="57"/>
      <c r="AH198" s="57"/>
      <c r="AI198" s="57"/>
      <c r="AJ198" s="57"/>
      <c r="AK198" s="57"/>
      <c r="AL198" s="57"/>
    </row>
    <row r="199" spans="1:38" s="54" customFormat="1" ht="30">
      <c r="A199" s="97" t="s">
        <v>58</v>
      </c>
      <c r="B199" s="289" t="s">
        <v>957</v>
      </c>
      <c r="C199" s="19" t="s">
        <v>143</v>
      </c>
      <c r="D199" s="19" t="s">
        <v>958</v>
      </c>
      <c r="E199" s="44" t="s">
        <v>411</v>
      </c>
      <c r="F199" s="100" t="s">
        <v>959</v>
      </c>
      <c r="G199" s="22">
        <v>43690</v>
      </c>
      <c r="H199" s="22">
        <v>24037</v>
      </c>
      <c r="I199" s="77">
        <f>99+1795+19400</f>
        <v>21294</v>
      </c>
      <c r="J199" s="77">
        <f>99+1795</f>
        <v>1894</v>
      </c>
      <c r="K199" s="22">
        <v>5595</v>
      </c>
      <c r="L199" s="22">
        <f>1795+3800</f>
        <v>5595</v>
      </c>
      <c r="M199" s="22"/>
      <c r="N199" s="22">
        <v>3800</v>
      </c>
      <c r="O199" s="22">
        <v>3800</v>
      </c>
      <c r="P199" s="78"/>
      <c r="Q199" s="853">
        <f t="shared" si="75"/>
        <v>3800</v>
      </c>
      <c r="R199" s="853"/>
      <c r="S199" s="853">
        <v>3800</v>
      </c>
      <c r="T199" s="73">
        <f t="shared" si="76"/>
        <v>3800</v>
      </c>
      <c r="U199" s="22"/>
      <c r="V199" s="22">
        <v>3800</v>
      </c>
      <c r="W199" s="1012" t="s">
        <v>1550</v>
      </c>
      <c r="X199" s="24" t="s">
        <v>1677</v>
      </c>
      <c r="Y199" s="22">
        <v>1</v>
      </c>
      <c r="Z199" s="657"/>
      <c r="AA199" s="990"/>
      <c r="AB199" s="811"/>
      <c r="AC199" s="551"/>
      <c r="AD199" s="551"/>
      <c r="AE199" s="551"/>
      <c r="AG199" s="57"/>
      <c r="AH199" s="57"/>
      <c r="AI199" s="57"/>
      <c r="AJ199" s="57"/>
      <c r="AK199" s="57"/>
      <c r="AL199" s="57"/>
    </row>
    <row r="200" spans="1:38" s="54" customFormat="1" ht="30">
      <c r="A200" s="97" t="s">
        <v>64</v>
      </c>
      <c r="B200" s="289" t="s">
        <v>960</v>
      </c>
      <c r="C200" s="19" t="s">
        <v>85</v>
      </c>
      <c r="D200" s="19" t="s">
        <v>961</v>
      </c>
      <c r="E200" s="70" t="s">
        <v>30</v>
      </c>
      <c r="F200" s="100" t="s">
        <v>962</v>
      </c>
      <c r="G200" s="22">
        <v>5337</v>
      </c>
      <c r="H200" s="22">
        <v>5337</v>
      </c>
      <c r="I200" s="22">
        <v>3604</v>
      </c>
      <c r="J200" s="22">
        <v>3604</v>
      </c>
      <c r="K200" s="22">
        <f>5337-104</f>
        <v>5233</v>
      </c>
      <c r="L200" s="22">
        <f>H200-104</f>
        <v>5233</v>
      </c>
      <c r="M200" s="22"/>
      <c r="N200" s="22">
        <v>1200</v>
      </c>
      <c r="O200" s="22">
        <v>1200</v>
      </c>
      <c r="P200" s="78"/>
      <c r="Q200" s="853">
        <f t="shared" si="75"/>
        <v>1200</v>
      </c>
      <c r="R200" s="853"/>
      <c r="S200" s="853">
        <v>1200</v>
      </c>
      <c r="T200" s="73">
        <f t="shared" si="76"/>
        <v>1200</v>
      </c>
      <c r="U200" s="22"/>
      <c r="V200" s="22">
        <v>1200</v>
      </c>
      <c r="W200" s="691" t="s">
        <v>1525</v>
      </c>
      <c r="X200" s="24"/>
      <c r="Y200" s="22">
        <v>1</v>
      </c>
      <c r="Z200" s="657"/>
      <c r="AA200" s="990"/>
      <c r="AB200" s="811"/>
      <c r="AC200" s="551"/>
      <c r="AD200" s="551"/>
      <c r="AE200" s="551"/>
      <c r="AG200" s="57"/>
      <c r="AH200" s="57"/>
      <c r="AI200" s="57"/>
      <c r="AJ200" s="57"/>
      <c r="AK200" s="57"/>
      <c r="AL200" s="57"/>
    </row>
    <row r="201" spans="1:38" s="54" customFormat="1" ht="45">
      <c r="A201" s="97" t="s">
        <v>69</v>
      </c>
      <c r="B201" s="68" t="s">
        <v>963</v>
      </c>
      <c r="C201" s="19" t="s">
        <v>260</v>
      </c>
      <c r="D201" s="19" t="s">
        <v>964</v>
      </c>
      <c r="E201" s="70" t="s">
        <v>30</v>
      </c>
      <c r="F201" s="80" t="s">
        <v>965</v>
      </c>
      <c r="G201" s="23">
        <v>4830</v>
      </c>
      <c r="H201" s="23">
        <v>4830</v>
      </c>
      <c r="I201" s="23">
        <v>3000</v>
      </c>
      <c r="J201" s="23">
        <v>3000</v>
      </c>
      <c r="K201" s="23">
        <v>4830</v>
      </c>
      <c r="L201" s="23">
        <v>4830</v>
      </c>
      <c r="M201" s="23"/>
      <c r="N201" s="23">
        <v>2100</v>
      </c>
      <c r="O201" s="22">
        <v>2100</v>
      </c>
      <c r="P201" s="78"/>
      <c r="Q201" s="853">
        <f t="shared" si="75"/>
        <v>1500</v>
      </c>
      <c r="R201" s="860"/>
      <c r="S201" s="853">
        <v>1500</v>
      </c>
      <c r="T201" s="73">
        <f t="shared" si="76"/>
        <v>1500</v>
      </c>
      <c r="U201" s="23"/>
      <c r="V201" s="22">
        <v>1500</v>
      </c>
      <c r="W201" s="691" t="s">
        <v>1552</v>
      </c>
      <c r="X201" s="24"/>
      <c r="Y201" s="22">
        <v>1</v>
      </c>
      <c r="Z201" s="657"/>
      <c r="AA201" s="990"/>
      <c r="AB201" s="811"/>
      <c r="AC201" s="551"/>
      <c r="AD201" s="551"/>
      <c r="AE201" s="551"/>
      <c r="AG201" s="57"/>
      <c r="AH201" s="57"/>
      <c r="AI201" s="57"/>
      <c r="AJ201" s="57"/>
      <c r="AK201" s="57"/>
      <c r="AL201" s="57"/>
    </row>
    <row r="202" spans="1:38" s="54" customFormat="1" ht="30">
      <c r="A202" s="97" t="s">
        <v>74</v>
      </c>
      <c r="B202" s="68" t="s">
        <v>966</v>
      </c>
      <c r="C202" s="19" t="s">
        <v>60</v>
      </c>
      <c r="D202" s="19" t="s">
        <v>967</v>
      </c>
      <c r="E202" s="70" t="s">
        <v>30</v>
      </c>
      <c r="F202" s="80" t="s">
        <v>968</v>
      </c>
      <c r="G202" s="23">
        <v>5696</v>
      </c>
      <c r="H202" s="23">
        <v>5696</v>
      </c>
      <c r="I202" s="23">
        <v>3173</v>
      </c>
      <c r="J202" s="23">
        <v>3173</v>
      </c>
      <c r="K202" s="23">
        <v>5523</v>
      </c>
      <c r="L202" s="23">
        <f>H202-173</f>
        <v>5523</v>
      </c>
      <c r="M202" s="23"/>
      <c r="N202" s="23">
        <v>2200</v>
      </c>
      <c r="O202" s="23">
        <v>2200</v>
      </c>
      <c r="P202" s="78"/>
      <c r="Q202" s="860">
        <f t="shared" si="75"/>
        <v>2200</v>
      </c>
      <c r="R202" s="860"/>
      <c r="S202" s="853">
        <v>2200</v>
      </c>
      <c r="T202" s="73">
        <f t="shared" si="76"/>
        <v>2200</v>
      </c>
      <c r="U202" s="23"/>
      <c r="V202" s="22">
        <v>2200</v>
      </c>
      <c r="W202" s="513" t="s">
        <v>1517</v>
      </c>
      <c r="X202" s="24"/>
      <c r="Y202" s="22">
        <v>1</v>
      </c>
      <c r="Z202" s="657"/>
      <c r="AA202" s="990"/>
      <c r="AB202" s="811"/>
      <c r="AC202" s="551"/>
      <c r="AD202" s="551"/>
      <c r="AE202" s="551"/>
      <c r="AG202" s="57"/>
      <c r="AH202" s="57"/>
      <c r="AI202" s="57"/>
      <c r="AJ202" s="57"/>
      <c r="AK202" s="57"/>
      <c r="AL202" s="57"/>
    </row>
    <row r="203" spans="1:38" s="54" customFormat="1" ht="30">
      <c r="A203" s="97" t="s">
        <v>141</v>
      </c>
      <c r="B203" s="68" t="s">
        <v>969</v>
      </c>
      <c r="C203" s="19" t="s">
        <v>60</v>
      </c>
      <c r="D203" s="19" t="s">
        <v>967</v>
      </c>
      <c r="E203" s="70" t="s">
        <v>30</v>
      </c>
      <c r="F203" s="80" t="s">
        <v>970</v>
      </c>
      <c r="G203" s="23">
        <v>5620</v>
      </c>
      <c r="H203" s="23">
        <v>5620</v>
      </c>
      <c r="I203" s="23">
        <v>3121</v>
      </c>
      <c r="J203" s="23">
        <v>3121</v>
      </c>
      <c r="K203" s="23">
        <v>5499</v>
      </c>
      <c r="L203" s="23">
        <f>H203-121</f>
        <v>5499</v>
      </c>
      <c r="M203" s="23"/>
      <c r="N203" s="23">
        <v>2200</v>
      </c>
      <c r="O203" s="23">
        <v>2200</v>
      </c>
      <c r="P203" s="78"/>
      <c r="Q203" s="860">
        <f t="shared" si="75"/>
        <v>2200</v>
      </c>
      <c r="R203" s="860"/>
      <c r="S203" s="853">
        <v>2200</v>
      </c>
      <c r="T203" s="73">
        <f t="shared" si="76"/>
        <v>2200</v>
      </c>
      <c r="U203" s="23"/>
      <c r="V203" s="22">
        <v>2200</v>
      </c>
      <c r="W203" s="513" t="s">
        <v>1517</v>
      </c>
      <c r="X203" s="24"/>
      <c r="Y203" s="22">
        <v>1</v>
      </c>
      <c r="Z203" s="657"/>
      <c r="AA203" s="990"/>
      <c r="AB203" s="811"/>
      <c r="AC203" s="551"/>
      <c r="AD203" s="551"/>
      <c r="AE203" s="551"/>
      <c r="AG203" s="57"/>
      <c r="AH203" s="57"/>
      <c r="AI203" s="57"/>
      <c r="AJ203" s="57"/>
      <c r="AK203" s="57"/>
      <c r="AL203" s="57"/>
    </row>
    <row r="204" spans="1:38" s="54" customFormat="1" ht="25.5">
      <c r="A204" s="97" t="s">
        <v>146</v>
      </c>
      <c r="B204" s="68" t="s">
        <v>971</v>
      </c>
      <c r="C204" s="19" t="s">
        <v>173</v>
      </c>
      <c r="D204" s="19" t="s">
        <v>972</v>
      </c>
      <c r="E204" s="70" t="s">
        <v>30</v>
      </c>
      <c r="F204" s="80" t="s">
        <v>973</v>
      </c>
      <c r="G204" s="23">
        <v>5376</v>
      </c>
      <c r="H204" s="23">
        <v>5376</v>
      </c>
      <c r="I204" s="23">
        <v>2200</v>
      </c>
      <c r="J204" s="23">
        <v>2200</v>
      </c>
      <c r="K204" s="23">
        <f>5376-200</f>
        <v>5176</v>
      </c>
      <c r="L204" s="23">
        <f>H204-200</f>
        <v>5176</v>
      </c>
      <c r="M204" s="23"/>
      <c r="N204" s="23">
        <v>2500</v>
      </c>
      <c r="O204" s="23">
        <v>2500</v>
      </c>
      <c r="P204" s="78"/>
      <c r="Q204" s="860">
        <f t="shared" si="75"/>
        <v>2500</v>
      </c>
      <c r="R204" s="860"/>
      <c r="S204" s="853">
        <v>2500</v>
      </c>
      <c r="T204" s="73">
        <f t="shared" si="76"/>
        <v>2500</v>
      </c>
      <c r="U204" s="23"/>
      <c r="V204" s="22">
        <v>2500</v>
      </c>
      <c r="W204" s="691" t="s">
        <v>1551</v>
      </c>
      <c r="X204" s="24"/>
      <c r="Y204" s="22">
        <v>1</v>
      </c>
      <c r="Z204" s="657"/>
      <c r="AA204" s="990"/>
      <c r="AB204" s="811"/>
      <c r="AC204" s="551"/>
      <c r="AD204" s="551"/>
      <c r="AE204" s="551"/>
      <c r="AG204" s="57"/>
      <c r="AH204" s="57"/>
      <c r="AI204" s="57"/>
      <c r="AJ204" s="57"/>
      <c r="AK204" s="57"/>
      <c r="AL204" s="57"/>
    </row>
    <row r="205" spans="1:38" s="54" customFormat="1" ht="28.5">
      <c r="A205" s="11" t="s">
        <v>116</v>
      </c>
      <c r="B205" s="65" t="s">
        <v>117</v>
      </c>
      <c r="C205" s="19"/>
      <c r="D205" s="19"/>
      <c r="E205" s="70"/>
      <c r="F205" s="80"/>
      <c r="G205" s="15">
        <f t="shared" ref="G205:V205" si="77">SUM(G206:G211)</f>
        <v>543158</v>
      </c>
      <c r="H205" s="15">
        <f t="shared" si="77"/>
        <v>285016</v>
      </c>
      <c r="I205" s="15">
        <f t="shared" si="77"/>
        <v>61533</v>
      </c>
      <c r="J205" s="15">
        <f t="shared" si="77"/>
        <v>22533</v>
      </c>
      <c r="K205" s="15">
        <f t="shared" si="77"/>
        <v>485395.82</v>
      </c>
      <c r="L205" s="15">
        <f t="shared" si="77"/>
        <v>276300.79999999999</v>
      </c>
      <c r="M205" s="15">
        <f t="shared" si="77"/>
        <v>0</v>
      </c>
      <c r="N205" s="15">
        <f t="shared" si="77"/>
        <v>366014</v>
      </c>
      <c r="O205" s="15">
        <f t="shared" si="77"/>
        <v>107872</v>
      </c>
      <c r="P205" s="15">
        <f t="shared" si="77"/>
        <v>0</v>
      </c>
      <c r="Q205" s="15">
        <f t="shared" si="77"/>
        <v>68000</v>
      </c>
      <c r="R205" s="15">
        <f t="shared" si="77"/>
        <v>0</v>
      </c>
      <c r="S205" s="15">
        <f t="shared" si="77"/>
        <v>68000</v>
      </c>
      <c r="T205" s="15">
        <f t="shared" si="77"/>
        <v>68000</v>
      </c>
      <c r="U205" s="15">
        <f t="shared" si="77"/>
        <v>0</v>
      </c>
      <c r="V205" s="15">
        <f t="shared" si="77"/>
        <v>68000</v>
      </c>
      <c r="W205" s="89"/>
      <c r="X205" s="89"/>
      <c r="Y205" s="15">
        <f>SUM(Y206:Y211)</f>
        <v>6</v>
      </c>
      <c r="Z205" s="657"/>
      <c r="AA205" s="990"/>
      <c r="AB205" s="811"/>
      <c r="AC205" s="551"/>
      <c r="AD205" s="551"/>
      <c r="AE205" s="551"/>
      <c r="AG205" s="57"/>
      <c r="AH205" s="57"/>
      <c r="AI205" s="57"/>
      <c r="AJ205" s="57"/>
      <c r="AK205" s="57"/>
      <c r="AL205" s="57"/>
    </row>
    <row r="206" spans="1:38" s="656" customFormat="1" ht="51">
      <c r="A206" s="650" t="s">
        <v>27</v>
      </c>
      <c r="B206" s="68" t="s">
        <v>980</v>
      </c>
      <c r="C206" s="644" t="s">
        <v>43</v>
      </c>
      <c r="D206" s="644" t="s">
        <v>929</v>
      </c>
      <c r="E206" s="886" t="s">
        <v>30</v>
      </c>
      <c r="F206" s="80" t="s">
        <v>1592</v>
      </c>
      <c r="G206" s="651">
        <v>323714</v>
      </c>
      <c r="H206" s="651">
        <v>65572</v>
      </c>
      <c r="I206" s="651">
        <f>39000+J206</f>
        <v>41000</v>
      </c>
      <c r="J206" s="651">
        <v>2000</v>
      </c>
      <c r="K206" s="651">
        <v>267784.82</v>
      </c>
      <c r="L206" s="651">
        <v>58689.8</v>
      </c>
      <c r="M206" s="652"/>
      <c r="N206" s="653">
        <v>321714</v>
      </c>
      <c r="O206" s="653">
        <v>63572</v>
      </c>
      <c r="P206" s="654"/>
      <c r="Q206" s="860">
        <f t="shared" ref="Q206:Q211" si="78">SUM(R206:S206)</f>
        <v>30000</v>
      </c>
      <c r="R206" s="860"/>
      <c r="S206" s="860">
        <v>30000</v>
      </c>
      <c r="T206" s="73">
        <f t="shared" ref="T206:T211" si="79">SUM(U206:V206)</f>
        <v>30000</v>
      </c>
      <c r="U206" s="651"/>
      <c r="V206" s="651">
        <v>30000</v>
      </c>
      <c r="W206" s="80" t="s">
        <v>1553</v>
      </c>
      <c r="X206" s="24"/>
      <c r="Y206" s="651">
        <v>1</v>
      </c>
      <c r="Z206" s="657"/>
      <c r="AA206" s="991"/>
      <c r="AB206" s="982"/>
      <c r="AC206" s="655"/>
      <c r="AD206" s="655"/>
      <c r="AE206" s="655"/>
    </row>
    <row r="207" spans="1:38" s="54" customFormat="1" ht="45">
      <c r="A207" s="650" t="s">
        <v>41</v>
      </c>
      <c r="B207" s="282" t="s">
        <v>974</v>
      </c>
      <c r="C207" s="19" t="s">
        <v>29</v>
      </c>
      <c r="D207" s="19" t="s">
        <v>975</v>
      </c>
      <c r="E207" s="70" t="s">
        <v>30</v>
      </c>
      <c r="F207" s="80" t="s">
        <v>976</v>
      </c>
      <c r="G207" s="23">
        <v>58957</v>
      </c>
      <c r="H207" s="23">
        <v>58957</v>
      </c>
      <c r="I207" s="23">
        <v>10308</v>
      </c>
      <c r="J207" s="23">
        <f>10000+308</f>
        <v>10308</v>
      </c>
      <c r="K207" s="23">
        <v>58649</v>
      </c>
      <c r="L207" s="23">
        <f>H207-308</f>
        <v>58649</v>
      </c>
      <c r="M207" s="23"/>
      <c r="N207" s="23">
        <v>15000</v>
      </c>
      <c r="O207" s="23">
        <v>15000</v>
      </c>
      <c r="P207" s="78"/>
      <c r="Q207" s="828">
        <f t="shared" si="78"/>
        <v>13000</v>
      </c>
      <c r="R207" s="860"/>
      <c r="S207" s="860">
        <v>13000</v>
      </c>
      <c r="T207" s="73">
        <f t="shared" si="79"/>
        <v>13000</v>
      </c>
      <c r="U207" s="23"/>
      <c r="V207" s="23">
        <v>13000</v>
      </c>
      <c r="W207" s="1012" t="s">
        <v>1550</v>
      </c>
      <c r="X207" s="513"/>
      <c r="Y207" s="23">
        <v>1</v>
      </c>
      <c r="Z207" s="657"/>
      <c r="AA207" s="990"/>
      <c r="AB207" s="811"/>
      <c r="AC207" s="551"/>
      <c r="AD207" s="551"/>
      <c r="AE207" s="551"/>
      <c r="AG207" s="57"/>
      <c r="AH207" s="57"/>
      <c r="AI207" s="57"/>
      <c r="AJ207" s="57"/>
      <c r="AK207" s="57"/>
      <c r="AL207" s="57"/>
    </row>
    <row r="208" spans="1:38" s="54" customFormat="1" ht="38.25">
      <c r="A208" s="650" t="s">
        <v>58</v>
      </c>
      <c r="B208" s="282" t="s">
        <v>977</v>
      </c>
      <c r="C208" s="19" t="s">
        <v>29</v>
      </c>
      <c r="D208" s="19" t="s">
        <v>978</v>
      </c>
      <c r="E208" s="70" t="s">
        <v>30</v>
      </c>
      <c r="F208" s="80" t="s">
        <v>979</v>
      </c>
      <c r="G208" s="23">
        <v>116675</v>
      </c>
      <c r="H208" s="23">
        <v>116675</v>
      </c>
      <c r="I208" s="23">
        <f>837+2000</f>
        <v>2837</v>
      </c>
      <c r="J208" s="23">
        <v>2837</v>
      </c>
      <c r="K208" s="23">
        <f>116675-837</f>
        <v>115838</v>
      </c>
      <c r="L208" s="23">
        <f>H208-837</f>
        <v>115838</v>
      </c>
      <c r="M208" s="23"/>
      <c r="N208" s="23">
        <v>18000</v>
      </c>
      <c r="O208" s="23">
        <v>18000</v>
      </c>
      <c r="P208" s="78"/>
      <c r="Q208" s="828">
        <f t="shared" si="78"/>
        <v>15000</v>
      </c>
      <c r="R208" s="860"/>
      <c r="S208" s="860">
        <v>15000</v>
      </c>
      <c r="T208" s="73">
        <f t="shared" si="79"/>
        <v>15000</v>
      </c>
      <c r="U208" s="23"/>
      <c r="V208" s="23">
        <v>15000</v>
      </c>
      <c r="W208" s="1012" t="s">
        <v>1550</v>
      </c>
      <c r="X208" s="513"/>
      <c r="Y208" s="23">
        <v>1</v>
      </c>
      <c r="Z208" s="657"/>
      <c r="AA208" s="990"/>
      <c r="AB208" s="811"/>
      <c r="AC208" s="551"/>
      <c r="AD208" s="551"/>
      <c r="AE208" s="551"/>
      <c r="AG208" s="57"/>
      <c r="AH208" s="57"/>
      <c r="AI208" s="57"/>
      <c r="AJ208" s="57"/>
      <c r="AK208" s="57"/>
      <c r="AL208" s="57"/>
    </row>
    <row r="209" spans="1:38" s="54" customFormat="1" ht="45">
      <c r="A209" s="650" t="s">
        <v>64</v>
      </c>
      <c r="B209" s="68" t="s">
        <v>981</v>
      </c>
      <c r="C209" s="19" t="s">
        <v>260</v>
      </c>
      <c r="D209" s="19" t="s">
        <v>982</v>
      </c>
      <c r="E209" s="70" t="s">
        <v>30</v>
      </c>
      <c r="F209" s="80" t="s">
        <v>983</v>
      </c>
      <c r="G209" s="23">
        <v>22500</v>
      </c>
      <c r="H209" s="23">
        <v>22500</v>
      </c>
      <c r="I209" s="23">
        <v>700</v>
      </c>
      <c r="J209" s="23">
        <v>700</v>
      </c>
      <c r="K209" s="23">
        <f>22500-200</f>
        <v>22300</v>
      </c>
      <c r="L209" s="23">
        <v>22300</v>
      </c>
      <c r="M209" s="23"/>
      <c r="N209" s="23">
        <v>5000</v>
      </c>
      <c r="O209" s="23">
        <v>5000</v>
      </c>
      <c r="P209" s="78"/>
      <c r="Q209" s="828">
        <f t="shared" si="78"/>
        <v>4000</v>
      </c>
      <c r="R209" s="860"/>
      <c r="S209" s="860">
        <v>4000</v>
      </c>
      <c r="T209" s="73">
        <f t="shared" si="79"/>
        <v>4000</v>
      </c>
      <c r="U209" s="23"/>
      <c r="V209" s="23">
        <v>4000</v>
      </c>
      <c r="W209" s="80" t="s">
        <v>1552</v>
      </c>
      <c r="X209" s="24"/>
      <c r="Y209" s="23">
        <v>1</v>
      </c>
      <c r="Z209" s="657"/>
      <c r="AA209" s="990"/>
      <c r="AB209" s="811"/>
      <c r="AC209" s="551"/>
      <c r="AD209" s="551"/>
      <c r="AE209" s="551"/>
      <c r="AG209" s="57"/>
      <c r="AH209" s="57"/>
      <c r="AI209" s="57"/>
      <c r="AJ209" s="57"/>
      <c r="AK209" s="57"/>
      <c r="AL209" s="57"/>
    </row>
    <row r="210" spans="1:38" s="54" customFormat="1" ht="75">
      <c r="A210" s="650" t="s">
        <v>69</v>
      </c>
      <c r="B210" s="68" t="s">
        <v>984</v>
      </c>
      <c r="C210" s="19" t="s">
        <v>60</v>
      </c>
      <c r="D210" s="19" t="s">
        <v>985</v>
      </c>
      <c r="E210" s="70" t="s">
        <v>30</v>
      </c>
      <c r="F210" s="80" t="s">
        <v>986</v>
      </c>
      <c r="G210" s="23">
        <v>11952</v>
      </c>
      <c r="H210" s="23">
        <v>11952</v>
      </c>
      <c r="I210" s="23">
        <v>3588</v>
      </c>
      <c r="J210" s="23">
        <f>288+3300</f>
        <v>3588</v>
      </c>
      <c r="K210" s="23">
        <v>11664</v>
      </c>
      <c r="L210" s="23">
        <f>H210-288</f>
        <v>11664</v>
      </c>
      <c r="M210" s="23"/>
      <c r="N210" s="23">
        <v>3300</v>
      </c>
      <c r="O210" s="23">
        <v>3300</v>
      </c>
      <c r="P210" s="78"/>
      <c r="Q210" s="828">
        <f t="shared" si="78"/>
        <v>3000</v>
      </c>
      <c r="R210" s="860"/>
      <c r="S210" s="860">
        <v>3000</v>
      </c>
      <c r="T210" s="73">
        <f t="shared" si="79"/>
        <v>3000</v>
      </c>
      <c r="U210" s="23"/>
      <c r="V210" s="23">
        <v>3000</v>
      </c>
      <c r="W210" s="513" t="s">
        <v>1517</v>
      </c>
      <c r="X210" s="24"/>
      <c r="Y210" s="23">
        <v>1</v>
      </c>
      <c r="Z210" s="657"/>
      <c r="AA210" s="990"/>
      <c r="AB210" s="811"/>
      <c r="AC210" s="551"/>
      <c r="AD210" s="551"/>
      <c r="AE210" s="551"/>
      <c r="AG210" s="57"/>
      <c r="AH210" s="57"/>
      <c r="AI210" s="57"/>
      <c r="AJ210" s="57"/>
      <c r="AK210" s="57"/>
      <c r="AL210" s="57"/>
    </row>
    <row r="211" spans="1:38" s="54" customFormat="1" ht="60">
      <c r="A211" s="650" t="s">
        <v>74</v>
      </c>
      <c r="B211" s="68" t="s">
        <v>987</v>
      </c>
      <c r="C211" s="19" t="s">
        <v>173</v>
      </c>
      <c r="D211" s="19" t="s">
        <v>148</v>
      </c>
      <c r="E211" s="70" t="s">
        <v>30</v>
      </c>
      <c r="F211" s="80" t="s">
        <v>988</v>
      </c>
      <c r="G211" s="23">
        <v>9360</v>
      </c>
      <c r="H211" s="23">
        <v>9360</v>
      </c>
      <c r="I211" s="23">
        <v>3100</v>
      </c>
      <c r="J211" s="23">
        <f>2900+200</f>
        <v>3100</v>
      </c>
      <c r="K211" s="23">
        <v>9160</v>
      </c>
      <c r="L211" s="23">
        <f>H211-200</f>
        <v>9160</v>
      </c>
      <c r="M211" s="23"/>
      <c r="N211" s="23">
        <v>3000</v>
      </c>
      <c r="O211" s="23">
        <v>3000</v>
      </c>
      <c r="P211" s="78"/>
      <c r="Q211" s="860">
        <f t="shared" si="78"/>
        <v>3000</v>
      </c>
      <c r="R211" s="860"/>
      <c r="S211" s="860">
        <v>3000</v>
      </c>
      <c r="T211" s="73">
        <f t="shared" si="79"/>
        <v>3000</v>
      </c>
      <c r="U211" s="23"/>
      <c r="V211" s="23">
        <v>3000</v>
      </c>
      <c r="W211" s="80" t="s">
        <v>1551</v>
      </c>
      <c r="X211" s="24"/>
      <c r="Y211" s="23">
        <v>1</v>
      </c>
      <c r="Z211" s="657"/>
      <c r="AA211" s="990"/>
      <c r="AB211" s="811"/>
      <c r="AC211" s="551"/>
      <c r="AD211" s="551"/>
      <c r="AE211" s="551"/>
      <c r="AG211" s="57"/>
      <c r="AH211" s="57"/>
      <c r="AI211" s="57"/>
      <c r="AJ211" s="57"/>
      <c r="AK211" s="57"/>
      <c r="AL211" s="57"/>
    </row>
    <row r="212" spans="1:38" s="54" customFormat="1">
      <c r="A212" s="11" t="s">
        <v>150</v>
      </c>
      <c r="B212" s="65" t="s">
        <v>151</v>
      </c>
      <c r="C212" s="19"/>
      <c r="D212" s="19"/>
      <c r="E212" s="70"/>
      <c r="F212" s="80"/>
      <c r="G212" s="15">
        <f t="shared" ref="G212:V212" si="80">SUM(G213:G238)</f>
        <v>301954</v>
      </c>
      <c r="H212" s="15">
        <f t="shared" si="80"/>
        <v>235506</v>
      </c>
      <c r="I212" s="15">
        <f t="shared" si="80"/>
        <v>4469</v>
      </c>
      <c r="J212" s="15">
        <f t="shared" si="80"/>
        <v>4469</v>
      </c>
      <c r="K212" s="15">
        <f t="shared" si="80"/>
        <v>292141.90000000002</v>
      </c>
      <c r="L212" s="15">
        <f t="shared" si="80"/>
        <v>231885.9</v>
      </c>
      <c r="M212" s="15">
        <f t="shared" si="80"/>
        <v>0</v>
      </c>
      <c r="N212" s="15">
        <f t="shared" si="80"/>
        <v>173321</v>
      </c>
      <c r="O212" s="15">
        <f t="shared" si="80"/>
        <v>111160</v>
      </c>
      <c r="P212" s="15">
        <f t="shared" si="80"/>
        <v>0</v>
      </c>
      <c r="Q212" s="846">
        <f t="shared" si="80"/>
        <v>90019</v>
      </c>
      <c r="R212" s="846">
        <f t="shared" si="80"/>
        <v>15800</v>
      </c>
      <c r="S212" s="846">
        <f t="shared" si="80"/>
        <v>74219</v>
      </c>
      <c r="T212" s="15">
        <f t="shared" si="80"/>
        <v>90019</v>
      </c>
      <c r="U212" s="15">
        <f t="shared" si="80"/>
        <v>0</v>
      </c>
      <c r="V212" s="15">
        <f t="shared" si="80"/>
        <v>90019</v>
      </c>
      <c r="W212" s="89"/>
      <c r="X212" s="89"/>
      <c r="Y212" s="15">
        <f>SUM(Y213:Y238)</f>
        <v>26</v>
      </c>
      <c r="Z212" s="657"/>
      <c r="AA212" s="990"/>
      <c r="AB212" s="811"/>
      <c r="AC212" s="551"/>
      <c r="AD212" s="551"/>
      <c r="AE212" s="551"/>
      <c r="AG212" s="57"/>
      <c r="AH212" s="57"/>
      <c r="AI212" s="57"/>
      <c r="AJ212" s="57"/>
      <c r="AK212" s="57"/>
      <c r="AL212" s="57"/>
    </row>
    <row r="213" spans="1:38" s="270" customFormat="1" ht="30">
      <c r="A213" s="97" t="s">
        <v>27</v>
      </c>
      <c r="B213" s="68" t="s">
        <v>991</v>
      </c>
      <c r="C213" s="19" t="s">
        <v>85</v>
      </c>
      <c r="D213" s="19" t="s">
        <v>929</v>
      </c>
      <c r="E213" s="70" t="s">
        <v>235</v>
      </c>
      <c r="F213" s="80" t="s">
        <v>992</v>
      </c>
      <c r="G213" s="23">
        <v>86471</v>
      </c>
      <c r="H213" s="23">
        <v>19631</v>
      </c>
      <c r="I213" s="21"/>
      <c r="J213" s="21"/>
      <c r="K213" s="23">
        <v>77823.899999999994</v>
      </c>
      <c r="L213" s="23">
        <v>17667.900000000001</v>
      </c>
      <c r="M213" s="588"/>
      <c r="N213" s="634">
        <v>84023</v>
      </c>
      <c r="O213" s="634">
        <v>21988</v>
      </c>
      <c r="P213" s="585"/>
      <c r="Q213" s="828">
        <f t="shared" ref="Q213:Q237" si="81">SUM(R213:S213)</f>
        <v>17600</v>
      </c>
      <c r="R213" s="860"/>
      <c r="S213" s="860">
        <v>17600</v>
      </c>
      <c r="T213" s="73">
        <f t="shared" ref="T213:T238" si="82">SUM(U213:V213)</f>
        <v>17600</v>
      </c>
      <c r="U213" s="23"/>
      <c r="V213" s="23">
        <v>17600</v>
      </c>
      <c r="W213" s="80" t="s">
        <v>1591</v>
      </c>
      <c r="X213" s="24" t="s">
        <v>1679</v>
      </c>
      <c r="Y213" s="23">
        <v>1</v>
      </c>
      <c r="Z213" s="657"/>
      <c r="AA213" s="991"/>
      <c r="AB213" s="970"/>
      <c r="AC213" s="550"/>
      <c r="AD213" s="550"/>
      <c r="AE213" s="550"/>
    </row>
    <row r="214" spans="1:38" s="54" customFormat="1" ht="30">
      <c r="A214" s="97" t="s">
        <v>41</v>
      </c>
      <c r="B214" s="68" t="s">
        <v>989</v>
      </c>
      <c r="C214" s="19" t="s">
        <v>85</v>
      </c>
      <c r="D214" s="19" t="s">
        <v>1678</v>
      </c>
      <c r="E214" s="70" t="s">
        <v>163</v>
      </c>
      <c r="F214" s="80" t="s">
        <v>990</v>
      </c>
      <c r="G214" s="23">
        <v>70715</v>
      </c>
      <c r="H214" s="23">
        <v>70715</v>
      </c>
      <c r="I214" s="23">
        <f>1319+75</f>
        <v>1394</v>
      </c>
      <c r="J214" s="23">
        <v>1394</v>
      </c>
      <c r="K214" s="23">
        <v>69396</v>
      </c>
      <c r="L214" s="23">
        <f>H214-1319</f>
        <v>69396</v>
      </c>
      <c r="M214" s="23"/>
      <c r="N214" s="23">
        <v>17000</v>
      </c>
      <c r="O214" s="23">
        <v>17000</v>
      </c>
      <c r="P214" s="78"/>
      <c r="Q214" s="828">
        <f t="shared" si="81"/>
        <v>10000</v>
      </c>
      <c r="R214" s="860"/>
      <c r="S214" s="860">
        <v>10000</v>
      </c>
      <c r="T214" s="73">
        <f t="shared" si="82"/>
        <v>10000</v>
      </c>
      <c r="U214" s="23"/>
      <c r="V214" s="23">
        <v>10000</v>
      </c>
      <c r="W214" s="1012" t="s">
        <v>1550</v>
      </c>
      <c r="X214" s="24"/>
      <c r="Y214" s="23">
        <v>1</v>
      </c>
      <c r="Z214" s="657"/>
      <c r="AA214" s="990"/>
      <c r="AB214" s="811"/>
      <c r="AC214" s="551"/>
      <c r="AD214" s="551"/>
      <c r="AE214" s="551"/>
      <c r="AG214" s="57"/>
      <c r="AH214" s="57"/>
      <c r="AI214" s="57"/>
      <c r="AJ214" s="57"/>
      <c r="AK214" s="57"/>
      <c r="AL214" s="57"/>
    </row>
    <row r="215" spans="1:38" s="54" customFormat="1" ht="60">
      <c r="A215" s="97" t="s">
        <v>58</v>
      </c>
      <c r="B215" s="68" t="s">
        <v>993</v>
      </c>
      <c r="C215" s="19" t="s">
        <v>29</v>
      </c>
      <c r="D215" s="19" t="s">
        <v>1680</v>
      </c>
      <c r="E215" s="70" t="s">
        <v>163</v>
      </c>
      <c r="F215" s="80" t="s">
        <v>994</v>
      </c>
      <c r="G215" s="23">
        <v>17837</v>
      </c>
      <c r="H215" s="23">
        <v>17837</v>
      </c>
      <c r="I215" s="23">
        <v>327</v>
      </c>
      <c r="J215" s="23">
        <f>241+86</f>
        <v>327</v>
      </c>
      <c r="K215" s="23">
        <v>17596</v>
      </c>
      <c r="L215" s="23">
        <f>H215-241</f>
        <v>17596</v>
      </c>
      <c r="M215" s="23"/>
      <c r="N215" s="23">
        <v>6000</v>
      </c>
      <c r="O215" s="23">
        <v>6000</v>
      </c>
      <c r="P215" s="78"/>
      <c r="Q215" s="828">
        <f t="shared" si="81"/>
        <v>4000</v>
      </c>
      <c r="R215" s="860"/>
      <c r="S215" s="860">
        <v>4000</v>
      </c>
      <c r="T215" s="73">
        <f t="shared" si="82"/>
        <v>4000</v>
      </c>
      <c r="U215" s="23"/>
      <c r="V215" s="23">
        <v>4000</v>
      </c>
      <c r="W215" s="1012" t="s">
        <v>1550</v>
      </c>
      <c r="X215" s="24"/>
      <c r="Y215" s="23">
        <v>1</v>
      </c>
      <c r="Z215" s="657"/>
      <c r="AA215" s="990"/>
      <c r="AB215" s="811"/>
      <c r="AC215" s="551"/>
      <c r="AD215" s="551"/>
      <c r="AE215" s="551"/>
      <c r="AG215" s="57"/>
      <c r="AH215" s="57"/>
      <c r="AI215" s="57"/>
      <c r="AJ215" s="57"/>
      <c r="AK215" s="57"/>
      <c r="AL215" s="57"/>
    </row>
    <row r="216" spans="1:38" s="54" customFormat="1" ht="30">
      <c r="A216" s="97" t="s">
        <v>64</v>
      </c>
      <c r="B216" s="93" t="s">
        <v>995</v>
      </c>
      <c r="C216" s="19" t="s">
        <v>29</v>
      </c>
      <c r="D216" s="19" t="s">
        <v>1681</v>
      </c>
      <c r="E216" s="44" t="s">
        <v>166</v>
      </c>
      <c r="F216" s="80" t="s">
        <v>996</v>
      </c>
      <c r="G216" s="72">
        <v>13689</v>
      </c>
      <c r="H216" s="72">
        <v>13689</v>
      </c>
      <c r="I216" s="72"/>
      <c r="J216" s="72"/>
      <c r="K216" s="72">
        <v>13689</v>
      </c>
      <c r="L216" s="72">
        <v>13689</v>
      </c>
      <c r="M216" s="72"/>
      <c r="N216" s="72">
        <v>13000</v>
      </c>
      <c r="O216" s="23">
        <v>13000</v>
      </c>
      <c r="P216" s="78"/>
      <c r="Q216" s="828">
        <f t="shared" si="81"/>
        <v>12000</v>
      </c>
      <c r="R216" s="123"/>
      <c r="S216" s="123">
        <v>12000</v>
      </c>
      <c r="T216" s="73">
        <f t="shared" si="82"/>
        <v>12000</v>
      </c>
      <c r="U216" s="72"/>
      <c r="V216" s="72">
        <v>12000</v>
      </c>
      <c r="W216" s="1012" t="s">
        <v>1550</v>
      </c>
      <c r="X216" s="80"/>
      <c r="Y216" s="72">
        <v>1</v>
      </c>
      <c r="Z216" s="657"/>
      <c r="AA216" s="990"/>
      <c r="AB216" s="811"/>
      <c r="AC216" s="551"/>
      <c r="AD216" s="551"/>
      <c r="AE216" s="551"/>
      <c r="AG216" s="57"/>
      <c r="AH216" s="57"/>
      <c r="AI216" s="57"/>
      <c r="AJ216" s="57"/>
      <c r="AK216" s="57"/>
      <c r="AL216" s="57"/>
    </row>
    <row r="217" spans="1:38" s="54" customFormat="1" ht="30">
      <c r="A217" s="97" t="s">
        <v>69</v>
      </c>
      <c r="B217" s="289" t="s">
        <v>997</v>
      </c>
      <c r="C217" s="19" t="s">
        <v>260</v>
      </c>
      <c r="D217" s="19" t="s">
        <v>1682</v>
      </c>
      <c r="E217" s="70" t="s">
        <v>154</v>
      </c>
      <c r="F217" s="80" t="s">
        <v>998</v>
      </c>
      <c r="G217" s="22">
        <v>993</v>
      </c>
      <c r="H217" s="22">
        <v>993</v>
      </c>
      <c r="I217" s="22">
        <v>40</v>
      </c>
      <c r="J217" s="22">
        <v>40</v>
      </c>
      <c r="K217" s="22">
        <v>993</v>
      </c>
      <c r="L217" s="22">
        <v>993</v>
      </c>
      <c r="M217" s="22"/>
      <c r="N217" s="22">
        <v>953</v>
      </c>
      <c r="O217" s="23">
        <v>953</v>
      </c>
      <c r="P217" s="78"/>
      <c r="Q217" s="828">
        <f t="shared" si="81"/>
        <v>900</v>
      </c>
      <c r="R217" s="853"/>
      <c r="S217" s="853">
        <v>900</v>
      </c>
      <c r="T217" s="73">
        <f t="shared" si="82"/>
        <v>900</v>
      </c>
      <c r="U217" s="22"/>
      <c r="V217" s="22">
        <v>900</v>
      </c>
      <c r="W217" s="1012" t="s">
        <v>1550</v>
      </c>
      <c r="X217" s="24"/>
      <c r="Y217" s="22">
        <v>1</v>
      </c>
      <c r="Z217" s="657"/>
      <c r="AA217" s="990"/>
      <c r="AB217" s="811"/>
      <c r="AC217" s="551"/>
      <c r="AD217" s="551"/>
      <c r="AE217" s="551"/>
      <c r="AG217" s="57"/>
      <c r="AH217" s="57"/>
      <c r="AI217" s="57"/>
      <c r="AJ217" s="57"/>
      <c r="AK217" s="57"/>
      <c r="AL217" s="57"/>
    </row>
    <row r="218" spans="1:38" s="54" customFormat="1" ht="30">
      <c r="A218" s="97" t="s">
        <v>74</v>
      </c>
      <c r="B218" s="282" t="s">
        <v>999</v>
      </c>
      <c r="C218" s="19" t="s">
        <v>29</v>
      </c>
      <c r="D218" s="19" t="s">
        <v>1000</v>
      </c>
      <c r="E218" s="70" t="s">
        <v>489</v>
      </c>
      <c r="F218" s="80" t="s">
        <v>1001</v>
      </c>
      <c r="G218" s="23">
        <v>19973</v>
      </c>
      <c r="H218" s="23">
        <v>19973</v>
      </c>
      <c r="I218" s="23">
        <v>220</v>
      </c>
      <c r="J218" s="23">
        <v>220</v>
      </c>
      <c r="K218" s="23">
        <v>19973</v>
      </c>
      <c r="L218" s="23">
        <v>19973</v>
      </c>
      <c r="M218" s="23"/>
      <c r="N218" s="23">
        <v>9000</v>
      </c>
      <c r="O218" s="23">
        <v>9000</v>
      </c>
      <c r="P218" s="78"/>
      <c r="Q218" s="828">
        <f t="shared" si="81"/>
        <v>7000</v>
      </c>
      <c r="R218" s="860"/>
      <c r="S218" s="860">
        <v>7000</v>
      </c>
      <c r="T218" s="73">
        <f t="shared" si="82"/>
        <v>7000</v>
      </c>
      <c r="U218" s="23"/>
      <c r="V218" s="23">
        <v>7000</v>
      </c>
      <c r="W218" s="80" t="s">
        <v>1543</v>
      </c>
      <c r="X218" s="24"/>
      <c r="Y218" s="23">
        <v>1</v>
      </c>
      <c r="Z218" s="657"/>
      <c r="AA218" s="990"/>
      <c r="AB218" s="811"/>
      <c r="AC218" s="551"/>
      <c r="AD218" s="551"/>
      <c r="AE218" s="551"/>
      <c r="AG218" s="57"/>
      <c r="AH218" s="57"/>
      <c r="AI218" s="57"/>
      <c r="AJ218" s="57"/>
      <c r="AK218" s="57"/>
      <c r="AL218" s="57"/>
    </row>
    <row r="219" spans="1:38" s="54" customFormat="1" ht="38.25">
      <c r="A219" s="97" t="s">
        <v>141</v>
      </c>
      <c r="B219" s="68" t="s">
        <v>1002</v>
      </c>
      <c r="C219" s="19" t="s">
        <v>85</v>
      </c>
      <c r="D219" s="19" t="s">
        <v>1003</v>
      </c>
      <c r="E219" s="44" t="s">
        <v>321</v>
      </c>
      <c r="F219" s="80" t="s">
        <v>1510</v>
      </c>
      <c r="G219" s="23">
        <v>526</v>
      </c>
      <c r="H219" s="23">
        <f>526-126</f>
        <v>400</v>
      </c>
      <c r="I219" s="23">
        <v>75</v>
      </c>
      <c r="J219" s="23">
        <v>75</v>
      </c>
      <c r="K219" s="23">
        <v>616</v>
      </c>
      <c r="L219" s="23">
        <v>616</v>
      </c>
      <c r="M219" s="23"/>
      <c r="N219" s="23">
        <v>414</v>
      </c>
      <c r="O219" s="23">
        <v>288</v>
      </c>
      <c r="P219" s="78"/>
      <c r="Q219" s="860">
        <f t="shared" si="81"/>
        <v>288</v>
      </c>
      <c r="R219" s="860"/>
      <c r="S219" s="860">
        <v>288</v>
      </c>
      <c r="T219" s="73">
        <f t="shared" si="82"/>
        <v>288</v>
      </c>
      <c r="U219" s="23"/>
      <c r="V219" s="23">
        <v>288</v>
      </c>
      <c r="W219" s="1012" t="s">
        <v>1554</v>
      </c>
      <c r="X219" s="24"/>
      <c r="Y219" s="23">
        <v>1</v>
      </c>
      <c r="Z219" s="657"/>
      <c r="AA219" s="990"/>
      <c r="AB219" s="811"/>
      <c r="AC219" s="551"/>
      <c r="AD219" s="551"/>
      <c r="AE219" s="551"/>
      <c r="AG219" s="57"/>
      <c r="AH219" s="57"/>
      <c r="AI219" s="57"/>
      <c r="AJ219" s="57"/>
      <c r="AK219" s="57"/>
      <c r="AL219" s="57"/>
    </row>
    <row r="220" spans="1:38" s="54" customFormat="1" ht="25.5">
      <c r="A220" s="97" t="s">
        <v>146</v>
      </c>
      <c r="B220" s="68" t="s">
        <v>1004</v>
      </c>
      <c r="C220" s="19" t="s">
        <v>85</v>
      </c>
      <c r="D220" s="19" t="s">
        <v>1005</v>
      </c>
      <c r="E220" s="70" t="s">
        <v>154</v>
      </c>
      <c r="F220" s="80" t="s">
        <v>1006</v>
      </c>
      <c r="G220" s="23">
        <v>4639</v>
      </c>
      <c r="H220" s="23">
        <v>4639</v>
      </c>
      <c r="I220" s="23">
        <v>240</v>
      </c>
      <c r="J220" s="23">
        <v>240</v>
      </c>
      <c r="K220" s="23">
        <v>4639</v>
      </c>
      <c r="L220" s="23">
        <v>4639</v>
      </c>
      <c r="M220" s="23"/>
      <c r="N220" s="23">
        <v>2000</v>
      </c>
      <c r="O220" s="23">
        <v>2000</v>
      </c>
      <c r="P220" s="78"/>
      <c r="Q220" s="860">
        <f t="shared" si="81"/>
        <v>2000</v>
      </c>
      <c r="R220" s="860"/>
      <c r="S220" s="860">
        <v>2000</v>
      </c>
      <c r="T220" s="73">
        <f t="shared" si="82"/>
        <v>2000</v>
      </c>
      <c r="U220" s="23"/>
      <c r="V220" s="23">
        <v>2000</v>
      </c>
      <c r="W220" s="80" t="s">
        <v>1525</v>
      </c>
      <c r="X220" s="24"/>
      <c r="Y220" s="23">
        <v>1</v>
      </c>
      <c r="Z220" s="657"/>
      <c r="AA220" s="990"/>
      <c r="AB220" s="811"/>
      <c r="AC220" s="551"/>
      <c r="AD220" s="551"/>
      <c r="AE220" s="551"/>
      <c r="AG220" s="57"/>
      <c r="AH220" s="57"/>
      <c r="AI220" s="57"/>
      <c r="AJ220" s="57"/>
      <c r="AK220" s="57"/>
      <c r="AL220" s="57"/>
    </row>
    <row r="221" spans="1:38" s="54" customFormat="1" ht="25.5">
      <c r="A221" s="97" t="s">
        <v>179</v>
      </c>
      <c r="B221" s="288" t="s">
        <v>1007</v>
      </c>
      <c r="C221" s="19" t="s">
        <v>85</v>
      </c>
      <c r="D221" s="19" t="s">
        <v>1683</v>
      </c>
      <c r="E221" s="70" t="s">
        <v>355</v>
      </c>
      <c r="F221" s="80" t="s">
        <v>1008</v>
      </c>
      <c r="G221" s="23">
        <v>5496</v>
      </c>
      <c r="H221" s="23">
        <v>5496</v>
      </c>
      <c r="I221" s="72">
        <v>100</v>
      </c>
      <c r="J221" s="72">
        <v>100</v>
      </c>
      <c r="K221" s="72">
        <v>5496</v>
      </c>
      <c r="L221" s="72">
        <v>5496</v>
      </c>
      <c r="M221" s="72"/>
      <c r="N221" s="72">
        <v>2000</v>
      </c>
      <c r="O221" s="23">
        <v>2000</v>
      </c>
      <c r="P221" s="78"/>
      <c r="Q221" s="860">
        <f t="shared" si="81"/>
        <v>2000</v>
      </c>
      <c r="R221" s="123">
        <v>2000</v>
      </c>
      <c r="S221" s="123"/>
      <c r="T221" s="73">
        <f t="shared" si="82"/>
        <v>2000</v>
      </c>
      <c r="U221" s="72"/>
      <c r="V221" s="72">
        <v>2000</v>
      </c>
      <c r="W221" s="80" t="s">
        <v>1525</v>
      </c>
      <c r="X221" s="1012"/>
      <c r="Y221" s="72">
        <v>1</v>
      </c>
      <c r="Z221" s="657"/>
      <c r="AA221" s="990"/>
      <c r="AB221" s="811"/>
      <c r="AC221" s="551"/>
      <c r="AD221" s="551"/>
      <c r="AE221" s="551"/>
      <c r="AG221" s="57"/>
      <c r="AH221" s="57"/>
      <c r="AI221" s="57"/>
      <c r="AJ221" s="57"/>
      <c r="AK221" s="57"/>
      <c r="AL221" s="57"/>
    </row>
    <row r="222" spans="1:38" s="54" customFormat="1" ht="30">
      <c r="A222" s="97" t="s">
        <v>182</v>
      </c>
      <c r="B222" s="68" t="s">
        <v>1009</v>
      </c>
      <c r="C222" s="19" t="s">
        <v>112</v>
      </c>
      <c r="D222" s="19" t="s">
        <v>1010</v>
      </c>
      <c r="E222" s="70" t="s">
        <v>154</v>
      </c>
      <c r="F222" s="80" t="s">
        <v>1011</v>
      </c>
      <c r="G222" s="23">
        <v>5901</v>
      </c>
      <c r="H222" s="23">
        <v>5901</v>
      </c>
      <c r="I222" s="23">
        <f>+J222</f>
        <v>100</v>
      </c>
      <c r="J222" s="23">
        <v>100</v>
      </c>
      <c r="K222" s="23">
        <v>5901</v>
      </c>
      <c r="L222" s="23">
        <v>5901</v>
      </c>
      <c r="M222" s="23"/>
      <c r="N222" s="23">
        <v>2000</v>
      </c>
      <c r="O222" s="23">
        <v>2000</v>
      </c>
      <c r="P222" s="78"/>
      <c r="Q222" s="860">
        <f t="shared" si="81"/>
        <v>2000</v>
      </c>
      <c r="R222" s="860"/>
      <c r="S222" s="860">
        <v>2000</v>
      </c>
      <c r="T222" s="73">
        <f t="shared" si="82"/>
        <v>2000</v>
      </c>
      <c r="U222" s="23"/>
      <c r="V222" s="23">
        <v>2000</v>
      </c>
      <c r="W222" s="80" t="s">
        <v>1529</v>
      </c>
      <c r="X222" s="80"/>
      <c r="Y222" s="23">
        <v>1</v>
      </c>
      <c r="Z222" s="657"/>
      <c r="AA222" s="990"/>
      <c r="AB222" s="811"/>
      <c r="AC222" s="551"/>
      <c r="AD222" s="551"/>
      <c r="AE222" s="551"/>
      <c r="AG222" s="57"/>
      <c r="AH222" s="57"/>
      <c r="AI222" s="57"/>
      <c r="AJ222" s="57"/>
      <c r="AK222" s="57"/>
      <c r="AL222" s="57"/>
    </row>
    <row r="223" spans="1:38" s="54" customFormat="1" ht="45">
      <c r="A223" s="97" t="s">
        <v>187</v>
      </c>
      <c r="B223" s="68" t="s">
        <v>1012</v>
      </c>
      <c r="C223" s="19" t="s">
        <v>112</v>
      </c>
      <c r="D223" s="19" t="s">
        <v>1013</v>
      </c>
      <c r="E223" s="70" t="s">
        <v>489</v>
      </c>
      <c r="F223" s="80" t="s">
        <v>1014</v>
      </c>
      <c r="G223" s="23">
        <v>4936</v>
      </c>
      <c r="H223" s="23">
        <v>4936</v>
      </c>
      <c r="I223" s="23">
        <v>100</v>
      </c>
      <c r="J223" s="23">
        <v>100</v>
      </c>
      <c r="K223" s="23">
        <f>G223</f>
        <v>4936</v>
      </c>
      <c r="L223" s="23">
        <f>G223</f>
        <v>4936</v>
      </c>
      <c r="M223" s="23"/>
      <c r="N223" s="23">
        <v>2000</v>
      </c>
      <c r="O223" s="23">
        <v>2000</v>
      </c>
      <c r="P223" s="78"/>
      <c r="Q223" s="860">
        <f t="shared" si="81"/>
        <v>2000</v>
      </c>
      <c r="R223" s="860">
        <v>2000</v>
      </c>
      <c r="S223" s="860"/>
      <c r="T223" s="73">
        <f t="shared" si="82"/>
        <v>2000</v>
      </c>
      <c r="U223" s="23"/>
      <c r="V223" s="23">
        <v>2000</v>
      </c>
      <c r="W223" s="80" t="s">
        <v>1529</v>
      </c>
      <c r="X223" s="24"/>
      <c r="Y223" s="23">
        <v>1</v>
      </c>
      <c r="Z223" s="657"/>
      <c r="AA223" s="990"/>
      <c r="AB223" s="811"/>
      <c r="AC223" s="551"/>
      <c r="AD223" s="551"/>
      <c r="AE223" s="551"/>
      <c r="AG223" s="57"/>
      <c r="AH223" s="57"/>
      <c r="AI223" s="57"/>
      <c r="AJ223" s="57"/>
      <c r="AK223" s="57"/>
      <c r="AL223" s="57"/>
    </row>
    <row r="224" spans="1:38" s="54" customFormat="1" ht="25.5">
      <c r="A224" s="97" t="s">
        <v>191</v>
      </c>
      <c r="B224" s="288" t="s">
        <v>1015</v>
      </c>
      <c r="C224" s="19" t="s">
        <v>143</v>
      </c>
      <c r="D224" s="19" t="s">
        <v>1016</v>
      </c>
      <c r="E224" s="70" t="s">
        <v>163</v>
      </c>
      <c r="F224" s="80" t="s">
        <v>1017</v>
      </c>
      <c r="G224" s="72">
        <v>4332</v>
      </c>
      <c r="H224" s="72">
        <v>4332</v>
      </c>
      <c r="I224" s="72"/>
      <c r="J224" s="72"/>
      <c r="K224" s="72">
        <v>4126</v>
      </c>
      <c r="L224" s="72">
        <f>4332-206</f>
        <v>4126</v>
      </c>
      <c r="M224" s="72"/>
      <c r="N224" s="72">
        <v>2000</v>
      </c>
      <c r="O224" s="72">
        <v>2000</v>
      </c>
      <c r="P224" s="78"/>
      <c r="Q224" s="123">
        <f t="shared" si="81"/>
        <v>2000</v>
      </c>
      <c r="R224" s="123">
        <v>2000</v>
      </c>
      <c r="S224" s="123"/>
      <c r="T224" s="73">
        <f t="shared" si="82"/>
        <v>2000</v>
      </c>
      <c r="U224" s="72"/>
      <c r="V224" s="72">
        <v>2000</v>
      </c>
      <c r="W224" s="1012" t="s">
        <v>1518</v>
      </c>
      <c r="X224" s="80"/>
      <c r="Y224" s="72">
        <v>1</v>
      </c>
      <c r="Z224" s="657"/>
      <c r="AA224" s="990"/>
      <c r="AB224" s="811"/>
      <c r="AC224" s="551"/>
      <c r="AD224" s="551"/>
      <c r="AE224" s="551"/>
      <c r="AG224" s="57"/>
      <c r="AH224" s="57"/>
      <c r="AI224" s="57"/>
      <c r="AJ224" s="57"/>
      <c r="AK224" s="57"/>
      <c r="AL224" s="57"/>
    </row>
    <row r="225" spans="1:38" s="54" customFormat="1" ht="25.5">
      <c r="A225" s="97" t="s">
        <v>195</v>
      </c>
      <c r="B225" s="288" t="s">
        <v>1018</v>
      </c>
      <c r="C225" s="19" t="s">
        <v>143</v>
      </c>
      <c r="D225" s="19" t="s">
        <v>1019</v>
      </c>
      <c r="E225" s="70" t="s">
        <v>154</v>
      </c>
      <c r="F225" s="80" t="s">
        <v>1020</v>
      </c>
      <c r="G225" s="72">
        <v>2253</v>
      </c>
      <c r="H225" s="72">
        <v>2253</v>
      </c>
      <c r="I225" s="72"/>
      <c r="J225" s="72"/>
      <c r="K225" s="72">
        <v>2146</v>
      </c>
      <c r="L225" s="72">
        <f>2253-107</f>
        <v>2146</v>
      </c>
      <c r="M225" s="72"/>
      <c r="N225" s="72">
        <v>2000</v>
      </c>
      <c r="O225" s="72">
        <v>2000</v>
      </c>
      <c r="P225" s="78"/>
      <c r="Q225" s="123">
        <f t="shared" si="81"/>
        <v>2000</v>
      </c>
      <c r="R225" s="123">
        <v>2000</v>
      </c>
      <c r="S225" s="123"/>
      <c r="T225" s="73">
        <f t="shared" si="82"/>
        <v>2000</v>
      </c>
      <c r="U225" s="72"/>
      <c r="V225" s="72">
        <v>2000</v>
      </c>
      <c r="W225" s="1012" t="s">
        <v>1518</v>
      </c>
      <c r="X225" s="80"/>
      <c r="Y225" s="72">
        <v>1</v>
      </c>
      <c r="Z225" s="657"/>
      <c r="AA225" s="990"/>
      <c r="AB225" s="811"/>
      <c r="AC225" s="551"/>
      <c r="AD225" s="551"/>
      <c r="AE225" s="551"/>
      <c r="AG225" s="57"/>
      <c r="AH225" s="57"/>
      <c r="AI225" s="57"/>
      <c r="AJ225" s="57"/>
      <c r="AK225" s="57"/>
      <c r="AL225" s="57"/>
    </row>
    <row r="226" spans="1:38" s="54" customFormat="1" ht="30">
      <c r="A226" s="97" t="s">
        <v>590</v>
      </c>
      <c r="B226" s="68" t="s">
        <v>1021</v>
      </c>
      <c r="C226" s="19" t="s">
        <v>71</v>
      </c>
      <c r="D226" s="19" t="s">
        <v>1022</v>
      </c>
      <c r="E226" s="70" t="s">
        <v>154</v>
      </c>
      <c r="F226" s="80" t="s">
        <v>1023</v>
      </c>
      <c r="G226" s="23">
        <v>5450</v>
      </c>
      <c r="H226" s="23">
        <v>5450</v>
      </c>
      <c r="I226" s="23">
        <f t="shared" ref="I226:I237" si="83">+J226</f>
        <v>240</v>
      </c>
      <c r="J226" s="23">
        <v>240</v>
      </c>
      <c r="K226" s="23">
        <v>5450</v>
      </c>
      <c r="L226" s="23">
        <v>5450</v>
      </c>
      <c r="M226" s="23"/>
      <c r="N226" s="23">
        <v>2000</v>
      </c>
      <c r="O226" s="23">
        <v>2000</v>
      </c>
      <c r="P226" s="78"/>
      <c r="Q226" s="860">
        <f t="shared" si="81"/>
        <v>2000</v>
      </c>
      <c r="R226" s="860"/>
      <c r="S226" s="860">
        <v>2000</v>
      </c>
      <c r="T226" s="73">
        <f t="shared" si="82"/>
        <v>2000</v>
      </c>
      <c r="U226" s="23"/>
      <c r="V226" s="23">
        <v>2000</v>
      </c>
      <c r="W226" s="80" t="s">
        <v>1516</v>
      </c>
      <c r="X226" s="80"/>
      <c r="Y226" s="23">
        <v>1</v>
      </c>
      <c r="Z226" s="657"/>
      <c r="AA226" s="990"/>
      <c r="AB226" s="811"/>
      <c r="AC226" s="551"/>
      <c r="AD226" s="551"/>
      <c r="AE226" s="551"/>
      <c r="AG226" s="57"/>
      <c r="AH226" s="57"/>
      <c r="AI226" s="57"/>
      <c r="AJ226" s="57"/>
      <c r="AK226" s="57"/>
      <c r="AL226" s="57"/>
    </row>
    <row r="227" spans="1:38" s="54" customFormat="1" ht="30">
      <c r="A227" s="97" t="s">
        <v>591</v>
      </c>
      <c r="B227" s="68" t="s">
        <v>1024</v>
      </c>
      <c r="C227" s="19" t="s">
        <v>66</v>
      </c>
      <c r="D227" s="19" t="s">
        <v>1025</v>
      </c>
      <c r="E227" s="70" t="s">
        <v>154</v>
      </c>
      <c r="F227" s="80" t="s">
        <v>1026</v>
      </c>
      <c r="G227" s="23">
        <v>6705</v>
      </c>
      <c r="H227" s="23">
        <v>6705</v>
      </c>
      <c r="I227" s="23">
        <f t="shared" si="83"/>
        <v>200</v>
      </c>
      <c r="J227" s="23">
        <v>200</v>
      </c>
      <c r="K227" s="23">
        <v>6705</v>
      </c>
      <c r="L227" s="23">
        <v>6705</v>
      </c>
      <c r="M227" s="23"/>
      <c r="N227" s="23">
        <v>2000</v>
      </c>
      <c r="O227" s="23">
        <v>2000</v>
      </c>
      <c r="P227" s="78"/>
      <c r="Q227" s="860">
        <f t="shared" si="81"/>
        <v>2000</v>
      </c>
      <c r="R227" s="860"/>
      <c r="S227" s="860">
        <v>2000</v>
      </c>
      <c r="T227" s="73">
        <f t="shared" si="82"/>
        <v>2000</v>
      </c>
      <c r="U227" s="23"/>
      <c r="V227" s="23">
        <v>2000</v>
      </c>
      <c r="W227" s="80" t="s">
        <v>1526</v>
      </c>
      <c r="X227" s="24"/>
      <c r="Y227" s="23">
        <v>1</v>
      </c>
      <c r="Z227" s="657"/>
      <c r="AA227" s="990"/>
      <c r="AB227" s="811"/>
      <c r="AC227" s="551"/>
      <c r="AD227" s="551"/>
      <c r="AE227" s="551"/>
      <c r="AG227" s="57"/>
      <c r="AH227" s="57"/>
      <c r="AI227" s="57"/>
      <c r="AJ227" s="57"/>
      <c r="AK227" s="57"/>
      <c r="AL227" s="57"/>
    </row>
    <row r="228" spans="1:38" s="54" customFormat="1" ht="45">
      <c r="A228" s="97" t="s">
        <v>916</v>
      </c>
      <c r="B228" s="68" t="s">
        <v>1027</v>
      </c>
      <c r="C228" s="19" t="s">
        <v>260</v>
      </c>
      <c r="D228" s="19" t="s">
        <v>1684</v>
      </c>
      <c r="E228" s="70" t="s">
        <v>154</v>
      </c>
      <c r="F228" s="80" t="s">
        <v>1029</v>
      </c>
      <c r="G228" s="23">
        <v>6197</v>
      </c>
      <c r="H228" s="23">
        <v>6197</v>
      </c>
      <c r="I228" s="23">
        <f t="shared" si="83"/>
        <v>230</v>
      </c>
      <c r="J228" s="23">
        <v>230</v>
      </c>
      <c r="K228" s="23">
        <v>6197</v>
      </c>
      <c r="L228" s="23">
        <v>6197</v>
      </c>
      <c r="M228" s="23"/>
      <c r="N228" s="23">
        <v>2000</v>
      </c>
      <c r="O228" s="23">
        <v>2000</v>
      </c>
      <c r="P228" s="78"/>
      <c r="Q228" s="860">
        <f t="shared" si="81"/>
        <v>2000</v>
      </c>
      <c r="R228" s="860"/>
      <c r="S228" s="860">
        <v>2000</v>
      </c>
      <c r="T228" s="73">
        <f t="shared" si="82"/>
        <v>2000</v>
      </c>
      <c r="U228" s="23"/>
      <c r="V228" s="23">
        <v>2000</v>
      </c>
      <c r="W228" s="80" t="s">
        <v>1552</v>
      </c>
      <c r="X228" s="80"/>
      <c r="Y228" s="23">
        <v>1</v>
      </c>
      <c r="Z228" s="657"/>
      <c r="AA228" s="990"/>
      <c r="AB228" s="811"/>
      <c r="AC228" s="551"/>
      <c r="AD228" s="551"/>
      <c r="AE228" s="551"/>
      <c r="AG228" s="57"/>
      <c r="AH228" s="57"/>
      <c r="AI228" s="57"/>
      <c r="AJ228" s="57"/>
      <c r="AK228" s="57"/>
      <c r="AL228" s="57"/>
    </row>
    <row r="229" spans="1:38" s="54" customFormat="1" ht="25.5">
      <c r="A229" s="97" t="s">
        <v>919</v>
      </c>
      <c r="B229" s="68" t="s">
        <v>1030</v>
      </c>
      <c r="C229" s="19" t="s">
        <v>260</v>
      </c>
      <c r="D229" s="19" t="s">
        <v>1685</v>
      </c>
      <c r="E229" s="70" t="s">
        <v>154</v>
      </c>
      <c r="F229" s="80" t="s">
        <v>1031</v>
      </c>
      <c r="G229" s="23">
        <v>4369</v>
      </c>
      <c r="H229" s="23">
        <v>4369</v>
      </c>
      <c r="I229" s="23">
        <f t="shared" si="83"/>
        <v>180</v>
      </c>
      <c r="J229" s="23">
        <v>180</v>
      </c>
      <c r="K229" s="23">
        <v>4369</v>
      </c>
      <c r="L229" s="23">
        <v>4369</v>
      </c>
      <c r="M229" s="23"/>
      <c r="N229" s="23">
        <v>2000</v>
      </c>
      <c r="O229" s="23">
        <v>2000</v>
      </c>
      <c r="P229" s="78"/>
      <c r="Q229" s="860">
        <f t="shared" si="81"/>
        <v>2000</v>
      </c>
      <c r="R229" s="860"/>
      <c r="S229" s="860">
        <v>2000</v>
      </c>
      <c r="T229" s="73">
        <f t="shared" si="82"/>
        <v>2000</v>
      </c>
      <c r="U229" s="23"/>
      <c r="V229" s="23">
        <v>2000</v>
      </c>
      <c r="W229" s="80" t="s">
        <v>1552</v>
      </c>
      <c r="X229" s="80"/>
      <c r="Y229" s="23">
        <v>1</v>
      </c>
      <c r="Z229" s="657"/>
      <c r="AA229" s="990"/>
      <c r="AB229" s="811"/>
      <c r="AC229" s="551"/>
      <c r="AD229" s="551"/>
      <c r="AE229" s="551"/>
      <c r="AG229" s="57"/>
      <c r="AH229" s="57"/>
      <c r="AI229" s="57"/>
      <c r="AJ229" s="57"/>
      <c r="AK229" s="57"/>
      <c r="AL229" s="57"/>
    </row>
    <row r="230" spans="1:38" s="54" customFormat="1" ht="25.5">
      <c r="A230" s="97" t="s">
        <v>671</v>
      </c>
      <c r="B230" s="68" t="s">
        <v>1032</v>
      </c>
      <c r="C230" s="19" t="s">
        <v>260</v>
      </c>
      <c r="D230" s="19" t="s">
        <v>1686</v>
      </c>
      <c r="E230" s="70" t="s">
        <v>154</v>
      </c>
      <c r="F230" s="80" t="s">
        <v>1033</v>
      </c>
      <c r="G230" s="23">
        <v>5639</v>
      </c>
      <c r="H230" s="23">
        <v>5539</v>
      </c>
      <c r="I230" s="23">
        <f t="shared" si="83"/>
        <v>100</v>
      </c>
      <c r="J230" s="23">
        <v>100</v>
      </c>
      <c r="K230" s="23">
        <v>5639</v>
      </c>
      <c r="L230" s="23">
        <v>5539</v>
      </c>
      <c r="M230" s="23"/>
      <c r="N230" s="23">
        <v>5000</v>
      </c>
      <c r="O230" s="23">
        <v>5000</v>
      </c>
      <c r="P230" s="78"/>
      <c r="Q230" s="828">
        <f t="shared" si="81"/>
        <v>2800</v>
      </c>
      <c r="R230" s="860"/>
      <c r="S230" s="860">
        <v>2800</v>
      </c>
      <c r="T230" s="73">
        <f t="shared" si="82"/>
        <v>2800</v>
      </c>
      <c r="U230" s="23"/>
      <c r="V230" s="23">
        <v>2800</v>
      </c>
      <c r="W230" s="80" t="s">
        <v>1552</v>
      </c>
      <c r="X230" s="24"/>
      <c r="Y230" s="23">
        <v>1</v>
      </c>
      <c r="Z230" s="657"/>
      <c r="AA230" s="990"/>
      <c r="AB230" s="811"/>
      <c r="AC230" s="551"/>
      <c r="AD230" s="551"/>
      <c r="AE230" s="551"/>
      <c r="AG230" s="57"/>
      <c r="AH230" s="57"/>
      <c r="AI230" s="57"/>
      <c r="AJ230" s="57"/>
      <c r="AK230" s="57"/>
      <c r="AL230" s="57"/>
    </row>
    <row r="231" spans="1:38" s="54" customFormat="1" ht="25.5">
      <c r="A231" s="97" t="s">
        <v>1041</v>
      </c>
      <c r="B231" s="68" t="s">
        <v>1034</v>
      </c>
      <c r="C231" s="19" t="s">
        <v>260</v>
      </c>
      <c r="D231" s="19" t="s">
        <v>1687</v>
      </c>
      <c r="E231" s="70" t="s">
        <v>154</v>
      </c>
      <c r="F231" s="80" t="s">
        <v>1035</v>
      </c>
      <c r="G231" s="23">
        <v>6961</v>
      </c>
      <c r="H231" s="23">
        <v>6961</v>
      </c>
      <c r="I231" s="23">
        <f t="shared" si="83"/>
        <v>100</v>
      </c>
      <c r="J231" s="23">
        <v>100</v>
      </c>
      <c r="K231" s="23">
        <v>6961</v>
      </c>
      <c r="L231" s="23">
        <v>6961</v>
      </c>
      <c r="M231" s="23"/>
      <c r="N231" s="23">
        <v>5000</v>
      </c>
      <c r="O231" s="23">
        <v>5000</v>
      </c>
      <c r="P231" s="78"/>
      <c r="Q231" s="828">
        <f t="shared" si="81"/>
        <v>3000</v>
      </c>
      <c r="R231" s="860"/>
      <c r="S231" s="860">
        <v>3000</v>
      </c>
      <c r="T231" s="73">
        <f t="shared" si="82"/>
        <v>3000</v>
      </c>
      <c r="U231" s="23"/>
      <c r="V231" s="23">
        <v>3000</v>
      </c>
      <c r="W231" s="80" t="s">
        <v>1552</v>
      </c>
      <c r="X231" s="24"/>
      <c r="Y231" s="23">
        <v>1</v>
      </c>
      <c r="Z231" s="657"/>
      <c r="AA231" s="990"/>
      <c r="AB231" s="811"/>
      <c r="AC231" s="551"/>
      <c r="AD231" s="551"/>
      <c r="AE231" s="551"/>
      <c r="AG231" s="57"/>
      <c r="AH231" s="57"/>
      <c r="AI231" s="57"/>
      <c r="AJ231" s="57"/>
      <c r="AK231" s="57"/>
      <c r="AL231" s="57"/>
    </row>
    <row r="232" spans="1:38" s="54" customFormat="1" ht="45">
      <c r="A232" s="97" t="s">
        <v>1044</v>
      </c>
      <c r="B232" s="68" t="s">
        <v>1036</v>
      </c>
      <c r="C232" s="19" t="s">
        <v>29</v>
      </c>
      <c r="D232" s="19" t="s">
        <v>1688</v>
      </c>
      <c r="E232" s="70" t="s">
        <v>154</v>
      </c>
      <c r="F232" s="80" t="s">
        <v>1689</v>
      </c>
      <c r="G232" s="23">
        <v>5670</v>
      </c>
      <c r="H232" s="23">
        <v>5670</v>
      </c>
      <c r="I232" s="23">
        <f t="shared" si="83"/>
        <v>273</v>
      </c>
      <c r="J232" s="23">
        <v>273</v>
      </c>
      <c r="K232" s="23">
        <v>5670</v>
      </c>
      <c r="L232" s="23">
        <v>5670</v>
      </c>
      <c r="M232" s="23"/>
      <c r="N232" s="23">
        <v>2000</v>
      </c>
      <c r="O232" s="23">
        <v>2000</v>
      </c>
      <c r="P232" s="78"/>
      <c r="Q232" s="828">
        <f t="shared" si="81"/>
        <v>2000</v>
      </c>
      <c r="R232" s="860"/>
      <c r="S232" s="860">
        <v>2000</v>
      </c>
      <c r="T232" s="73">
        <f t="shared" si="82"/>
        <v>2000</v>
      </c>
      <c r="U232" s="23"/>
      <c r="V232" s="23">
        <v>2000</v>
      </c>
      <c r="W232" s="80" t="s">
        <v>1527</v>
      </c>
      <c r="X232" s="24"/>
      <c r="Y232" s="23">
        <v>1</v>
      </c>
      <c r="Z232" s="657"/>
      <c r="AA232" s="990"/>
      <c r="AB232" s="811"/>
      <c r="AC232" s="551"/>
      <c r="AD232" s="551"/>
      <c r="AE232" s="551"/>
      <c r="AG232" s="57"/>
      <c r="AH232" s="57"/>
      <c r="AI232" s="57"/>
      <c r="AJ232" s="57"/>
      <c r="AK232" s="57"/>
      <c r="AL232" s="57"/>
    </row>
    <row r="233" spans="1:38" s="54" customFormat="1" ht="25.5">
      <c r="A233" s="97" t="s">
        <v>1189</v>
      </c>
      <c r="B233" s="68" t="s">
        <v>1037</v>
      </c>
      <c r="C233" s="19" t="s">
        <v>173</v>
      </c>
      <c r="D233" s="19" t="s">
        <v>1690</v>
      </c>
      <c r="E233" s="70" t="s">
        <v>166</v>
      </c>
      <c r="F233" s="80" t="s">
        <v>1038</v>
      </c>
      <c r="G233" s="23">
        <v>5237</v>
      </c>
      <c r="H233" s="23">
        <v>5237</v>
      </c>
      <c r="I233" s="23">
        <f t="shared" si="83"/>
        <v>150</v>
      </c>
      <c r="J233" s="23">
        <v>150</v>
      </c>
      <c r="K233" s="23">
        <v>5237</v>
      </c>
      <c r="L233" s="23">
        <v>5237</v>
      </c>
      <c r="M233" s="23"/>
      <c r="N233" s="23">
        <v>3000</v>
      </c>
      <c r="O233" s="23">
        <v>3000</v>
      </c>
      <c r="P233" s="78"/>
      <c r="Q233" s="828">
        <f t="shared" si="81"/>
        <v>2500</v>
      </c>
      <c r="R233" s="860"/>
      <c r="S233" s="860">
        <v>2500</v>
      </c>
      <c r="T233" s="73">
        <f t="shared" si="82"/>
        <v>2500</v>
      </c>
      <c r="U233" s="23"/>
      <c r="V233" s="23">
        <v>2500</v>
      </c>
      <c r="W233" s="80" t="s">
        <v>1551</v>
      </c>
      <c r="X233" s="24"/>
      <c r="Y233" s="23">
        <v>1</v>
      </c>
      <c r="Z233" s="657"/>
      <c r="AA233" s="990"/>
      <c r="AB233" s="811"/>
      <c r="AC233" s="551"/>
      <c r="AD233" s="551"/>
      <c r="AE233" s="551"/>
      <c r="AG233" s="57"/>
      <c r="AH233" s="57"/>
      <c r="AI233" s="57"/>
      <c r="AJ233" s="57"/>
      <c r="AK233" s="57"/>
      <c r="AL233" s="57"/>
    </row>
    <row r="234" spans="1:38" s="54" customFormat="1" ht="25.5">
      <c r="A234" s="97" t="s">
        <v>1194</v>
      </c>
      <c r="B234" s="68" t="s">
        <v>1039</v>
      </c>
      <c r="C234" s="19" t="s">
        <v>5</v>
      </c>
      <c r="D234" s="19" t="s">
        <v>1691</v>
      </c>
      <c r="E234" s="70" t="s">
        <v>154</v>
      </c>
      <c r="F234" s="80" t="s">
        <v>1040</v>
      </c>
      <c r="G234" s="23">
        <v>4927</v>
      </c>
      <c r="H234" s="23">
        <v>4927</v>
      </c>
      <c r="I234" s="23">
        <f t="shared" si="83"/>
        <v>100</v>
      </c>
      <c r="J234" s="23">
        <v>100</v>
      </c>
      <c r="K234" s="23">
        <v>4927</v>
      </c>
      <c r="L234" s="23">
        <v>4927</v>
      </c>
      <c r="M234" s="23"/>
      <c r="N234" s="23">
        <v>2000</v>
      </c>
      <c r="O234" s="23">
        <v>2000</v>
      </c>
      <c r="P234" s="78"/>
      <c r="Q234" s="123">
        <f t="shared" si="81"/>
        <v>2000</v>
      </c>
      <c r="R234" s="860">
        <v>2000</v>
      </c>
      <c r="S234" s="860"/>
      <c r="T234" s="73">
        <f t="shared" si="82"/>
        <v>2000</v>
      </c>
      <c r="U234" s="23"/>
      <c r="V234" s="23">
        <v>2000</v>
      </c>
      <c r="W234" s="80" t="s">
        <v>1521</v>
      </c>
      <c r="X234" s="80"/>
      <c r="Y234" s="23">
        <v>1</v>
      </c>
      <c r="Z234" s="657"/>
      <c r="AA234" s="990"/>
      <c r="AB234" s="811"/>
      <c r="AC234" s="551"/>
      <c r="AD234" s="551"/>
      <c r="AE234" s="551"/>
      <c r="AG234" s="57"/>
      <c r="AH234" s="57"/>
      <c r="AI234" s="57"/>
      <c r="AJ234" s="57"/>
      <c r="AK234" s="57"/>
      <c r="AL234" s="57"/>
    </row>
    <row r="235" spans="1:38" s="54" customFormat="1" ht="25.5">
      <c r="A235" s="97" t="s">
        <v>1195</v>
      </c>
      <c r="B235" s="68" t="s">
        <v>1042</v>
      </c>
      <c r="C235" s="19" t="s">
        <v>5</v>
      </c>
      <c r="D235" s="19" t="s">
        <v>1692</v>
      </c>
      <c r="E235" s="70" t="s">
        <v>154</v>
      </c>
      <c r="F235" s="80" t="s">
        <v>1043</v>
      </c>
      <c r="G235" s="23">
        <v>4648</v>
      </c>
      <c r="H235" s="23">
        <v>4648</v>
      </c>
      <c r="I235" s="23">
        <f t="shared" si="83"/>
        <v>100</v>
      </c>
      <c r="J235" s="23">
        <v>100</v>
      </c>
      <c r="K235" s="23">
        <v>4648</v>
      </c>
      <c r="L235" s="23">
        <v>4648</v>
      </c>
      <c r="M235" s="23"/>
      <c r="N235" s="23">
        <v>2000</v>
      </c>
      <c r="O235" s="23">
        <v>2000</v>
      </c>
      <c r="P235" s="78"/>
      <c r="Q235" s="123">
        <f t="shared" si="81"/>
        <v>2000</v>
      </c>
      <c r="R235" s="860">
        <v>2000</v>
      </c>
      <c r="S235" s="860"/>
      <c r="T235" s="73">
        <f t="shared" si="82"/>
        <v>2000</v>
      </c>
      <c r="U235" s="23"/>
      <c r="V235" s="23">
        <v>2000</v>
      </c>
      <c r="W235" s="80" t="s">
        <v>1521</v>
      </c>
      <c r="X235" s="80"/>
      <c r="Y235" s="23">
        <v>1</v>
      </c>
      <c r="Z235" s="657"/>
      <c r="AA235" s="990"/>
      <c r="AB235" s="811"/>
      <c r="AC235" s="551"/>
      <c r="AD235" s="551"/>
      <c r="AE235" s="551"/>
      <c r="AG235" s="57"/>
      <c r="AH235" s="57"/>
      <c r="AI235" s="57"/>
      <c r="AJ235" s="57"/>
      <c r="AK235" s="57"/>
      <c r="AL235" s="57"/>
    </row>
    <row r="236" spans="1:38" s="54" customFormat="1" ht="30">
      <c r="A236" s="97" t="s">
        <v>1497</v>
      </c>
      <c r="B236" s="68" t="s">
        <v>1045</v>
      </c>
      <c r="C236" s="19" t="s">
        <v>5</v>
      </c>
      <c r="D236" s="19" t="s">
        <v>1693</v>
      </c>
      <c r="E236" s="70" t="s">
        <v>154</v>
      </c>
      <c r="F236" s="80" t="s">
        <v>1046</v>
      </c>
      <c r="G236" s="23">
        <v>1912</v>
      </c>
      <c r="H236" s="23">
        <v>1912</v>
      </c>
      <c r="I236" s="23">
        <f t="shared" si="83"/>
        <v>100</v>
      </c>
      <c r="J236" s="23">
        <v>100</v>
      </c>
      <c r="K236" s="23">
        <v>1912</v>
      </c>
      <c r="L236" s="23">
        <v>1912</v>
      </c>
      <c r="M236" s="23"/>
      <c r="N236" s="23">
        <v>1800</v>
      </c>
      <c r="O236" s="23">
        <v>1800</v>
      </c>
      <c r="P236" s="78"/>
      <c r="Q236" s="123">
        <f t="shared" si="81"/>
        <v>1800</v>
      </c>
      <c r="R236" s="860">
        <v>1800</v>
      </c>
      <c r="S236" s="860"/>
      <c r="T236" s="73">
        <f t="shared" si="82"/>
        <v>1800</v>
      </c>
      <c r="U236" s="23"/>
      <c r="V236" s="23">
        <v>1800</v>
      </c>
      <c r="W236" s="80" t="s">
        <v>1521</v>
      </c>
      <c r="X236" s="80"/>
      <c r="Y236" s="23">
        <v>1</v>
      </c>
      <c r="Z236" s="657"/>
      <c r="AA236" s="990"/>
      <c r="AB236" s="811"/>
      <c r="AC236" s="551"/>
      <c r="AD236" s="551"/>
      <c r="AE236" s="551"/>
      <c r="AG236" s="57"/>
      <c r="AH236" s="57"/>
      <c r="AI236" s="57"/>
      <c r="AJ236" s="57"/>
      <c r="AK236" s="57"/>
      <c r="AL236" s="57"/>
    </row>
    <row r="237" spans="1:38" s="54" customFormat="1" ht="25.5">
      <c r="A237" s="97" t="s">
        <v>1498</v>
      </c>
      <c r="B237" s="68" t="s">
        <v>914</v>
      </c>
      <c r="C237" s="19" t="s">
        <v>60</v>
      </c>
      <c r="D237" s="19" t="s">
        <v>915</v>
      </c>
      <c r="E237" s="70" t="s">
        <v>154</v>
      </c>
      <c r="F237" s="80" t="s">
        <v>1511</v>
      </c>
      <c r="G237" s="23">
        <v>6478</v>
      </c>
      <c r="H237" s="23">
        <v>6478</v>
      </c>
      <c r="I237" s="23">
        <f t="shared" si="83"/>
        <v>100</v>
      </c>
      <c r="J237" s="23">
        <v>100</v>
      </c>
      <c r="K237" s="23">
        <v>6478</v>
      </c>
      <c r="L237" s="23">
        <v>6478</v>
      </c>
      <c r="M237" s="23"/>
      <c r="N237" s="23">
        <v>2000</v>
      </c>
      <c r="O237" s="72">
        <v>2000</v>
      </c>
      <c r="P237" s="78"/>
      <c r="Q237" s="123">
        <f t="shared" si="81"/>
        <v>2000</v>
      </c>
      <c r="R237" s="860">
        <v>2000</v>
      </c>
      <c r="S237" s="860"/>
      <c r="T237" s="73">
        <f t="shared" si="82"/>
        <v>2000</v>
      </c>
      <c r="U237" s="23"/>
      <c r="V237" s="23">
        <v>2000</v>
      </c>
      <c r="W237" s="513" t="s">
        <v>1517</v>
      </c>
      <c r="X237" s="80"/>
      <c r="Y237" s="23">
        <v>1</v>
      </c>
      <c r="Z237" s="657"/>
      <c r="AA237" s="990"/>
      <c r="AB237" s="811"/>
      <c r="AC237" s="551"/>
      <c r="AD237" s="551"/>
      <c r="AE237" s="551"/>
      <c r="AG237" s="57"/>
      <c r="AH237" s="57"/>
      <c r="AI237" s="57"/>
      <c r="AJ237" s="57"/>
      <c r="AK237" s="57"/>
      <c r="AL237" s="57"/>
    </row>
    <row r="238" spans="1:38" s="54" customFormat="1" ht="51">
      <c r="A238" s="97" t="s">
        <v>1512</v>
      </c>
      <c r="B238" s="68" t="s">
        <v>1188</v>
      </c>
      <c r="C238" s="19" t="s">
        <v>648</v>
      </c>
      <c r="D238" s="19"/>
      <c r="E238" s="70" t="s">
        <v>313</v>
      </c>
      <c r="F238" s="80"/>
      <c r="G238" s="23"/>
      <c r="H238" s="23">
        <v>618</v>
      </c>
      <c r="I238" s="23"/>
      <c r="J238" s="23"/>
      <c r="K238" s="23">
        <v>618</v>
      </c>
      <c r="L238" s="23">
        <v>618</v>
      </c>
      <c r="M238" s="23"/>
      <c r="N238" s="72">
        <v>131</v>
      </c>
      <c r="O238" s="23">
        <v>131</v>
      </c>
      <c r="P238" s="23"/>
      <c r="Q238" s="123">
        <v>131</v>
      </c>
      <c r="R238" s="860"/>
      <c r="S238" s="860">
        <v>131</v>
      </c>
      <c r="T238" s="73">
        <f t="shared" si="82"/>
        <v>131</v>
      </c>
      <c r="U238" s="23"/>
      <c r="V238" s="23">
        <v>131</v>
      </c>
      <c r="W238" s="80" t="s">
        <v>1550</v>
      </c>
      <c r="X238" s="80" t="s">
        <v>1196</v>
      </c>
      <c r="Y238" s="23">
        <v>1</v>
      </c>
      <c r="Z238" s="657"/>
      <c r="AA238" s="990"/>
      <c r="AB238" s="811"/>
      <c r="AC238" s="551"/>
      <c r="AD238" s="551"/>
      <c r="AE238" s="551"/>
      <c r="AG238" s="57"/>
      <c r="AH238" s="57"/>
      <c r="AI238" s="57"/>
      <c r="AJ238" s="57"/>
      <c r="AK238" s="57"/>
      <c r="AL238" s="57"/>
    </row>
    <row r="239" spans="1:38" s="629" customFormat="1" ht="28.5">
      <c r="A239" s="630" t="s">
        <v>760</v>
      </c>
      <c r="B239" s="618" t="s">
        <v>1147</v>
      </c>
      <c r="C239" s="625"/>
      <c r="D239" s="625"/>
      <c r="E239" s="626"/>
      <c r="F239" s="690"/>
      <c r="G239" s="621">
        <f t="shared" ref="G239:V239" si="84">G241+G242</f>
        <v>2542536</v>
      </c>
      <c r="H239" s="621">
        <f t="shared" si="84"/>
        <v>504419</v>
      </c>
      <c r="I239" s="621">
        <f t="shared" si="84"/>
        <v>379166</v>
      </c>
      <c r="J239" s="621">
        <f t="shared" si="84"/>
        <v>156196</v>
      </c>
      <c r="K239" s="621">
        <f t="shared" si="84"/>
        <v>1144986</v>
      </c>
      <c r="L239" s="621">
        <f t="shared" si="84"/>
        <v>387139</v>
      </c>
      <c r="M239" s="621">
        <f t="shared" si="84"/>
        <v>0</v>
      </c>
      <c r="N239" s="621">
        <f t="shared" si="84"/>
        <v>542311</v>
      </c>
      <c r="O239" s="621">
        <f t="shared" si="84"/>
        <v>154737</v>
      </c>
      <c r="P239" s="621">
        <f t="shared" si="84"/>
        <v>0</v>
      </c>
      <c r="Q239" s="826">
        <f t="shared" si="84"/>
        <v>93500</v>
      </c>
      <c r="R239" s="826">
        <f t="shared" si="84"/>
        <v>33500</v>
      </c>
      <c r="S239" s="826">
        <f t="shared" si="84"/>
        <v>60000</v>
      </c>
      <c r="T239" s="621">
        <f t="shared" si="84"/>
        <v>83500</v>
      </c>
      <c r="U239" s="621">
        <f t="shared" si="84"/>
        <v>33500</v>
      </c>
      <c r="V239" s="621">
        <f t="shared" si="84"/>
        <v>50000</v>
      </c>
      <c r="W239" s="684"/>
      <c r="X239" s="684"/>
      <c r="Y239" s="621">
        <f>Y241+Y242</f>
        <v>6</v>
      </c>
      <c r="Z239" s="662"/>
      <c r="AA239" s="990"/>
      <c r="AB239" s="811"/>
      <c r="AC239" s="628"/>
      <c r="AD239" s="628"/>
      <c r="AE239" s="628"/>
    </row>
    <row r="240" spans="1:38" s="266" customFormat="1">
      <c r="A240" s="82" t="s">
        <v>525</v>
      </c>
      <c r="B240" s="65" t="s">
        <v>26</v>
      </c>
      <c r="C240" s="350"/>
      <c r="D240" s="350"/>
      <c r="E240" s="351"/>
      <c r="F240" s="352"/>
      <c r="G240" s="45">
        <f t="shared" ref="G240:V240" si="85">G241</f>
        <v>1085800</v>
      </c>
      <c r="H240" s="45">
        <f t="shared" si="85"/>
        <v>195800</v>
      </c>
      <c r="I240" s="45">
        <f t="shared" si="85"/>
        <v>0</v>
      </c>
      <c r="J240" s="45">
        <f t="shared" si="85"/>
        <v>0</v>
      </c>
      <c r="K240" s="45">
        <f t="shared" si="85"/>
        <v>191333</v>
      </c>
      <c r="L240" s="45">
        <f t="shared" si="85"/>
        <v>176220</v>
      </c>
      <c r="M240" s="45">
        <f t="shared" si="85"/>
        <v>0</v>
      </c>
      <c r="N240" s="45">
        <f t="shared" si="85"/>
        <v>20000</v>
      </c>
      <c r="O240" s="45">
        <f t="shared" si="85"/>
        <v>20000</v>
      </c>
      <c r="P240" s="45">
        <f t="shared" si="85"/>
        <v>0</v>
      </c>
      <c r="Q240" s="827">
        <f t="shared" si="85"/>
        <v>5000</v>
      </c>
      <c r="R240" s="827">
        <f t="shared" si="85"/>
        <v>5000</v>
      </c>
      <c r="S240" s="827">
        <f t="shared" si="85"/>
        <v>0</v>
      </c>
      <c r="T240" s="45">
        <f t="shared" si="85"/>
        <v>5000</v>
      </c>
      <c r="U240" s="45">
        <f t="shared" si="85"/>
        <v>5000</v>
      </c>
      <c r="V240" s="45">
        <f t="shared" si="85"/>
        <v>0</v>
      </c>
      <c r="W240" s="352"/>
      <c r="X240" s="352"/>
      <c r="Y240" s="45">
        <f>Y241</f>
        <v>1</v>
      </c>
      <c r="Z240" s="657"/>
      <c r="AA240" s="990"/>
      <c r="AB240" s="811"/>
      <c r="AC240" s="551"/>
      <c r="AD240" s="551"/>
      <c r="AE240" s="551"/>
      <c r="AG240" s="265"/>
      <c r="AH240" s="265"/>
      <c r="AI240" s="265"/>
      <c r="AJ240" s="265"/>
      <c r="AK240" s="265"/>
      <c r="AL240" s="265"/>
    </row>
    <row r="241" spans="1:38" s="270" customFormat="1" ht="63.75">
      <c r="A241" s="97" t="s">
        <v>27</v>
      </c>
      <c r="B241" s="68" t="s">
        <v>1181</v>
      </c>
      <c r="C241" s="19" t="s">
        <v>29</v>
      </c>
      <c r="D241" s="19"/>
      <c r="E241" s="70" t="s">
        <v>313</v>
      </c>
      <c r="F241" s="80" t="s">
        <v>1182</v>
      </c>
      <c r="G241" s="590">
        <v>1085800</v>
      </c>
      <c r="H241" s="590">
        <v>195800</v>
      </c>
      <c r="I241" s="21"/>
      <c r="J241" s="21"/>
      <c r="K241" s="590">
        <v>191333</v>
      </c>
      <c r="L241" s="590">
        <v>176220</v>
      </c>
      <c r="M241" s="588"/>
      <c r="N241" s="21">
        <v>20000</v>
      </c>
      <c r="O241" s="21">
        <v>20000</v>
      </c>
      <c r="P241" s="21"/>
      <c r="Q241" s="833">
        <f>SUM(R241:S241)</f>
        <v>5000</v>
      </c>
      <c r="R241" s="833">
        <v>5000</v>
      </c>
      <c r="S241" s="833"/>
      <c r="T241" s="21">
        <f>SUM(U241:V241)</f>
        <v>5000</v>
      </c>
      <c r="U241" s="21">
        <v>5000</v>
      </c>
      <c r="V241" s="21"/>
      <c r="W241" s="691" t="s">
        <v>1527</v>
      </c>
      <c r="X241" s="24"/>
      <c r="Y241" s="21">
        <v>1</v>
      </c>
      <c r="Z241" s="657"/>
      <c r="AA241" s="991"/>
      <c r="AB241" s="970"/>
      <c r="AC241" s="550"/>
      <c r="AD241" s="550"/>
      <c r="AE241" s="550"/>
    </row>
    <row r="242" spans="1:38" s="265" customFormat="1" ht="26.1" customHeight="1">
      <c r="A242" s="82" t="s">
        <v>499</v>
      </c>
      <c r="B242" s="197" t="s">
        <v>31</v>
      </c>
      <c r="C242" s="635"/>
      <c r="D242" s="635"/>
      <c r="E242" s="44"/>
      <c r="F242" s="1012"/>
      <c r="G242" s="45">
        <f t="shared" ref="G242:V242" si="86">G243+G248</f>
        <v>1456736</v>
      </c>
      <c r="H242" s="45">
        <f t="shared" si="86"/>
        <v>308619</v>
      </c>
      <c r="I242" s="45">
        <f t="shared" si="86"/>
        <v>379166</v>
      </c>
      <c r="J242" s="45">
        <f t="shared" si="86"/>
        <v>156196</v>
      </c>
      <c r="K242" s="45">
        <f t="shared" si="86"/>
        <v>953653</v>
      </c>
      <c r="L242" s="45">
        <f t="shared" si="86"/>
        <v>210919</v>
      </c>
      <c r="M242" s="45">
        <f t="shared" si="86"/>
        <v>0</v>
      </c>
      <c r="N242" s="45">
        <f t="shared" si="86"/>
        <v>522311</v>
      </c>
      <c r="O242" s="45">
        <f t="shared" si="86"/>
        <v>134737</v>
      </c>
      <c r="P242" s="45">
        <f t="shared" si="86"/>
        <v>0</v>
      </c>
      <c r="Q242" s="827">
        <f t="shared" si="86"/>
        <v>88500</v>
      </c>
      <c r="R242" s="827">
        <f t="shared" si="86"/>
        <v>28500</v>
      </c>
      <c r="S242" s="827">
        <f t="shared" si="86"/>
        <v>60000</v>
      </c>
      <c r="T242" s="45">
        <f t="shared" si="86"/>
        <v>78500</v>
      </c>
      <c r="U242" s="45">
        <f t="shared" si="86"/>
        <v>28500</v>
      </c>
      <c r="V242" s="45">
        <f t="shared" si="86"/>
        <v>50000</v>
      </c>
      <c r="W242" s="352"/>
      <c r="X242" s="352"/>
      <c r="Y242" s="45">
        <f>Y243+Y248</f>
        <v>5</v>
      </c>
      <c r="Z242" s="657"/>
      <c r="AA242" s="990"/>
      <c r="AB242" s="811"/>
      <c r="AC242" s="551"/>
      <c r="AD242" s="551"/>
      <c r="AE242" s="551"/>
    </row>
    <row r="243" spans="1:38">
      <c r="A243" s="64" t="s">
        <v>78</v>
      </c>
      <c r="B243" s="197" t="s">
        <v>79</v>
      </c>
      <c r="C243" s="301"/>
      <c r="D243" s="19"/>
      <c r="E243" s="95"/>
      <c r="F243" s="80"/>
      <c r="G243" s="199">
        <f t="shared" ref="G243:V243" si="87">SUM(G244:G247)</f>
        <v>111896</v>
      </c>
      <c r="H243" s="199">
        <f t="shared" si="87"/>
        <v>107699</v>
      </c>
      <c r="I243" s="199">
        <f t="shared" si="87"/>
        <v>69751</v>
      </c>
      <c r="J243" s="199">
        <f t="shared" si="87"/>
        <v>69751</v>
      </c>
      <c r="K243" s="199">
        <f t="shared" si="87"/>
        <v>60733</v>
      </c>
      <c r="L243" s="199">
        <f t="shared" si="87"/>
        <v>56536</v>
      </c>
      <c r="M243" s="199">
        <f t="shared" si="87"/>
        <v>0</v>
      </c>
      <c r="N243" s="199">
        <f t="shared" si="87"/>
        <v>77167</v>
      </c>
      <c r="O243" s="199">
        <f t="shared" si="87"/>
        <v>74737</v>
      </c>
      <c r="P243" s="199">
        <f t="shared" si="87"/>
        <v>0</v>
      </c>
      <c r="Q243" s="854">
        <f t="shared" si="87"/>
        <v>28500</v>
      </c>
      <c r="R243" s="854">
        <f t="shared" si="87"/>
        <v>28500</v>
      </c>
      <c r="S243" s="854">
        <f t="shared" si="87"/>
        <v>0</v>
      </c>
      <c r="T243" s="199">
        <f t="shared" si="87"/>
        <v>28500</v>
      </c>
      <c r="U243" s="199">
        <f t="shared" si="87"/>
        <v>28500</v>
      </c>
      <c r="V243" s="199">
        <f t="shared" si="87"/>
        <v>0</v>
      </c>
      <c r="W243" s="732"/>
      <c r="X243" s="732"/>
      <c r="Y243" s="199">
        <f>SUM(Y244:Y247)</f>
        <v>4</v>
      </c>
    </row>
    <row r="244" spans="1:38" ht="30">
      <c r="A244" s="97" t="s">
        <v>27</v>
      </c>
      <c r="B244" s="68" t="s">
        <v>500</v>
      </c>
      <c r="C244" s="19" t="s">
        <v>112</v>
      </c>
      <c r="D244" s="19" t="s">
        <v>501</v>
      </c>
      <c r="E244" s="70" t="s">
        <v>235</v>
      </c>
      <c r="F244" s="80" t="s">
        <v>502</v>
      </c>
      <c r="G244" s="21">
        <v>101712</v>
      </c>
      <c r="H244" s="21">
        <v>101712</v>
      </c>
      <c r="I244" s="21">
        <f>51024+18000</f>
        <v>69024</v>
      </c>
      <c r="J244" s="21">
        <f>51024+18000</f>
        <v>69024</v>
      </c>
      <c r="K244" s="21">
        <f>+G244-51024</f>
        <v>50688</v>
      </c>
      <c r="L244" s="21">
        <f>H244-51024</f>
        <v>50688</v>
      </c>
      <c r="M244" s="21"/>
      <c r="N244" s="81">
        <v>69712</v>
      </c>
      <c r="O244" s="81">
        <v>69712</v>
      </c>
      <c r="P244" s="81"/>
      <c r="Q244" s="106">
        <v>23475</v>
      </c>
      <c r="R244" s="106">
        <v>23475</v>
      </c>
      <c r="S244" s="106"/>
      <c r="T244" s="73">
        <f>SUM(U244:V244)</f>
        <v>23475</v>
      </c>
      <c r="U244" s="81">
        <v>23475</v>
      </c>
      <c r="V244" s="81"/>
      <c r="W244" s="729" t="s">
        <v>1556</v>
      </c>
      <c r="X244" s="24"/>
      <c r="Y244" s="81">
        <v>1</v>
      </c>
    </row>
    <row r="245" spans="1:38" ht="25.5">
      <c r="A245" s="97" t="s">
        <v>41</v>
      </c>
      <c r="B245" s="68" t="s">
        <v>503</v>
      </c>
      <c r="C245" s="19" t="s">
        <v>29</v>
      </c>
      <c r="D245" s="19" t="s">
        <v>504</v>
      </c>
      <c r="E245" s="70"/>
      <c r="F245" s="80" t="s">
        <v>505</v>
      </c>
      <c r="G245" s="21">
        <v>2762</v>
      </c>
      <c r="H245" s="21">
        <f>+G245</f>
        <v>2762</v>
      </c>
      <c r="I245" s="21">
        <f>157+570</f>
        <v>727</v>
      </c>
      <c r="J245" s="21">
        <f>157+570</f>
        <v>727</v>
      </c>
      <c r="K245" s="21">
        <f>L245</f>
        <v>2623</v>
      </c>
      <c r="L245" s="21">
        <f>+G245-139</f>
        <v>2623</v>
      </c>
      <c r="M245" s="21"/>
      <c r="N245" s="81">
        <v>1800</v>
      </c>
      <c r="O245" s="81">
        <v>1800</v>
      </c>
      <c r="P245" s="81"/>
      <c r="Q245" s="106">
        <v>1800</v>
      </c>
      <c r="R245" s="106">
        <v>1800</v>
      </c>
      <c r="S245" s="106"/>
      <c r="T245" s="73">
        <f>SUM(U245:V245)</f>
        <v>1800</v>
      </c>
      <c r="U245" s="81">
        <v>1800</v>
      </c>
      <c r="V245" s="81"/>
      <c r="W245" s="729" t="s">
        <v>1555</v>
      </c>
      <c r="X245" s="24"/>
      <c r="Y245" s="81">
        <v>1</v>
      </c>
    </row>
    <row r="246" spans="1:38" ht="25.5">
      <c r="A246" s="97" t="s">
        <v>58</v>
      </c>
      <c r="B246" s="68" t="s">
        <v>510</v>
      </c>
      <c r="C246" s="19" t="s">
        <v>66</v>
      </c>
      <c r="D246" s="19" t="s">
        <v>511</v>
      </c>
      <c r="E246" s="70" t="s">
        <v>45</v>
      </c>
      <c r="F246" s="80" t="s">
        <v>512</v>
      </c>
      <c r="G246" s="205">
        <v>2492</v>
      </c>
      <c r="H246" s="205">
        <v>725</v>
      </c>
      <c r="I246" s="21"/>
      <c r="J246" s="21"/>
      <c r="K246" s="205">
        <f>+G246</f>
        <v>2492</v>
      </c>
      <c r="L246" s="205">
        <f>+H246</f>
        <v>725</v>
      </c>
      <c r="M246" s="21"/>
      <c r="N246" s="81">
        <v>725</v>
      </c>
      <c r="O246" s="81">
        <v>725</v>
      </c>
      <c r="P246" s="81"/>
      <c r="Q246" s="106">
        <v>725</v>
      </c>
      <c r="R246" s="106">
        <v>725</v>
      </c>
      <c r="S246" s="106"/>
      <c r="T246" s="73">
        <f>SUM(U246:V246)</f>
        <v>725</v>
      </c>
      <c r="U246" s="81">
        <v>725</v>
      </c>
      <c r="V246" s="81"/>
      <c r="W246" s="729" t="s">
        <v>1526</v>
      </c>
      <c r="X246" s="24"/>
      <c r="Y246" s="81">
        <v>1</v>
      </c>
    </row>
    <row r="247" spans="1:38" ht="25.5">
      <c r="A247" s="97" t="s">
        <v>64</v>
      </c>
      <c r="B247" s="68" t="s">
        <v>513</v>
      </c>
      <c r="C247" s="19" t="s">
        <v>5</v>
      </c>
      <c r="D247" s="19" t="s">
        <v>514</v>
      </c>
      <c r="E247" s="70" t="s">
        <v>94</v>
      </c>
      <c r="F247" s="80" t="s">
        <v>515</v>
      </c>
      <c r="G247" s="205">
        <v>4930</v>
      </c>
      <c r="H247" s="205">
        <v>2500</v>
      </c>
      <c r="I247" s="21"/>
      <c r="J247" s="21"/>
      <c r="K247" s="205">
        <v>4930</v>
      </c>
      <c r="L247" s="205">
        <v>2500</v>
      </c>
      <c r="M247" s="21"/>
      <c r="N247" s="81">
        <v>4930</v>
      </c>
      <c r="O247" s="81">
        <v>2500</v>
      </c>
      <c r="P247" s="81"/>
      <c r="Q247" s="106">
        <v>2500</v>
      </c>
      <c r="R247" s="106">
        <v>2500</v>
      </c>
      <c r="S247" s="106"/>
      <c r="T247" s="73">
        <f>SUM(U247:V247)</f>
        <v>2500</v>
      </c>
      <c r="U247" s="81">
        <v>2500</v>
      </c>
      <c r="V247" s="81"/>
      <c r="W247" s="729" t="s">
        <v>1521</v>
      </c>
      <c r="X247" s="24"/>
      <c r="Y247" s="81">
        <v>1</v>
      </c>
    </row>
    <row r="248" spans="1:38" s="51" customFormat="1" ht="36" customHeight="1">
      <c r="A248" s="64" t="s">
        <v>116</v>
      </c>
      <c r="B248" s="197" t="s">
        <v>516</v>
      </c>
      <c r="C248" s="13"/>
      <c r="D248" s="13"/>
      <c r="E248" s="14"/>
      <c r="F248" s="89"/>
      <c r="G248" s="33">
        <f t="shared" ref="G248:V248" si="88">SUM(G249:G249)</f>
        <v>1344840</v>
      </c>
      <c r="H248" s="33">
        <f t="shared" si="88"/>
        <v>200920</v>
      </c>
      <c r="I248" s="33">
        <f t="shared" si="88"/>
        <v>309415</v>
      </c>
      <c r="J248" s="33">
        <f t="shared" si="88"/>
        <v>86445</v>
      </c>
      <c r="K248" s="33">
        <f t="shared" si="88"/>
        <v>892920</v>
      </c>
      <c r="L248" s="33">
        <f t="shared" si="88"/>
        <v>154383</v>
      </c>
      <c r="M248" s="33">
        <f t="shared" si="88"/>
        <v>0</v>
      </c>
      <c r="N248" s="33">
        <f t="shared" si="88"/>
        <v>445144</v>
      </c>
      <c r="O248" s="33">
        <f t="shared" si="88"/>
        <v>60000</v>
      </c>
      <c r="P248" s="33">
        <f t="shared" si="88"/>
        <v>0</v>
      </c>
      <c r="Q248" s="841">
        <f t="shared" si="88"/>
        <v>60000</v>
      </c>
      <c r="R248" s="841">
        <f t="shared" si="88"/>
        <v>0</v>
      </c>
      <c r="S248" s="841">
        <f t="shared" si="88"/>
        <v>60000</v>
      </c>
      <c r="T248" s="33">
        <f t="shared" si="88"/>
        <v>50000</v>
      </c>
      <c r="U248" s="33">
        <f t="shared" si="88"/>
        <v>0</v>
      </c>
      <c r="V248" s="33">
        <f t="shared" si="88"/>
        <v>50000</v>
      </c>
      <c r="W248" s="699"/>
      <c r="X248" s="699"/>
      <c r="Y248" s="33">
        <f>SUM(Y249:Y249)</f>
        <v>1</v>
      </c>
      <c r="Z248" s="660"/>
      <c r="AA248" s="990"/>
      <c r="AB248" s="976"/>
      <c r="AC248" s="552"/>
      <c r="AD248" s="552"/>
      <c r="AE248" s="552"/>
    </row>
    <row r="249" spans="1:38" s="270" customFormat="1" ht="30">
      <c r="A249" s="97" t="s">
        <v>27</v>
      </c>
      <c r="B249" s="68" t="s">
        <v>1585</v>
      </c>
      <c r="C249" s="19" t="s">
        <v>29</v>
      </c>
      <c r="D249" s="19" t="s">
        <v>1178</v>
      </c>
      <c r="E249" s="70" t="s">
        <v>1179</v>
      </c>
      <c r="F249" s="80" t="s">
        <v>1180</v>
      </c>
      <c r="G249" s="21">
        <v>1344840</v>
      </c>
      <c r="H249" s="21">
        <v>200920</v>
      </c>
      <c r="I249" s="21">
        <f>J249+5000+23000+25000+10000+25000+10000+124970</f>
        <v>309415</v>
      </c>
      <c r="J249" s="21">
        <f>623+19438+5500+60000+884</f>
        <v>86445</v>
      </c>
      <c r="K249" s="21">
        <v>892920</v>
      </c>
      <c r="L249" s="21">
        <v>154383</v>
      </c>
      <c r="M249" s="588"/>
      <c r="N249" s="21">
        <v>445144</v>
      </c>
      <c r="O249" s="21">
        <v>60000</v>
      </c>
      <c r="P249" s="585"/>
      <c r="Q249" s="833">
        <v>60000</v>
      </c>
      <c r="R249" s="833"/>
      <c r="S249" s="833">
        <v>60000</v>
      </c>
      <c r="T249" s="73">
        <f>SUM(U249:V249)</f>
        <v>50000</v>
      </c>
      <c r="U249" s="21"/>
      <c r="V249" s="21">
        <v>50000</v>
      </c>
      <c r="W249" s="729" t="s">
        <v>1555</v>
      </c>
      <c r="X249" s="24"/>
      <c r="Y249" s="21">
        <v>1</v>
      </c>
      <c r="Z249" s="657"/>
      <c r="AA249" s="991"/>
      <c r="AB249" s="970"/>
      <c r="AC249" s="550"/>
      <c r="AD249" s="550"/>
      <c r="AE249" s="550"/>
    </row>
    <row r="250" spans="1:38" s="623" customFormat="1" ht="23.25" customHeight="1">
      <c r="A250" s="630" t="s">
        <v>806</v>
      </c>
      <c r="B250" s="618" t="s">
        <v>1148</v>
      </c>
      <c r="C250" s="625"/>
      <c r="D250" s="625"/>
      <c r="E250" s="626"/>
      <c r="F250" s="690"/>
      <c r="G250" s="636">
        <f t="shared" ref="G250:V250" si="89">SUM(G251,G254)</f>
        <v>189456</v>
      </c>
      <c r="H250" s="636">
        <f t="shared" si="89"/>
        <v>120839.6</v>
      </c>
      <c r="I250" s="636">
        <f t="shared" si="89"/>
        <v>34432</v>
      </c>
      <c r="J250" s="636">
        <f t="shared" si="89"/>
        <v>32752</v>
      </c>
      <c r="K250" s="636">
        <f t="shared" si="89"/>
        <v>485750.4</v>
      </c>
      <c r="L250" s="636">
        <f t="shared" si="89"/>
        <v>375112.6</v>
      </c>
      <c r="M250" s="636">
        <f t="shared" si="89"/>
        <v>0</v>
      </c>
      <c r="N250" s="636">
        <f t="shared" si="89"/>
        <v>104215.3</v>
      </c>
      <c r="O250" s="636">
        <f t="shared" si="89"/>
        <v>56164</v>
      </c>
      <c r="P250" s="636">
        <f t="shared" si="89"/>
        <v>0</v>
      </c>
      <c r="Q250" s="855">
        <f t="shared" si="89"/>
        <v>52568</v>
      </c>
      <c r="R250" s="855">
        <f t="shared" si="89"/>
        <v>0</v>
      </c>
      <c r="S250" s="855">
        <f t="shared" si="89"/>
        <v>52568</v>
      </c>
      <c r="T250" s="636">
        <f t="shared" si="89"/>
        <v>52568</v>
      </c>
      <c r="U250" s="636">
        <f t="shared" si="89"/>
        <v>0</v>
      </c>
      <c r="V250" s="636">
        <f t="shared" si="89"/>
        <v>52568</v>
      </c>
      <c r="W250" s="690"/>
      <c r="X250" s="690"/>
      <c r="Y250" s="636">
        <f>SUM(Y251,Y254)</f>
        <v>17</v>
      </c>
      <c r="Z250" s="659">
        <f>+V250-V252-V253-V258-V265-V266-V267-V268-V269-V270</f>
        <v>36068</v>
      </c>
      <c r="AA250" s="998"/>
      <c r="AB250" s="983"/>
      <c r="AC250" s="637"/>
      <c r="AD250" s="637"/>
      <c r="AE250" s="637"/>
      <c r="AF250" s="638"/>
      <c r="AG250" s="637"/>
      <c r="AH250" s="637"/>
      <c r="AI250" s="637"/>
      <c r="AJ250" s="637"/>
      <c r="AK250" s="637"/>
      <c r="AL250" s="637"/>
    </row>
    <row r="251" spans="1:38" s="266" customFormat="1">
      <c r="A251" s="82" t="s">
        <v>525</v>
      </c>
      <c r="B251" s="65" t="s">
        <v>26</v>
      </c>
      <c r="C251" s="350"/>
      <c r="D251" s="350"/>
      <c r="E251" s="351"/>
      <c r="F251" s="352"/>
      <c r="G251" s="45">
        <f t="shared" ref="G251:V251" si="90">SUM(G252:G253)</f>
        <v>0</v>
      </c>
      <c r="H251" s="45">
        <f t="shared" si="90"/>
        <v>0</v>
      </c>
      <c r="I251" s="45">
        <f t="shared" si="90"/>
        <v>0</v>
      </c>
      <c r="J251" s="45">
        <f t="shared" si="90"/>
        <v>0</v>
      </c>
      <c r="K251" s="45">
        <f t="shared" si="90"/>
        <v>308000</v>
      </c>
      <c r="L251" s="45">
        <f t="shared" si="90"/>
        <v>263000</v>
      </c>
      <c r="M251" s="45">
        <f t="shared" si="90"/>
        <v>0</v>
      </c>
      <c r="N251" s="45">
        <f t="shared" si="90"/>
        <v>1000</v>
      </c>
      <c r="O251" s="45">
        <f t="shared" si="90"/>
        <v>1000</v>
      </c>
      <c r="P251" s="45">
        <f t="shared" si="90"/>
        <v>0</v>
      </c>
      <c r="Q251" s="827">
        <f t="shared" si="90"/>
        <v>1000</v>
      </c>
      <c r="R251" s="827">
        <f t="shared" si="90"/>
        <v>0</v>
      </c>
      <c r="S251" s="827">
        <f t="shared" si="90"/>
        <v>1000</v>
      </c>
      <c r="T251" s="45">
        <f t="shared" si="90"/>
        <v>1000</v>
      </c>
      <c r="U251" s="45">
        <f t="shared" si="90"/>
        <v>0</v>
      </c>
      <c r="V251" s="45">
        <f t="shared" si="90"/>
        <v>1000</v>
      </c>
      <c r="W251" s="352"/>
      <c r="X251" s="352"/>
      <c r="Y251" s="45">
        <f>SUM(Y252:Y253)</f>
        <v>2</v>
      </c>
      <c r="Z251" s="657"/>
      <c r="AA251" s="990"/>
      <c r="AB251" s="811"/>
      <c r="AC251" s="551"/>
      <c r="AD251" s="551"/>
      <c r="AE251" s="551"/>
      <c r="AG251" s="265"/>
      <c r="AH251" s="265"/>
      <c r="AI251" s="265"/>
      <c r="AJ251" s="265"/>
      <c r="AK251" s="265"/>
      <c r="AL251" s="265"/>
    </row>
    <row r="252" spans="1:38" s="54" customFormat="1" ht="63.75">
      <c r="A252" s="97" t="s">
        <v>27</v>
      </c>
      <c r="B252" s="68" t="s">
        <v>592</v>
      </c>
      <c r="C252" s="101" t="s">
        <v>29</v>
      </c>
      <c r="D252" s="19" t="s">
        <v>593</v>
      </c>
      <c r="E252" s="95" t="s">
        <v>355</v>
      </c>
      <c r="F252" s="80"/>
      <c r="G252" s="71"/>
      <c r="H252" s="71"/>
      <c r="I252" s="175"/>
      <c r="J252" s="23"/>
      <c r="K252" s="71">
        <v>50000</v>
      </c>
      <c r="L252" s="71">
        <v>5000</v>
      </c>
      <c r="M252" s="23"/>
      <c r="N252" s="175">
        <v>500</v>
      </c>
      <c r="O252" s="175">
        <v>500</v>
      </c>
      <c r="P252" s="78"/>
      <c r="Q252" s="861">
        <f>SUM(R252:S252)</f>
        <v>500</v>
      </c>
      <c r="R252" s="861"/>
      <c r="S252" s="861">
        <v>500</v>
      </c>
      <c r="T252" s="73">
        <f>SUM(U252:V252)</f>
        <v>500</v>
      </c>
      <c r="U252" s="175"/>
      <c r="V252" s="175">
        <v>500</v>
      </c>
      <c r="W252" s="100" t="s">
        <v>1557</v>
      </c>
      <c r="X252" s="1012" t="s">
        <v>1078</v>
      </c>
      <c r="Y252" s="175">
        <v>1</v>
      </c>
      <c r="Z252" s="657"/>
      <c r="AA252" s="990"/>
      <c r="AB252" s="811"/>
      <c r="AC252" s="551"/>
      <c r="AD252" s="551"/>
      <c r="AE252" s="551"/>
      <c r="AG252" s="57"/>
      <c r="AH252" s="57"/>
      <c r="AI252" s="57"/>
      <c r="AJ252" s="57"/>
      <c r="AK252" s="57"/>
      <c r="AL252" s="57"/>
    </row>
    <row r="253" spans="1:38" s="54" customFormat="1" ht="38.25">
      <c r="A253" s="97" t="s">
        <v>41</v>
      </c>
      <c r="B253" s="68" t="s">
        <v>594</v>
      </c>
      <c r="C253" s="101" t="s">
        <v>29</v>
      </c>
      <c r="D253" s="19" t="s">
        <v>595</v>
      </c>
      <c r="E253" s="95" t="s">
        <v>355</v>
      </c>
      <c r="F253" s="80"/>
      <c r="G253" s="71"/>
      <c r="H253" s="71"/>
      <c r="I253" s="175"/>
      <c r="J253" s="23"/>
      <c r="K253" s="71">
        <v>258000</v>
      </c>
      <c r="L253" s="71">
        <v>258000</v>
      </c>
      <c r="M253" s="23"/>
      <c r="N253" s="175">
        <v>500</v>
      </c>
      <c r="O253" s="175">
        <v>500</v>
      </c>
      <c r="P253" s="78"/>
      <c r="Q253" s="861">
        <f>SUM(R253:S253)</f>
        <v>500</v>
      </c>
      <c r="R253" s="861"/>
      <c r="S253" s="861">
        <v>500</v>
      </c>
      <c r="T253" s="73">
        <f>SUM(U253:V253)</f>
        <v>500</v>
      </c>
      <c r="U253" s="175"/>
      <c r="V253" s="175">
        <v>500</v>
      </c>
      <c r="W253" s="100" t="s">
        <v>1557</v>
      </c>
      <c r="X253" s="1012" t="s">
        <v>1079</v>
      </c>
      <c r="Y253" s="175">
        <v>1</v>
      </c>
      <c r="Z253" s="657"/>
      <c r="AA253" s="990"/>
      <c r="AB253" s="811"/>
      <c r="AC253" s="551"/>
      <c r="AD253" s="551"/>
      <c r="AE253" s="551"/>
      <c r="AG253" s="57"/>
      <c r="AH253" s="57"/>
      <c r="AI253" s="57"/>
      <c r="AJ253" s="57"/>
      <c r="AK253" s="57"/>
      <c r="AL253" s="57"/>
    </row>
    <row r="254" spans="1:38" s="266" customFormat="1">
      <c r="A254" s="82" t="s">
        <v>499</v>
      </c>
      <c r="B254" s="197" t="s">
        <v>31</v>
      </c>
      <c r="C254" s="635"/>
      <c r="D254" s="635"/>
      <c r="E254" s="44"/>
      <c r="F254" s="1012"/>
      <c r="G254" s="45">
        <f t="shared" ref="G254:V254" si="91">SUM(G255,G257,G264)</f>
        <v>189456</v>
      </c>
      <c r="H254" s="45">
        <f t="shared" si="91"/>
        <v>120839.6</v>
      </c>
      <c r="I254" s="45">
        <f t="shared" si="91"/>
        <v>34432</v>
      </c>
      <c r="J254" s="45">
        <f t="shared" si="91"/>
        <v>32752</v>
      </c>
      <c r="K254" s="45">
        <f t="shared" si="91"/>
        <v>177750.40000000002</v>
      </c>
      <c r="L254" s="45">
        <f t="shared" si="91"/>
        <v>112112.6</v>
      </c>
      <c r="M254" s="45">
        <f t="shared" si="91"/>
        <v>0</v>
      </c>
      <c r="N254" s="45">
        <f t="shared" si="91"/>
        <v>103215.3</v>
      </c>
      <c r="O254" s="45">
        <f t="shared" si="91"/>
        <v>55164</v>
      </c>
      <c r="P254" s="45">
        <f t="shared" si="91"/>
        <v>0</v>
      </c>
      <c r="Q254" s="827">
        <f t="shared" si="91"/>
        <v>51568</v>
      </c>
      <c r="R254" s="827">
        <f t="shared" si="91"/>
        <v>0</v>
      </c>
      <c r="S254" s="827">
        <f t="shared" si="91"/>
        <v>51568</v>
      </c>
      <c r="T254" s="45">
        <f t="shared" si="91"/>
        <v>51568</v>
      </c>
      <c r="U254" s="45">
        <f t="shared" si="91"/>
        <v>0</v>
      </c>
      <c r="V254" s="45">
        <f t="shared" si="91"/>
        <v>51568</v>
      </c>
      <c r="W254" s="352"/>
      <c r="X254" s="352"/>
      <c r="Y254" s="45">
        <f>SUM(Y255,Y257,Y264)</f>
        <v>15</v>
      </c>
      <c r="Z254" s="657"/>
      <c r="AA254" s="990"/>
      <c r="AB254" s="811"/>
      <c r="AC254" s="551"/>
      <c r="AD254" s="551"/>
      <c r="AE254" s="551"/>
      <c r="AG254" s="265"/>
      <c r="AH254" s="265"/>
      <c r="AI254" s="265"/>
      <c r="AJ254" s="265"/>
      <c r="AK254" s="265"/>
      <c r="AL254" s="265"/>
    </row>
    <row r="255" spans="1:38" s="54" customFormat="1" ht="28.5">
      <c r="A255" s="158" t="s">
        <v>32</v>
      </c>
      <c r="B255" s="159" t="s">
        <v>33</v>
      </c>
      <c r="C255" s="160"/>
      <c r="D255" s="160"/>
      <c r="E255" s="161"/>
      <c r="F255" s="699"/>
      <c r="G255" s="90">
        <f t="shared" ref="G255:V255" si="92">G256</f>
        <v>17604</v>
      </c>
      <c r="H255" s="90">
        <f t="shared" si="92"/>
        <v>6223</v>
      </c>
      <c r="I255" s="90">
        <f t="shared" si="92"/>
        <v>4692</v>
      </c>
      <c r="J255" s="90">
        <f t="shared" si="92"/>
        <v>3972</v>
      </c>
      <c r="K255" s="90">
        <f t="shared" si="92"/>
        <v>12912</v>
      </c>
      <c r="L255" s="90">
        <f t="shared" si="92"/>
        <v>2251</v>
      </c>
      <c r="M255" s="90">
        <f t="shared" si="92"/>
        <v>0</v>
      </c>
      <c r="N255" s="90">
        <f t="shared" si="92"/>
        <v>12900</v>
      </c>
      <c r="O255" s="90">
        <f t="shared" si="92"/>
        <v>2250</v>
      </c>
      <c r="P255" s="90">
        <f t="shared" si="92"/>
        <v>0</v>
      </c>
      <c r="Q255" s="829">
        <f t="shared" si="92"/>
        <v>2250</v>
      </c>
      <c r="R255" s="829">
        <f t="shared" si="92"/>
        <v>0</v>
      </c>
      <c r="S255" s="829">
        <f t="shared" si="92"/>
        <v>2250</v>
      </c>
      <c r="T255" s="90">
        <f t="shared" si="92"/>
        <v>2250</v>
      </c>
      <c r="U255" s="90">
        <f t="shared" si="92"/>
        <v>0</v>
      </c>
      <c r="V255" s="90">
        <f t="shared" si="92"/>
        <v>2250</v>
      </c>
      <c r="W255" s="699"/>
      <c r="X255" s="699"/>
      <c r="Y255" s="90">
        <f>Y256</f>
        <v>1</v>
      </c>
      <c r="Z255" s="657"/>
      <c r="AA255" s="990"/>
      <c r="AB255" s="811"/>
      <c r="AC255" s="551"/>
      <c r="AD255" s="551"/>
      <c r="AE255" s="551"/>
      <c r="AG255" s="57"/>
      <c r="AH255" s="57"/>
      <c r="AI255" s="57"/>
      <c r="AJ255" s="57"/>
      <c r="AK255" s="57"/>
      <c r="AL255" s="57"/>
    </row>
    <row r="256" spans="1:38" s="54" customFormat="1" ht="30">
      <c r="A256" s="97" t="s">
        <v>27</v>
      </c>
      <c r="B256" s="68" t="s">
        <v>596</v>
      </c>
      <c r="C256" s="101" t="s">
        <v>112</v>
      </c>
      <c r="D256" s="19" t="s">
        <v>597</v>
      </c>
      <c r="E256" s="70" t="s">
        <v>114</v>
      </c>
      <c r="F256" s="80" t="s">
        <v>598</v>
      </c>
      <c r="G256" s="23">
        <v>17604</v>
      </c>
      <c r="H256" s="23">
        <v>6223</v>
      </c>
      <c r="I256" s="175">
        <f>J256+720</f>
        <v>4692</v>
      </c>
      <c r="J256" s="23">
        <f>3972</f>
        <v>3972</v>
      </c>
      <c r="K256" s="175">
        <f>G256-I256</f>
        <v>12912</v>
      </c>
      <c r="L256" s="175">
        <f>H256-J256</f>
        <v>2251</v>
      </c>
      <c r="M256" s="23"/>
      <c r="N256" s="175">
        <v>12900</v>
      </c>
      <c r="O256" s="175">
        <v>2250</v>
      </c>
      <c r="P256" s="78"/>
      <c r="Q256" s="861">
        <f>SUM(R256:S256)</f>
        <v>2250</v>
      </c>
      <c r="R256" s="861"/>
      <c r="S256" s="861">
        <v>2250</v>
      </c>
      <c r="T256" s="73">
        <f>SUM(U256:V256)</f>
        <v>2250</v>
      </c>
      <c r="U256" s="175"/>
      <c r="V256" s="175">
        <v>2250</v>
      </c>
      <c r="W256" s="100" t="s">
        <v>1529</v>
      </c>
      <c r="X256" s="24"/>
      <c r="Y256" s="175">
        <v>1</v>
      </c>
      <c r="Z256" s="657"/>
      <c r="AA256" s="996">
        <f>V256</f>
        <v>2250</v>
      </c>
      <c r="AB256" s="811"/>
      <c r="AC256" s="551"/>
      <c r="AD256" s="551"/>
      <c r="AE256" s="551"/>
      <c r="AG256" s="57"/>
      <c r="AH256" s="57"/>
      <c r="AI256" s="57"/>
      <c r="AJ256" s="57"/>
      <c r="AK256" s="57"/>
      <c r="AL256" s="57"/>
    </row>
    <row r="257" spans="1:38" s="54" customFormat="1" ht="28.5" customHeight="1">
      <c r="A257" s="64" t="s">
        <v>78</v>
      </c>
      <c r="B257" s="197" t="s">
        <v>611</v>
      </c>
      <c r="C257" s="301"/>
      <c r="D257" s="19"/>
      <c r="E257" s="95"/>
      <c r="F257" s="80"/>
      <c r="G257" s="199">
        <f t="shared" ref="G257:V257" si="93">SUM(G258:G263)</f>
        <v>67045</v>
      </c>
      <c r="H257" s="199">
        <f t="shared" si="93"/>
        <v>41597</v>
      </c>
      <c r="I257" s="199">
        <f t="shared" si="93"/>
        <v>28660</v>
      </c>
      <c r="J257" s="199">
        <f t="shared" si="93"/>
        <v>27700</v>
      </c>
      <c r="K257" s="199">
        <f t="shared" si="93"/>
        <v>61068.3</v>
      </c>
      <c r="L257" s="199">
        <f t="shared" si="93"/>
        <v>36397</v>
      </c>
      <c r="M257" s="199">
        <f t="shared" si="93"/>
        <v>0</v>
      </c>
      <c r="N257" s="199">
        <f t="shared" si="93"/>
        <v>38568.300000000003</v>
      </c>
      <c r="O257" s="199">
        <f t="shared" si="93"/>
        <v>13897</v>
      </c>
      <c r="P257" s="199">
        <f t="shared" si="93"/>
        <v>0</v>
      </c>
      <c r="Q257" s="854">
        <f t="shared" si="93"/>
        <v>11000</v>
      </c>
      <c r="R257" s="854">
        <f t="shared" si="93"/>
        <v>0</v>
      </c>
      <c r="S257" s="854">
        <f t="shared" si="93"/>
        <v>11000</v>
      </c>
      <c r="T257" s="199">
        <f t="shared" si="93"/>
        <v>11000</v>
      </c>
      <c r="U257" s="199">
        <f t="shared" si="93"/>
        <v>0</v>
      </c>
      <c r="V257" s="199">
        <f t="shared" si="93"/>
        <v>11000</v>
      </c>
      <c r="W257" s="732"/>
      <c r="X257" s="732"/>
      <c r="Y257" s="199">
        <f>SUM(Y258:Y263)</f>
        <v>6</v>
      </c>
      <c r="Z257" s="657"/>
      <c r="AA257" s="990"/>
      <c r="AB257" s="811"/>
      <c r="AC257" s="551"/>
      <c r="AD257" s="551"/>
      <c r="AE257" s="551"/>
      <c r="AG257" s="57"/>
      <c r="AH257" s="57"/>
      <c r="AI257" s="57"/>
      <c r="AJ257" s="57"/>
      <c r="AK257" s="57"/>
      <c r="AL257" s="57"/>
    </row>
    <row r="258" spans="1:38" s="54" customFormat="1" ht="30">
      <c r="A258" s="97" t="s">
        <v>27</v>
      </c>
      <c r="B258" s="68" t="s">
        <v>612</v>
      </c>
      <c r="C258" s="101" t="s">
        <v>66</v>
      </c>
      <c r="D258" s="19" t="s">
        <v>613</v>
      </c>
      <c r="E258" s="70" t="s">
        <v>114</v>
      </c>
      <c r="F258" s="80" t="s">
        <v>614</v>
      </c>
      <c r="G258" s="23">
        <v>14856</v>
      </c>
      <c r="H258" s="23">
        <v>14856</v>
      </c>
      <c r="I258" s="175">
        <f>J258</f>
        <v>11200</v>
      </c>
      <c r="J258" s="23">
        <f>5200+6000</f>
        <v>11200</v>
      </c>
      <c r="K258" s="23">
        <f>G258-5200</f>
        <v>9656</v>
      </c>
      <c r="L258" s="23">
        <f>H258-5200</f>
        <v>9656</v>
      </c>
      <c r="M258" s="23"/>
      <c r="N258" s="175">
        <v>3656</v>
      </c>
      <c r="O258" s="175">
        <v>3656</v>
      </c>
      <c r="P258" s="78"/>
      <c r="Q258" s="861">
        <f t="shared" ref="Q258:Q263" si="94">SUM(R258:S258)</f>
        <v>2200</v>
      </c>
      <c r="R258" s="861"/>
      <c r="S258" s="861">
        <v>2200</v>
      </c>
      <c r="T258" s="73">
        <f t="shared" ref="T258:T263" si="95">SUM(U258:V258)</f>
        <v>2200</v>
      </c>
      <c r="U258" s="175"/>
      <c r="V258" s="175">
        <v>2200</v>
      </c>
      <c r="W258" s="100" t="s">
        <v>1526</v>
      </c>
      <c r="X258" s="24"/>
      <c r="Y258" s="175">
        <v>1</v>
      </c>
      <c r="Z258" s="657"/>
      <c r="AA258" s="990"/>
      <c r="AB258" s="811"/>
      <c r="AC258" s="551"/>
      <c r="AD258" s="551"/>
      <c r="AE258" s="551"/>
      <c r="AG258" s="57"/>
      <c r="AH258" s="57"/>
      <c r="AI258" s="57"/>
      <c r="AJ258" s="57"/>
      <c r="AK258" s="57"/>
      <c r="AL258" s="57"/>
    </row>
    <row r="259" spans="1:38" s="54" customFormat="1" ht="30">
      <c r="A259" s="97" t="s">
        <v>41</v>
      </c>
      <c r="B259" s="68" t="s">
        <v>629</v>
      </c>
      <c r="C259" s="101" t="s">
        <v>66</v>
      </c>
      <c r="D259" s="19" t="s">
        <v>630</v>
      </c>
      <c r="E259" s="70" t="s">
        <v>30</v>
      </c>
      <c r="F259" s="80" t="s">
        <v>631</v>
      </c>
      <c r="G259" s="23">
        <v>12384</v>
      </c>
      <c r="H259" s="23">
        <v>5840</v>
      </c>
      <c r="I259" s="175">
        <v>4000</v>
      </c>
      <c r="J259" s="175">
        <v>4000</v>
      </c>
      <c r="K259" s="23">
        <v>12384</v>
      </c>
      <c r="L259" s="23">
        <v>5840</v>
      </c>
      <c r="M259" s="23"/>
      <c r="N259" s="175">
        <v>8384</v>
      </c>
      <c r="O259" s="175">
        <v>1840</v>
      </c>
      <c r="P259" s="78"/>
      <c r="Q259" s="861">
        <f t="shared" si="94"/>
        <v>1500</v>
      </c>
      <c r="R259" s="861"/>
      <c r="S259" s="861">
        <v>1500</v>
      </c>
      <c r="T259" s="73">
        <f t="shared" si="95"/>
        <v>1500</v>
      </c>
      <c r="U259" s="175"/>
      <c r="V259" s="175">
        <v>1500</v>
      </c>
      <c r="W259" s="100" t="s">
        <v>1526</v>
      </c>
      <c r="X259" s="24"/>
      <c r="Y259" s="175">
        <v>1</v>
      </c>
      <c r="Z259" s="657"/>
      <c r="AA259" s="996">
        <f>V259</f>
        <v>1500</v>
      </c>
      <c r="AB259" s="811"/>
      <c r="AC259" s="551"/>
      <c r="AD259" s="551"/>
      <c r="AE259" s="551"/>
      <c r="AG259" s="57"/>
      <c r="AH259" s="57"/>
      <c r="AI259" s="57"/>
      <c r="AJ259" s="57"/>
      <c r="AK259" s="57"/>
      <c r="AL259" s="57"/>
    </row>
    <row r="260" spans="1:38" s="54" customFormat="1" ht="75">
      <c r="A260" s="97" t="s">
        <v>58</v>
      </c>
      <c r="B260" s="68" t="s">
        <v>615</v>
      </c>
      <c r="C260" s="101" t="s">
        <v>5</v>
      </c>
      <c r="D260" s="19" t="s">
        <v>616</v>
      </c>
      <c r="E260" s="70" t="s">
        <v>30</v>
      </c>
      <c r="F260" s="80" t="s">
        <v>617</v>
      </c>
      <c r="G260" s="23">
        <v>11179</v>
      </c>
      <c r="H260" s="23">
        <v>5368</v>
      </c>
      <c r="I260" s="175">
        <v>3000</v>
      </c>
      <c r="J260" s="23">
        <v>3000</v>
      </c>
      <c r="K260" s="23">
        <v>11179</v>
      </c>
      <c r="L260" s="23">
        <v>5368</v>
      </c>
      <c r="M260" s="23"/>
      <c r="N260" s="175">
        <v>8179</v>
      </c>
      <c r="O260" s="175">
        <v>2368</v>
      </c>
      <c r="P260" s="78"/>
      <c r="Q260" s="828">
        <f t="shared" si="94"/>
        <v>2000</v>
      </c>
      <c r="R260" s="861"/>
      <c r="S260" s="861">
        <v>2000</v>
      </c>
      <c r="T260" s="73">
        <f t="shared" si="95"/>
        <v>2000</v>
      </c>
      <c r="U260" s="175"/>
      <c r="V260" s="175">
        <v>2000</v>
      </c>
      <c r="W260" s="100" t="s">
        <v>1521</v>
      </c>
      <c r="X260" s="24"/>
      <c r="Y260" s="175">
        <v>1</v>
      </c>
      <c r="Z260" s="657"/>
      <c r="AA260" s="996">
        <f>V260</f>
        <v>2000</v>
      </c>
      <c r="AB260" s="811"/>
      <c r="AC260" s="551"/>
      <c r="AD260" s="551"/>
      <c r="AE260" s="551"/>
      <c r="AG260" s="57"/>
      <c r="AH260" s="57"/>
      <c r="AI260" s="57"/>
      <c r="AJ260" s="57"/>
      <c r="AK260" s="57"/>
      <c r="AL260" s="57"/>
    </row>
    <row r="261" spans="1:38" s="54" customFormat="1" ht="75">
      <c r="A261" s="97" t="s">
        <v>64</v>
      </c>
      <c r="B261" s="68" t="s">
        <v>620</v>
      </c>
      <c r="C261" s="101" t="s">
        <v>71</v>
      </c>
      <c r="D261" s="19" t="s">
        <v>616</v>
      </c>
      <c r="E261" s="70" t="s">
        <v>30</v>
      </c>
      <c r="F261" s="80" t="s">
        <v>621</v>
      </c>
      <c r="G261" s="23">
        <v>11197</v>
      </c>
      <c r="H261" s="23">
        <v>5363</v>
      </c>
      <c r="I261" s="175">
        <f>+J261</f>
        <v>3000</v>
      </c>
      <c r="J261" s="175">
        <v>3000</v>
      </c>
      <c r="K261" s="23">
        <v>11197</v>
      </c>
      <c r="L261" s="23">
        <v>5363</v>
      </c>
      <c r="M261" s="23"/>
      <c r="N261" s="175">
        <v>8197</v>
      </c>
      <c r="O261" s="175">
        <v>2363</v>
      </c>
      <c r="P261" s="78"/>
      <c r="Q261" s="828">
        <f t="shared" si="94"/>
        <v>2000</v>
      </c>
      <c r="R261" s="861"/>
      <c r="S261" s="861">
        <v>2000</v>
      </c>
      <c r="T261" s="73">
        <f t="shared" si="95"/>
        <v>2000</v>
      </c>
      <c r="U261" s="175"/>
      <c r="V261" s="175">
        <v>2000</v>
      </c>
      <c r="W261" s="100" t="s">
        <v>1516</v>
      </c>
      <c r="X261" s="24"/>
      <c r="Y261" s="175">
        <v>1</v>
      </c>
      <c r="Z261" s="657"/>
      <c r="AA261" s="996">
        <f>V261</f>
        <v>2000</v>
      </c>
      <c r="AB261" s="811"/>
      <c r="AC261" s="551"/>
      <c r="AD261" s="551"/>
      <c r="AE261" s="551"/>
      <c r="AG261" s="57"/>
      <c r="AH261" s="57"/>
      <c r="AI261" s="57"/>
      <c r="AJ261" s="57"/>
      <c r="AK261" s="57"/>
      <c r="AL261" s="57"/>
    </row>
    <row r="262" spans="1:38" s="54" customFormat="1" ht="75">
      <c r="A262" s="97" t="s">
        <v>69</v>
      </c>
      <c r="B262" s="68" t="s">
        <v>622</v>
      </c>
      <c r="C262" s="101" t="s">
        <v>143</v>
      </c>
      <c r="D262" s="19" t="s">
        <v>616</v>
      </c>
      <c r="E262" s="70" t="s">
        <v>30</v>
      </c>
      <c r="F262" s="80" t="s">
        <v>623</v>
      </c>
      <c r="G262" s="23">
        <v>7767</v>
      </c>
      <c r="H262" s="23">
        <v>5812</v>
      </c>
      <c r="I262" s="175">
        <f>+J262</f>
        <v>3500</v>
      </c>
      <c r="J262" s="175">
        <v>3500</v>
      </c>
      <c r="K262" s="23">
        <f>G262-G262*10%</f>
        <v>6990.3</v>
      </c>
      <c r="L262" s="23">
        <v>5812</v>
      </c>
      <c r="M262" s="23"/>
      <c r="N262" s="175">
        <v>3490.3</v>
      </c>
      <c r="O262" s="175">
        <v>2312</v>
      </c>
      <c r="P262" s="78"/>
      <c r="Q262" s="828">
        <f t="shared" si="94"/>
        <v>2000</v>
      </c>
      <c r="R262" s="861"/>
      <c r="S262" s="861">
        <v>2000</v>
      </c>
      <c r="T262" s="73">
        <f t="shared" si="95"/>
        <v>2000</v>
      </c>
      <c r="U262" s="175"/>
      <c r="V262" s="175">
        <v>2000</v>
      </c>
      <c r="W262" s="100" t="s">
        <v>1518</v>
      </c>
      <c r="X262" s="24"/>
      <c r="Y262" s="175">
        <v>1</v>
      </c>
      <c r="Z262" s="657"/>
      <c r="AA262" s="996">
        <f>V262</f>
        <v>2000</v>
      </c>
      <c r="AB262" s="811"/>
      <c r="AC262" s="551"/>
      <c r="AD262" s="551"/>
      <c r="AE262" s="551"/>
      <c r="AG262" s="57"/>
      <c r="AH262" s="57"/>
      <c r="AI262" s="57"/>
      <c r="AJ262" s="57"/>
      <c r="AK262" s="57"/>
      <c r="AL262" s="57"/>
    </row>
    <row r="263" spans="1:38" s="54" customFormat="1" ht="60">
      <c r="A263" s="97" t="s">
        <v>74</v>
      </c>
      <c r="B263" s="68" t="s">
        <v>627</v>
      </c>
      <c r="C263" s="101" t="s">
        <v>260</v>
      </c>
      <c r="D263" s="19" t="s">
        <v>606</v>
      </c>
      <c r="E263" s="70" t="s">
        <v>30</v>
      </c>
      <c r="F263" s="80" t="s">
        <v>628</v>
      </c>
      <c r="G263" s="23">
        <v>9662</v>
      </c>
      <c r="H263" s="23">
        <v>4358</v>
      </c>
      <c r="I263" s="175">
        <v>3960</v>
      </c>
      <c r="J263" s="23">
        <v>3000</v>
      </c>
      <c r="K263" s="23">
        <v>9662</v>
      </c>
      <c r="L263" s="23">
        <v>4358</v>
      </c>
      <c r="M263" s="23"/>
      <c r="N263" s="175">
        <v>6662</v>
      </c>
      <c r="O263" s="175">
        <v>1358</v>
      </c>
      <c r="P263" s="78"/>
      <c r="Q263" s="861">
        <f t="shared" si="94"/>
        <v>1300</v>
      </c>
      <c r="R263" s="861"/>
      <c r="S263" s="861">
        <v>1300</v>
      </c>
      <c r="T263" s="73">
        <f t="shared" si="95"/>
        <v>1300</v>
      </c>
      <c r="U263" s="175"/>
      <c r="V263" s="175">
        <v>1300</v>
      </c>
      <c r="W263" s="100" t="s">
        <v>1552</v>
      </c>
      <c r="X263" s="24"/>
      <c r="Y263" s="175">
        <v>1</v>
      </c>
      <c r="Z263" s="657"/>
      <c r="AA263" s="996">
        <f>V263</f>
        <v>1300</v>
      </c>
      <c r="AB263" s="811"/>
      <c r="AC263" s="551"/>
      <c r="AD263" s="551"/>
      <c r="AE263" s="551"/>
      <c r="AG263" s="57"/>
      <c r="AH263" s="57"/>
      <c r="AI263" s="57"/>
      <c r="AJ263" s="57"/>
      <c r="AK263" s="57"/>
      <c r="AL263" s="57"/>
    </row>
    <row r="264" spans="1:38" s="54" customFormat="1">
      <c r="A264" s="64" t="s">
        <v>150</v>
      </c>
      <c r="B264" s="197" t="s">
        <v>632</v>
      </c>
      <c r="C264" s="301"/>
      <c r="D264" s="19"/>
      <c r="E264" s="95"/>
      <c r="F264" s="80"/>
      <c r="G264" s="199">
        <f t="shared" ref="G264:V264" si="96">SUM(G265:G272)</f>
        <v>104807</v>
      </c>
      <c r="H264" s="199">
        <f t="shared" si="96"/>
        <v>73019.600000000006</v>
      </c>
      <c r="I264" s="199">
        <f t="shared" si="96"/>
        <v>1080</v>
      </c>
      <c r="J264" s="199">
        <f t="shared" si="96"/>
        <v>1080</v>
      </c>
      <c r="K264" s="199">
        <f t="shared" si="96"/>
        <v>103770.1</v>
      </c>
      <c r="L264" s="199">
        <f t="shared" si="96"/>
        <v>73464.600000000006</v>
      </c>
      <c r="M264" s="199">
        <f t="shared" si="96"/>
        <v>0</v>
      </c>
      <c r="N264" s="199">
        <f t="shared" si="96"/>
        <v>51747</v>
      </c>
      <c r="O264" s="199">
        <f t="shared" si="96"/>
        <v>39017</v>
      </c>
      <c r="P264" s="199">
        <f t="shared" si="96"/>
        <v>0</v>
      </c>
      <c r="Q264" s="199">
        <f t="shared" si="96"/>
        <v>38318</v>
      </c>
      <c r="R264" s="199">
        <f t="shared" si="96"/>
        <v>0</v>
      </c>
      <c r="S264" s="199">
        <f t="shared" si="96"/>
        <v>38318</v>
      </c>
      <c r="T264" s="199">
        <f t="shared" si="96"/>
        <v>38318</v>
      </c>
      <c r="U264" s="199">
        <f t="shared" si="96"/>
        <v>0</v>
      </c>
      <c r="V264" s="199">
        <f t="shared" si="96"/>
        <v>38318</v>
      </c>
      <c r="W264" s="199"/>
      <c r="X264" s="199"/>
      <c r="Y264" s="199">
        <f>SUM(Y265:Y290)</f>
        <v>8</v>
      </c>
      <c r="Z264" s="657"/>
      <c r="AA264" s="990"/>
      <c r="AB264" s="811"/>
      <c r="AC264" s="551"/>
      <c r="AD264" s="551"/>
      <c r="AE264" s="551"/>
      <c r="AG264" s="57"/>
      <c r="AH264" s="57"/>
      <c r="AI264" s="57"/>
      <c r="AJ264" s="57"/>
      <c r="AK264" s="57"/>
      <c r="AL264" s="57"/>
    </row>
    <row r="265" spans="1:38" s="54" customFormat="1" ht="60">
      <c r="A265" s="97" t="s">
        <v>27</v>
      </c>
      <c r="B265" s="68" t="s">
        <v>633</v>
      </c>
      <c r="C265" s="101" t="s">
        <v>29</v>
      </c>
      <c r="D265" s="19" t="s">
        <v>634</v>
      </c>
      <c r="E265" s="95" t="s">
        <v>635</v>
      </c>
      <c r="F265" s="80" t="s">
        <v>636</v>
      </c>
      <c r="G265" s="71">
        <v>6855</v>
      </c>
      <c r="H265" s="71">
        <v>6855</v>
      </c>
      <c r="I265" s="175">
        <v>240</v>
      </c>
      <c r="J265" s="23">
        <v>240</v>
      </c>
      <c r="K265" s="23">
        <v>6855</v>
      </c>
      <c r="L265" s="23">
        <v>6855</v>
      </c>
      <c r="M265" s="23"/>
      <c r="N265" s="175">
        <v>3235</v>
      </c>
      <c r="O265" s="175">
        <v>3235</v>
      </c>
      <c r="P265" s="78"/>
      <c r="Q265" s="861">
        <f t="shared" ref="Q265:Q271" si="97">SUM(R265:S265)</f>
        <v>3000</v>
      </c>
      <c r="R265" s="861"/>
      <c r="S265" s="861">
        <v>3000</v>
      </c>
      <c r="T265" s="73">
        <f t="shared" ref="T265:T271" si="98">SUM(U265:V265)</f>
        <v>3000</v>
      </c>
      <c r="U265" s="175"/>
      <c r="V265" s="175">
        <v>3000</v>
      </c>
      <c r="W265" s="100" t="s">
        <v>1557</v>
      </c>
      <c r="X265" s="24"/>
      <c r="Y265" s="175">
        <v>1</v>
      </c>
      <c r="Z265" s="657"/>
      <c r="AA265" s="990"/>
      <c r="AB265" s="811"/>
      <c r="AC265" s="551"/>
      <c r="AD265" s="551"/>
      <c r="AE265" s="551"/>
      <c r="AG265" s="57"/>
      <c r="AH265" s="57"/>
      <c r="AI265" s="57"/>
      <c r="AJ265" s="57"/>
      <c r="AK265" s="57"/>
      <c r="AL265" s="57"/>
    </row>
    <row r="266" spans="1:38" s="54" customFormat="1" ht="60">
      <c r="A266" s="97" t="s">
        <v>41</v>
      </c>
      <c r="B266" s="68" t="s">
        <v>637</v>
      </c>
      <c r="C266" s="101" t="s">
        <v>60</v>
      </c>
      <c r="D266" s="19" t="s">
        <v>638</v>
      </c>
      <c r="E266" s="95" t="s">
        <v>154</v>
      </c>
      <c r="F266" s="80" t="s">
        <v>639</v>
      </c>
      <c r="G266" s="71">
        <v>2698</v>
      </c>
      <c r="H266" s="71">
        <v>2698</v>
      </c>
      <c r="I266" s="175">
        <v>100</v>
      </c>
      <c r="J266" s="175">
        <v>100</v>
      </c>
      <c r="K266" s="71">
        <v>2698</v>
      </c>
      <c r="L266" s="71">
        <v>2698</v>
      </c>
      <c r="M266" s="23"/>
      <c r="N266" s="175">
        <v>1200</v>
      </c>
      <c r="O266" s="175">
        <v>1200</v>
      </c>
      <c r="P266" s="78"/>
      <c r="Q266" s="861">
        <f t="shared" si="97"/>
        <v>1200</v>
      </c>
      <c r="R266" s="861"/>
      <c r="S266" s="861">
        <v>1200</v>
      </c>
      <c r="T266" s="73">
        <f t="shared" si="98"/>
        <v>1200</v>
      </c>
      <c r="U266" s="175"/>
      <c r="V266" s="175">
        <v>1200</v>
      </c>
      <c r="W266" s="100" t="s">
        <v>1557</v>
      </c>
      <c r="X266" s="24"/>
      <c r="Y266" s="175">
        <v>1</v>
      </c>
      <c r="Z266" s="657"/>
      <c r="AA266" s="990"/>
      <c r="AB266" s="811"/>
      <c r="AC266" s="551"/>
      <c r="AD266" s="551"/>
      <c r="AE266" s="551"/>
      <c r="AG266" s="57"/>
      <c r="AH266" s="57"/>
      <c r="AI266" s="57"/>
      <c r="AJ266" s="57"/>
      <c r="AK266" s="57"/>
      <c r="AL266" s="57"/>
    </row>
    <row r="267" spans="1:38" s="54" customFormat="1" ht="60">
      <c r="A267" s="97" t="s">
        <v>58</v>
      </c>
      <c r="B267" s="68" t="s">
        <v>640</v>
      </c>
      <c r="C267" s="101" t="s">
        <v>85</v>
      </c>
      <c r="D267" s="19" t="s">
        <v>641</v>
      </c>
      <c r="E267" s="95" t="s">
        <v>154</v>
      </c>
      <c r="F267" s="80" t="s">
        <v>642</v>
      </c>
      <c r="G267" s="71">
        <v>3399</v>
      </c>
      <c r="H267" s="71">
        <v>3399</v>
      </c>
      <c r="I267" s="175">
        <v>100</v>
      </c>
      <c r="J267" s="175">
        <v>100</v>
      </c>
      <c r="K267" s="71">
        <v>3399</v>
      </c>
      <c r="L267" s="71">
        <v>3399</v>
      </c>
      <c r="M267" s="23"/>
      <c r="N267" s="175">
        <v>1400</v>
      </c>
      <c r="O267" s="175">
        <v>1400</v>
      </c>
      <c r="P267" s="78"/>
      <c r="Q267" s="861">
        <f t="shared" si="97"/>
        <v>1400</v>
      </c>
      <c r="R267" s="861"/>
      <c r="S267" s="861">
        <v>1400</v>
      </c>
      <c r="T267" s="73">
        <f t="shared" si="98"/>
        <v>1400</v>
      </c>
      <c r="U267" s="175"/>
      <c r="V267" s="175">
        <v>1400</v>
      </c>
      <c r="W267" s="100" t="s">
        <v>1557</v>
      </c>
      <c r="X267" s="24"/>
      <c r="Y267" s="175">
        <v>1</v>
      </c>
      <c r="Z267" s="657"/>
      <c r="AA267" s="990"/>
      <c r="AB267" s="811"/>
      <c r="AC267" s="551"/>
      <c r="AD267" s="551"/>
      <c r="AE267" s="551"/>
      <c r="AG267" s="57"/>
      <c r="AH267" s="57"/>
      <c r="AI267" s="57"/>
      <c r="AJ267" s="57"/>
      <c r="AK267" s="57"/>
      <c r="AL267" s="57"/>
    </row>
    <row r="268" spans="1:38" s="54" customFormat="1" ht="30">
      <c r="A268" s="97" t="s">
        <v>64</v>
      </c>
      <c r="B268" s="68" t="s">
        <v>643</v>
      </c>
      <c r="C268" s="101" t="s">
        <v>173</v>
      </c>
      <c r="D268" s="19" t="s">
        <v>644</v>
      </c>
      <c r="E268" s="95" t="s">
        <v>645</v>
      </c>
      <c r="F268" s="80" t="s">
        <v>646</v>
      </c>
      <c r="G268" s="71">
        <v>2480</v>
      </c>
      <c r="H268" s="71">
        <v>2480</v>
      </c>
      <c r="I268" s="175">
        <v>120</v>
      </c>
      <c r="J268" s="175">
        <v>120</v>
      </c>
      <c r="K268" s="23">
        <v>2480</v>
      </c>
      <c r="L268" s="23">
        <v>2480</v>
      </c>
      <c r="M268" s="23"/>
      <c r="N268" s="175">
        <v>2261</v>
      </c>
      <c r="O268" s="175">
        <v>2261</v>
      </c>
      <c r="P268" s="78"/>
      <c r="Q268" s="861">
        <f t="shared" si="97"/>
        <v>2300</v>
      </c>
      <c r="R268" s="861"/>
      <c r="S268" s="861">
        <v>2300</v>
      </c>
      <c r="T268" s="73">
        <f t="shared" si="98"/>
        <v>2300</v>
      </c>
      <c r="U268" s="175"/>
      <c r="V268" s="175">
        <v>2300</v>
      </c>
      <c r="W268" s="100" t="s">
        <v>1557</v>
      </c>
      <c r="X268" s="24"/>
      <c r="Y268" s="175">
        <v>1</v>
      </c>
      <c r="Z268" s="657"/>
      <c r="AA268" s="990"/>
      <c r="AB268" s="811"/>
      <c r="AC268" s="551"/>
      <c r="AD268" s="551"/>
      <c r="AE268" s="551"/>
      <c r="AG268" s="57"/>
      <c r="AH268" s="57"/>
      <c r="AI268" s="57"/>
      <c r="AJ268" s="57"/>
      <c r="AK268" s="57"/>
      <c r="AL268" s="57"/>
    </row>
    <row r="269" spans="1:38" s="54" customFormat="1" ht="30">
      <c r="A269" s="97" t="s">
        <v>69</v>
      </c>
      <c r="B269" s="68" t="s">
        <v>647</v>
      </c>
      <c r="C269" s="101" t="s">
        <v>648</v>
      </c>
      <c r="D269" s="101" t="s">
        <v>649</v>
      </c>
      <c r="E269" s="95" t="s">
        <v>635</v>
      </c>
      <c r="F269" s="80" t="s">
        <v>650</v>
      </c>
      <c r="G269" s="175">
        <v>3208</v>
      </c>
      <c r="H269" s="175">
        <v>3208</v>
      </c>
      <c r="I269" s="72">
        <v>20</v>
      </c>
      <c r="J269" s="72">
        <v>20</v>
      </c>
      <c r="K269" s="72">
        <v>3208</v>
      </c>
      <c r="L269" s="72">
        <v>3208</v>
      </c>
      <c r="M269" s="72"/>
      <c r="N269" s="175">
        <v>2896</v>
      </c>
      <c r="O269" s="175">
        <v>2896</v>
      </c>
      <c r="P269" s="78"/>
      <c r="Q269" s="861">
        <f t="shared" si="97"/>
        <v>2900</v>
      </c>
      <c r="R269" s="861"/>
      <c r="S269" s="861">
        <v>2900</v>
      </c>
      <c r="T269" s="73">
        <f t="shared" si="98"/>
        <v>2900</v>
      </c>
      <c r="U269" s="175"/>
      <c r="V269" s="175">
        <v>2900</v>
      </c>
      <c r="W269" s="100" t="s">
        <v>1557</v>
      </c>
      <c r="X269" s="1012"/>
      <c r="Y269" s="175">
        <v>1</v>
      </c>
      <c r="Z269" s="657"/>
      <c r="AA269" s="990"/>
      <c r="AB269" s="811"/>
      <c r="AC269" s="551"/>
      <c r="AD269" s="551"/>
      <c r="AE269" s="551"/>
      <c r="AG269" s="57"/>
      <c r="AH269" s="57"/>
      <c r="AI269" s="57"/>
      <c r="AJ269" s="57"/>
      <c r="AK269" s="57"/>
      <c r="AL269" s="57"/>
    </row>
    <row r="270" spans="1:38" s="54" customFormat="1" ht="25.5">
      <c r="A270" s="97" t="s">
        <v>74</v>
      </c>
      <c r="B270" s="68" t="s">
        <v>651</v>
      </c>
      <c r="C270" s="101" t="s">
        <v>112</v>
      </c>
      <c r="D270" s="152"/>
      <c r="E270" s="70" t="s">
        <v>30</v>
      </c>
      <c r="F270" s="695" t="s">
        <v>652</v>
      </c>
      <c r="G270" s="23">
        <f>H270</f>
        <v>7849</v>
      </c>
      <c r="H270" s="23">
        <v>7849</v>
      </c>
      <c r="I270" s="175">
        <v>300</v>
      </c>
      <c r="J270" s="23">
        <v>300</v>
      </c>
      <c r="K270" s="23">
        <v>7849</v>
      </c>
      <c r="L270" s="23">
        <v>7849</v>
      </c>
      <c r="M270" s="23"/>
      <c r="N270" s="175">
        <v>2500</v>
      </c>
      <c r="O270" s="175">
        <v>2500</v>
      </c>
      <c r="P270" s="78"/>
      <c r="Q270" s="861">
        <f t="shared" si="97"/>
        <v>2500</v>
      </c>
      <c r="R270" s="861"/>
      <c r="S270" s="861">
        <v>2500</v>
      </c>
      <c r="T270" s="73">
        <f t="shared" si="98"/>
        <v>2500</v>
      </c>
      <c r="U270" s="175"/>
      <c r="V270" s="175">
        <v>2500</v>
      </c>
      <c r="W270" s="100" t="s">
        <v>1557</v>
      </c>
      <c r="X270" s="24"/>
      <c r="Y270" s="175">
        <v>1</v>
      </c>
      <c r="Z270" s="657"/>
      <c r="AA270" s="990"/>
      <c r="AB270" s="811"/>
      <c r="AC270" s="551"/>
      <c r="AD270" s="551"/>
      <c r="AE270" s="551"/>
      <c r="AG270" s="57"/>
      <c r="AH270" s="57"/>
      <c r="AI270" s="57"/>
      <c r="AJ270" s="57"/>
      <c r="AK270" s="57"/>
      <c r="AL270" s="57"/>
    </row>
    <row r="271" spans="1:38" s="54" customFormat="1" ht="51">
      <c r="A271" s="97" t="s">
        <v>141</v>
      </c>
      <c r="B271" s="93" t="s">
        <v>653</v>
      </c>
      <c r="C271" s="19" t="s">
        <v>66</v>
      </c>
      <c r="D271" s="635"/>
      <c r="E271" s="44" t="s">
        <v>163</v>
      </c>
      <c r="F271" s="706"/>
      <c r="G271" s="72">
        <v>6740</v>
      </c>
      <c r="H271" s="72">
        <v>6740</v>
      </c>
      <c r="I271" s="72">
        <v>200</v>
      </c>
      <c r="J271" s="72">
        <v>200</v>
      </c>
      <c r="K271" s="72">
        <v>6740</v>
      </c>
      <c r="L271" s="72">
        <v>6740</v>
      </c>
      <c r="M271" s="72"/>
      <c r="N271" s="72">
        <v>2000</v>
      </c>
      <c r="O271" s="175">
        <v>2000</v>
      </c>
      <c r="P271" s="78"/>
      <c r="Q271" s="861">
        <f t="shared" si="97"/>
        <v>2000</v>
      </c>
      <c r="R271" s="123"/>
      <c r="S271" s="123">
        <v>2000</v>
      </c>
      <c r="T271" s="73">
        <f t="shared" si="98"/>
        <v>2000</v>
      </c>
      <c r="U271" s="72"/>
      <c r="V271" s="72">
        <v>2000</v>
      </c>
      <c r="W271" s="100" t="s">
        <v>1558</v>
      </c>
      <c r="X271" s="1012" t="s">
        <v>1081</v>
      </c>
      <c r="Y271" s="72">
        <v>1</v>
      </c>
      <c r="Z271" s="657"/>
      <c r="AA271" s="990"/>
      <c r="AB271" s="811"/>
      <c r="AC271" s="551"/>
      <c r="AD271" s="551"/>
      <c r="AE271" s="551"/>
      <c r="AG271" s="57"/>
      <c r="AH271" s="57"/>
      <c r="AI271" s="57"/>
      <c r="AJ271" s="57"/>
      <c r="AK271" s="57"/>
      <c r="AL271" s="57"/>
    </row>
    <row r="272" spans="1:38" s="54" customFormat="1" ht="30">
      <c r="A272" s="97" t="s">
        <v>146</v>
      </c>
      <c r="B272" s="93" t="s">
        <v>1720</v>
      </c>
      <c r="C272" s="19"/>
      <c r="D272" s="635"/>
      <c r="E272" s="44"/>
      <c r="F272" s="706"/>
      <c r="G272" s="72">
        <f t="shared" ref="G272:V272" si="99">SUM(G273:G290)</f>
        <v>71578</v>
      </c>
      <c r="H272" s="72">
        <f t="shared" si="99"/>
        <v>39790.6</v>
      </c>
      <c r="I272" s="72">
        <f t="shared" si="99"/>
        <v>0</v>
      </c>
      <c r="J272" s="72">
        <f t="shared" si="99"/>
        <v>0</v>
      </c>
      <c r="K272" s="72">
        <f t="shared" si="99"/>
        <v>70541.100000000006</v>
      </c>
      <c r="L272" s="72">
        <f t="shared" si="99"/>
        <v>40235.599999999999</v>
      </c>
      <c r="M272" s="72">
        <f t="shared" si="99"/>
        <v>0</v>
      </c>
      <c r="N272" s="72">
        <f t="shared" si="99"/>
        <v>36255</v>
      </c>
      <c r="O272" s="72">
        <f t="shared" si="99"/>
        <v>23525</v>
      </c>
      <c r="P272" s="72">
        <f t="shared" si="99"/>
        <v>0</v>
      </c>
      <c r="Q272" s="72">
        <f t="shared" si="99"/>
        <v>23018</v>
      </c>
      <c r="R272" s="72">
        <f t="shared" si="99"/>
        <v>0</v>
      </c>
      <c r="S272" s="72">
        <f t="shared" si="99"/>
        <v>23018</v>
      </c>
      <c r="T272" s="72">
        <f t="shared" si="99"/>
        <v>23018</v>
      </c>
      <c r="U272" s="72">
        <f t="shared" si="99"/>
        <v>0</v>
      </c>
      <c r="V272" s="72">
        <f t="shared" si="99"/>
        <v>23018</v>
      </c>
      <c r="W272" s="72"/>
      <c r="X272" s="72"/>
      <c r="Y272" s="72">
        <v>1</v>
      </c>
      <c r="Z272" s="657"/>
      <c r="AA272" s="990">
        <f>V272</f>
        <v>23018</v>
      </c>
      <c r="AB272" s="811"/>
      <c r="AC272" s="551"/>
      <c r="AD272" s="551"/>
      <c r="AE272" s="551"/>
      <c r="AG272" s="57"/>
      <c r="AH272" s="57"/>
      <c r="AI272" s="57"/>
      <c r="AJ272" s="57"/>
      <c r="AK272" s="57"/>
      <c r="AL272" s="57"/>
    </row>
    <row r="273" spans="1:45" s="54" customFormat="1" ht="30">
      <c r="A273" s="961" t="s">
        <v>27</v>
      </c>
      <c r="B273" s="68" t="s">
        <v>654</v>
      </c>
      <c r="C273" s="101" t="s">
        <v>5</v>
      </c>
      <c r="D273" s="19" t="s">
        <v>655</v>
      </c>
      <c r="E273" s="70" t="s">
        <v>355</v>
      </c>
      <c r="F273" s="80" t="s">
        <v>656</v>
      </c>
      <c r="G273" s="23">
        <v>6840</v>
      </c>
      <c r="H273" s="23">
        <v>3086</v>
      </c>
      <c r="I273" s="175">
        <v>0</v>
      </c>
      <c r="J273" s="23">
        <v>0</v>
      </c>
      <c r="K273" s="23">
        <v>6840</v>
      </c>
      <c r="L273" s="23">
        <v>3086</v>
      </c>
      <c r="M273" s="23"/>
      <c r="N273" s="175">
        <v>4000</v>
      </c>
      <c r="O273" s="175">
        <v>2000</v>
      </c>
      <c r="P273" s="78"/>
      <c r="Q273" s="861">
        <f t="shared" ref="Q273:Q281" si="100">SUM(R273:S273)</f>
        <v>2000</v>
      </c>
      <c r="R273" s="861"/>
      <c r="S273" s="861">
        <v>2000</v>
      </c>
      <c r="T273" s="73">
        <f t="shared" ref="T273:T281" si="101">SUM(U273:V273)</f>
        <v>2000</v>
      </c>
      <c r="U273" s="175"/>
      <c r="V273" s="175">
        <v>2000</v>
      </c>
      <c r="W273" s="100" t="s">
        <v>1521</v>
      </c>
      <c r="X273" s="24"/>
      <c r="Y273" s="175"/>
      <c r="Z273" s="657" t="s">
        <v>178</v>
      </c>
      <c r="AA273" s="990"/>
      <c r="AB273" s="811"/>
      <c r="AC273" s="551"/>
      <c r="AD273" s="551"/>
      <c r="AE273" s="551"/>
      <c r="AG273" s="57"/>
      <c r="AH273" s="57"/>
      <c r="AI273" s="57"/>
      <c r="AJ273" s="57"/>
      <c r="AK273" s="57"/>
      <c r="AL273" s="57"/>
    </row>
    <row r="274" spans="1:45" s="54" customFormat="1" ht="75">
      <c r="A274" s="961" t="s">
        <v>41</v>
      </c>
      <c r="B274" s="68" t="s">
        <v>660</v>
      </c>
      <c r="C274" s="101" t="s">
        <v>112</v>
      </c>
      <c r="D274" s="19" t="s">
        <v>661</v>
      </c>
      <c r="E274" s="70" t="s">
        <v>120</v>
      </c>
      <c r="F274" s="80" t="s">
        <v>662</v>
      </c>
      <c r="G274" s="23">
        <v>16080</v>
      </c>
      <c r="H274" s="23">
        <v>7747</v>
      </c>
      <c r="I274" s="175"/>
      <c r="J274" s="23"/>
      <c r="K274" s="23">
        <f>G274</f>
        <v>16080</v>
      </c>
      <c r="L274" s="23">
        <f>H274</f>
        <v>7747</v>
      </c>
      <c r="M274" s="23"/>
      <c r="N274" s="175">
        <v>5600</v>
      </c>
      <c r="O274" s="175">
        <v>3000</v>
      </c>
      <c r="P274" s="78"/>
      <c r="Q274" s="861">
        <f t="shared" si="100"/>
        <v>3000</v>
      </c>
      <c r="R274" s="861"/>
      <c r="S274" s="861">
        <v>3000</v>
      </c>
      <c r="T274" s="73">
        <f t="shared" si="101"/>
        <v>3000</v>
      </c>
      <c r="U274" s="175"/>
      <c r="V274" s="175">
        <v>3000</v>
      </c>
      <c r="W274" s="100" t="s">
        <v>1529</v>
      </c>
      <c r="X274" s="24"/>
      <c r="Y274" s="175"/>
      <c r="Z274" s="657" t="s">
        <v>178</v>
      </c>
      <c r="AA274" s="990"/>
      <c r="AB274" s="811"/>
      <c r="AC274" s="551"/>
      <c r="AD274" s="551"/>
      <c r="AE274" s="551"/>
      <c r="AG274" s="57"/>
      <c r="AH274" s="57"/>
      <c r="AI274" s="57"/>
      <c r="AJ274" s="57"/>
      <c r="AK274" s="57"/>
      <c r="AL274" s="57"/>
    </row>
    <row r="275" spans="1:45" s="54" customFormat="1" ht="30">
      <c r="A275" s="961" t="s">
        <v>58</v>
      </c>
      <c r="B275" s="68" t="s">
        <v>663</v>
      </c>
      <c r="C275" s="101" t="s">
        <v>260</v>
      </c>
      <c r="D275" s="19" t="s">
        <v>664</v>
      </c>
      <c r="E275" s="70" t="s">
        <v>120</v>
      </c>
      <c r="F275" s="80"/>
      <c r="G275" s="23">
        <v>11166</v>
      </c>
      <c r="H275" s="23">
        <f>+G275*0.6</f>
        <v>6699.5999999999995</v>
      </c>
      <c r="I275" s="175"/>
      <c r="J275" s="23"/>
      <c r="K275" s="23">
        <v>11166</v>
      </c>
      <c r="L275" s="23">
        <f>+K275*0.6</f>
        <v>6699.5999999999995</v>
      </c>
      <c r="M275" s="23"/>
      <c r="N275" s="175">
        <v>4000</v>
      </c>
      <c r="O275" s="175">
        <v>2000</v>
      </c>
      <c r="P275" s="78"/>
      <c r="Q275" s="861">
        <f t="shared" si="100"/>
        <v>2000</v>
      </c>
      <c r="R275" s="861"/>
      <c r="S275" s="861">
        <v>2000</v>
      </c>
      <c r="T275" s="73">
        <f t="shared" si="101"/>
        <v>2000</v>
      </c>
      <c r="U275" s="175"/>
      <c r="V275" s="175">
        <v>2000</v>
      </c>
      <c r="W275" s="100" t="s">
        <v>1552</v>
      </c>
      <c r="X275" s="24"/>
      <c r="Y275" s="175"/>
      <c r="Z275" s="657" t="s">
        <v>178</v>
      </c>
      <c r="AA275" s="990"/>
      <c r="AB275" s="811"/>
      <c r="AC275" s="551"/>
      <c r="AD275" s="551"/>
      <c r="AE275" s="551"/>
      <c r="AG275" s="2"/>
      <c r="AH275" s="2"/>
      <c r="AI275" s="2"/>
      <c r="AJ275" s="2"/>
      <c r="AK275" s="2"/>
      <c r="AL275" s="2"/>
    </row>
    <row r="276" spans="1:45" s="933" customFormat="1" ht="56.25" customHeight="1">
      <c r="A276" s="961" t="s">
        <v>64</v>
      </c>
      <c r="B276" s="68" t="s">
        <v>1715</v>
      </c>
      <c r="C276" s="919" t="s">
        <v>143</v>
      </c>
      <c r="D276" s="299" t="s">
        <v>1716</v>
      </c>
      <c r="E276" s="920" t="s">
        <v>30</v>
      </c>
      <c r="F276" s="100" t="s">
        <v>1717</v>
      </c>
      <c r="G276" s="365">
        <v>7325</v>
      </c>
      <c r="H276" s="365">
        <v>3729</v>
      </c>
      <c r="I276" s="365"/>
      <c r="J276" s="104"/>
      <c r="K276" s="104">
        <f>G276-349</f>
        <v>6976</v>
      </c>
      <c r="L276" s="365">
        <v>3729</v>
      </c>
      <c r="M276" s="104"/>
      <c r="N276" s="104">
        <v>2000</v>
      </c>
      <c r="O276" s="365">
        <v>2000</v>
      </c>
      <c r="P276" s="104"/>
      <c r="Q276" s="861">
        <f t="shared" si="100"/>
        <v>2000</v>
      </c>
      <c r="R276" s="861"/>
      <c r="S276" s="861">
        <v>2000</v>
      </c>
      <c r="T276" s="73">
        <f t="shared" si="101"/>
        <v>2000</v>
      </c>
      <c r="U276" s="175"/>
      <c r="V276" s="175">
        <v>2000</v>
      </c>
      <c r="W276" s="100" t="s">
        <v>1518</v>
      </c>
      <c r="X276" s="921"/>
      <c r="Y276" s="175"/>
      <c r="Z276" s="657" t="s">
        <v>1738</v>
      </c>
      <c r="AA276" s="999"/>
      <c r="AB276" s="984"/>
      <c r="AC276" s="922"/>
      <c r="AD276" s="923"/>
      <c r="AE276" s="924"/>
      <c r="AF276" s="925"/>
      <c r="AG276" s="924"/>
      <c r="AH276" s="924"/>
      <c r="AI276" s="926"/>
      <c r="AJ276" s="927"/>
      <c r="AK276" s="927"/>
      <c r="AL276" s="928"/>
      <c r="AM276" s="927"/>
      <c r="AN276" s="927"/>
      <c r="AO276" s="928"/>
      <c r="AP276" s="929"/>
      <c r="AQ276" s="930"/>
      <c r="AR276" s="931"/>
      <c r="AS276" s="932"/>
    </row>
    <row r="277" spans="1:45" s="54" customFormat="1" ht="90">
      <c r="A277" s="961" t="s">
        <v>69</v>
      </c>
      <c r="B277" s="68" t="s">
        <v>665</v>
      </c>
      <c r="C277" s="101" t="s">
        <v>85</v>
      </c>
      <c r="D277" s="19" t="s">
        <v>666</v>
      </c>
      <c r="E277" s="70" t="s">
        <v>30</v>
      </c>
      <c r="F277" s="80"/>
      <c r="G277" s="23">
        <v>999</v>
      </c>
      <c r="H277" s="23">
        <v>834</v>
      </c>
      <c r="I277" s="175"/>
      <c r="J277" s="23"/>
      <c r="K277" s="23">
        <v>999</v>
      </c>
      <c r="L277" s="23">
        <v>834</v>
      </c>
      <c r="M277" s="23"/>
      <c r="N277" s="175">
        <v>999</v>
      </c>
      <c r="O277" s="175">
        <v>834</v>
      </c>
      <c r="P277" s="78"/>
      <c r="Q277" s="861">
        <f t="shared" si="100"/>
        <v>827</v>
      </c>
      <c r="R277" s="861"/>
      <c r="S277" s="861">
        <v>827</v>
      </c>
      <c r="T277" s="73">
        <f t="shared" si="101"/>
        <v>827</v>
      </c>
      <c r="U277" s="175"/>
      <c r="V277" s="175">
        <v>827</v>
      </c>
      <c r="W277" s="100" t="s">
        <v>1525</v>
      </c>
      <c r="X277" s="24" t="s">
        <v>1082</v>
      </c>
      <c r="Y277" s="175"/>
      <c r="Z277" s="657" t="s">
        <v>178</v>
      </c>
      <c r="AA277" s="990"/>
      <c r="AB277" s="811"/>
      <c r="AC277" s="551"/>
      <c r="AD277" s="551"/>
      <c r="AE277" s="551"/>
      <c r="AG277" s="2"/>
      <c r="AH277" s="2"/>
      <c r="AI277" s="2"/>
      <c r="AJ277" s="2"/>
      <c r="AK277" s="2"/>
      <c r="AL277" s="2"/>
    </row>
    <row r="278" spans="1:45" s="54" customFormat="1" ht="30">
      <c r="A278" s="961" t="s">
        <v>74</v>
      </c>
      <c r="B278" s="68" t="s">
        <v>667</v>
      </c>
      <c r="C278" s="101" t="s">
        <v>71</v>
      </c>
      <c r="D278" s="19" t="s">
        <v>668</v>
      </c>
      <c r="E278" s="70" t="s">
        <v>30</v>
      </c>
      <c r="F278" s="80" t="s">
        <v>669</v>
      </c>
      <c r="G278" s="23">
        <v>6879</v>
      </c>
      <c r="H278" s="23">
        <v>3355</v>
      </c>
      <c r="I278" s="175"/>
      <c r="J278" s="23"/>
      <c r="K278" s="23">
        <f>G278-G278*10%</f>
        <v>6191.1</v>
      </c>
      <c r="L278" s="23">
        <v>3800</v>
      </c>
      <c r="M278" s="23"/>
      <c r="N278" s="175">
        <v>6215</v>
      </c>
      <c r="O278" s="175">
        <v>3355</v>
      </c>
      <c r="P278" s="78"/>
      <c r="Q278" s="861">
        <f t="shared" si="100"/>
        <v>3000</v>
      </c>
      <c r="R278" s="861"/>
      <c r="S278" s="861">
        <v>3000</v>
      </c>
      <c r="T278" s="73">
        <f t="shared" si="101"/>
        <v>3000</v>
      </c>
      <c r="U278" s="175"/>
      <c r="V278" s="175">
        <v>3000</v>
      </c>
      <c r="W278" s="100" t="s">
        <v>1516</v>
      </c>
      <c r="X278" s="80"/>
      <c r="Y278" s="175"/>
      <c r="Z278" s="657" t="s">
        <v>178</v>
      </c>
      <c r="AA278" s="990"/>
      <c r="AB278" s="811"/>
      <c r="AC278" s="551"/>
      <c r="AD278" s="551"/>
      <c r="AE278" s="551"/>
      <c r="AG278" s="2"/>
      <c r="AH278" s="2"/>
      <c r="AI278" s="2"/>
      <c r="AJ278" s="2"/>
      <c r="AK278" s="2"/>
      <c r="AL278" s="2"/>
    </row>
    <row r="279" spans="1:45" s="54" customFormat="1" ht="38.25">
      <c r="A279" s="961" t="s">
        <v>141</v>
      </c>
      <c r="B279" s="68" t="s">
        <v>670</v>
      </c>
      <c r="C279" s="101" t="s">
        <v>60</v>
      </c>
      <c r="D279" s="19"/>
      <c r="E279" s="70" t="s">
        <v>30</v>
      </c>
      <c r="F279" s="80"/>
      <c r="G279" s="23">
        <v>1000</v>
      </c>
      <c r="H279" s="23">
        <v>900</v>
      </c>
      <c r="I279" s="175"/>
      <c r="J279" s="23"/>
      <c r="K279" s="23">
        <v>1000</v>
      </c>
      <c r="L279" s="23">
        <v>900</v>
      </c>
      <c r="M279" s="23"/>
      <c r="N279" s="175">
        <v>1000</v>
      </c>
      <c r="O279" s="175">
        <v>900</v>
      </c>
      <c r="P279" s="78"/>
      <c r="Q279" s="861">
        <f t="shared" si="100"/>
        <v>800</v>
      </c>
      <c r="R279" s="861"/>
      <c r="S279" s="861">
        <v>800</v>
      </c>
      <c r="T279" s="73">
        <f t="shared" si="101"/>
        <v>800</v>
      </c>
      <c r="U279" s="175"/>
      <c r="V279" s="175">
        <v>800</v>
      </c>
      <c r="W279" s="513" t="s">
        <v>1517</v>
      </c>
      <c r="X279" s="24" t="s">
        <v>1083</v>
      </c>
      <c r="Y279" s="175"/>
      <c r="Z279" s="657" t="s">
        <v>178</v>
      </c>
      <c r="AA279" s="990"/>
      <c r="AB279" s="811"/>
      <c r="AC279" s="551"/>
      <c r="AD279" s="551"/>
      <c r="AE279" s="551"/>
      <c r="AG279" s="2"/>
      <c r="AH279" s="2"/>
      <c r="AI279" s="2"/>
      <c r="AJ279" s="2"/>
      <c r="AK279" s="2"/>
      <c r="AL279" s="2"/>
    </row>
    <row r="280" spans="1:45" s="54" customFormat="1" ht="30">
      <c r="A280" s="961" t="s">
        <v>146</v>
      </c>
      <c r="B280" s="68" t="s">
        <v>657</v>
      </c>
      <c r="C280" s="101" t="s">
        <v>66</v>
      </c>
      <c r="D280" s="19" t="s">
        <v>658</v>
      </c>
      <c r="E280" s="70" t="s">
        <v>120</v>
      </c>
      <c r="F280" s="80" t="s">
        <v>659</v>
      </c>
      <c r="G280" s="23">
        <v>11848</v>
      </c>
      <c r="H280" s="23">
        <v>5704</v>
      </c>
      <c r="I280" s="175"/>
      <c r="J280" s="23"/>
      <c r="K280" s="23">
        <v>11848</v>
      </c>
      <c r="L280" s="23">
        <v>5704</v>
      </c>
      <c r="M280" s="23"/>
      <c r="N280" s="175">
        <v>3000</v>
      </c>
      <c r="O280" s="175">
        <v>1700</v>
      </c>
      <c r="P280" s="78"/>
      <c r="Q280" s="861">
        <f t="shared" si="100"/>
        <v>1700</v>
      </c>
      <c r="R280" s="861"/>
      <c r="S280" s="861">
        <v>1700</v>
      </c>
      <c r="T280" s="73">
        <f t="shared" si="101"/>
        <v>1700</v>
      </c>
      <c r="U280" s="175"/>
      <c r="V280" s="175">
        <v>1700</v>
      </c>
      <c r="W280" s="100" t="s">
        <v>1526</v>
      </c>
      <c r="X280" s="24"/>
      <c r="Y280" s="175"/>
      <c r="Z280" s="657" t="s">
        <v>178</v>
      </c>
      <c r="AA280" s="990"/>
      <c r="AB280" s="811"/>
      <c r="AC280" s="551"/>
      <c r="AD280" s="551"/>
      <c r="AE280" s="551"/>
      <c r="AG280" s="2"/>
      <c r="AH280" s="2"/>
      <c r="AI280" s="2"/>
      <c r="AJ280" s="2"/>
      <c r="AK280" s="2"/>
      <c r="AL280" s="2"/>
    </row>
    <row r="281" spans="1:45" s="54" customFormat="1" ht="30">
      <c r="A281" s="961" t="s">
        <v>179</v>
      </c>
      <c r="B281" s="68" t="s">
        <v>672</v>
      </c>
      <c r="C281" s="101" t="s">
        <v>66</v>
      </c>
      <c r="D281" s="19"/>
      <c r="E281" s="70" t="s">
        <v>30</v>
      </c>
      <c r="F281" s="80"/>
      <c r="G281" s="23">
        <v>981</v>
      </c>
      <c r="H281" s="23">
        <v>833</v>
      </c>
      <c r="I281" s="175"/>
      <c r="J281" s="23"/>
      <c r="K281" s="23">
        <v>981</v>
      </c>
      <c r="L281" s="23">
        <v>833</v>
      </c>
      <c r="M281" s="23"/>
      <c r="N281" s="175">
        <v>981</v>
      </c>
      <c r="O281" s="175">
        <v>833</v>
      </c>
      <c r="P281" s="78"/>
      <c r="Q281" s="861">
        <f t="shared" si="100"/>
        <v>788</v>
      </c>
      <c r="R281" s="861"/>
      <c r="S281" s="861">
        <v>788</v>
      </c>
      <c r="T281" s="73">
        <f t="shared" si="101"/>
        <v>788</v>
      </c>
      <c r="U281" s="175"/>
      <c r="V281" s="175">
        <v>788</v>
      </c>
      <c r="W281" s="100" t="s">
        <v>1526</v>
      </c>
      <c r="X281" s="24"/>
      <c r="Y281" s="175"/>
      <c r="Z281" s="657" t="s">
        <v>178</v>
      </c>
      <c r="AA281" s="990"/>
      <c r="AB281" s="811"/>
      <c r="AC281" s="551"/>
      <c r="AD281" s="551"/>
      <c r="AE281" s="551"/>
      <c r="AG281" s="2"/>
      <c r="AH281" s="2"/>
      <c r="AI281" s="2"/>
      <c r="AJ281" s="2"/>
      <c r="AK281" s="2"/>
      <c r="AL281" s="2"/>
    </row>
    <row r="282" spans="1:45" s="54" customFormat="1" ht="77.25" customHeight="1">
      <c r="A282" s="961" t="s">
        <v>182</v>
      </c>
      <c r="B282" s="68" t="s">
        <v>1694</v>
      </c>
      <c r="C282" s="94" t="s">
        <v>66</v>
      </c>
      <c r="D282" s="19" t="s">
        <v>1695</v>
      </c>
      <c r="E282" s="19" t="s">
        <v>166</v>
      </c>
      <c r="F282" s="24" t="s">
        <v>1696</v>
      </c>
      <c r="G282" s="223">
        <v>971</v>
      </c>
      <c r="H282" s="223">
        <v>788</v>
      </c>
      <c r="I282" s="175"/>
      <c r="J282" s="23"/>
      <c r="K282" s="23">
        <v>971</v>
      </c>
      <c r="L282" s="23">
        <v>788</v>
      </c>
      <c r="M282" s="23"/>
      <c r="N282" s="23">
        <v>971</v>
      </c>
      <c r="O282" s="175">
        <v>788</v>
      </c>
      <c r="P282" s="78"/>
      <c r="Q282" s="861">
        <f t="shared" ref="Q282:Q290" si="102">S282</f>
        <v>788</v>
      </c>
      <c r="R282" s="861"/>
      <c r="S282" s="861">
        <f t="shared" ref="S282:S290" si="103">O282</f>
        <v>788</v>
      </c>
      <c r="T282" s="73">
        <f t="shared" ref="T282:T290" si="104">V282</f>
        <v>788</v>
      </c>
      <c r="U282" s="175"/>
      <c r="V282" s="175">
        <f t="shared" ref="V282:V290" si="105">Q282</f>
        <v>788</v>
      </c>
      <c r="W282" s="100" t="s">
        <v>1526</v>
      </c>
      <c r="X282" s="80"/>
      <c r="Y282" s="175"/>
      <c r="Z282" s="657" t="s">
        <v>186</v>
      </c>
      <c r="AA282" s="1000"/>
      <c r="AB282" s="985"/>
    </row>
    <row r="283" spans="1:45" s="54" customFormat="1" ht="66.75" customHeight="1">
      <c r="A283" s="961" t="s">
        <v>187</v>
      </c>
      <c r="B283" s="68" t="s">
        <v>1697</v>
      </c>
      <c r="C283" s="94" t="s">
        <v>66</v>
      </c>
      <c r="D283" s="19" t="s">
        <v>1698</v>
      </c>
      <c r="E283" s="19" t="s">
        <v>166</v>
      </c>
      <c r="F283" s="24" t="s">
        <v>1699</v>
      </c>
      <c r="G283" s="223">
        <v>997</v>
      </c>
      <c r="H283" s="223">
        <v>822</v>
      </c>
      <c r="I283" s="175"/>
      <c r="J283" s="23"/>
      <c r="K283" s="223">
        <v>997</v>
      </c>
      <c r="L283" s="223">
        <v>822</v>
      </c>
      <c r="M283" s="23"/>
      <c r="N283" s="223">
        <v>997</v>
      </c>
      <c r="O283" s="175">
        <f t="shared" ref="O283:O290" si="106">L283</f>
        <v>822</v>
      </c>
      <c r="P283" s="78"/>
      <c r="Q283" s="861">
        <f t="shared" si="102"/>
        <v>822</v>
      </c>
      <c r="R283" s="861"/>
      <c r="S283" s="861">
        <f t="shared" si="103"/>
        <v>822</v>
      </c>
      <c r="T283" s="73">
        <f t="shared" si="104"/>
        <v>822</v>
      </c>
      <c r="U283" s="175"/>
      <c r="V283" s="175">
        <f t="shared" si="105"/>
        <v>822</v>
      </c>
      <c r="W283" s="100" t="s">
        <v>1526</v>
      </c>
      <c r="X283" s="80"/>
      <c r="Y283" s="175"/>
      <c r="Z283" s="657" t="s">
        <v>1738</v>
      </c>
      <c r="AA283" s="1000"/>
      <c r="AB283" s="985"/>
    </row>
    <row r="284" spans="1:45" s="54" customFormat="1" ht="66.75" customHeight="1">
      <c r="A284" s="961" t="s">
        <v>191</v>
      </c>
      <c r="B284" s="68" t="s">
        <v>1700</v>
      </c>
      <c r="C284" s="94" t="s">
        <v>66</v>
      </c>
      <c r="D284" s="19" t="s">
        <v>1701</v>
      </c>
      <c r="E284" s="19" t="s">
        <v>166</v>
      </c>
      <c r="F284" s="24" t="s">
        <v>1702</v>
      </c>
      <c r="G284" s="223">
        <v>819</v>
      </c>
      <c r="H284" s="223">
        <v>673</v>
      </c>
      <c r="I284" s="175"/>
      <c r="J284" s="23"/>
      <c r="K284" s="223">
        <v>819</v>
      </c>
      <c r="L284" s="223">
        <v>673</v>
      </c>
      <c r="M284" s="23"/>
      <c r="N284" s="223">
        <v>819</v>
      </c>
      <c r="O284" s="175">
        <f t="shared" si="106"/>
        <v>673</v>
      </c>
      <c r="P284" s="78"/>
      <c r="Q284" s="861">
        <f t="shared" si="102"/>
        <v>673</v>
      </c>
      <c r="R284" s="861"/>
      <c r="S284" s="861">
        <f t="shared" si="103"/>
        <v>673</v>
      </c>
      <c r="T284" s="73">
        <f t="shared" si="104"/>
        <v>673</v>
      </c>
      <c r="U284" s="175"/>
      <c r="V284" s="175">
        <f t="shared" si="105"/>
        <v>673</v>
      </c>
      <c r="W284" s="100" t="s">
        <v>1526</v>
      </c>
      <c r="X284" s="80"/>
      <c r="Y284" s="175"/>
      <c r="Z284" s="657" t="s">
        <v>1738</v>
      </c>
      <c r="AA284" s="1000"/>
      <c r="AB284" s="985"/>
    </row>
    <row r="285" spans="1:45" s="54" customFormat="1" ht="66.75" customHeight="1">
      <c r="A285" s="961" t="s">
        <v>195</v>
      </c>
      <c r="B285" s="68" t="s">
        <v>1703</v>
      </c>
      <c r="C285" s="94" t="s">
        <v>66</v>
      </c>
      <c r="D285" s="19" t="s">
        <v>1701</v>
      </c>
      <c r="E285" s="19" t="s">
        <v>166</v>
      </c>
      <c r="F285" s="24" t="s">
        <v>1704</v>
      </c>
      <c r="G285" s="223">
        <v>731</v>
      </c>
      <c r="H285" s="223">
        <v>600</v>
      </c>
      <c r="I285" s="175"/>
      <c r="J285" s="23"/>
      <c r="K285" s="223">
        <v>731</v>
      </c>
      <c r="L285" s="223">
        <v>600</v>
      </c>
      <c r="M285" s="23"/>
      <c r="N285" s="223">
        <v>731</v>
      </c>
      <c r="O285" s="175">
        <f t="shared" si="106"/>
        <v>600</v>
      </c>
      <c r="P285" s="78"/>
      <c r="Q285" s="861">
        <f t="shared" si="102"/>
        <v>600</v>
      </c>
      <c r="R285" s="861"/>
      <c r="S285" s="861">
        <f t="shared" si="103"/>
        <v>600</v>
      </c>
      <c r="T285" s="73">
        <f t="shared" si="104"/>
        <v>600</v>
      </c>
      <c r="U285" s="175"/>
      <c r="V285" s="175">
        <f t="shared" si="105"/>
        <v>600</v>
      </c>
      <c r="W285" s="100" t="s">
        <v>1526</v>
      </c>
      <c r="X285" s="80"/>
      <c r="Y285" s="175"/>
      <c r="Z285" s="657" t="s">
        <v>1737</v>
      </c>
      <c r="AA285" s="1000"/>
      <c r="AB285" s="985"/>
    </row>
    <row r="286" spans="1:45" s="54" customFormat="1" ht="66.75" customHeight="1">
      <c r="A286" s="961" t="s">
        <v>590</v>
      </c>
      <c r="B286" s="68" t="s">
        <v>1705</v>
      </c>
      <c r="C286" s="94" t="s">
        <v>66</v>
      </c>
      <c r="D286" s="19" t="s">
        <v>1698</v>
      </c>
      <c r="E286" s="19" t="s">
        <v>166</v>
      </c>
      <c r="F286" s="24" t="s">
        <v>1706</v>
      </c>
      <c r="G286" s="223">
        <v>990</v>
      </c>
      <c r="H286" s="223">
        <v>802</v>
      </c>
      <c r="I286" s="175"/>
      <c r="J286" s="23"/>
      <c r="K286" s="223">
        <v>990</v>
      </c>
      <c r="L286" s="223">
        <v>802</v>
      </c>
      <c r="M286" s="23"/>
      <c r="N286" s="223">
        <v>990</v>
      </c>
      <c r="O286" s="175">
        <f t="shared" si="106"/>
        <v>802</v>
      </c>
      <c r="P286" s="78"/>
      <c r="Q286" s="861">
        <f t="shared" si="102"/>
        <v>802</v>
      </c>
      <c r="R286" s="861"/>
      <c r="S286" s="861">
        <f t="shared" si="103"/>
        <v>802</v>
      </c>
      <c r="T286" s="73">
        <f t="shared" si="104"/>
        <v>802</v>
      </c>
      <c r="U286" s="175"/>
      <c r="V286" s="175">
        <f t="shared" si="105"/>
        <v>802</v>
      </c>
      <c r="W286" s="100" t="s">
        <v>1526</v>
      </c>
      <c r="X286" s="80"/>
      <c r="Y286" s="175"/>
      <c r="Z286" s="657" t="s">
        <v>1737</v>
      </c>
      <c r="AA286" s="1000"/>
      <c r="AB286" s="985"/>
    </row>
    <row r="287" spans="1:45" s="54" customFormat="1" ht="66.75" customHeight="1">
      <c r="A287" s="961" t="s">
        <v>591</v>
      </c>
      <c r="B287" s="68" t="s">
        <v>1707</v>
      </c>
      <c r="C287" s="94" t="s">
        <v>66</v>
      </c>
      <c r="D287" s="19" t="s">
        <v>1698</v>
      </c>
      <c r="E287" s="19" t="s">
        <v>166</v>
      </c>
      <c r="F287" s="24" t="s">
        <v>1708</v>
      </c>
      <c r="G287" s="223">
        <v>998</v>
      </c>
      <c r="H287" s="223">
        <v>809</v>
      </c>
      <c r="I287" s="175"/>
      <c r="J287" s="23"/>
      <c r="K287" s="223">
        <v>998</v>
      </c>
      <c r="L287" s="223">
        <v>809</v>
      </c>
      <c r="M287" s="23"/>
      <c r="N287" s="223">
        <v>998</v>
      </c>
      <c r="O287" s="175">
        <f t="shared" si="106"/>
        <v>809</v>
      </c>
      <c r="P287" s="78"/>
      <c r="Q287" s="861">
        <f t="shared" si="102"/>
        <v>809</v>
      </c>
      <c r="R287" s="861"/>
      <c r="S287" s="861">
        <f t="shared" si="103"/>
        <v>809</v>
      </c>
      <c r="T287" s="73">
        <f t="shared" si="104"/>
        <v>809</v>
      </c>
      <c r="U287" s="175"/>
      <c r="V287" s="175">
        <f t="shared" si="105"/>
        <v>809</v>
      </c>
      <c r="W287" s="100" t="s">
        <v>1526</v>
      </c>
      <c r="X287" s="80"/>
      <c r="Y287" s="175"/>
      <c r="Z287" s="657" t="s">
        <v>1737</v>
      </c>
      <c r="AA287" s="1000"/>
      <c r="AB287" s="985"/>
    </row>
    <row r="288" spans="1:45" s="54" customFormat="1" ht="66.75" customHeight="1">
      <c r="A288" s="961" t="s">
        <v>916</v>
      </c>
      <c r="B288" s="68" t="s">
        <v>1709</v>
      </c>
      <c r="C288" s="94" t="s">
        <v>66</v>
      </c>
      <c r="D288" s="19" t="s">
        <v>1698</v>
      </c>
      <c r="E288" s="19" t="s">
        <v>166</v>
      </c>
      <c r="F288" s="24" t="s">
        <v>1710</v>
      </c>
      <c r="G288" s="223">
        <v>997</v>
      </c>
      <c r="H288" s="223">
        <v>822</v>
      </c>
      <c r="I288" s="175"/>
      <c r="J288" s="23"/>
      <c r="K288" s="223">
        <v>997</v>
      </c>
      <c r="L288" s="223">
        <v>822</v>
      </c>
      <c r="M288" s="23"/>
      <c r="N288" s="223">
        <v>997</v>
      </c>
      <c r="O288" s="175">
        <f t="shared" si="106"/>
        <v>822</v>
      </c>
      <c r="P288" s="78"/>
      <c r="Q288" s="861">
        <f t="shared" si="102"/>
        <v>822</v>
      </c>
      <c r="R288" s="861"/>
      <c r="S288" s="861">
        <f t="shared" si="103"/>
        <v>822</v>
      </c>
      <c r="T288" s="73">
        <f t="shared" si="104"/>
        <v>822</v>
      </c>
      <c r="U288" s="175"/>
      <c r="V288" s="175">
        <f t="shared" si="105"/>
        <v>822</v>
      </c>
      <c r="W288" s="100" t="s">
        <v>1526</v>
      </c>
      <c r="X288" s="80"/>
      <c r="Y288" s="175"/>
      <c r="Z288" s="657" t="s">
        <v>186</v>
      </c>
      <c r="AA288" s="1000"/>
      <c r="AB288" s="985"/>
    </row>
    <row r="289" spans="1:38" s="54" customFormat="1" ht="66.75" customHeight="1">
      <c r="A289" s="961" t="s">
        <v>919</v>
      </c>
      <c r="B289" s="68" t="s">
        <v>1711</v>
      </c>
      <c r="C289" s="94" t="s">
        <v>66</v>
      </c>
      <c r="D289" s="19" t="s">
        <v>1698</v>
      </c>
      <c r="E289" s="19" t="s">
        <v>166</v>
      </c>
      <c r="F289" s="24" t="s">
        <v>1712</v>
      </c>
      <c r="G289" s="223">
        <v>972</v>
      </c>
      <c r="H289" s="223">
        <v>788</v>
      </c>
      <c r="I289" s="175"/>
      <c r="J289" s="23"/>
      <c r="K289" s="223">
        <v>972</v>
      </c>
      <c r="L289" s="223">
        <v>788</v>
      </c>
      <c r="M289" s="23"/>
      <c r="N289" s="223">
        <v>972</v>
      </c>
      <c r="O289" s="175">
        <f t="shared" si="106"/>
        <v>788</v>
      </c>
      <c r="P289" s="78"/>
      <c r="Q289" s="861">
        <f t="shared" si="102"/>
        <v>788</v>
      </c>
      <c r="R289" s="861"/>
      <c r="S289" s="861">
        <f t="shared" si="103"/>
        <v>788</v>
      </c>
      <c r="T289" s="73">
        <f t="shared" si="104"/>
        <v>788</v>
      </c>
      <c r="U289" s="175"/>
      <c r="V289" s="175">
        <f t="shared" si="105"/>
        <v>788</v>
      </c>
      <c r="W289" s="100" t="s">
        <v>1526</v>
      </c>
      <c r="X289" s="80"/>
      <c r="Y289" s="175"/>
      <c r="Z289" s="657" t="s">
        <v>1738</v>
      </c>
      <c r="AA289" s="1000"/>
      <c r="AB289" s="985"/>
    </row>
    <row r="290" spans="1:38" s="54" customFormat="1" ht="66.75" customHeight="1">
      <c r="A290" s="961" t="s">
        <v>671</v>
      </c>
      <c r="B290" s="68" t="s">
        <v>1713</v>
      </c>
      <c r="C290" s="94" t="s">
        <v>66</v>
      </c>
      <c r="D290" s="19" t="s">
        <v>1698</v>
      </c>
      <c r="E290" s="19" t="s">
        <v>166</v>
      </c>
      <c r="F290" s="24" t="s">
        <v>1714</v>
      </c>
      <c r="G290" s="223">
        <v>985</v>
      </c>
      <c r="H290" s="223">
        <v>799</v>
      </c>
      <c r="I290" s="175"/>
      <c r="J290" s="23"/>
      <c r="K290" s="223">
        <v>985</v>
      </c>
      <c r="L290" s="223">
        <v>799</v>
      </c>
      <c r="M290" s="23"/>
      <c r="N290" s="223">
        <v>985</v>
      </c>
      <c r="O290" s="175">
        <f t="shared" si="106"/>
        <v>799</v>
      </c>
      <c r="P290" s="78"/>
      <c r="Q290" s="861">
        <f t="shared" si="102"/>
        <v>799</v>
      </c>
      <c r="R290" s="861"/>
      <c r="S290" s="861">
        <f t="shared" si="103"/>
        <v>799</v>
      </c>
      <c r="T290" s="73">
        <f t="shared" si="104"/>
        <v>799</v>
      </c>
      <c r="U290" s="175"/>
      <c r="V290" s="175">
        <f t="shared" si="105"/>
        <v>799</v>
      </c>
      <c r="W290" s="100" t="s">
        <v>1526</v>
      </c>
      <c r="X290" s="80"/>
      <c r="Y290" s="175"/>
      <c r="Z290" s="657" t="s">
        <v>186</v>
      </c>
      <c r="AA290" s="1000"/>
      <c r="AB290" s="985"/>
    </row>
    <row r="291" spans="1:38" s="633" customFormat="1" ht="31.5" customHeight="1">
      <c r="A291" s="630" t="s">
        <v>893</v>
      </c>
      <c r="B291" s="618" t="s">
        <v>1149</v>
      </c>
      <c r="C291" s="625"/>
      <c r="D291" s="625"/>
      <c r="E291" s="626"/>
      <c r="F291" s="690"/>
      <c r="G291" s="636">
        <f t="shared" ref="G291:V291" si="107">SUM(G292,G295)</f>
        <v>511773</v>
      </c>
      <c r="H291" s="636">
        <f t="shared" si="107"/>
        <v>367808</v>
      </c>
      <c r="I291" s="636">
        <f t="shared" si="107"/>
        <v>55287</v>
      </c>
      <c r="J291" s="636">
        <f t="shared" si="107"/>
        <v>54634</v>
      </c>
      <c r="K291" s="636">
        <f t="shared" si="107"/>
        <v>492361</v>
      </c>
      <c r="L291" s="636">
        <f t="shared" si="107"/>
        <v>348396</v>
      </c>
      <c r="M291" s="636">
        <f t="shared" si="107"/>
        <v>0</v>
      </c>
      <c r="N291" s="636">
        <f t="shared" si="107"/>
        <v>114400</v>
      </c>
      <c r="O291" s="636">
        <f t="shared" si="107"/>
        <v>101100</v>
      </c>
      <c r="P291" s="636">
        <f t="shared" si="107"/>
        <v>0</v>
      </c>
      <c r="Q291" s="855">
        <f t="shared" si="107"/>
        <v>77500</v>
      </c>
      <c r="R291" s="855">
        <f t="shared" si="107"/>
        <v>0</v>
      </c>
      <c r="S291" s="855">
        <f t="shared" si="107"/>
        <v>77500</v>
      </c>
      <c r="T291" s="636">
        <f t="shared" si="107"/>
        <v>67500</v>
      </c>
      <c r="U291" s="636">
        <f t="shared" si="107"/>
        <v>0</v>
      </c>
      <c r="V291" s="636">
        <f t="shared" si="107"/>
        <v>67500</v>
      </c>
      <c r="W291" s="690"/>
      <c r="X291" s="690"/>
      <c r="Y291" s="636">
        <f>SUM(Y292,Y295)</f>
        <v>16</v>
      </c>
      <c r="Z291" s="662"/>
      <c r="AA291" s="990"/>
      <c r="AB291" s="811"/>
      <c r="AC291" s="628"/>
      <c r="AD291" s="628"/>
      <c r="AE291" s="628"/>
      <c r="AG291" s="629"/>
      <c r="AH291" s="629"/>
      <c r="AI291" s="629"/>
      <c r="AJ291" s="629"/>
      <c r="AK291" s="629"/>
      <c r="AL291" s="629"/>
    </row>
    <row r="292" spans="1:38" s="266" customFormat="1">
      <c r="A292" s="82" t="s">
        <v>525</v>
      </c>
      <c r="B292" s="65" t="s">
        <v>26</v>
      </c>
      <c r="C292" s="350"/>
      <c r="D292" s="350"/>
      <c r="E292" s="351"/>
      <c r="F292" s="352"/>
      <c r="G292" s="45">
        <f t="shared" ref="G292:V292" si="108">SUM(G293:G294)</f>
        <v>22363</v>
      </c>
      <c r="H292" s="45">
        <f t="shared" si="108"/>
        <v>17135</v>
      </c>
      <c r="I292" s="45">
        <f t="shared" si="108"/>
        <v>0</v>
      </c>
      <c r="J292" s="45">
        <f t="shared" si="108"/>
        <v>0</v>
      </c>
      <c r="K292" s="45">
        <f t="shared" si="108"/>
        <v>27729</v>
      </c>
      <c r="L292" s="45">
        <f t="shared" si="108"/>
        <v>22501</v>
      </c>
      <c r="M292" s="45">
        <f t="shared" si="108"/>
        <v>0</v>
      </c>
      <c r="N292" s="45">
        <f t="shared" si="108"/>
        <v>900</v>
      </c>
      <c r="O292" s="45">
        <f t="shared" si="108"/>
        <v>900</v>
      </c>
      <c r="P292" s="45">
        <f t="shared" si="108"/>
        <v>0</v>
      </c>
      <c r="Q292" s="827">
        <f t="shared" si="108"/>
        <v>900</v>
      </c>
      <c r="R292" s="827">
        <f t="shared" si="108"/>
        <v>0</v>
      </c>
      <c r="S292" s="827">
        <f t="shared" si="108"/>
        <v>900</v>
      </c>
      <c r="T292" s="45">
        <f t="shared" si="108"/>
        <v>900</v>
      </c>
      <c r="U292" s="45">
        <f t="shared" si="108"/>
        <v>0</v>
      </c>
      <c r="V292" s="45">
        <f t="shared" si="108"/>
        <v>900</v>
      </c>
      <c r="W292" s="352"/>
      <c r="X292" s="352"/>
      <c r="Y292" s="45">
        <f>SUM(Y293:Y294)</f>
        <v>2</v>
      </c>
      <c r="Z292" s="657"/>
      <c r="AA292" s="990"/>
      <c r="AB292" s="811"/>
      <c r="AC292" s="551"/>
      <c r="AD292" s="551"/>
      <c r="AE292" s="551"/>
      <c r="AG292" s="265"/>
      <c r="AH292" s="265"/>
      <c r="AI292" s="265"/>
      <c r="AJ292" s="265"/>
      <c r="AK292" s="265"/>
      <c r="AL292" s="265"/>
    </row>
    <row r="293" spans="1:38" s="646" customFormat="1" ht="38.25">
      <c r="A293" s="641">
        <v>1</v>
      </c>
      <c r="B293" s="68" t="s">
        <v>673</v>
      </c>
      <c r="C293" s="668" t="s">
        <v>29</v>
      </c>
      <c r="D293" s="668" t="s">
        <v>674</v>
      </c>
      <c r="E293" s="748" t="s">
        <v>163</v>
      </c>
      <c r="F293" s="1012"/>
      <c r="G293" s="643"/>
      <c r="H293" s="643"/>
      <c r="I293" s="643"/>
      <c r="J293" s="643"/>
      <c r="K293" s="643">
        <v>7990</v>
      </c>
      <c r="L293" s="643">
        <v>7990</v>
      </c>
      <c r="M293" s="643"/>
      <c r="N293" s="643">
        <v>300</v>
      </c>
      <c r="O293" s="643">
        <v>300</v>
      </c>
      <c r="P293" s="641"/>
      <c r="Q293" s="123">
        <f>SUM(R293:S293)</f>
        <v>300</v>
      </c>
      <c r="R293" s="123"/>
      <c r="S293" s="123">
        <v>300</v>
      </c>
      <c r="T293" s="73">
        <f>SUM(U293:V293)</f>
        <v>300</v>
      </c>
      <c r="U293" s="643"/>
      <c r="V293" s="643">
        <v>300</v>
      </c>
      <c r="W293" s="1012" t="s">
        <v>1557</v>
      </c>
      <c r="X293" s="80" t="s">
        <v>1084</v>
      </c>
      <c r="Y293" s="643">
        <v>1</v>
      </c>
      <c r="Z293" s="657"/>
      <c r="AA293" s="990"/>
      <c r="AB293" s="981"/>
      <c r="AC293" s="645"/>
      <c r="AD293" s="645"/>
      <c r="AE293" s="645"/>
      <c r="AG293" s="647"/>
      <c r="AH293" s="647"/>
      <c r="AI293" s="647"/>
      <c r="AJ293" s="647"/>
      <c r="AK293" s="647"/>
      <c r="AL293" s="647"/>
    </row>
    <row r="294" spans="1:38" s="646" customFormat="1" ht="25.5">
      <c r="A294" s="641">
        <v>2</v>
      </c>
      <c r="B294" s="68" t="s">
        <v>675</v>
      </c>
      <c r="C294" s="668" t="s">
        <v>29</v>
      </c>
      <c r="D294" s="668" t="s">
        <v>676</v>
      </c>
      <c r="E294" s="748" t="s">
        <v>355</v>
      </c>
      <c r="F294" s="1012" t="s">
        <v>677</v>
      </c>
      <c r="G294" s="643">
        <v>22363</v>
      </c>
      <c r="H294" s="643">
        <v>17135</v>
      </c>
      <c r="I294" s="643"/>
      <c r="J294" s="643"/>
      <c r="K294" s="643">
        <f>22363-2624</f>
        <v>19739</v>
      </c>
      <c r="L294" s="643">
        <f>17135-2624</f>
        <v>14511</v>
      </c>
      <c r="M294" s="643"/>
      <c r="N294" s="643">
        <v>600</v>
      </c>
      <c r="O294" s="643">
        <v>600</v>
      </c>
      <c r="P294" s="641"/>
      <c r="Q294" s="123">
        <f>SUM(R294:S294)</f>
        <v>600</v>
      </c>
      <c r="R294" s="123"/>
      <c r="S294" s="123">
        <v>600</v>
      </c>
      <c r="T294" s="73">
        <f>SUM(U294:V294)</f>
        <v>600</v>
      </c>
      <c r="U294" s="643"/>
      <c r="V294" s="643">
        <v>600</v>
      </c>
      <c r="W294" s="1012" t="s">
        <v>1557</v>
      </c>
      <c r="X294" s="1012"/>
      <c r="Y294" s="643">
        <v>1</v>
      </c>
      <c r="Z294" s="657"/>
      <c r="AA294" s="990"/>
      <c r="AB294" s="981"/>
      <c r="AC294" s="645"/>
      <c r="AD294" s="645"/>
      <c r="AE294" s="645"/>
      <c r="AG294" s="647"/>
      <c r="AH294" s="647"/>
      <c r="AI294" s="647"/>
      <c r="AJ294" s="647"/>
      <c r="AK294" s="647"/>
      <c r="AL294" s="647"/>
    </row>
    <row r="295" spans="1:38" s="266" customFormat="1">
      <c r="A295" s="82" t="s">
        <v>499</v>
      </c>
      <c r="B295" s="197" t="s">
        <v>31</v>
      </c>
      <c r="C295" s="635"/>
      <c r="D295" s="635"/>
      <c r="E295" s="44"/>
      <c r="F295" s="1012"/>
      <c r="G295" s="45">
        <f t="shared" ref="G295:V295" si="109">SUM(G296,G302)</f>
        <v>489410</v>
      </c>
      <c r="H295" s="45">
        <f t="shared" si="109"/>
        <v>350673</v>
      </c>
      <c r="I295" s="45">
        <f t="shared" si="109"/>
        <v>55287</v>
      </c>
      <c r="J295" s="45">
        <f t="shared" si="109"/>
        <v>54634</v>
      </c>
      <c r="K295" s="45">
        <f t="shared" si="109"/>
        <v>464632</v>
      </c>
      <c r="L295" s="45">
        <f t="shared" si="109"/>
        <v>325895</v>
      </c>
      <c r="M295" s="45">
        <f t="shared" si="109"/>
        <v>0</v>
      </c>
      <c r="N295" s="45">
        <f t="shared" si="109"/>
        <v>113500</v>
      </c>
      <c r="O295" s="45">
        <f t="shared" si="109"/>
        <v>100200</v>
      </c>
      <c r="P295" s="45">
        <f t="shared" si="109"/>
        <v>0</v>
      </c>
      <c r="Q295" s="827">
        <f t="shared" si="109"/>
        <v>76600</v>
      </c>
      <c r="R295" s="827">
        <f t="shared" si="109"/>
        <v>0</v>
      </c>
      <c r="S295" s="827">
        <f t="shared" si="109"/>
        <v>76600</v>
      </c>
      <c r="T295" s="45">
        <f t="shared" si="109"/>
        <v>66600</v>
      </c>
      <c r="U295" s="45">
        <f t="shared" si="109"/>
        <v>0</v>
      </c>
      <c r="V295" s="45">
        <f t="shared" si="109"/>
        <v>66600</v>
      </c>
      <c r="W295" s="352"/>
      <c r="X295" s="352"/>
      <c r="Y295" s="45">
        <f>SUM(Y296,Y302)</f>
        <v>14</v>
      </c>
      <c r="Z295" s="657"/>
      <c r="AA295" s="990"/>
      <c r="AB295" s="811"/>
      <c r="AC295" s="551"/>
      <c r="AD295" s="551"/>
      <c r="AE295" s="551"/>
      <c r="AG295" s="265"/>
      <c r="AH295" s="265"/>
      <c r="AI295" s="265"/>
      <c r="AJ295" s="265"/>
      <c r="AK295" s="265"/>
      <c r="AL295" s="265"/>
    </row>
    <row r="296" spans="1:38" s="54" customFormat="1">
      <c r="A296" s="64" t="s">
        <v>78</v>
      </c>
      <c r="B296" s="197" t="s">
        <v>79</v>
      </c>
      <c r="C296" s="635"/>
      <c r="D296" s="635"/>
      <c r="E296" s="44"/>
      <c r="F296" s="1012"/>
      <c r="G296" s="45">
        <f t="shared" ref="G296:V296" si="110">SUM(G297:G301)</f>
        <v>90689</v>
      </c>
      <c r="H296" s="45">
        <f t="shared" si="110"/>
        <v>84517</v>
      </c>
      <c r="I296" s="45">
        <f t="shared" si="110"/>
        <v>52717</v>
      </c>
      <c r="J296" s="45">
        <f t="shared" si="110"/>
        <v>52064</v>
      </c>
      <c r="K296" s="45">
        <f t="shared" si="110"/>
        <v>65911</v>
      </c>
      <c r="L296" s="45">
        <f t="shared" si="110"/>
        <v>59739</v>
      </c>
      <c r="M296" s="45">
        <f t="shared" si="110"/>
        <v>0</v>
      </c>
      <c r="N296" s="45">
        <f t="shared" si="110"/>
        <v>23500</v>
      </c>
      <c r="O296" s="45">
        <f t="shared" si="110"/>
        <v>17200</v>
      </c>
      <c r="P296" s="45">
        <f t="shared" si="110"/>
        <v>0</v>
      </c>
      <c r="Q296" s="827">
        <f t="shared" si="110"/>
        <v>16600</v>
      </c>
      <c r="R296" s="827">
        <f t="shared" si="110"/>
        <v>0</v>
      </c>
      <c r="S296" s="827">
        <f t="shared" si="110"/>
        <v>16600</v>
      </c>
      <c r="T296" s="45">
        <f t="shared" si="110"/>
        <v>16600</v>
      </c>
      <c r="U296" s="45">
        <f t="shared" si="110"/>
        <v>0</v>
      </c>
      <c r="V296" s="45">
        <f t="shared" si="110"/>
        <v>16600</v>
      </c>
      <c r="W296" s="352"/>
      <c r="X296" s="352"/>
      <c r="Y296" s="45">
        <f>SUM(Y297:Y301)</f>
        <v>5</v>
      </c>
      <c r="Z296" s="657"/>
      <c r="AA296" s="990"/>
      <c r="AB296" s="811"/>
      <c r="AC296" s="551"/>
      <c r="AD296" s="551"/>
      <c r="AE296" s="551"/>
      <c r="AG296" s="57"/>
      <c r="AH296" s="57"/>
      <c r="AI296" s="57"/>
      <c r="AJ296" s="57"/>
      <c r="AK296" s="57"/>
      <c r="AL296" s="57"/>
    </row>
    <row r="297" spans="1:38" s="54" customFormat="1" ht="45.75" customHeight="1">
      <c r="A297" s="78">
        <v>1</v>
      </c>
      <c r="B297" s="68" t="s">
        <v>688</v>
      </c>
      <c r="C297" s="101" t="s">
        <v>143</v>
      </c>
      <c r="D297" s="101" t="s">
        <v>689</v>
      </c>
      <c r="E297" s="95" t="s">
        <v>235</v>
      </c>
      <c r="F297" s="100" t="s">
        <v>690</v>
      </c>
      <c r="G297" s="175">
        <v>50581</v>
      </c>
      <c r="H297" s="175">
        <v>50581</v>
      </c>
      <c r="I297" s="23">
        <f>18400+13000</f>
        <v>31400</v>
      </c>
      <c r="J297" s="23">
        <f>18400+13000</f>
        <v>31400</v>
      </c>
      <c r="K297" s="23">
        <f>G297-18400</f>
        <v>32181</v>
      </c>
      <c r="L297" s="23">
        <f>+H297-18400</f>
        <v>32181</v>
      </c>
      <c r="M297" s="23"/>
      <c r="N297" s="175">
        <v>6000</v>
      </c>
      <c r="O297" s="175">
        <v>6000</v>
      </c>
      <c r="P297" s="78"/>
      <c r="Q297" s="861">
        <f>SUM(R297:S297)</f>
        <v>6000</v>
      </c>
      <c r="R297" s="861"/>
      <c r="S297" s="861">
        <v>6000</v>
      </c>
      <c r="T297" s="73">
        <f>SUM(U297:V297)</f>
        <v>6000</v>
      </c>
      <c r="U297" s="175"/>
      <c r="V297" s="175">
        <v>6000</v>
      </c>
      <c r="W297" s="100" t="s">
        <v>1518</v>
      </c>
      <c r="X297" s="24"/>
      <c r="Y297" s="175">
        <v>1</v>
      </c>
      <c r="Z297" s="657"/>
      <c r="AA297" s="990"/>
      <c r="AB297" s="811"/>
      <c r="AC297" s="551"/>
      <c r="AD297" s="551"/>
      <c r="AE297" s="551"/>
      <c r="AG297" s="57"/>
      <c r="AH297" s="57"/>
      <c r="AI297" s="57"/>
      <c r="AJ297" s="57"/>
      <c r="AK297" s="57"/>
      <c r="AL297" s="57"/>
    </row>
    <row r="298" spans="1:38" s="54" customFormat="1" ht="30">
      <c r="A298" s="78">
        <v>2</v>
      </c>
      <c r="B298" s="93" t="s">
        <v>691</v>
      </c>
      <c r="C298" s="101" t="s">
        <v>143</v>
      </c>
      <c r="D298" s="19" t="s">
        <v>37</v>
      </c>
      <c r="E298" s="95" t="s">
        <v>692</v>
      </c>
      <c r="F298" s="80" t="s">
        <v>693</v>
      </c>
      <c r="G298" s="71">
        <f>H298</f>
        <v>14384</v>
      </c>
      <c r="H298" s="71">
        <v>14384</v>
      </c>
      <c r="I298" s="175">
        <f>J298</f>
        <v>10490</v>
      </c>
      <c r="J298" s="175">
        <f>554+1413+8523</f>
        <v>10490</v>
      </c>
      <c r="K298" s="23">
        <f>L298</f>
        <v>12145</v>
      </c>
      <c r="L298" s="23">
        <f>H298-554-1413-272</f>
        <v>12145</v>
      </c>
      <c r="M298" s="23"/>
      <c r="N298" s="175">
        <v>3600</v>
      </c>
      <c r="O298" s="175">
        <v>3600</v>
      </c>
      <c r="P298" s="78"/>
      <c r="Q298" s="828">
        <f>SUM(R298:S298)</f>
        <v>3000</v>
      </c>
      <c r="R298" s="861"/>
      <c r="S298" s="861">
        <v>3000</v>
      </c>
      <c r="T298" s="73">
        <f>SUM(U298:V298)</f>
        <v>3000</v>
      </c>
      <c r="U298" s="175"/>
      <c r="V298" s="175">
        <v>3000</v>
      </c>
      <c r="W298" s="1012" t="s">
        <v>1557</v>
      </c>
      <c r="X298" s="24"/>
      <c r="Y298" s="175">
        <v>1</v>
      </c>
      <c r="Z298" s="657"/>
      <c r="AA298" s="990"/>
      <c r="AB298" s="811"/>
      <c r="AC298" s="551"/>
      <c r="AD298" s="551"/>
      <c r="AE298" s="551"/>
      <c r="AG298" s="57"/>
      <c r="AH298" s="57"/>
      <c r="AI298" s="57"/>
      <c r="AJ298" s="57"/>
      <c r="AK298" s="57"/>
      <c r="AL298" s="57"/>
    </row>
    <row r="299" spans="1:38" s="54" customFormat="1" ht="30">
      <c r="A299" s="78">
        <v>3</v>
      </c>
      <c r="B299" s="289" t="s">
        <v>694</v>
      </c>
      <c r="C299" s="101" t="s">
        <v>60</v>
      </c>
      <c r="D299" s="19" t="s">
        <v>37</v>
      </c>
      <c r="E299" s="95" t="s">
        <v>695</v>
      </c>
      <c r="F299" s="80" t="s">
        <v>696</v>
      </c>
      <c r="G299" s="71">
        <v>10227</v>
      </c>
      <c r="H299" s="71">
        <v>10227</v>
      </c>
      <c r="I299" s="175">
        <f>359+2897+3478</f>
        <v>6734</v>
      </c>
      <c r="J299" s="175">
        <f>359+2897+3478</f>
        <v>6734</v>
      </c>
      <c r="K299" s="23">
        <f>L299</f>
        <v>6088</v>
      </c>
      <c r="L299" s="23">
        <f>H299-359-2897-883</f>
        <v>6088</v>
      </c>
      <c r="M299" s="23"/>
      <c r="N299" s="175">
        <v>2600</v>
      </c>
      <c r="O299" s="175">
        <v>2600</v>
      </c>
      <c r="P299" s="78"/>
      <c r="Q299" s="861">
        <f>SUM(R299:S299)</f>
        <v>2600</v>
      </c>
      <c r="R299" s="861"/>
      <c r="S299" s="861">
        <v>2600</v>
      </c>
      <c r="T299" s="73">
        <f>SUM(U299:V299)</f>
        <v>2600</v>
      </c>
      <c r="U299" s="175"/>
      <c r="V299" s="175">
        <v>2600</v>
      </c>
      <c r="W299" s="1012" t="s">
        <v>1557</v>
      </c>
      <c r="X299" s="24"/>
      <c r="Y299" s="175">
        <v>1</v>
      </c>
      <c r="Z299" s="657"/>
      <c r="AA299" s="990"/>
      <c r="AB299" s="811"/>
      <c r="AC299" s="551"/>
      <c r="AD299" s="551"/>
      <c r="AE299" s="551"/>
      <c r="AG299" s="57"/>
      <c r="AH299" s="57"/>
      <c r="AI299" s="57"/>
      <c r="AJ299" s="57"/>
      <c r="AK299" s="57"/>
      <c r="AL299" s="57"/>
    </row>
    <row r="300" spans="1:38" s="54" customFormat="1" ht="45">
      <c r="A300" s="78">
        <v>4</v>
      </c>
      <c r="B300" s="93" t="s">
        <v>697</v>
      </c>
      <c r="C300" s="301" t="s">
        <v>112</v>
      </c>
      <c r="D300" s="19" t="s">
        <v>698</v>
      </c>
      <c r="E300" s="95" t="s">
        <v>699</v>
      </c>
      <c r="F300" s="80" t="s">
        <v>700</v>
      </c>
      <c r="G300" s="71">
        <v>9063</v>
      </c>
      <c r="H300" s="71">
        <v>5537</v>
      </c>
      <c r="I300" s="175">
        <f>J300+153</f>
        <v>2188</v>
      </c>
      <c r="J300" s="175">
        <v>2035</v>
      </c>
      <c r="K300" s="23">
        <v>9063</v>
      </c>
      <c r="L300" s="23">
        <v>5537</v>
      </c>
      <c r="M300" s="23"/>
      <c r="N300" s="175">
        <v>6800</v>
      </c>
      <c r="O300" s="175">
        <v>3000</v>
      </c>
      <c r="P300" s="78"/>
      <c r="Q300" s="861">
        <f>SUM(R300:S300)</f>
        <v>3000</v>
      </c>
      <c r="R300" s="861"/>
      <c r="S300" s="861">
        <v>3000</v>
      </c>
      <c r="T300" s="73">
        <f>SUM(U300:V300)</f>
        <v>3000</v>
      </c>
      <c r="U300" s="175"/>
      <c r="V300" s="175">
        <v>3000</v>
      </c>
      <c r="W300" s="1012" t="s">
        <v>1557</v>
      </c>
      <c r="X300" s="24"/>
      <c r="Y300" s="175">
        <v>1</v>
      </c>
      <c r="Z300" s="657"/>
      <c r="AA300" s="990"/>
      <c r="AB300" s="811"/>
      <c r="AC300" s="551"/>
      <c r="AD300" s="551"/>
      <c r="AE300" s="551"/>
      <c r="AG300" s="57"/>
      <c r="AH300" s="57"/>
      <c r="AI300" s="57"/>
      <c r="AJ300" s="57"/>
      <c r="AK300" s="57"/>
      <c r="AL300" s="57"/>
    </row>
    <row r="301" spans="1:38" s="54" customFormat="1" ht="45">
      <c r="A301" s="78">
        <v>5</v>
      </c>
      <c r="B301" s="93" t="s">
        <v>701</v>
      </c>
      <c r="C301" s="101" t="s">
        <v>260</v>
      </c>
      <c r="D301" s="19" t="s">
        <v>698</v>
      </c>
      <c r="E301" s="95" t="s">
        <v>699</v>
      </c>
      <c r="F301" s="80" t="s">
        <v>702</v>
      </c>
      <c r="G301" s="71">
        <v>6434</v>
      </c>
      <c r="H301" s="71">
        <v>3788</v>
      </c>
      <c r="I301" s="175">
        <f>J301+500</f>
        <v>1905</v>
      </c>
      <c r="J301" s="23">
        <v>1405</v>
      </c>
      <c r="K301" s="23">
        <v>6434</v>
      </c>
      <c r="L301" s="23">
        <v>3788</v>
      </c>
      <c r="M301" s="23"/>
      <c r="N301" s="175">
        <v>4500</v>
      </c>
      <c r="O301" s="175">
        <v>2000</v>
      </c>
      <c r="P301" s="78"/>
      <c r="Q301" s="861">
        <f>SUM(R301:S301)</f>
        <v>2000</v>
      </c>
      <c r="R301" s="861"/>
      <c r="S301" s="861">
        <v>2000</v>
      </c>
      <c r="T301" s="73">
        <f>SUM(U301:V301)</f>
        <v>2000</v>
      </c>
      <c r="U301" s="175"/>
      <c r="V301" s="175">
        <v>2000</v>
      </c>
      <c r="W301" s="1012" t="s">
        <v>1557</v>
      </c>
      <c r="X301" s="24"/>
      <c r="Y301" s="175">
        <v>1</v>
      </c>
      <c r="Z301" s="657"/>
      <c r="AA301" s="990"/>
      <c r="AB301" s="811"/>
      <c r="AC301" s="551"/>
      <c r="AD301" s="551"/>
      <c r="AE301" s="551"/>
      <c r="AG301" s="57"/>
      <c r="AH301" s="57"/>
      <c r="AI301" s="57"/>
      <c r="AJ301" s="57"/>
      <c r="AK301" s="57"/>
      <c r="AL301" s="57"/>
    </row>
    <row r="302" spans="1:38" s="54" customFormat="1">
      <c r="A302" s="64" t="s">
        <v>150</v>
      </c>
      <c r="B302" s="197" t="s">
        <v>632</v>
      </c>
      <c r="C302" s="301"/>
      <c r="D302" s="19"/>
      <c r="E302" s="95"/>
      <c r="F302" s="80"/>
      <c r="G302" s="199">
        <f t="shared" ref="G302:V302" si="111">SUM(G303:G311)</f>
        <v>398721</v>
      </c>
      <c r="H302" s="199">
        <f t="shared" si="111"/>
        <v>266156</v>
      </c>
      <c r="I302" s="199">
        <f t="shared" si="111"/>
        <v>2570</v>
      </c>
      <c r="J302" s="199">
        <f t="shared" si="111"/>
        <v>2570</v>
      </c>
      <c r="K302" s="199">
        <f t="shared" si="111"/>
        <v>398721</v>
      </c>
      <c r="L302" s="199">
        <f t="shared" si="111"/>
        <v>266156</v>
      </c>
      <c r="M302" s="199">
        <f t="shared" si="111"/>
        <v>0</v>
      </c>
      <c r="N302" s="199">
        <f t="shared" si="111"/>
        <v>90000</v>
      </c>
      <c r="O302" s="199">
        <f t="shared" si="111"/>
        <v>83000</v>
      </c>
      <c r="P302" s="199">
        <f t="shared" si="111"/>
        <v>0</v>
      </c>
      <c r="Q302" s="854">
        <f t="shared" si="111"/>
        <v>60000</v>
      </c>
      <c r="R302" s="854">
        <f t="shared" si="111"/>
        <v>0</v>
      </c>
      <c r="S302" s="854">
        <f t="shared" si="111"/>
        <v>60000</v>
      </c>
      <c r="T302" s="199">
        <f t="shared" si="111"/>
        <v>50000</v>
      </c>
      <c r="U302" s="199">
        <f t="shared" si="111"/>
        <v>0</v>
      </c>
      <c r="V302" s="199">
        <f t="shared" si="111"/>
        <v>50000</v>
      </c>
      <c r="W302" s="732"/>
      <c r="X302" s="732"/>
      <c r="Y302" s="199">
        <f>SUM(Y303:Y311)</f>
        <v>9</v>
      </c>
      <c r="Z302" s="657"/>
      <c r="AA302" s="990"/>
      <c r="AB302" s="811"/>
      <c r="AC302" s="551"/>
      <c r="AD302" s="551"/>
      <c r="AE302" s="551"/>
      <c r="AG302" s="57"/>
      <c r="AH302" s="57"/>
      <c r="AI302" s="57"/>
      <c r="AJ302" s="57"/>
      <c r="AK302" s="57"/>
      <c r="AL302" s="57"/>
    </row>
    <row r="303" spans="1:38" s="54" customFormat="1" ht="30">
      <c r="A303" s="78">
        <v>1</v>
      </c>
      <c r="B303" s="68" t="s">
        <v>703</v>
      </c>
      <c r="C303" s="101" t="s">
        <v>29</v>
      </c>
      <c r="D303" s="19" t="s">
        <v>704</v>
      </c>
      <c r="E303" s="95" t="s">
        <v>645</v>
      </c>
      <c r="F303" s="80" t="s">
        <v>705</v>
      </c>
      <c r="G303" s="71">
        <v>48293</v>
      </c>
      <c r="H303" s="71">
        <v>48293</v>
      </c>
      <c r="I303" s="175">
        <v>230</v>
      </c>
      <c r="J303" s="23">
        <v>230</v>
      </c>
      <c r="K303" s="23">
        <v>48293</v>
      </c>
      <c r="L303" s="23">
        <v>48293</v>
      </c>
      <c r="M303" s="23"/>
      <c r="N303" s="175">
        <v>10000</v>
      </c>
      <c r="O303" s="175">
        <v>10000</v>
      </c>
      <c r="P303" s="78"/>
      <c r="Q303" s="828">
        <f t="shared" ref="Q303:Q310" si="112">SUM(R303:S303)</f>
        <v>8000</v>
      </c>
      <c r="R303" s="861"/>
      <c r="S303" s="861">
        <v>8000</v>
      </c>
      <c r="T303" s="73">
        <f t="shared" ref="T303:T311" si="113">SUM(U303:V303)</f>
        <v>8000</v>
      </c>
      <c r="U303" s="175"/>
      <c r="V303" s="175">
        <v>8000</v>
      </c>
      <c r="W303" s="1012" t="s">
        <v>1557</v>
      </c>
      <c r="X303" s="24"/>
      <c r="Y303" s="175">
        <v>1</v>
      </c>
      <c r="Z303" s="657"/>
      <c r="AA303" s="990"/>
      <c r="AB303" s="811"/>
      <c r="AC303" s="551"/>
      <c r="AD303" s="551"/>
      <c r="AE303" s="551"/>
      <c r="AG303" s="57"/>
      <c r="AH303" s="57"/>
      <c r="AI303" s="57"/>
      <c r="AJ303" s="57"/>
      <c r="AK303" s="57"/>
      <c r="AL303" s="57"/>
    </row>
    <row r="304" spans="1:38" s="54" customFormat="1" ht="30">
      <c r="A304" s="78">
        <v>2</v>
      </c>
      <c r="B304" s="68" t="s">
        <v>706</v>
      </c>
      <c r="C304" s="101" t="s">
        <v>707</v>
      </c>
      <c r="D304" s="19" t="s">
        <v>708</v>
      </c>
      <c r="E304" s="95" t="s">
        <v>709</v>
      </c>
      <c r="F304" s="80" t="s">
        <v>710</v>
      </c>
      <c r="G304" s="71">
        <v>126455</v>
      </c>
      <c r="H304" s="71">
        <v>59310</v>
      </c>
      <c r="I304" s="175">
        <v>0</v>
      </c>
      <c r="J304" s="23">
        <v>0</v>
      </c>
      <c r="K304" s="23">
        <v>126455</v>
      </c>
      <c r="L304" s="23">
        <v>59310</v>
      </c>
      <c r="M304" s="23"/>
      <c r="N304" s="175">
        <v>20000</v>
      </c>
      <c r="O304" s="175">
        <v>20000</v>
      </c>
      <c r="P304" s="78"/>
      <c r="Q304" s="861">
        <f t="shared" si="112"/>
        <v>20000</v>
      </c>
      <c r="R304" s="861"/>
      <c r="S304" s="861">
        <v>20000</v>
      </c>
      <c r="T304" s="73">
        <f t="shared" si="113"/>
        <v>10000</v>
      </c>
      <c r="U304" s="175"/>
      <c r="V304" s="175">
        <v>10000</v>
      </c>
      <c r="W304" s="100" t="s">
        <v>1530</v>
      </c>
      <c r="X304" s="24"/>
      <c r="Y304" s="175">
        <v>1</v>
      </c>
      <c r="Z304" s="657"/>
      <c r="AA304" s="990"/>
      <c r="AB304" s="811"/>
      <c r="AC304" s="551"/>
      <c r="AD304" s="551"/>
      <c r="AE304" s="551"/>
      <c r="AG304" s="57"/>
      <c r="AH304" s="57"/>
      <c r="AI304" s="57"/>
      <c r="AJ304" s="57"/>
      <c r="AK304" s="57"/>
      <c r="AL304" s="57"/>
    </row>
    <row r="305" spans="1:38" s="54" customFormat="1" ht="30">
      <c r="A305" s="78">
        <v>3</v>
      </c>
      <c r="B305" s="68" t="s">
        <v>713</v>
      </c>
      <c r="C305" s="101" t="s">
        <v>29</v>
      </c>
      <c r="D305" s="19" t="s">
        <v>714</v>
      </c>
      <c r="E305" s="95" t="s">
        <v>715</v>
      </c>
      <c r="F305" s="80" t="s">
        <v>716</v>
      </c>
      <c r="G305" s="71">
        <v>13995</v>
      </c>
      <c r="H305" s="71">
        <v>13995</v>
      </c>
      <c r="I305" s="175">
        <v>290</v>
      </c>
      <c r="J305" s="23">
        <v>290</v>
      </c>
      <c r="K305" s="23">
        <v>13995</v>
      </c>
      <c r="L305" s="23">
        <v>13995</v>
      </c>
      <c r="M305" s="23"/>
      <c r="N305" s="175">
        <v>7000</v>
      </c>
      <c r="O305" s="175">
        <v>7000</v>
      </c>
      <c r="P305" s="78"/>
      <c r="Q305" s="828">
        <f t="shared" si="112"/>
        <v>6000</v>
      </c>
      <c r="R305" s="860"/>
      <c r="S305" s="860">
        <v>6000</v>
      </c>
      <c r="T305" s="73">
        <f t="shared" si="113"/>
        <v>6000</v>
      </c>
      <c r="U305" s="23"/>
      <c r="V305" s="23">
        <v>6000</v>
      </c>
      <c r="W305" s="1012" t="s">
        <v>1557</v>
      </c>
      <c r="X305" s="24"/>
      <c r="Y305" s="23">
        <v>1</v>
      </c>
      <c r="Z305" s="657"/>
      <c r="AA305" s="990"/>
      <c r="AB305" s="811"/>
      <c r="AC305" s="551"/>
      <c r="AD305" s="551"/>
      <c r="AE305" s="551"/>
      <c r="AG305" s="57"/>
      <c r="AH305" s="57"/>
      <c r="AI305" s="57"/>
      <c r="AJ305" s="57"/>
      <c r="AK305" s="57"/>
      <c r="AL305" s="57"/>
    </row>
    <row r="306" spans="1:38" s="54" customFormat="1" ht="30">
      <c r="A306" s="78">
        <v>4</v>
      </c>
      <c r="B306" s="68" t="s">
        <v>717</v>
      </c>
      <c r="C306" s="101" t="s">
        <v>718</v>
      </c>
      <c r="D306" s="19" t="s">
        <v>719</v>
      </c>
      <c r="E306" s="95" t="s">
        <v>30</v>
      </c>
      <c r="F306" s="80" t="s">
        <v>720</v>
      </c>
      <c r="G306" s="71">
        <v>13714</v>
      </c>
      <c r="H306" s="71">
        <v>5927</v>
      </c>
      <c r="I306" s="175"/>
      <c r="J306" s="23"/>
      <c r="K306" s="23">
        <v>13714</v>
      </c>
      <c r="L306" s="23">
        <v>5927</v>
      </c>
      <c r="M306" s="23"/>
      <c r="N306" s="175">
        <v>5000</v>
      </c>
      <c r="O306" s="175">
        <v>3000</v>
      </c>
      <c r="P306" s="78"/>
      <c r="Q306" s="828">
        <f t="shared" si="112"/>
        <v>3000</v>
      </c>
      <c r="R306" s="861"/>
      <c r="S306" s="861">
        <v>3000</v>
      </c>
      <c r="T306" s="73">
        <f t="shared" si="113"/>
        <v>3000</v>
      </c>
      <c r="U306" s="175"/>
      <c r="V306" s="175">
        <v>3000</v>
      </c>
      <c r="W306" s="1012" t="s">
        <v>1557</v>
      </c>
      <c r="X306" s="24"/>
      <c r="Y306" s="175">
        <v>1</v>
      </c>
      <c r="Z306" s="657"/>
      <c r="AA306" s="990"/>
      <c r="AB306" s="811"/>
      <c r="AC306" s="551"/>
      <c r="AD306" s="551"/>
      <c r="AE306" s="551"/>
      <c r="AG306" s="57"/>
      <c r="AH306" s="57"/>
      <c r="AI306" s="57"/>
      <c r="AJ306" s="57"/>
      <c r="AK306" s="57"/>
      <c r="AL306" s="57"/>
    </row>
    <row r="307" spans="1:38" s="54" customFormat="1" ht="60">
      <c r="A307" s="78">
        <v>5</v>
      </c>
      <c r="B307" s="68" t="s">
        <v>721</v>
      </c>
      <c r="C307" s="101" t="s">
        <v>29</v>
      </c>
      <c r="D307" s="19" t="s">
        <v>722</v>
      </c>
      <c r="E307" s="95" t="s">
        <v>645</v>
      </c>
      <c r="F307" s="80" t="s">
        <v>723</v>
      </c>
      <c r="G307" s="71">
        <v>28629</v>
      </c>
      <c r="H307" s="71">
        <v>28629</v>
      </c>
      <c r="I307" s="175">
        <v>1550</v>
      </c>
      <c r="J307" s="23">
        <v>1550</v>
      </c>
      <c r="K307" s="23">
        <v>28629</v>
      </c>
      <c r="L307" s="23">
        <v>28629</v>
      </c>
      <c r="M307" s="23"/>
      <c r="N307" s="175">
        <v>9000</v>
      </c>
      <c r="O307" s="175">
        <v>9000</v>
      </c>
      <c r="P307" s="78"/>
      <c r="Q307" s="828">
        <f t="shared" si="112"/>
        <v>7000</v>
      </c>
      <c r="R307" s="861"/>
      <c r="S307" s="861">
        <v>7000</v>
      </c>
      <c r="T307" s="73">
        <f t="shared" si="113"/>
        <v>7000</v>
      </c>
      <c r="U307" s="175"/>
      <c r="V307" s="175">
        <v>7000</v>
      </c>
      <c r="W307" s="1012" t="s">
        <v>1557</v>
      </c>
      <c r="X307" s="24"/>
      <c r="Y307" s="175">
        <v>1</v>
      </c>
      <c r="Z307" s="657"/>
      <c r="AA307" s="990"/>
      <c r="AB307" s="811"/>
      <c r="AC307" s="551"/>
      <c r="AD307" s="551"/>
      <c r="AE307" s="551"/>
      <c r="AG307" s="57"/>
      <c r="AH307" s="57"/>
      <c r="AI307" s="57"/>
      <c r="AJ307" s="57"/>
      <c r="AK307" s="57"/>
      <c r="AL307" s="57"/>
    </row>
    <row r="308" spans="1:38" s="54" customFormat="1" ht="30">
      <c r="A308" s="78">
        <v>6</v>
      </c>
      <c r="B308" s="68" t="s">
        <v>724</v>
      </c>
      <c r="C308" s="101" t="s">
        <v>112</v>
      </c>
      <c r="D308" s="19" t="s">
        <v>725</v>
      </c>
      <c r="E308" s="95" t="s">
        <v>645</v>
      </c>
      <c r="F308" s="80" t="s">
        <v>726</v>
      </c>
      <c r="G308" s="71">
        <v>39732</v>
      </c>
      <c r="H308" s="71">
        <v>31036</v>
      </c>
      <c r="I308" s="175">
        <v>300</v>
      </c>
      <c r="J308" s="23">
        <v>300</v>
      </c>
      <c r="K308" s="23">
        <v>39732</v>
      </c>
      <c r="L308" s="23">
        <v>31036</v>
      </c>
      <c r="M308" s="23"/>
      <c r="N308" s="175">
        <v>14000</v>
      </c>
      <c r="O308" s="175">
        <v>10000</v>
      </c>
      <c r="P308" s="78"/>
      <c r="Q308" s="860">
        <f t="shared" si="112"/>
        <v>5000</v>
      </c>
      <c r="R308" s="861"/>
      <c r="S308" s="175">
        <v>5000</v>
      </c>
      <c r="T308" s="73">
        <f t="shared" si="113"/>
        <v>5000</v>
      </c>
      <c r="U308" s="175"/>
      <c r="V308" s="175">
        <v>5000</v>
      </c>
      <c r="W308" s="1012" t="s">
        <v>1557</v>
      </c>
      <c r="X308" s="24"/>
      <c r="Y308" s="175">
        <v>1</v>
      </c>
      <c r="Z308" s="657"/>
      <c r="AA308" s="990"/>
      <c r="AB308" s="811"/>
      <c r="AC308" s="551"/>
      <c r="AD308" s="551"/>
      <c r="AE308" s="551"/>
      <c r="AG308" s="57"/>
      <c r="AH308" s="57"/>
      <c r="AI308" s="57"/>
      <c r="AJ308" s="57"/>
      <c r="AK308" s="57"/>
      <c r="AL308" s="57"/>
    </row>
    <row r="309" spans="1:38" s="54" customFormat="1" ht="30">
      <c r="A309" s="78">
        <v>7</v>
      </c>
      <c r="B309" s="68" t="s">
        <v>730</v>
      </c>
      <c r="C309" s="101" t="s">
        <v>66</v>
      </c>
      <c r="D309" s="101"/>
      <c r="E309" s="95" t="s">
        <v>728</v>
      </c>
      <c r="F309" s="80" t="s">
        <v>731</v>
      </c>
      <c r="G309" s="23">
        <v>37201</v>
      </c>
      <c r="H309" s="23">
        <v>37201</v>
      </c>
      <c r="I309" s="23">
        <v>100</v>
      </c>
      <c r="J309" s="23">
        <v>100</v>
      </c>
      <c r="K309" s="23">
        <v>37201</v>
      </c>
      <c r="L309" s="23">
        <v>37201</v>
      </c>
      <c r="M309" s="23"/>
      <c r="N309" s="23">
        <v>10000</v>
      </c>
      <c r="O309" s="23">
        <v>10000</v>
      </c>
      <c r="P309" s="78"/>
      <c r="Q309" s="860">
        <f t="shared" si="112"/>
        <v>5000</v>
      </c>
      <c r="R309" s="860"/>
      <c r="S309" s="23">
        <v>5000</v>
      </c>
      <c r="T309" s="73">
        <f t="shared" si="113"/>
        <v>5000</v>
      </c>
      <c r="U309" s="23"/>
      <c r="V309" s="23">
        <v>5000</v>
      </c>
      <c r="W309" s="80" t="s">
        <v>1559</v>
      </c>
      <c r="X309" s="100"/>
      <c r="Y309" s="23">
        <v>1</v>
      </c>
      <c r="Z309" s="657"/>
      <c r="AA309" s="990"/>
      <c r="AB309" s="811"/>
      <c r="AC309" s="551"/>
      <c r="AD309" s="551"/>
      <c r="AE309" s="551"/>
      <c r="AG309" s="57"/>
      <c r="AH309" s="57"/>
      <c r="AI309" s="57"/>
      <c r="AJ309" s="57"/>
      <c r="AK309" s="57"/>
      <c r="AL309" s="57"/>
    </row>
    <row r="310" spans="1:38" s="54" customFormat="1" ht="30">
      <c r="A310" s="78">
        <v>8</v>
      </c>
      <c r="B310" s="68" t="s">
        <v>732</v>
      </c>
      <c r="C310" s="101" t="s">
        <v>173</v>
      </c>
      <c r="D310" s="101"/>
      <c r="E310" s="95" t="s">
        <v>728</v>
      </c>
      <c r="F310" s="80" t="s">
        <v>733</v>
      </c>
      <c r="G310" s="23">
        <v>42240</v>
      </c>
      <c r="H310" s="23">
        <v>37265</v>
      </c>
      <c r="I310" s="23">
        <v>100</v>
      </c>
      <c r="J310" s="23">
        <v>100</v>
      </c>
      <c r="K310" s="23">
        <v>42240</v>
      </c>
      <c r="L310" s="23">
        <v>37265</v>
      </c>
      <c r="M310" s="23"/>
      <c r="N310" s="23">
        <v>13000</v>
      </c>
      <c r="O310" s="23">
        <v>13000</v>
      </c>
      <c r="P310" s="78"/>
      <c r="Q310" s="860">
        <f t="shared" si="112"/>
        <v>5000</v>
      </c>
      <c r="R310" s="860"/>
      <c r="S310" s="23">
        <v>5000</v>
      </c>
      <c r="T310" s="73">
        <f t="shared" si="113"/>
        <v>5000</v>
      </c>
      <c r="U310" s="23"/>
      <c r="V310" s="23">
        <v>5000</v>
      </c>
      <c r="W310" s="80" t="s">
        <v>1559</v>
      </c>
      <c r="X310" s="100"/>
      <c r="Y310" s="23">
        <v>1</v>
      </c>
      <c r="Z310" s="657"/>
      <c r="AA310" s="990"/>
      <c r="AB310" s="811"/>
      <c r="AC310" s="551"/>
      <c r="AD310" s="551"/>
      <c r="AE310" s="551"/>
      <c r="AG310" s="57"/>
      <c r="AH310" s="57"/>
      <c r="AI310" s="57"/>
      <c r="AJ310" s="57"/>
      <c r="AK310" s="57"/>
      <c r="AL310" s="57"/>
    </row>
    <row r="311" spans="1:38" s="54" customFormat="1" ht="45">
      <c r="A311" s="78">
        <v>9</v>
      </c>
      <c r="B311" s="68" t="s">
        <v>734</v>
      </c>
      <c r="C311" s="101" t="s">
        <v>5</v>
      </c>
      <c r="D311" s="101" t="s">
        <v>735</v>
      </c>
      <c r="E311" s="95" t="s">
        <v>120</v>
      </c>
      <c r="F311" s="80" t="s">
        <v>736</v>
      </c>
      <c r="G311" s="175">
        <v>48462</v>
      </c>
      <c r="H311" s="175">
        <v>4500</v>
      </c>
      <c r="I311" s="23">
        <v>0</v>
      </c>
      <c r="J311" s="23">
        <v>0</v>
      </c>
      <c r="K311" s="175">
        <v>48462</v>
      </c>
      <c r="L311" s="175">
        <v>4500</v>
      </c>
      <c r="M311" s="23"/>
      <c r="N311" s="175">
        <v>2000</v>
      </c>
      <c r="O311" s="23">
        <v>1000</v>
      </c>
      <c r="P311" s="78"/>
      <c r="Q311" s="860">
        <v>1000</v>
      </c>
      <c r="R311" s="861"/>
      <c r="S311" s="860">
        <v>1000</v>
      </c>
      <c r="T311" s="73">
        <f t="shared" si="113"/>
        <v>1000</v>
      </c>
      <c r="U311" s="175"/>
      <c r="V311" s="23">
        <v>1000</v>
      </c>
      <c r="W311" s="80" t="s">
        <v>1521</v>
      </c>
      <c r="X311" s="100"/>
      <c r="Y311" s="23">
        <v>1</v>
      </c>
      <c r="Z311" s="657"/>
      <c r="AA311" s="990"/>
      <c r="AB311" s="811"/>
      <c r="AC311" s="551"/>
      <c r="AD311" s="551"/>
      <c r="AE311" s="551"/>
      <c r="AG311" s="57"/>
      <c r="AH311" s="57"/>
      <c r="AI311" s="57"/>
      <c r="AJ311" s="57"/>
      <c r="AK311" s="57"/>
      <c r="AL311" s="57"/>
    </row>
    <row r="312" spans="1:38" s="633" customFormat="1" ht="25.5" customHeight="1">
      <c r="A312" s="630" t="s">
        <v>1047</v>
      </c>
      <c r="B312" s="618" t="s">
        <v>1150</v>
      </c>
      <c r="C312" s="625"/>
      <c r="D312" s="625"/>
      <c r="E312" s="626"/>
      <c r="F312" s="690"/>
      <c r="G312" s="636">
        <f t="shared" ref="G312:V312" si="114">SUM(G313,G320)</f>
        <v>544470</v>
      </c>
      <c r="H312" s="636">
        <f t="shared" si="114"/>
        <v>254532.4</v>
      </c>
      <c r="I312" s="636">
        <f t="shared" si="114"/>
        <v>28177</v>
      </c>
      <c r="J312" s="636">
        <f t="shared" si="114"/>
        <v>22100</v>
      </c>
      <c r="K312" s="636">
        <f t="shared" si="114"/>
        <v>952118</v>
      </c>
      <c r="L312" s="636">
        <f t="shared" si="114"/>
        <v>305402</v>
      </c>
      <c r="M312" s="636">
        <f t="shared" si="114"/>
        <v>0</v>
      </c>
      <c r="N312" s="636">
        <f t="shared" si="114"/>
        <v>207539</v>
      </c>
      <c r="O312" s="636">
        <f t="shared" si="114"/>
        <v>97754</v>
      </c>
      <c r="P312" s="636">
        <f t="shared" si="114"/>
        <v>0</v>
      </c>
      <c r="Q312" s="855">
        <f t="shared" si="114"/>
        <v>69258</v>
      </c>
      <c r="R312" s="855">
        <f t="shared" si="114"/>
        <v>25788</v>
      </c>
      <c r="S312" s="855">
        <f t="shared" si="114"/>
        <v>43470</v>
      </c>
      <c r="T312" s="636">
        <f t="shared" si="114"/>
        <v>67258</v>
      </c>
      <c r="U312" s="636">
        <f t="shared" si="114"/>
        <v>17188</v>
      </c>
      <c r="V312" s="636">
        <f t="shared" si="114"/>
        <v>50070</v>
      </c>
      <c r="W312" s="690"/>
      <c r="X312" s="690"/>
      <c r="Y312" s="636">
        <f>SUM(Y313,Y320)</f>
        <v>18</v>
      </c>
      <c r="Z312" s="662"/>
      <c r="AA312" s="990"/>
      <c r="AB312" s="811"/>
      <c r="AC312" s="628"/>
      <c r="AD312" s="628"/>
      <c r="AE312" s="628"/>
      <c r="AG312" s="629"/>
      <c r="AH312" s="629"/>
      <c r="AI312" s="629"/>
      <c r="AJ312" s="629"/>
      <c r="AK312" s="629"/>
      <c r="AL312" s="629"/>
    </row>
    <row r="313" spans="1:38" s="266" customFormat="1">
      <c r="A313" s="11" t="s">
        <v>525</v>
      </c>
      <c r="B313" s="65" t="s">
        <v>26</v>
      </c>
      <c r="C313" s="13"/>
      <c r="D313" s="13"/>
      <c r="E313" s="14"/>
      <c r="F313" s="89"/>
      <c r="G313" s="15">
        <f t="shared" ref="G313:V313" si="115">SUM(G314:G319)</f>
        <v>19903</v>
      </c>
      <c r="H313" s="15">
        <f t="shared" si="115"/>
        <v>19903</v>
      </c>
      <c r="I313" s="15">
        <f t="shared" si="115"/>
        <v>0</v>
      </c>
      <c r="J313" s="15">
        <f t="shared" si="115"/>
        <v>0</v>
      </c>
      <c r="K313" s="15">
        <f t="shared" si="115"/>
        <v>382972</v>
      </c>
      <c r="L313" s="15">
        <f t="shared" si="115"/>
        <v>78972</v>
      </c>
      <c r="M313" s="15">
        <f t="shared" si="115"/>
        <v>0</v>
      </c>
      <c r="N313" s="15">
        <f t="shared" si="115"/>
        <v>1692</v>
      </c>
      <c r="O313" s="15">
        <f t="shared" si="115"/>
        <v>1692</v>
      </c>
      <c r="P313" s="15">
        <f t="shared" si="115"/>
        <v>0</v>
      </c>
      <c r="Q313" s="846">
        <f t="shared" si="115"/>
        <v>1692</v>
      </c>
      <c r="R313" s="846">
        <f t="shared" si="115"/>
        <v>992</v>
      </c>
      <c r="S313" s="846">
        <f t="shared" si="115"/>
        <v>700</v>
      </c>
      <c r="T313" s="15">
        <f t="shared" si="115"/>
        <v>1692</v>
      </c>
      <c r="U313" s="15">
        <f t="shared" si="115"/>
        <v>992</v>
      </c>
      <c r="V313" s="15">
        <f t="shared" si="115"/>
        <v>700</v>
      </c>
      <c r="W313" s="89"/>
      <c r="X313" s="89"/>
      <c r="Y313" s="15">
        <f>SUM(Y314:Y319)</f>
        <v>6</v>
      </c>
      <c r="Z313" s="657"/>
      <c r="AA313" s="990"/>
      <c r="AB313" s="811"/>
      <c r="AC313" s="551"/>
      <c r="AD313" s="551"/>
      <c r="AE313" s="551"/>
      <c r="AG313" s="265"/>
      <c r="AH313" s="265"/>
      <c r="AI313" s="265"/>
      <c r="AJ313" s="265"/>
      <c r="AK313" s="265"/>
      <c r="AL313" s="265"/>
    </row>
    <row r="314" spans="1:38" s="54" customFormat="1" ht="25.5">
      <c r="A314" s="97" t="s">
        <v>27</v>
      </c>
      <c r="B314" s="68" t="s">
        <v>1048</v>
      </c>
      <c r="C314" s="19" t="s">
        <v>43</v>
      </c>
      <c r="D314" s="19" t="s">
        <v>1049</v>
      </c>
      <c r="E314" s="70" t="s">
        <v>30</v>
      </c>
      <c r="F314" s="80"/>
      <c r="G314" s="23"/>
      <c r="H314" s="23"/>
      <c r="I314" s="23">
        <v>0</v>
      </c>
      <c r="J314" s="23"/>
      <c r="K314" s="23">
        <v>13069</v>
      </c>
      <c r="L314" s="23">
        <v>3069</v>
      </c>
      <c r="M314" s="23"/>
      <c r="N314" s="23">
        <v>100</v>
      </c>
      <c r="O314" s="23">
        <v>100</v>
      </c>
      <c r="P314" s="78"/>
      <c r="Q314" s="860">
        <v>100</v>
      </c>
      <c r="R314" s="860"/>
      <c r="S314" s="860">
        <v>100</v>
      </c>
      <c r="T314" s="73">
        <f t="shared" ref="T314:T319" si="116">SUM(U314:V314)</f>
        <v>100</v>
      </c>
      <c r="U314" s="23"/>
      <c r="V314" s="23">
        <v>100</v>
      </c>
      <c r="W314" s="80" t="s">
        <v>1544</v>
      </c>
      <c r="X314" s="80" t="s">
        <v>1115</v>
      </c>
      <c r="Y314" s="23">
        <v>1</v>
      </c>
      <c r="Z314" s="657"/>
      <c r="AA314" s="990"/>
      <c r="AB314" s="811"/>
      <c r="AC314" s="551"/>
      <c r="AD314" s="551"/>
      <c r="AE314" s="551"/>
      <c r="AG314" s="57"/>
      <c r="AH314" s="57"/>
      <c r="AI314" s="57"/>
      <c r="AJ314" s="57"/>
      <c r="AK314" s="57"/>
      <c r="AL314" s="57"/>
    </row>
    <row r="315" spans="1:38" s="54" customFormat="1" ht="45">
      <c r="A315" s="97" t="s">
        <v>41</v>
      </c>
      <c r="B315" s="290" t="s">
        <v>1050</v>
      </c>
      <c r="C315" s="19" t="s">
        <v>29</v>
      </c>
      <c r="D315" s="19" t="s">
        <v>1051</v>
      </c>
      <c r="E315" s="70" t="s">
        <v>163</v>
      </c>
      <c r="F315" s="80"/>
      <c r="G315" s="23"/>
      <c r="H315" s="23"/>
      <c r="I315" s="23">
        <v>0</v>
      </c>
      <c r="J315" s="23"/>
      <c r="K315" s="23">
        <v>120000</v>
      </c>
      <c r="L315" s="23">
        <v>30000</v>
      </c>
      <c r="M315" s="23"/>
      <c r="N315" s="23">
        <v>200</v>
      </c>
      <c r="O315" s="23">
        <v>200</v>
      </c>
      <c r="P315" s="78"/>
      <c r="Q315" s="860">
        <v>200</v>
      </c>
      <c r="R315" s="860"/>
      <c r="S315" s="860">
        <v>200</v>
      </c>
      <c r="T315" s="73">
        <f t="shared" si="116"/>
        <v>200</v>
      </c>
      <c r="U315" s="23"/>
      <c r="V315" s="23">
        <v>200</v>
      </c>
      <c r="W315" s="80" t="s">
        <v>1544</v>
      </c>
      <c r="X315" s="742" t="s">
        <v>1116</v>
      </c>
      <c r="Y315" s="23">
        <v>1</v>
      </c>
      <c r="Z315" s="657"/>
      <c r="AA315" s="990"/>
      <c r="AB315" s="811"/>
      <c r="AC315" s="551"/>
      <c r="AD315" s="551"/>
      <c r="AE315" s="551"/>
      <c r="AG315" s="57"/>
      <c r="AH315" s="57"/>
      <c r="AI315" s="57"/>
      <c r="AJ315" s="57"/>
      <c r="AK315" s="57"/>
      <c r="AL315" s="57"/>
    </row>
    <row r="316" spans="1:38" s="54" customFormat="1" ht="38.25">
      <c r="A316" s="97" t="s">
        <v>58</v>
      </c>
      <c r="B316" s="290" t="s">
        <v>1052</v>
      </c>
      <c r="C316" s="19" t="s">
        <v>29</v>
      </c>
      <c r="D316" s="19"/>
      <c r="E316" s="70"/>
      <c r="F316" s="80"/>
      <c r="G316" s="23"/>
      <c r="H316" s="23"/>
      <c r="I316" s="23"/>
      <c r="J316" s="23"/>
      <c r="K316" s="23">
        <v>80000</v>
      </c>
      <c r="L316" s="23">
        <v>10000</v>
      </c>
      <c r="M316" s="23"/>
      <c r="N316" s="23">
        <v>200</v>
      </c>
      <c r="O316" s="23">
        <v>200</v>
      </c>
      <c r="P316" s="78"/>
      <c r="Q316" s="860">
        <v>200</v>
      </c>
      <c r="R316" s="860"/>
      <c r="S316" s="860">
        <v>200</v>
      </c>
      <c r="T316" s="73">
        <f t="shared" si="116"/>
        <v>200</v>
      </c>
      <c r="U316" s="23"/>
      <c r="V316" s="23">
        <v>200</v>
      </c>
      <c r="W316" s="80" t="s">
        <v>1544</v>
      </c>
      <c r="X316" s="742" t="s">
        <v>1116</v>
      </c>
      <c r="Y316" s="23">
        <v>1</v>
      </c>
      <c r="Z316" s="657"/>
      <c r="AA316" s="990"/>
      <c r="AB316" s="811"/>
      <c r="AC316" s="551"/>
      <c r="AD316" s="551"/>
      <c r="AE316" s="551"/>
      <c r="AG316" s="57"/>
      <c r="AH316" s="57"/>
      <c r="AI316" s="57"/>
      <c r="AJ316" s="57"/>
      <c r="AK316" s="57"/>
      <c r="AL316" s="57"/>
    </row>
    <row r="317" spans="1:38" s="54" customFormat="1" ht="51">
      <c r="A317" s="97" t="s">
        <v>64</v>
      </c>
      <c r="B317" s="68" t="s">
        <v>1053</v>
      </c>
      <c r="C317" s="19" t="s">
        <v>60</v>
      </c>
      <c r="D317" s="19" t="s">
        <v>1054</v>
      </c>
      <c r="E317" s="44" t="s">
        <v>120</v>
      </c>
      <c r="F317" s="80"/>
      <c r="G317" s="23"/>
      <c r="H317" s="23"/>
      <c r="I317" s="23"/>
      <c r="J317" s="23"/>
      <c r="K317" s="23">
        <v>150000</v>
      </c>
      <c r="L317" s="23">
        <v>16000</v>
      </c>
      <c r="M317" s="23"/>
      <c r="N317" s="23">
        <v>200</v>
      </c>
      <c r="O317" s="23">
        <v>200</v>
      </c>
      <c r="P317" s="78"/>
      <c r="Q317" s="860">
        <v>200</v>
      </c>
      <c r="R317" s="860"/>
      <c r="S317" s="860">
        <v>200</v>
      </c>
      <c r="T317" s="73">
        <f t="shared" si="116"/>
        <v>200</v>
      </c>
      <c r="U317" s="23"/>
      <c r="V317" s="23">
        <v>200</v>
      </c>
      <c r="W317" s="80" t="s">
        <v>1544</v>
      </c>
      <c r="X317" s="24" t="s">
        <v>1117</v>
      </c>
      <c r="Y317" s="23">
        <v>1</v>
      </c>
      <c r="Z317" s="657"/>
      <c r="AA317" s="990"/>
      <c r="AB317" s="811"/>
      <c r="AC317" s="551"/>
      <c r="AD317" s="551"/>
      <c r="AE317" s="551"/>
      <c r="AG317" s="57"/>
      <c r="AH317" s="57"/>
      <c r="AI317" s="57"/>
      <c r="AJ317" s="57"/>
      <c r="AK317" s="57"/>
      <c r="AL317" s="57"/>
    </row>
    <row r="318" spans="1:38" s="235" customFormat="1" ht="40.5" customHeight="1">
      <c r="A318" s="97" t="s">
        <v>69</v>
      </c>
      <c r="B318" s="68" t="s">
        <v>527</v>
      </c>
      <c r="C318" s="19" t="s">
        <v>29</v>
      </c>
      <c r="D318" s="19" t="s">
        <v>528</v>
      </c>
      <c r="E318" s="70" t="s">
        <v>120</v>
      </c>
      <c r="F318" s="695" t="s">
        <v>529</v>
      </c>
      <c r="G318" s="176">
        <v>14408</v>
      </c>
      <c r="H318" s="176">
        <v>14408</v>
      </c>
      <c r="I318" s="723"/>
      <c r="J318" s="723"/>
      <c r="K318" s="176">
        <v>14408</v>
      </c>
      <c r="L318" s="176">
        <v>14408</v>
      </c>
      <c r="M318" s="723"/>
      <c r="N318" s="724">
        <v>276</v>
      </c>
      <c r="O318" s="724">
        <v>276</v>
      </c>
      <c r="P318" s="724"/>
      <c r="Q318" s="862">
        <v>276</v>
      </c>
      <c r="R318" s="862">
        <v>276</v>
      </c>
      <c r="S318" s="862"/>
      <c r="T318" s="73">
        <f t="shared" si="116"/>
        <v>276</v>
      </c>
      <c r="U318" s="724">
        <v>276</v>
      </c>
      <c r="V318" s="724"/>
      <c r="W318" s="738" t="s">
        <v>1528</v>
      </c>
      <c r="X318" s="24"/>
      <c r="Y318" s="726">
        <v>1</v>
      </c>
      <c r="Z318" s="657"/>
      <c r="AA318" s="990"/>
      <c r="AB318" s="811"/>
      <c r="AC318" s="551"/>
      <c r="AD318" s="551"/>
      <c r="AE318" s="551"/>
    </row>
    <row r="319" spans="1:38" s="235" customFormat="1" ht="40.5" customHeight="1">
      <c r="A319" s="97" t="s">
        <v>74</v>
      </c>
      <c r="B319" s="68" t="s">
        <v>530</v>
      </c>
      <c r="C319" s="19" t="s">
        <v>29</v>
      </c>
      <c r="D319" s="19" t="s">
        <v>531</v>
      </c>
      <c r="E319" s="70" t="s">
        <v>120</v>
      </c>
      <c r="F319" s="695" t="s">
        <v>532</v>
      </c>
      <c r="G319" s="176">
        <v>5495</v>
      </c>
      <c r="H319" s="176">
        <v>5495</v>
      </c>
      <c r="I319" s="723"/>
      <c r="J319" s="723"/>
      <c r="K319" s="176">
        <v>5495</v>
      </c>
      <c r="L319" s="176">
        <v>5495</v>
      </c>
      <c r="M319" s="723"/>
      <c r="N319" s="724">
        <v>716</v>
      </c>
      <c r="O319" s="724">
        <v>716</v>
      </c>
      <c r="P319" s="724"/>
      <c r="Q319" s="862">
        <v>716</v>
      </c>
      <c r="R319" s="862">
        <v>716</v>
      </c>
      <c r="S319" s="862"/>
      <c r="T319" s="73">
        <f t="shared" si="116"/>
        <v>716</v>
      </c>
      <c r="U319" s="724">
        <v>716</v>
      </c>
      <c r="V319" s="724"/>
      <c r="W319" s="738" t="s">
        <v>1528</v>
      </c>
      <c r="X319" s="24"/>
      <c r="Y319" s="726">
        <v>1</v>
      </c>
      <c r="Z319" s="657"/>
      <c r="AA319" s="990"/>
      <c r="AB319" s="811"/>
      <c r="AC319" s="551"/>
      <c r="AD319" s="551"/>
      <c r="AE319" s="551"/>
    </row>
    <row r="320" spans="1:38" s="266" customFormat="1">
      <c r="A320" s="11" t="s">
        <v>499</v>
      </c>
      <c r="B320" s="65" t="s">
        <v>31</v>
      </c>
      <c r="C320" s="13"/>
      <c r="D320" s="13"/>
      <c r="E320" s="14"/>
      <c r="F320" s="89"/>
      <c r="G320" s="15">
        <f t="shared" ref="G320:V320" si="117">SUM(G321,G325)</f>
        <v>524567</v>
      </c>
      <c r="H320" s="15">
        <f t="shared" si="117"/>
        <v>234629.4</v>
      </c>
      <c r="I320" s="15">
        <f t="shared" si="117"/>
        <v>28177</v>
      </c>
      <c r="J320" s="15">
        <f t="shared" si="117"/>
        <v>22100</v>
      </c>
      <c r="K320" s="15">
        <f t="shared" si="117"/>
        <v>569146</v>
      </c>
      <c r="L320" s="15">
        <f t="shared" si="117"/>
        <v>226430</v>
      </c>
      <c r="M320" s="15">
        <f t="shared" si="117"/>
        <v>0</v>
      </c>
      <c r="N320" s="15">
        <f t="shared" si="117"/>
        <v>205847</v>
      </c>
      <c r="O320" s="15">
        <f t="shared" si="117"/>
        <v>96062</v>
      </c>
      <c r="P320" s="15">
        <f t="shared" si="117"/>
        <v>0</v>
      </c>
      <c r="Q320" s="846">
        <f t="shared" si="117"/>
        <v>67566</v>
      </c>
      <c r="R320" s="846">
        <f t="shared" si="117"/>
        <v>24796</v>
      </c>
      <c r="S320" s="846">
        <f t="shared" si="117"/>
        <v>42770</v>
      </c>
      <c r="T320" s="15">
        <f t="shared" si="117"/>
        <v>65566</v>
      </c>
      <c r="U320" s="15">
        <f t="shared" si="117"/>
        <v>16196</v>
      </c>
      <c r="V320" s="15">
        <f t="shared" si="117"/>
        <v>49370</v>
      </c>
      <c r="W320" s="89"/>
      <c r="X320" s="89"/>
      <c r="Y320" s="15">
        <f>SUM(Y321,Y325)</f>
        <v>12</v>
      </c>
      <c r="Z320" s="657"/>
      <c r="AA320" s="990"/>
      <c r="AB320" s="811"/>
      <c r="AC320" s="551"/>
      <c r="AD320" s="551"/>
      <c r="AE320" s="551"/>
      <c r="AG320" s="265"/>
      <c r="AH320" s="265"/>
      <c r="AI320" s="265"/>
      <c r="AJ320" s="265"/>
      <c r="AK320" s="265"/>
      <c r="AL320" s="265"/>
    </row>
    <row r="321" spans="1:38" s="54" customFormat="1">
      <c r="A321" s="11" t="s">
        <v>78</v>
      </c>
      <c r="B321" s="65" t="s">
        <v>79</v>
      </c>
      <c r="C321" s="13"/>
      <c r="D321" s="13"/>
      <c r="E321" s="14"/>
      <c r="F321" s="89"/>
      <c r="G321" s="15">
        <f t="shared" ref="G321:V321" si="118">SUM(G322:G324)</f>
        <v>395049</v>
      </c>
      <c r="H321" s="15">
        <f t="shared" si="118"/>
        <v>120057</v>
      </c>
      <c r="I321" s="15">
        <f t="shared" si="118"/>
        <v>24918</v>
      </c>
      <c r="J321" s="15">
        <f t="shared" si="118"/>
        <v>17918</v>
      </c>
      <c r="K321" s="15">
        <f t="shared" si="118"/>
        <v>445695</v>
      </c>
      <c r="L321" s="15">
        <f t="shared" si="118"/>
        <v>118855</v>
      </c>
      <c r="M321" s="15">
        <f t="shared" si="118"/>
        <v>0</v>
      </c>
      <c r="N321" s="15">
        <f t="shared" si="118"/>
        <v>160030</v>
      </c>
      <c r="O321" s="15">
        <f t="shared" si="118"/>
        <v>54780</v>
      </c>
      <c r="P321" s="15">
        <f t="shared" si="118"/>
        <v>0</v>
      </c>
      <c r="Q321" s="846">
        <f t="shared" si="118"/>
        <v>35180</v>
      </c>
      <c r="R321" s="846">
        <f t="shared" si="118"/>
        <v>0</v>
      </c>
      <c r="S321" s="846">
        <f t="shared" si="118"/>
        <v>35180</v>
      </c>
      <c r="T321" s="15">
        <f t="shared" si="118"/>
        <v>35180</v>
      </c>
      <c r="U321" s="15">
        <f t="shared" si="118"/>
        <v>0</v>
      </c>
      <c r="V321" s="15">
        <f t="shared" si="118"/>
        <v>35180</v>
      </c>
      <c r="W321" s="89"/>
      <c r="X321" s="89"/>
      <c r="Y321" s="15">
        <f>SUM(Y322:Y324)</f>
        <v>3</v>
      </c>
      <c r="Z321" s="657"/>
      <c r="AA321" s="990"/>
      <c r="AB321" s="811"/>
      <c r="AC321" s="551"/>
      <c r="AD321" s="551"/>
      <c r="AE321" s="551"/>
      <c r="AG321" s="57"/>
      <c r="AH321" s="57"/>
      <c r="AI321" s="57"/>
      <c r="AJ321" s="57"/>
      <c r="AK321" s="57"/>
      <c r="AL321" s="57"/>
    </row>
    <row r="322" spans="1:38" s="54" customFormat="1" ht="30">
      <c r="A322" s="97" t="s">
        <v>27</v>
      </c>
      <c r="B322" s="68" t="s">
        <v>1055</v>
      </c>
      <c r="C322" s="19" t="s">
        <v>112</v>
      </c>
      <c r="D322" s="19" t="s">
        <v>1056</v>
      </c>
      <c r="E322" s="70" t="s">
        <v>1057</v>
      </c>
      <c r="F322" s="80" t="s">
        <v>1058</v>
      </c>
      <c r="G322" s="23">
        <v>40929</v>
      </c>
      <c r="H322" s="23">
        <v>40929</v>
      </c>
      <c r="I322" s="23">
        <v>15118</v>
      </c>
      <c r="J322" s="23">
        <v>15118</v>
      </c>
      <c r="K322" s="23">
        <v>39727</v>
      </c>
      <c r="L322" s="23">
        <v>39727</v>
      </c>
      <c r="M322" s="23"/>
      <c r="N322" s="23">
        <v>24600</v>
      </c>
      <c r="O322" s="23">
        <v>24600</v>
      </c>
      <c r="P322" s="78"/>
      <c r="Q322" s="828">
        <f>SUM(R322:S322)</f>
        <v>17000</v>
      </c>
      <c r="R322" s="860"/>
      <c r="S322" s="860">
        <v>17000</v>
      </c>
      <c r="T322" s="73">
        <f>SUM(U322:V322)</f>
        <v>17000</v>
      </c>
      <c r="U322" s="23"/>
      <c r="V322" s="23">
        <v>17000</v>
      </c>
      <c r="W322" s="80" t="s">
        <v>1544</v>
      </c>
      <c r="X322" s="24"/>
      <c r="Y322" s="23">
        <v>1</v>
      </c>
      <c r="Z322" s="657"/>
      <c r="AA322" s="990"/>
      <c r="AB322" s="811"/>
      <c r="AC322" s="551"/>
      <c r="AD322" s="551"/>
      <c r="AE322" s="551"/>
      <c r="AG322" s="57"/>
      <c r="AH322" s="57"/>
      <c r="AI322" s="57"/>
      <c r="AJ322" s="57"/>
      <c r="AK322" s="57"/>
      <c r="AL322" s="57"/>
    </row>
    <row r="323" spans="1:38" s="54" customFormat="1" ht="30">
      <c r="A323" s="97" t="s">
        <v>41</v>
      </c>
      <c r="B323" s="68" t="s">
        <v>1059</v>
      </c>
      <c r="C323" s="19" t="s">
        <v>1060</v>
      </c>
      <c r="D323" s="635" t="s">
        <v>1061</v>
      </c>
      <c r="E323" s="70" t="s">
        <v>45</v>
      </c>
      <c r="F323" s="80" t="s">
        <v>1062</v>
      </c>
      <c r="G323" s="23">
        <v>127050</v>
      </c>
      <c r="H323" s="23">
        <v>28248</v>
      </c>
      <c r="I323" s="72"/>
      <c r="J323" s="72"/>
      <c r="K323" s="72">
        <f>150750+28148</f>
        <v>178898</v>
      </c>
      <c r="L323" s="23">
        <v>28248</v>
      </c>
      <c r="M323" s="23"/>
      <c r="N323" s="23">
        <v>90000</v>
      </c>
      <c r="O323" s="23">
        <v>20000</v>
      </c>
      <c r="P323" s="78"/>
      <c r="Q323" s="860">
        <f>SUM(R323:S323)</f>
        <v>8000</v>
      </c>
      <c r="R323" s="860"/>
      <c r="S323" s="860">
        <v>8000</v>
      </c>
      <c r="T323" s="73">
        <f>SUM(U323:V323)</f>
        <v>8000</v>
      </c>
      <c r="U323" s="23"/>
      <c r="V323" s="23">
        <v>8000</v>
      </c>
      <c r="W323" s="80" t="s">
        <v>1536</v>
      </c>
      <c r="X323" s="24"/>
      <c r="Y323" s="23">
        <v>1</v>
      </c>
      <c r="Z323" s="657"/>
      <c r="AA323" s="990"/>
      <c r="AB323" s="811"/>
      <c r="AC323" s="551"/>
      <c r="AD323" s="551"/>
      <c r="AE323" s="551"/>
      <c r="AG323" s="57"/>
      <c r="AH323" s="57"/>
      <c r="AI323" s="57"/>
      <c r="AJ323" s="57"/>
      <c r="AK323" s="57"/>
      <c r="AL323" s="57"/>
    </row>
    <row r="324" spans="1:38" s="54" customFormat="1" ht="45">
      <c r="A324" s="97" t="s">
        <v>58</v>
      </c>
      <c r="B324" s="68" t="s">
        <v>1063</v>
      </c>
      <c r="C324" s="19" t="s">
        <v>1060</v>
      </c>
      <c r="D324" s="19" t="s">
        <v>1064</v>
      </c>
      <c r="E324" s="70" t="s">
        <v>120</v>
      </c>
      <c r="F324" s="1012" t="s">
        <v>1065</v>
      </c>
      <c r="G324" s="23">
        <v>227070</v>
      </c>
      <c r="H324" s="23">
        <v>50880</v>
      </c>
      <c r="I324" s="23">
        <v>9800</v>
      </c>
      <c r="J324" s="23">
        <v>2800</v>
      </c>
      <c r="K324" s="23">
        <v>227070</v>
      </c>
      <c r="L324" s="23">
        <v>50880</v>
      </c>
      <c r="M324" s="23"/>
      <c r="N324" s="23">
        <v>45430</v>
      </c>
      <c r="O324" s="23">
        <v>10180</v>
      </c>
      <c r="P324" s="78"/>
      <c r="Q324" s="860">
        <v>10180</v>
      </c>
      <c r="R324" s="860"/>
      <c r="S324" s="860">
        <v>10180</v>
      </c>
      <c r="T324" s="73">
        <f>SUM(U324:V324)</f>
        <v>10180</v>
      </c>
      <c r="U324" s="23"/>
      <c r="V324" s="23">
        <v>10180</v>
      </c>
      <c r="W324" s="80" t="s">
        <v>1536</v>
      </c>
      <c r="X324" s="24" t="s">
        <v>1571</v>
      </c>
      <c r="Y324" s="23">
        <v>1</v>
      </c>
      <c r="Z324" s="657"/>
      <c r="AA324" s="990"/>
      <c r="AB324" s="811"/>
      <c r="AC324" s="551"/>
      <c r="AD324" s="551"/>
      <c r="AE324" s="551"/>
      <c r="AG324" s="57"/>
      <c r="AH324" s="57"/>
      <c r="AI324" s="57"/>
      <c r="AJ324" s="57"/>
      <c r="AK324" s="57"/>
      <c r="AL324" s="57"/>
    </row>
    <row r="325" spans="1:38" s="54" customFormat="1">
      <c r="A325" s="11" t="s">
        <v>150</v>
      </c>
      <c r="B325" s="65" t="s">
        <v>151</v>
      </c>
      <c r="C325" s="13"/>
      <c r="D325" s="13"/>
      <c r="E325" s="14"/>
      <c r="F325" s="89"/>
      <c r="G325" s="15">
        <f t="shared" ref="G325:S325" si="119">SUM(G326:G333,G346)</f>
        <v>129518</v>
      </c>
      <c r="H325" s="15">
        <f t="shared" si="119"/>
        <v>114572.4</v>
      </c>
      <c r="I325" s="15">
        <f t="shared" si="119"/>
        <v>3259</v>
      </c>
      <c r="J325" s="15">
        <f t="shared" si="119"/>
        <v>4182</v>
      </c>
      <c r="K325" s="15">
        <f t="shared" si="119"/>
        <v>123451</v>
      </c>
      <c r="L325" s="15">
        <f t="shared" si="119"/>
        <v>107575</v>
      </c>
      <c r="M325" s="15">
        <f t="shared" si="119"/>
        <v>0</v>
      </c>
      <c r="N325" s="15">
        <f t="shared" si="119"/>
        <v>45817</v>
      </c>
      <c r="O325" s="15">
        <f t="shared" si="119"/>
        <v>41282</v>
      </c>
      <c r="P325" s="15">
        <f t="shared" si="119"/>
        <v>0</v>
      </c>
      <c r="Q325" s="15">
        <f t="shared" si="119"/>
        <v>32386</v>
      </c>
      <c r="R325" s="15">
        <f t="shared" si="119"/>
        <v>24796</v>
      </c>
      <c r="S325" s="15">
        <f t="shared" si="119"/>
        <v>7590</v>
      </c>
      <c r="T325" s="15">
        <f>SUM(T326:T333,T346)</f>
        <v>30386</v>
      </c>
      <c r="U325" s="15">
        <f t="shared" ref="U325:V325" si="120">SUM(U326:U333,U346)</f>
        <v>16196</v>
      </c>
      <c r="V325" s="15">
        <f t="shared" si="120"/>
        <v>14190</v>
      </c>
      <c r="W325" s="89"/>
      <c r="X325" s="89"/>
      <c r="Y325" s="15">
        <f>SUM(Y326:Y333,Y346)</f>
        <v>9</v>
      </c>
      <c r="Z325" s="657"/>
      <c r="AA325" s="990"/>
      <c r="AB325" s="811"/>
      <c r="AC325" s="551"/>
      <c r="AD325" s="551"/>
      <c r="AE325" s="551"/>
      <c r="AG325" s="57"/>
      <c r="AH325" s="57"/>
      <c r="AI325" s="57"/>
      <c r="AJ325" s="57"/>
      <c r="AK325" s="57"/>
      <c r="AL325" s="57"/>
    </row>
    <row r="326" spans="1:38" s="54" customFormat="1" ht="30">
      <c r="A326" s="97" t="s">
        <v>27</v>
      </c>
      <c r="B326" s="68" t="s">
        <v>1597</v>
      </c>
      <c r="C326" s="19" t="s">
        <v>5</v>
      </c>
      <c r="D326" s="19" t="s">
        <v>1718</v>
      </c>
      <c r="E326" s="70" t="s">
        <v>94</v>
      </c>
      <c r="F326" s="80" t="s">
        <v>1067</v>
      </c>
      <c r="G326" s="23">
        <v>1544</v>
      </c>
      <c r="H326" s="23">
        <v>1544</v>
      </c>
      <c r="I326" s="23">
        <v>122</v>
      </c>
      <c r="J326" s="23">
        <v>122</v>
      </c>
      <c r="K326" s="23">
        <v>1500</v>
      </c>
      <c r="L326" s="23">
        <v>1500</v>
      </c>
      <c r="M326" s="23"/>
      <c r="N326" s="23">
        <v>1400</v>
      </c>
      <c r="O326" s="23">
        <v>1400</v>
      </c>
      <c r="P326" s="78"/>
      <c r="Q326" s="860">
        <f>SUM(R326:S326)</f>
        <v>1400</v>
      </c>
      <c r="R326" s="860"/>
      <c r="S326" s="860">
        <v>1400</v>
      </c>
      <c r="T326" s="73">
        <f t="shared" ref="T326:T332" si="121">SUM(U326:V326)</f>
        <v>1400</v>
      </c>
      <c r="U326" s="23"/>
      <c r="V326" s="23">
        <v>1400</v>
      </c>
      <c r="W326" s="80" t="s">
        <v>1544</v>
      </c>
      <c r="X326" s="24"/>
      <c r="Y326" s="23">
        <v>1</v>
      </c>
      <c r="Z326" s="657"/>
      <c r="AA326" s="990"/>
      <c r="AB326" s="811"/>
      <c r="AC326" s="551"/>
      <c r="AD326" s="551"/>
      <c r="AE326" s="551"/>
      <c r="AG326" s="57"/>
      <c r="AH326" s="57"/>
      <c r="AI326" s="57"/>
      <c r="AJ326" s="57"/>
      <c r="AK326" s="57"/>
      <c r="AL326" s="57"/>
    </row>
    <row r="327" spans="1:38" s="54" customFormat="1" ht="30">
      <c r="A327" s="97" t="s">
        <v>41</v>
      </c>
      <c r="B327" s="68" t="s">
        <v>1068</v>
      </c>
      <c r="C327" s="19" t="s">
        <v>43</v>
      </c>
      <c r="D327" s="19" t="s">
        <v>1069</v>
      </c>
      <c r="E327" s="70" t="s">
        <v>489</v>
      </c>
      <c r="F327" s="1012" t="s">
        <v>1070</v>
      </c>
      <c r="G327" s="23">
        <v>16050</v>
      </c>
      <c r="H327" s="23">
        <v>16050</v>
      </c>
      <c r="I327" s="23">
        <v>90</v>
      </c>
      <c r="J327" s="23">
        <v>90</v>
      </c>
      <c r="K327" s="23">
        <v>13000</v>
      </c>
      <c r="L327" s="23">
        <v>13000</v>
      </c>
      <c r="M327" s="23"/>
      <c r="N327" s="23">
        <v>3900</v>
      </c>
      <c r="O327" s="23">
        <v>3900</v>
      </c>
      <c r="P327" s="78"/>
      <c r="Q327" s="860">
        <f>SUM(R327:S327)</f>
        <v>3900</v>
      </c>
      <c r="R327" s="860"/>
      <c r="S327" s="860">
        <v>3900</v>
      </c>
      <c r="T327" s="73">
        <f t="shared" si="121"/>
        <v>3900</v>
      </c>
      <c r="U327" s="23"/>
      <c r="V327" s="23">
        <v>3900</v>
      </c>
      <c r="W327" s="80" t="s">
        <v>1544</v>
      </c>
      <c r="X327" s="24"/>
      <c r="Y327" s="23">
        <v>1</v>
      </c>
      <c r="Z327" s="657"/>
      <c r="AA327" s="990"/>
      <c r="AB327" s="811"/>
      <c r="AC327" s="551"/>
      <c r="AD327" s="551"/>
      <c r="AE327" s="551"/>
      <c r="AG327" s="57"/>
      <c r="AH327" s="57"/>
      <c r="AI327" s="57"/>
      <c r="AJ327" s="57"/>
      <c r="AK327" s="57"/>
      <c r="AL327" s="57"/>
    </row>
    <row r="328" spans="1:38" s="54" customFormat="1" ht="25.5">
      <c r="A328" s="97" t="s">
        <v>58</v>
      </c>
      <c r="B328" s="68" t="s">
        <v>1071</v>
      </c>
      <c r="C328" s="19" t="s">
        <v>143</v>
      </c>
      <c r="D328" s="19" t="s">
        <v>1072</v>
      </c>
      <c r="E328" s="70">
        <v>2017</v>
      </c>
      <c r="F328" s="80" t="s">
        <v>1073</v>
      </c>
      <c r="G328" s="23">
        <v>1495</v>
      </c>
      <c r="H328" s="23">
        <f>1259*70%</f>
        <v>881.3</v>
      </c>
      <c r="I328" s="23"/>
      <c r="J328" s="23"/>
      <c r="K328" s="23">
        <v>1495</v>
      </c>
      <c r="L328" s="23">
        <v>881</v>
      </c>
      <c r="M328" s="23"/>
      <c r="N328" s="23">
        <v>1495</v>
      </c>
      <c r="O328" s="23">
        <v>881</v>
      </c>
      <c r="P328" s="78"/>
      <c r="Q328" s="860">
        <f>SUM(R328:S328)</f>
        <v>880</v>
      </c>
      <c r="R328" s="860"/>
      <c r="S328" s="860">
        <v>880</v>
      </c>
      <c r="T328" s="73">
        <f t="shared" si="121"/>
        <v>880</v>
      </c>
      <c r="U328" s="23"/>
      <c r="V328" s="23">
        <v>880</v>
      </c>
      <c r="W328" s="80" t="s">
        <v>1518</v>
      </c>
      <c r="X328" s="80"/>
      <c r="Y328" s="23">
        <v>1</v>
      </c>
      <c r="Z328" s="657"/>
      <c r="AA328" s="990"/>
      <c r="AB328" s="811"/>
      <c r="AC328" s="551"/>
      <c r="AD328" s="551"/>
      <c r="AE328" s="551"/>
      <c r="AG328" s="57"/>
      <c r="AH328" s="57"/>
      <c r="AI328" s="57"/>
      <c r="AJ328" s="57"/>
      <c r="AK328" s="57"/>
      <c r="AL328" s="57"/>
    </row>
    <row r="329" spans="1:38" s="54" customFormat="1" ht="25.5">
      <c r="A329" s="97" t="s">
        <v>64</v>
      </c>
      <c r="B329" s="68" t="s">
        <v>1074</v>
      </c>
      <c r="C329" s="19" t="s">
        <v>143</v>
      </c>
      <c r="D329" s="19" t="s">
        <v>1072</v>
      </c>
      <c r="E329" s="70">
        <v>2017</v>
      </c>
      <c r="F329" s="80" t="s">
        <v>1075</v>
      </c>
      <c r="G329" s="23">
        <v>1102</v>
      </c>
      <c r="H329" s="23">
        <f>929*70%</f>
        <v>650.29999999999995</v>
      </c>
      <c r="I329" s="23"/>
      <c r="J329" s="23"/>
      <c r="K329" s="23">
        <v>1102</v>
      </c>
      <c r="L329" s="23">
        <v>650</v>
      </c>
      <c r="M329" s="23"/>
      <c r="N329" s="23">
        <v>1102</v>
      </c>
      <c r="O329" s="23">
        <v>650</v>
      </c>
      <c r="P329" s="78"/>
      <c r="Q329" s="860">
        <v>650</v>
      </c>
      <c r="R329" s="860"/>
      <c r="S329" s="860">
        <v>650</v>
      </c>
      <c r="T329" s="73">
        <f t="shared" si="121"/>
        <v>650</v>
      </c>
      <c r="U329" s="23"/>
      <c r="V329" s="23">
        <v>650</v>
      </c>
      <c r="W329" s="80" t="s">
        <v>1518</v>
      </c>
      <c r="X329" s="80"/>
      <c r="Y329" s="23">
        <v>1</v>
      </c>
      <c r="Z329" s="657"/>
      <c r="AA329" s="990"/>
      <c r="AB329" s="811"/>
      <c r="AC329" s="551"/>
      <c r="AD329" s="551"/>
      <c r="AE329" s="551"/>
      <c r="AG329" s="57"/>
      <c r="AH329" s="57"/>
      <c r="AI329" s="57"/>
      <c r="AJ329" s="57"/>
      <c r="AK329" s="57"/>
      <c r="AL329" s="57"/>
    </row>
    <row r="330" spans="1:38" ht="25.5">
      <c r="A330" s="97" t="s">
        <v>69</v>
      </c>
      <c r="B330" s="79" t="s">
        <v>1076</v>
      </c>
      <c r="C330" s="19" t="s">
        <v>143</v>
      </c>
      <c r="D330" s="19" t="s">
        <v>1054</v>
      </c>
      <c r="E330" s="44" t="s">
        <v>120</v>
      </c>
      <c r="F330" s="80" t="s">
        <v>1077</v>
      </c>
      <c r="G330" s="23">
        <v>1310</v>
      </c>
      <c r="H330" s="23">
        <f>1094*70%</f>
        <v>765.8</v>
      </c>
      <c r="I330" s="23"/>
      <c r="J330" s="232"/>
      <c r="K330" s="23">
        <v>1310</v>
      </c>
      <c r="L330" s="23">
        <v>766</v>
      </c>
      <c r="M330" s="23"/>
      <c r="N330" s="105">
        <v>1310</v>
      </c>
      <c r="O330" s="105">
        <v>766</v>
      </c>
      <c r="P330" s="144"/>
      <c r="Q330" s="860">
        <f>SUM(R330:S330)</f>
        <v>760</v>
      </c>
      <c r="R330" s="860"/>
      <c r="S330" s="860">
        <v>760</v>
      </c>
      <c r="T330" s="73">
        <f t="shared" si="121"/>
        <v>760</v>
      </c>
      <c r="U330" s="23"/>
      <c r="V330" s="23">
        <v>760</v>
      </c>
      <c r="W330" s="80" t="s">
        <v>1518</v>
      </c>
      <c r="X330" s="1012"/>
      <c r="Y330" s="23">
        <v>1</v>
      </c>
      <c r="AA330" s="998"/>
      <c r="AB330" s="986"/>
      <c r="AC330" s="557"/>
      <c r="AD330" s="557"/>
      <c r="AE330" s="557"/>
      <c r="AF330" s="54"/>
      <c r="AG330" s="58"/>
      <c r="AH330" s="58"/>
      <c r="AI330" s="58"/>
      <c r="AJ330" s="58"/>
      <c r="AK330" s="58"/>
      <c r="AL330" s="58"/>
    </row>
    <row r="331" spans="1:38" s="211" customFormat="1" ht="25.5">
      <c r="A331" s="97" t="s">
        <v>74</v>
      </c>
      <c r="B331" s="68" t="s">
        <v>533</v>
      </c>
      <c r="C331" s="19" t="s">
        <v>143</v>
      </c>
      <c r="D331" s="19" t="s">
        <v>1491</v>
      </c>
      <c r="E331" s="44" t="s">
        <v>163</v>
      </c>
      <c r="F331" s="80" t="s">
        <v>1492</v>
      </c>
      <c r="G331" s="23">
        <v>46100</v>
      </c>
      <c r="H331" s="23">
        <v>46100</v>
      </c>
      <c r="I331" s="725">
        <f>+J331</f>
        <v>50</v>
      </c>
      <c r="J331" s="725">
        <v>50</v>
      </c>
      <c r="K331" s="725">
        <v>46169</v>
      </c>
      <c r="L331" s="725">
        <v>46169</v>
      </c>
      <c r="M331" s="725"/>
      <c r="N331" s="105">
        <v>11700</v>
      </c>
      <c r="O331" s="105">
        <v>11700</v>
      </c>
      <c r="P331" s="726"/>
      <c r="Q331" s="863">
        <v>3000</v>
      </c>
      <c r="R331" s="863">
        <v>3000</v>
      </c>
      <c r="S331" s="863"/>
      <c r="T331" s="73">
        <f t="shared" si="121"/>
        <v>3000</v>
      </c>
      <c r="U331" s="726">
        <v>3000</v>
      </c>
      <c r="V331" s="726"/>
      <c r="W331" s="80" t="s">
        <v>1518</v>
      </c>
      <c r="X331" s="24"/>
      <c r="Y331" s="726">
        <v>1</v>
      </c>
      <c r="Z331" s="657"/>
      <c r="AA331" s="990"/>
      <c r="AB331" s="811"/>
      <c r="AC331" s="551"/>
      <c r="AD331" s="551"/>
      <c r="AE331" s="551"/>
    </row>
    <row r="332" spans="1:38" s="235" customFormat="1" ht="25.5">
      <c r="A332" s="97" t="s">
        <v>141</v>
      </c>
      <c r="B332" s="68" t="s">
        <v>536</v>
      </c>
      <c r="C332" s="299" t="s">
        <v>60</v>
      </c>
      <c r="D332" s="606" t="s">
        <v>537</v>
      </c>
      <c r="E332" s="137" t="s">
        <v>163</v>
      </c>
      <c r="F332" s="693" t="s">
        <v>538</v>
      </c>
      <c r="G332" s="175">
        <v>46934</v>
      </c>
      <c r="H332" s="23">
        <v>36473</v>
      </c>
      <c r="I332" s="23"/>
      <c r="J332" s="23"/>
      <c r="K332" s="223">
        <v>46934</v>
      </c>
      <c r="L332" s="77">
        <v>36473</v>
      </c>
      <c r="M332" s="23"/>
      <c r="N332" s="105">
        <v>12000</v>
      </c>
      <c r="O332" s="105">
        <v>12000</v>
      </c>
      <c r="P332" s="105"/>
      <c r="Q332" s="836">
        <v>12000</v>
      </c>
      <c r="R332" s="836">
        <v>12000</v>
      </c>
      <c r="S332" s="836"/>
      <c r="T332" s="73">
        <f t="shared" si="121"/>
        <v>10000</v>
      </c>
      <c r="U332" s="105">
        <v>10000</v>
      </c>
      <c r="V332" s="105"/>
      <c r="W332" s="513" t="s">
        <v>1517</v>
      </c>
      <c r="X332" s="24"/>
      <c r="Y332" s="105">
        <v>1</v>
      </c>
      <c r="Z332" s="657"/>
      <c r="AA332" s="990"/>
      <c r="AB332" s="811"/>
      <c r="AC332" s="551"/>
      <c r="AD332" s="551"/>
      <c r="AE332" s="551"/>
    </row>
    <row r="333" spans="1:38" s="211" customFormat="1" ht="75">
      <c r="A333" s="97" t="s">
        <v>146</v>
      </c>
      <c r="B333" s="68" t="s">
        <v>539</v>
      </c>
      <c r="C333" s="19" t="s">
        <v>540</v>
      </c>
      <c r="D333" s="19"/>
      <c r="E333" s="70"/>
      <c r="F333" s="80"/>
      <c r="G333" s="23">
        <f t="shared" ref="G333:V333" si="122">SUM(G334,G337,G339,G342)</f>
        <v>7444</v>
      </c>
      <c r="H333" s="23">
        <f t="shared" si="122"/>
        <v>5319</v>
      </c>
      <c r="I333" s="23">
        <f t="shared" si="122"/>
        <v>2000</v>
      </c>
      <c r="J333" s="23">
        <f t="shared" si="122"/>
        <v>2000</v>
      </c>
      <c r="K333" s="23">
        <f t="shared" si="122"/>
        <v>5370</v>
      </c>
      <c r="L333" s="23">
        <f t="shared" si="122"/>
        <v>3245</v>
      </c>
      <c r="M333" s="23">
        <f t="shared" si="122"/>
        <v>0</v>
      </c>
      <c r="N333" s="23">
        <f t="shared" si="122"/>
        <v>5321</v>
      </c>
      <c r="O333" s="23">
        <f t="shared" si="122"/>
        <v>3196</v>
      </c>
      <c r="P333" s="23">
        <f t="shared" si="122"/>
        <v>0</v>
      </c>
      <c r="Q333" s="860">
        <f t="shared" si="122"/>
        <v>3196</v>
      </c>
      <c r="R333" s="860">
        <f t="shared" si="122"/>
        <v>3196</v>
      </c>
      <c r="S333" s="860">
        <f t="shared" si="122"/>
        <v>0</v>
      </c>
      <c r="T333" s="23">
        <f t="shared" si="122"/>
        <v>3196</v>
      </c>
      <c r="U333" s="23">
        <f t="shared" si="122"/>
        <v>3196</v>
      </c>
      <c r="V333" s="23">
        <f t="shared" si="122"/>
        <v>0</v>
      </c>
      <c r="W333" s="80"/>
      <c r="X333" s="80"/>
      <c r="Y333" s="23">
        <v>1</v>
      </c>
      <c r="Z333" s="657"/>
      <c r="AA333" s="990"/>
      <c r="AB333" s="811"/>
      <c r="AC333" s="551"/>
      <c r="AD333" s="551"/>
      <c r="AE333" s="551"/>
    </row>
    <row r="334" spans="1:38" s="957" customFormat="1">
      <c r="A334" s="941"/>
      <c r="B334" s="942" t="s">
        <v>541</v>
      </c>
      <c r="C334" s="943"/>
      <c r="D334" s="944"/>
      <c r="E334" s="945"/>
      <c r="F334" s="946"/>
      <c r="G334" s="947">
        <f t="shared" ref="G334:V334" si="123">SUM(G335:G336)</f>
        <v>4625</v>
      </c>
      <c r="H334" s="948">
        <f t="shared" si="123"/>
        <v>2500</v>
      </c>
      <c r="I334" s="948">
        <f t="shared" si="123"/>
        <v>1500</v>
      </c>
      <c r="J334" s="948">
        <f t="shared" si="123"/>
        <v>1500</v>
      </c>
      <c r="K334" s="949">
        <f t="shared" si="123"/>
        <v>3125</v>
      </c>
      <c r="L334" s="950">
        <f t="shared" si="123"/>
        <v>1000</v>
      </c>
      <c r="M334" s="948">
        <f t="shared" si="123"/>
        <v>0</v>
      </c>
      <c r="N334" s="951">
        <f t="shared" si="123"/>
        <v>3125</v>
      </c>
      <c r="O334" s="951">
        <f t="shared" si="123"/>
        <v>1000</v>
      </c>
      <c r="P334" s="951">
        <f t="shared" si="123"/>
        <v>0</v>
      </c>
      <c r="Q334" s="952">
        <f t="shared" si="123"/>
        <v>1000</v>
      </c>
      <c r="R334" s="952">
        <f t="shared" si="123"/>
        <v>1000</v>
      </c>
      <c r="S334" s="952">
        <f t="shared" si="123"/>
        <v>0</v>
      </c>
      <c r="T334" s="953">
        <f t="shared" si="123"/>
        <v>1000</v>
      </c>
      <c r="U334" s="951">
        <f t="shared" si="123"/>
        <v>1000</v>
      </c>
      <c r="V334" s="951">
        <f t="shared" si="123"/>
        <v>0</v>
      </c>
      <c r="W334" s="954"/>
      <c r="X334" s="955"/>
      <c r="Y334" s="951"/>
      <c r="Z334" s="956"/>
      <c r="AA334" s="991"/>
      <c r="AB334" s="982"/>
      <c r="AC334" s="655"/>
      <c r="AD334" s="655"/>
      <c r="AE334" s="655"/>
    </row>
    <row r="335" spans="1:38" s="235" customFormat="1" ht="30">
      <c r="A335" s="97"/>
      <c r="B335" s="68" t="s">
        <v>1623</v>
      </c>
      <c r="C335" s="299" t="s">
        <v>1624</v>
      </c>
      <c r="D335" s="606" t="s">
        <v>1625</v>
      </c>
      <c r="E335" s="137" t="s">
        <v>166</v>
      </c>
      <c r="F335" s="693" t="s">
        <v>1626</v>
      </c>
      <c r="G335" s="175">
        <v>3843</v>
      </c>
      <c r="H335" s="23">
        <v>2000</v>
      </c>
      <c r="I335" s="23">
        <v>1500</v>
      </c>
      <c r="J335" s="23">
        <v>1500</v>
      </c>
      <c r="K335" s="223">
        <v>2343</v>
      </c>
      <c r="L335" s="77">
        <v>500</v>
      </c>
      <c r="M335" s="23"/>
      <c r="N335" s="105">
        <v>2343</v>
      </c>
      <c r="O335" s="105">
        <f>+H335-J335</f>
        <v>500</v>
      </c>
      <c r="P335" s="105"/>
      <c r="Q335" s="836">
        <f>R335</f>
        <v>500</v>
      </c>
      <c r="R335" s="836">
        <v>500</v>
      </c>
      <c r="S335" s="836"/>
      <c r="T335" s="73">
        <f>U335</f>
        <v>500</v>
      </c>
      <c r="U335" s="105">
        <v>500</v>
      </c>
      <c r="V335" s="105"/>
      <c r="W335" s="513" t="s">
        <v>1530</v>
      </c>
      <c r="X335" s="24"/>
      <c r="Y335" s="105"/>
      <c r="Z335" s="657"/>
      <c r="AA335" s="990"/>
      <c r="AB335" s="811"/>
      <c r="AC335" s="551"/>
      <c r="AD335" s="551"/>
      <c r="AE335" s="551"/>
    </row>
    <row r="336" spans="1:38" s="235" customFormat="1" ht="45">
      <c r="A336" s="97"/>
      <c r="B336" s="68" t="s">
        <v>1627</v>
      </c>
      <c r="C336" s="299" t="s">
        <v>1628</v>
      </c>
      <c r="D336" s="606" t="s">
        <v>1629</v>
      </c>
      <c r="E336" s="137">
        <v>2017</v>
      </c>
      <c r="F336" s="693" t="s">
        <v>1630</v>
      </c>
      <c r="G336" s="175">
        <v>782</v>
      </c>
      <c r="H336" s="23">
        <v>500</v>
      </c>
      <c r="I336" s="23"/>
      <c r="J336" s="23"/>
      <c r="K336" s="223">
        <v>782</v>
      </c>
      <c r="L336" s="77">
        <v>500</v>
      </c>
      <c r="M336" s="23"/>
      <c r="N336" s="105">
        <v>782</v>
      </c>
      <c r="O336" s="105">
        <v>500</v>
      </c>
      <c r="P336" s="105"/>
      <c r="Q336" s="836">
        <f>R336</f>
        <v>500</v>
      </c>
      <c r="R336" s="836">
        <v>500</v>
      </c>
      <c r="S336" s="836"/>
      <c r="T336" s="73">
        <f>U336</f>
        <v>500</v>
      </c>
      <c r="U336" s="105">
        <v>500</v>
      </c>
      <c r="V336" s="105"/>
      <c r="W336" s="513" t="s">
        <v>1530</v>
      </c>
      <c r="X336" s="24"/>
      <c r="Y336" s="105"/>
      <c r="Z336" s="657"/>
      <c r="AA336" s="990"/>
      <c r="AB336" s="811"/>
      <c r="AC336" s="551"/>
      <c r="AD336" s="551"/>
      <c r="AE336" s="551"/>
    </row>
    <row r="337" spans="1:31" s="957" customFormat="1">
      <c r="A337" s="941"/>
      <c r="B337" s="942" t="s">
        <v>542</v>
      </c>
      <c r="C337" s="943"/>
      <c r="D337" s="944"/>
      <c r="E337" s="945"/>
      <c r="F337" s="946"/>
      <c r="G337" s="947">
        <f t="shared" ref="G337:U337" si="124">SUM(G338)</f>
        <v>419</v>
      </c>
      <c r="H337" s="948">
        <f t="shared" si="124"/>
        <v>419</v>
      </c>
      <c r="I337" s="948">
        <f t="shared" si="124"/>
        <v>0</v>
      </c>
      <c r="J337" s="948">
        <f t="shared" si="124"/>
        <v>0</v>
      </c>
      <c r="K337" s="949">
        <f t="shared" si="124"/>
        <v>419</v>
      </c>
      <c r="L337" s="950">
        <f t="shared" si="124"/>
        <v>419</v>
      </c>
      <c r="M337" s="948">
        <f t="shared" si="124"/>
        <v>0</v>
      </c>
      <c r="N337" s="951">
        <f t="shared" si="124"/>
        <v>419</v>
      </c>
      <c r="O337" s="951">
        <f t="shared" si="124"/>
        <v>419</v>
      </c>
      <c r="P337" s="951">
        <f t="shared" si="124"/>
        <v>0</v>
      </c>
      <c r="Q337" s="952">
        <f t="shared" si="124"/>
        <v>419</v>
      </c>
      <c r="R337" s="952">
        <f t="shared" si="124"/>
        <v>419</v>
      </c>
      <c r="S337" s="952">
        <f t="shared" si="124"/>
        <v>0</v>
      </c>
      <c r="T337" s="953">
        <f t="shared" si="124"/>
        <v>419</v>
      </c>
      <c r="U337" s="951">
        <f t="shared" si="124"/>
        <v>419</v>
      </c>
      <c r="V337" s="951"/>
      <c r="W337" s="954"/>
      <c r="X337" s="955"/>
      <c r="Y337" s="951"/>
      <c r="Z337" s="956"/>
      <c r="AA337" s="991"/>
      <c r="AB337" s="982"/>
      <c r="AC337" s="655"/>
      <c r="AD337" s="655"/>
      <c r="AE337" s="655"/>
    </row>
    <row r="338" spans="1:31" s="235" customFormat="1" ht="30">
      <c r="A338" s="97"/>
      <c r="B338" s="68" t="s">
        <v>1631</v>
      </c>
      <c r="C338" s="299" t="s">
        <v>1632</v>
      </c>
      <c r="D338" s="606" t="s">
        <v>1633</v>
      </c>
      <c r="E338" s="137">
        <v>2017</v>
      </c>
      <c r="F338" s="693" t="s">
        <v>1634</v>
      </c>
      <c r="G338" s="175">
        <v>419</v>
      </c>
      <c r="H338" s="175">
        <v>419</v>
      </c>
      <c r="I338" s="23"/>
      <c r="J338" s="23"/>
      <c r="K338" s="175">
        <v>419</v>
      </c>
      <c r="L338" s="175">
        <v>419</v>
      </c>
      <c r="M338" s="23"/>
      <c r="N338" s="175">
        <v>419</v>
      </c>
      <c r="O338" s="175">
        <v>419</v>
      </c>
      <c r="P338" s="105"/>
      <c r="Q338" s="175">
        <v>419</v>
      </c>
      <c r="R338" s="175">
        <v>419</v>
      </c>
      <c r="S338" s="836"/>
      <c r="T338" s="175">
        <v>419</v>
      </c>
      <c r="U338" s="175">
        <v>419</v>
      </c>
      <c r="V338" s="105"/>
      <c r="W338" s="513" t="s">
        <v>1525</v>
      </c>
      <c r="X338" s="24"/>
      <c r="Y338" s="105"/>
      <c r="Z338" s="657"/>
      <c r="AA338" s="990"/>
      <c r="AB338" s="811"/>
      <c r="AC338" s="551"/>
      <c r="AD338" s="551"/>
      <c r="AE338" s="551"/>
    </row>
    <row r="339" spans="1:31" s="957" customFormat="1">
      <c r="A339" s="941"/>
      <c r="B339" s="942" t="s">
        <v>544</v>
      </c>
      <c r="C339" s="943"/>
      <c r="D339" s="944"/>
      <c r="E339" s="945"/>
      <c r="F339" s="946"/>
      <c r="G339" s="947">
        <f t="shared" ref="G339:V339" si="125">SUM(G340:G341)</f>
        <v>1354</v>
      </c>
      <c r="H339" s="948">
        <f t="shared" si="125"/>
        <v>1354</v>
      </c>
      <c r="I339" s="948">
        <f t="shared" si="125"/>
        <v>500</v>
      </c>
      <c r="J339" s="948">
        <f t="shared" si="125"/>
        <v>500</v>
      </c>
      <c r="K339" s="949">
        <f t="shared" si="125"/>
        <v>780</v>
      </c>
      <c r="L339" s="950">
        <f t="shared" si="125"/>
        <v>780</v>
      </c>
      <c r="M339" s="948">
        <f t="shared" si="125"/>
        <v>0</v>
      </c>
      <c r="N339" s="951">
        <f t="shared" si="125"/>
        <v>780</v>
      </c>
      <c r="O339" s="951">
        <f t="shared" si="125"/>
        <v>780</v>
      </c>
      <c r="P339" s="951">
        <f t="shared" si="125"/>
        <v>0</v>
      </c>
      <c r="Q339" s="952">
        <f t="shared" si="125"/>
        <v>780</v>
      </c>
      <c r="R339" s="952">
        <f t="shared" si="125"/>
        <v>780</v>
      </c>
      <c r="S339" s="952">
        <f t="shared" si="125"/>
        <v>0</v>
      </c>
      <c r="T339" s="953">
        <f t="shared" si="125"/>
        <v>780</v>
      </c>
      <c r="U339" s="951">
        <f t="shared" si="125"/>
        <v>780</v>
      </c>
      <c r="V339" s="951">
        <f t="shared" si="125"/>
        <v>0</v>
      </c>
      <c r="W339" s="954"/>
      <c r="X339" s="955"/>
      <c r="Y339" s="951"/>
      <c r="Z339" s="956"/>
      <c r="AA339" s="991"/>
      <c r="AB339" s="982"/>
      <c r="AC339" s="655"/>
      <c r="AD339" s="655"/>
      <c r="AE339" s="655"/>
    </row>
    <row r="340" spans="1:31" s="235" customFormat="1" ht="60">
      <c r="A340" s="97"/>
      <c r="B340" s="68" t="s">
        <v>1635</v>
      </c>
      <c r="C340" s="299" t="s">
        <v>1636</v>
      </c>
      <c r="D340" s="606" t="s">
        <v>1637</v>
      </c>
      <c r="E340" s="137">
        <v>2017</v>
      </c>
      <c r="F340" s="693" t="s">
        <v>1638</v>
      </c>
      <c r="G340" s="175">
        <v>280</v>
      </c>
      <c r="H340" s="23">
        <v>280</v>
      </c>
      <c r="I340" s="23"/>
      <c r="J340" s="23"/>
      <c r="K340" s="223">
        <v>280</v>
      </c>
      <c r="L340" s="77">
        <v>280</v>
      </c>
      <c r="M340" s="23"/>
      <c r="N340" s="105">
        <v>280</v>
      </c>
      <c r="O340" s="105">
        <v>280</v>
      </c>
      <c r="P340" s="105"/>
      <c r="Q340" s="836">
        <f>R340</f>
        <v>280</v>
      </c>
      <c r="R340" s="836">
        <v>280</v>
      </c>
      <c r="S340" s="836"/>
      <c r="T340" s="73">
        <f>U340</f>
        <v>280</v>
      </c>
      <c r="U340" s="105">
        <v>280</v>
      </c>
      <c r="V340" s="105"/>
      <c r="W340" s="513" t="s">
        <v>1517</v>
      </c>
      <c r="X340" s="24"/>
      <c r="Y340" s="105"/>
      <c r="Z340" s="657"/>
      <c r="AA340" s="990"/>
      <c r="AB340" s="811"/>
      <c r="AC340" s="551"/>
      <c r="AD340" s="551"/>
      <c r="AE340" s="551"/>
    </row>
    <row r="341" spans="1:31" s="235" customFormat="1" ht="45">
      <c r="A341" s="97"/>
      <c r="B341" s="68" t="s">
        <v>1639</v>
      </c>
      <c r="C341" s="299" t="s">
        <v>1397</v>
      </c>
      <c r="D341" s="606" t="s">
        <v>1640</v>
      </c>
      <c r="E341" s="137" t="s">
        <v>166</v>
      </c>
      <c r="F341" s="693" t="s">
        <v>1641</v>
      </c>
      <c r="G341" s="175">
        <v>1074</v>
      </c>
      <c r="H341" s="23">
        <v>1074</v>
      </c>
      <c r="I341" s="23">
        <v>500</v>
      </c>
      <c r="J341" s="23">
        <v>500</v>
      </c>
      <c r="K341" s="223">
        <v>500</v>
      </c>
      <c r="L341" s="77">
        <v>500</v>
      </c>
      <c r="M341" s="23"/>
      <c r="N341" s="105">
        <v>500</v>
      </c>
      <c r="O341" s="105">
        <v>500</v>
      </c>
      <c r="P341" s="105"/>
      <c r="Q341" s="836">
        <f>R341</f>
        <v>500</v>
      </c>
      <c r="R341" s="836">
        <v>500</v>
      </c>
      <c r="S341" s="836"/>
      <c r="T341" s="73">
        <f>U341</f>
        <v>500</v>
      </c>
      <c r="U341" s="105">
        <v>500</v>
      </c>
      <c r="V341" s="105"/>
      <c r="W341" s="513" t="s">
        <v>1517</v>
      </c>
      <c r="X341" s="24"/>
      <c r="Y341" s="105"/>
      <c r="Z341" s="657"/>
      <c r="AA341" s="990"/>
      <c r="AB341" s="811"/>
      <c r="AC341" s="551"/>
      <c r="AD341" s="551"/>
      <c r="AE341" s="551"/>
    </row>
    <row r="342" spans="1:31" s="957" customFormat="1">
      <c r="A342" s="941"/>
      <c r="B342" s="942" t="s">
        <v>545</v>
      </c>
      <c r="C342" s="943"/>
      <c r="D342" s="944"/>
      <c r="E342" s="945"/>
      <c r="F342" s="946"/>
      <c r="G342" s="947">
        <f t="shared" ref="G342:V342" si="126">SUM(G343:G345)</f>
        <v>1046</v>
      </c>
      <c r="H342" s="948">
        <f t="shared" si="126"/>
        <v>1046</v>
      </c>
      <c r="I342" s="948">
        <f t="shared" si="126"/>
        <v>0</v>
      </c>
      <c r="J342" s="948">
        <f t="shared" si="126"/>
        <v>0</v>
      </c>
      <c r="K342" s="949">
        <f t="shared" si="126"/>
        <v>1046</v>
      </c>
      <c r="L342" s="950">
        <f t="shared" si="126"/>
        <v>1046</v>
      </c>
      <c r="M342" s="948">
        <f t="shared" si="126"/>
        <v>0</v>
      </c>
      <c r="N342" s="951">
        <f t="shared" si="126"/>
        <v>997</v>
      </c>
      <c r="O342" s="951">
        <f t="shared" si="126"/>
        <v>997</v>
      </c>
      <c r="P342" s="951">
        <f t="shared" si="126"/>
        <v>0</v>
      </c>
      <c r="Q342" s="952">
        <f t="shared" si="126"/>
        <v>997</v>
      </c>
      <c r="R342" s="952">
        <f t="shared" si="126"/>
        <v>997</v>
      </c>
      <c r="S342" s="952">
        <f t="shared" si="126"/>
        <v>0</v>
      </c>
      <c r="T342" s="953">
        <f t="shared" si="126"/>
        <v>997</v>
      </c>
      <c r="U342" s="951">
        <f t="shared" si="126"/>
        <v>997</v>
      </c>
      <c r="V342" s="951">
        <f t="shared" si="126"/>
        <v>0</v>
      </c>
      <c r="W342" s="954"/>
      <c r="X342" s="955"/>
      <c r="Y342" s="951"/>
      <c r="Z342" s="956"/>
      <c r="AA342" s="991"/>
      <c r="AB342" s="982"/>
      <c r="AC342" s="655"/>
      <c r="AD342" s="655"/>
      <c r="AE342" s="655"/>
    </row>
    <row r="343" spans="1:31" s="235" customFormat="1" ht="30">
      <c r="A343" s="97"/>
      <c r="B343" s="68" t="s">
        <v>1642</v>
      </c>
      <c r="C343" s="299" t="s">
        <v>1643</v>
      </c>
      <c r="D343" s="606" t="s">
        <v>1644</v>
      </c>
      <c r="E343" s="137">
        <v>2017</v>
      </c>
      <c r="F343" s="693" t="s">
        <v>1645</v>
      </c>
      <c r="G343" s="175">
        <v>312</v>
      </c>
      <c r="H343" s="23">
        <v>312</v>
      </c>
      <c r="I343" s="23"/>
      <c r="J343" s="23"/>
      <c r="K343" s="223">
        <v>312</v>
      </c>
      <c r="L343" s="77">
        <v>312</v>
      </c>
      <c r="M343" s="23"/>
      <c r="N343" s="105">
        <v>287</v>
      </c>
      <c r="O343" s="105">
        <v>287</v>
      </c>
      <c r="P343" s="105"/>
      <c r="Q343" s="836">
        <f>R343</f>
        <v>287</v>
      </c>
      <c r="R343" s="836">
        <v>287</v>
      </c>
      <c r="S343" s="836"/>
      <c r="T343" s="73">
        <f>U343</f>
        <v>287</v>
      </c>
      <c r="U343" s="105">
        <v>287</v>
      </c>
      <c r="V343" s="105"/>
      <c r="W343" s="513" t="s">
        <v>1521</v>
      </c>
      <c r="X343" s="24"/>
      <c r="Y343" s="105"/>
      <c r="Z343" s="657"/>
      <c r="AA343" s="990"/>
      <c r="AB343" s="811"/>
      <c r="AC343" s="551"/>
      <c r="AD343" s="551"/>
      <c r="AE343" s="551"/>
    </row>
    <row r="344" spans="1:31" s="235" customFormat="1" ht="30">
      <c r="A344" s="97"/>
      <c r="B344" s="68" t="s">
        <v>1646</v>
      </c>
      <c r="C344" s="299" t="s">
        <v>1643</v>
      </c>
      <c r="D344" s="606" t="s">
        <v>1647</v>
      </c>
      <c r="E344" s="137">
        <v>2017</v>
      </c>
      <c r="F344" s="693" t="s">
        <v>1648</v>
      </c>
      <c r="G344" s="175">
        <v>237</v>
      </c>
      <c r="H344" s="23">
        <v>237</v>
      </c>
      <c r="I344" s="23"/>
      <c r="J344" s="23"/>
      <c r="K344" s="223">
        <v>237</v>
      </c>
      <c r="L344" s="77">
        <v>237</v>
      </c>
      <c r="M344" s="23"/>
      <c r="N344" s="105">
        <v>213</v>
      </c>
      <c r="O344" s="105">
        <v>213</v>
      </c>
      <c r="P344" s="105"/>
      <c r="Q344" s="836">
        <f>R344</f>
        <v>213</v>
      </c>
      <c r="R344" s="836">
        <v>213</v>
      </c>
      <c r="S344" s="836"/>
      <c r="T344" s="73">
        <f>U344</f>
        <v>213</v>
      </c>
      <c r="U344" s="105">
        <v>213</v>
      </c>
      <c r="V344" s="105"/>
      <c r="W344" s="513" t="s">
        <v>1521</v>
      </c>
      <c r="X344" s="24"/>
      <c r="Y344" s="105"/>
      <c r="Z344" s="657"/>
      <c r="AA344" s="990"/>
      <c r="AB344" s="811"/>
      <c r="AC344" s="551"/>
      <c r="AD344" s="551"/>
      <c r="AE344" s="551"/>
    </row>
    <row r="345" spans="1:31" s="235" customFormat="1" ht="30">
      <c r="A345" s="97"/>
      <c r="B345" s="68" t="s">
        <v>1649</v>
      </c>
      <c r="C345" s="299" t="s">
        <v>1650</v>
      </c>
      <c r="D345" s="606"/>
      <c r="E345" s="137">
        <v>2017</v>
      </c>
      <c r="F345" s="693" t="s">
        <v>1651</v>
      </c>
      <c r="G345" s="175">
        <v>497</v>
      </c>
      <c r="H345" s="23">
        <v>497</v>
      </c>
      <c r="I345" s="23"/>
      <c r="J345" s="23"/>
      <c r="K345" s="223">
        <v>497</v>
      </c>
      <c r="L345" s="77">
        <v>497</v>
      </c>
      <c r="M345" s="23"/>
      <c r="N345" s="105">
        <v>497</v>
      </c>
      <c r="O345" s="105">
        <v>497</v>
      </c>
      <c r="P345" s="105"/>
      <c r="Q345" s="836">
        <f>R345</f>
        <v>497</v>
      </c>
      <c r="R345" s="836">
        <v>497</v>
      </c>
      <c r="S345" s="836"/>
      <c r="T345" s="73">
        <f>U345</f>
        <v>497</v>
      </c>
      <c r="U345" s="105">
        <v>497</v>
      </c>
      <c r="V345" s="105"/>
      <c r="W345" s="513" t="s">
        <v>1521</v>
      </c>
      <c r="X345" s="24"/>
      <c r="Y345" s="105"/>
      <c r="Z345" s="657"/>
      <c r="AA345" s="990"/>
      <c r="AB345" s="811"/>
      <c r="AC345" s="551"/>
      <c r="AD345" s="551"/>
      <c r="AE345" s="551"/>
    </row>
    <row r="346" spans="1:31" s="51" customFormat="1" ht="31.5" customHeight="1">
      <c r="A346" s="610">
        <v>9</v>
      </c>
      <c r="B346" s="968" t="s">
        <v>1721</v>
      </c>
      <c r="C346" s="611"/>
      <c r="D346" s="612"/>
      <c r="E346" s="887"/>
      <c r="F346" s="708"/>
      <c r="G346" s="613">
        <f t="shared" ref="G346:V346" si="127">SUM(G347,G349,G351,G356,G359,G361)</f>
        <v>7539</v>
      </c>
      <c r="H346" s="613">
        <f t="shared" si="127"/>
        <v>6789</v>
      </c>
      <c r="I346" s="613">
        <f t="shared" si="127"/>
        <v>997</v>
      </c>
      <c r="J346" s="613">
        <f t="shared" si="127"/>
        <v>1920</v>
      </c>
      <c r="K346" s="613">
        <f t="shared" si="127"/>
        <v>6571</v>
      </c>
      <c r="L346" s="613">
        <f t="shared" si="127"/>
        <v>4891</v>
      </c>
      <c r="M346" s="613">
        <f t="shared" si="127"/>
        <v>0</v>
      </c>
      <c r="N346" s="613">
        <f t="shared" si="127"/>
        <v>7589</v>
      </c>
      <c r="O346" s="613">
        <f t="shared" si="127"/>
        <v>6789</v>
      </c>
      <c r="P346" s="613">
        <f t="shared" si="127"/>
        <v>0</v>
      </c>
      <c r="Q346" s="613">
        <f t="shared" si="127"/>
        <v>6600</v>
      </c>
      <c r="R346" s="613">
        <f t="shared" si="127"/>
        <v>6600</v>
      </c>
      <c r="S346" s="613">
        <f t="shared" si="127"/>
        <v>0</v>
      </c>
      <c r="T346" s="613">
        <f t="shared" si="127"/>
        <v>6600</v>
      </c>
      <c r="U346" s="613">
        <f t="shared" si="127"/>
        <v>0</v>
      </c>
      <c r="V346" s="613">
        <f t="shared" si="127"/>
        <v>6600</v>
      </c>
      <c r="W346" s="613"/>
      <c r="X346" s="613"/>
      <c r="Y346" s="613">
        <v>1</v>
      </c>
      <c r="Z346" s="660"/>
      <c r="AA346" s="990">
        <f>V346</f>
        <v>6600</v>
      </c>
      <c r="AB346" s="976"/>
      <c r="AC346" s="552"/>
      <c r="AD346" s="552"/>
      <c r="AE346" s="552"/>
    </row>
    <row r="347" spans="1:31" s="203" customFormat="1" ht="26.1" customHeight="1">
      <c r="A347" s="615"/>
      <c r="B347" s="616" t="s">
        <v>557</v>
      </c>
      <c r="C347" s="298"/>
      <c r="D347" s="304"/>
      <c r="E347" s="888"/>
      <c r="F347" s="709"/>
      <c r="G347" s="614">
        <f t="shared" ref="G347:T347" si="128">SUM(G348:G348)</f>
        <v>896</v>
      </c>
      <c r="H347" s="614">
        <f t="shared" si="128"/>
        <v>896</v>
      </c>
      <c r="I347" s="614">
        <f t="shared" si="128"/>
        <v>0</v>
      </c>
      <c r="J347" s="614">
        <f t="shared" si="128"/>
        <v>0</v>
      </c>
      <c r="K347" s="614">
        <f t="shared" si="128"/>
        <v>896</v>
      </c>
      <c r="L347" s="614">
        <f t="shared" si="128"/>
        <v>896</v>
      </c>
      <c r="M347" s="614">
        <f t="shared" si="128"/>
        <v>0</v>
      </c>
      <c r="N347" s="614">
        <f t="shared" si="128"/>
        <v>896</v>
      </c>
      <c r="O347" s="614">
        <f t="shared" si="128"/>
        <v>896</v>
      </c>
      <c r="P347" s="614">
        <f t="shared" si="128"/>
        <v>0</v>
      </c>
      <c r="Q347" s="864">
        <f t="shared" si="128"/>
        <v>850</v>
      </c>
      <c r="R347" s="864">
        <f t="shared" si="128"/>
        <v>850</v>
      </c>
      <c r="S347" s="864">
        <f t="shared" si="128"/>
        <v>0</v>
      </c>
      <c r="T347" s="614">
        <f t="shared" si="128"/>
        <v>850</v>
      </c>
      <c r="U347" s="614"/>
      <c r="V347" s="614">
        <f>SUM(V348:V348)</f>
        <v>850</v>
      </c>
      <c r="W347" s="739" t="s">
        <v>1527</v>
      </c>
      <c r="X347" s="178"/>
      <c r="Y347" s="614"/>
      <c r="Z347" s="660"/>
      <c r="AA347" s="991"/>
      <c r="AB347" s="987"/>
      <c r="AC347" s="556"/>
      <c r="AD347" s="556"/>
      <c r="AE347" s="556"/>
    </row>
    <row r="348" spans="1:31" ht="32.25" customHeight="1">
      <c r="A348" s="966">
        <v>1</v>
      </c>
      <c r="B348" s="587" t="s">
        <v>558</v>
      </c>
      <c r="C348" s="299"/>
      <c r="D348" s="233" t="s">
        <v>1652</v>
      </c>
      <c r="E348" s="312" t="s">
        <v>321</v>
      </c>
      <c r="F348" s="70" t="s">
        <v>1653</v>
      </c>
      <c r="G348" s="176">
        <v>896</v>
      </c>
      <c r="H348" s="176">
        <v>896</v>
      </c>
      <c r="I348" s="207"/>
      <c r="J348" s="207"/>
      <c r="K348" s="176">
        <v>896</v>
      </c>
      <c r="L348" s="176">
        <v>896</v>
      </c>
      <c r="M348" s="207"/>
      <c r="N348" s="176">
        <v>896</v>
      </c>
      <c r="O348" s="176">
        <v>896</v>
      </c>
      <c r="P348" s="104"/>
      <c r="Q348" s="831">
        <f>SUM(R348:S348)</f>
        <v>850</v>
      </c>
      <c r="R348" s="831">
        <v>850</v>
      </c>
      <c r="S348" s="865"/>
      <c r="T348" s="104">
        <f>SUM(U348:V348)</f>
        <v>850</v>
      </c>
      <c r="U348" s="104"/>
      <c r="V348" s="104">
        <v>850</v>
      </c>
      <c r="W348" s="513"/>
      <c r="X348" s="24"/>
      <c r="Y348" s="104"/>
    </row>
    <row r="349" spans="1:31" s="203" customFormat="1" ht="26.1" customHeight="1">
      <c r="A349" s="967"/>
      <c r="B349" s="616" t="s">
        <v>561</v>
      </c>
      <c r="C349" s="298"/>
      <c r="D349" s="304"/>
      <c r="E349" s="888"/>
      <c r="F349" s="709"/>
      <c r="G349" s="614">
        <f t="shared" ref="G349:T349" si="129">G350</f>
        <v>997</v>
      </c>
      <c r="H349" s="614">
        <f t="shared" si="129"/>
        <v>997</v>
      </c>
      <c r="I349" s="614">
        <f t="shared" si="129"/>
        <v>997</v>
      </c>
      <c r="J349" s="614">
        <f t="shared" si="129"/>
        <v>997</v>
      </c>
      <c r="K349" s="614">
        <f t="shared" si="129"/>
        <v>997</v>
      </c>
      <c r="L349" s="614">
        <f t="shared" si="129"/>
        <v>997</v>
      </c>
      <c r="M349" s="614">
        <f t="shared" si="129"/>
        <v>0</v>
      </c>
      <c r="N349" s="614">
        <f t="shared" si="129"/>
        <v>997</v>
      </c>
      <c r="O349" s="614">
        <f t="shared" si="129"/>
        <v>997</v>
      </c>
      <c r="P349" s="614">
        <f t="shared" si="129"/>
        <v>0</v>
      </c>
      <c r="Q349" s="864">
        <f t="shared" si="129"/>
        <v>950</v>
      </c>
      <c r="R349" s="864">
        <f t="shared" si="129"/>
        <v>950</v>
      </c>
      <c r="S349" s="864">
        <f t="shared" si="129"/>
        <v>0</v>
      </c>
      <c r="T349" s="614">
        <f t="shared" si="129"/>
        <v>950</v>
      </c>
      <c r="U349" s="614"/>
      <c r="V349" s="614">
        <f>V350</f>
        <v>950</v>
      </c>
      <c r="W349" s="739" t="s">
        <v>1525</v>
      </c>
      <c r="X349" s="178"/>
      <c r="Y349" s="614"/>
      <c r="Z349" s="660"/>
      <c r="AA349" s="991"/>
      <c r="AB349" s="987"/>
      <c r="AC349" s="556"/>
      <c r="AD349" s="556"/>
      <c r="AE349" s="556"/>
    </row>
    <row r="350" spans="1:31" ht="32.25" customHeight="1">
      <c r="A350" s="966">
        <v>1</v>
      </c>
      <c r="B350" s="587" t="s">
        <v>562</v>
      </c>
      <c r="C350" s="299" t="s">
        <v>85</v>
      </c>
      <c r="D350" s="233" t="s">
        <v>563</v>
      </c>
      <c r="E350" s="312" t="s">
        <v>321</v>
      </c>
      <c r="F350" s="70" t="s">
        <v>1654</v>
      </c>
      <c r="G350" s="176">
        <v>997</v>
      </c>
      <c r="H350" s="176">
        <v>997</v>
      </c>
      <c r="I350" s="176">
        <v>997</v>
      </c>
      <c r="J350" s="176">
        <v>997</v>
      </c>
      <c r="K350" s="176">
        <v>997</v>
      </c>
      <c r="L350" s="176">
        <v>997</v>
      </c>
      <c r="M350" s="207"/>
      <c r="N350" s="176">
        <v>997</v>
      </c>
      <c r="O350" s="176">
        <v>997</v>
      </c>
      <c r="P350" s="104"/>
      <c r="Q350" s="831">
        <f>SUM(R350:S350)</f>
        <v>950</v>
      </c>
      <c r="R350" s="831">
        <v>950</v>
      </c>
      <c r="S350" s="865"/>
      <c r="T350" s="73">
        <f>SUM(U350:V350)</f>
        <v>950</v>
      </c>
      <c r="U350" s="104"/>
      <c r="V350" s="104">
        <v>950</v>
      </c>
      <c r="W350" s="513"/>
      <c r="X350" s="24"/>
      <c r="Y350" s="104"/>
    </row>
    <row r="351" spans="1:31" s="203" customFormat="1" ht="26.1" customHeight="1">
      <c r="A351" s="967"/>
      <c r="B351" s="616" t="s">
        <v>564</v>
      </c>
      <c r="C351" s="298"/>
      <c r="D351" s="304"/>
      <c r="E351" s="888"/>
      <c r="F351" s="709"/>
      <c r="G351" s="614">
        <f t="shared" ref="G351:T351" si="130">SUM(G352:G355)</f>
        <v>1000</v>
      </c>
      <c r="H351" s="614">
        <f t="shared" si="130"/>
        <v>1000</v>
      </c>
      <c r="I351" s="614">
        <f t="shared" si="130"/>
        <v>0</v>
      </c>
      <c r="J351" s="614">
        <f t="shared" si="130"/>
        <v>0</v>
      </c>
      <c r="K351" s="614">
        <f t="shared" si="130"/>
        <v>1000</v>
      </c>
      <c r="L351" s="614">
        <f t="shared" si="130"/>
        <v>1000</v>
      </c>
      <c r="M351" s="614">
        <f t="shared" si="130"/>
        <v>0</v>
      </c>
      <c r="N351" s="614">
        <f t="shared" si="130"/>
        <v>1000</v>
      </c>
      <c r="O351" s="614">
        <f t="shared" si="130"/>
        <v>1000</v>
      </c>
      <c r="P351" s="614">
        <f t="shared" si="130"/>
        <v>0</v>
      </c>
      <c r="Q351" s="864">
        <f t="shared" si="130"/>
        <v>1000</v>
      </c>
      <c r="R351" s="864">
        <f t="shared" si="130"/>
        <v>1000</v>
      </c>
      <c r="S351" s="864">
        <f t="shared" si="130"/>
        <v>0</v>
      </c>
      <c r="T351" s="614">
        <f t="shared" si="130"/>
        <v>1000</v>
      </c>
      <c r="U351" s="614"/>
      <c r="V351" s="614">
        <f>SUM(V352:V355)</f>
        <v>1000</v>
      </c>
      <c r="W351" s="739" t="s">
        <v>1516</v>
      </c>
      <c r="X351" s="178"/>
      <c r="Y351" s="614"/>
      <c r="Z351" s="660"/>
      <c r="AA351" s="991"/>
      <c r="AB351" s="987"/>
      <c r="AC351" s="556"/>
      <c r="AD351" s="556"/>
      <c r="AE351" s="556"/>
    </row>
    <row r="352" spans="1:31" ht="26.1" customHeight="1">
      <c r="A352" s="966">
        <v>1</v>
      </c>
      <c r="B352" s="587" t="s">
        <v>565</v>
      </c>
      <c r="C352" s="299"/>
      <c r="D352" s="233"/>
      <c r="E352" s="312" t="s">
        <v>321</v>
      </c>
      <c r="F352" s="70" t="s">
        <v>1655</v>
      </c>
      <c r="G352" s="176">
        <v>185</v>
      </c>
      <c r="H352" s="176">
        <v>185</v>
      </c>
      <c r="I352" s="207"/>
      <c r="J352" s="207"/>
      <c r="K352" s="176">
        <v>185</v>
      </c>
      <c r="L352" s="176">
        <v>185</v>
      </c>
      <c r="M352" s="207"/>
      <c r="N352" s="176">
        <v>185</v>
      </c>
      <c r="O352" s="176">
        <v>185</v>
      </c>
      <c r="P352" s="104"/>
      <c r="Q352" s="848">
        <v>185</v>
      </c>
      <c r="R352" s="848">
        <v>185</v>
      </c>
      <c r="S352" s="865"/>
      <c r="T352" s="176">
        <v>185</v>
      </c>
      <c r="U352" s="176"/>
      <c r="V352" s="176">
        <v>185</v>
      </c>
      <c r="W352" s="513"/>
      <c r="X352" s="24"/>
      <c r="Y352" s="104"/>
    </row>
    <row r="353" spans="1:31" ht="46.5" customHeight="1">
      <c r="A353" s="966">
        <v>2</v>
      </c>
      <c r="B353" s="587" t="s">
        <v>566</v>
      </c>
      <c r="C353" s="299"/>
      <c r="D353" s="233" t="s">
        <v>567</v>
      </c>
      <c r="E353" s="312" t="s">
        <v>321</v>
      </c>
      <c r="F353" s="70" t="s">
        <v>1656</v>
      </c>
      <c r="G353" s="176">
        <v>175</v>
      </c>
      <c r="H353" s="176">
        <v>175</v>
      </c>
      <c r="I353" s="207"/>
      <c r="J353" s="207"/>
      <c r="K353" s="176">
        <v>175</v>
      </c>
      <c r="L353" s="176">
        <v>175</v>
      </c>
      <c r="M353" s="207"/>
      <c r="N353" s="176">
        <v>175</v>
      </c>
      <c r="O353" s="176">
        <v>175</v>
      </c>
      <c r="P353" s="104"/>
      <c r="Q353" s="848">
        <v>175</v>
      </c>
      <c r="R353" s="848">
        <v>175</v>
      </c>
      <c r="S353" s="865"/>
      <c r="T353" s="176">
        <v>175</v>
      </c>
      <c r="U353" s="176"/>
      <c r="V353" s="176">
        <v>175</v>
      </c>
      <c r="W353" s="513"/>
      <c r="X353" s="24"/>
      <c r="Y353" s="104"/>
    </row>
    <row r="354" spans="1:31" ht="36" customHeight="1">
      <c r="A354" s="966">
        <v>3</v>
      </c>
      <c r="B354" s="587" t="s">
        <v>568</v>
      </c>
      <c r="C354" s="299"/>
      <c r="D354" s="233"/>
      <c r="E354" s="312">
        <v>2017</v>
      </c>
      <c r="F354" s="70" t="s">
        <v>1657</v>
      </c>
      <c r="G354" s="176">
        <v>246</v>
      </c>
      <c r="H354" s="176">
        <v>246</v>
      </c>
      <c r="I354" s="207"/>
      <c r="J354" s="207"/>
      <c r="K354" s="176">
        <v>246</v>
      </c>
      <c r="L354" s="176">
        <v>246</v>
      </c>
      <c r="M354" s="207"/>
      <c r="N354" s="176">
        <v>246</v>
      </c>
      <c r="O354" s="176">
        <v>246</v>
      </c>
      <c r="P354" s="104"/>
      <c r="Q354" s="848">
        <v>246</v>
      </c>
      <c r="R354" s="848">
        <v>246</v>
      </c>
      <c r="S354" s="865"/>
      <c r="T354" s="176">
        <v>246</v>
      </c>
      <c r="U354" s="176"/>
      <c r="V354" s="176">
        <v>246</v>
      </c>
      <c r="W354" s="513"/>
      <c r="X354" s="24"/>
      <c r="Y354" s="104"/>
    </row>
    <row r="355" spans="1:31" ht="45" customHeight="1">
      <c r="A355" s="966">
        <v>4</v>
      </c>
      <c r="B355" s="587" t="s">
        <v>569</v>
      </c>
      <c r="C355" s="299"/>
      <c r="D355" s="233"/>
      <c r="E355" s="312">
        <v>2017</v>
      </c>
      <c r="F355" s="70" t="s">
        <v>1658</v>
      </c>
      <c r="G355" s="176">
        <v>394</v>
      </c>
      <c r="H355" s="176">
        <v>394</v>
      </c>
      <c r="I355" s="207"/>
      <c r="J355" s="207"/>
      <c r="K355" s="176">
        <v>394</v>
      </c>
      <c r="L355" s="176">
        <v>394</v>
      </c>
      <c r="M355" s="207"/>
      <c r="N355" s="176">
        <v>394</v>
      </c>
      <c r="O355" s="176">
        <v>394</v>
      </c>
      <c r="P355" s="104"/>
      <c r="Q355" s="848">
        <v>394</v>
      </c>
      <c r="R355" s="848">
        <v>394</v>
      </c>
      <c r="S355" s="865"/>
      <c r="T355" s="176">
        <v>394</v>
      </c>
      <c r="U355" s="176"/>
      <c r="V355" s="176">
        <v>394</v>
      </c>
      <c r="W355" s="513"/>
      <c r="X355" s="24"/>
      <c r="Y355" s="104"/>
    </row>
    <row r="356" spans="1:31" s="203" customFormat="1" ht="26.1" customHeight="1">
      <c r="A356" s="967"/>
      <c r="B356" s="616" t="s">
        <v>570</v>
      </c>
      <c r="C356" s="298"/>
      <c r="D356" s="304"/>
      <c r="E356" s="888"/>
      <c r="F356" s="709"/>
      <c r="G356" s="614">
        <f t="shared" ref="G356:T356" si="131">SUM(G357:G358)</f>
        <v>1898</v>
      </c>
      <c r="H356" s="614">
        <f t="shared" si="131"/>
        <v>1898</v>
      </c>
      <c r="I356" s="614">
        <f t="shared" si="131"/>
        <v>0</v>
      </c>
      <c r="J356" s="614">
        <f t="shared" si="131"/>
        <v>923</v>
      </c>
      <c r="K356" s="614">
        <f t="shared" si="131"/>
        <v>923</v>
      </c>
      <c r="L356" s="614">
        <f t="shared" si="131"/>
        <v>0</v>
      </c>
      <c r="M356" s="614">
        <f t="shared" si="131"/>
        <v>0</v>
      </c>
      <c r="N356" s="614">
        <f t="shared" si="131"/>
        <v>1898</v>
      </c>
      <c r="O356" s="614">
        <f t="shared" si="131"/>
        <v>1898</v>
      </c>
      <c r="P356" s="614">
        <f t="shared" si="131"/>
        <v>0</v>
      </c>
      <c r="Q356" s="864">
        <f t="shared" si="131"/>
        <v>1850</v>
      </c>
      <c r="R356" s="864">
        <f t="shared" si="131"/>
        <v>1850</v>
      </c>
      <c r="S356" s="864">
        <f t="shared" si="131"/>
        <v>0</v>
      </c>
      <c r="T356" s="614">
        <f t="shared" si="131"/>
        <v>1850</v>
      </c>
      <c r="U356" s="614"/>
      <c r="V356" s="614">
        <f>SUM(V357:V358)</f>
        <v>1850</v>
      </c>
      <c r="W356" s="739" t="s">
        <v>1551</v>
      </c>
      <c r="X356" s="178"/>
      <c r="Y356" s="614"/>
      <c r="Z356" s="660"/>
      <c r="AA356" s="991"/>
      <c r="AB356" s="987"/>
      <c r="AC356" s="556"/>
      <c r="AD356" s="556"/>
      <c r="AE356" s="556"/>
    </row>
    <row r="357" spans="1:31" ht="45">
      <c r="A357" s="966">
        <v>1</v>
      </c>
      <c r="B357" s="587" t="s">
        <v>571</v>
      </c>
      <c r="C357" s="299"/>
      <c r="D357" s="233" t="s">
        <v>572</v>
      </c>
      <c r="E357" s="312" t="s">
        <v>321</v>
      </c>
      <c r="F357" s="70" t="s">
        <v>1668</v>
      </c>
      <c r="G357" s="176">
        <v>975</v>
      </c>
      <c r="H357" s="176">
        <v>975</v>
      </c>
      <c r="I357" s="207"/>
      <c r="J357" s="207"/>
      <c r="K357" s="176"/>
      <c r="L357" s="176"/>
      <c r="M357" s="207"/>
      <c r="N357" s="176">
        <v>975</v>
      </c>
      <c r="O357" s="176">
        <v>975</v>
      </c>
      <c r="P357" s="104"/>
      <c r="Q357" s="848">
        <v>950</v>
      </c>
      <c r="R357" s="848">
        <v>950</v>
      </c>
      <c r="S357" s="865"/>
      <c r="T357" s="176">
        <f>SUM(U357:V357)</f>
        <v>950</v>
      </c>
      <c r="U357" s="176"/>
      <c r="V357" s="176">
        <v>950</v>
      </c>
      <c r="W357" s="513" t="s">
        <v>1551</v>
      </c>
      <c r="X357" s="24"/>
      <c r="Y357" s="104"/>
    </row>
    <row r="358" spans="1:31" ht="45">
      <c r="A358" s="966">
        <v>2</v>
      </c>
      <c r="B358" s="587" t="s">
        <v>573</v>
      </c>
      <c r="C358" s="299"/>
      <c r="D358" s="233" t="s">
        <v>1659</v>
      </c>
      <c r="E358" s="312" t="s">
        <v>321</v>
      </c>
      <c r="F358" s="24" t="s">
        <v>1660</v>
      </c>
      <c r="G358" s="176">
        <v>923</v>
      </c>
      <c r="H358" s="176">
        <v>923</v>
      </c>
      <c r="I358" s="207"/>
      <c r="J358" s="176">
        <v>923</v>
      </c>
      <c r="K358" s="176">
        <v>923</v>
      </c>
      <c r="L358" s="176"/>
      <c r="M358" s="207"/>
      <c r="N358" s="176">
        <v>923</v>
      </c>
      <c r="O358" s="176">
        <v>923</v>
      </c>
      <c r="P358" s="104"/>
      <c r="Q358" s="831">
        <v>900</v>
      </c>
      <c r="R358" s="831">
        <v>900</v>
      </c>
      <c r="S358" s="865"/>
      <c r="T358" s="104">
        <v>900</v>
      </c>
      <c r="U358" s="104"/>
      <c r="V358" s="104">
        <v>900</v>
      </c>
      <c r="W358" s="739" t="s">
        <v>1551</v>
      </c>
      <c r="X358" s="24"/>
      <c r="Y358" s="104"/>
      <c r="Z358" s="714"/>
    </row>
    <row r="359" spans="1:31" s="203" customFormat="1" ht="26.1" customHeight="1">
      <c r="A359" s="967"/>
      <c r="B359" s="616" t="s">
        <v>584</v>
      </c>
      <c r="C359" s="298"/>
      <c r="D359" s="304"/>
      <c r="E359" s="888"/>
      <c r="F359" s="709"/>
      <c r="G359" s="614">
        <f t="shared" ref="G359:T359" si="132">G360</f>
        <v>998</v>
      </c>
      <c r="H359" s="614">
        <f t="shared" si="132"/>
        <v>998</v>
      </c>
      <c r="I359" s="614">
        <f t="shared" si="132"/>
        <v>0</v>
      </c>
      <c r="J359" s="614">
        <f t="shared" si="132"/>
        <v>0</v>
      </c>
      <c r="K359" s="614">
        <f t="shared" si="132"/>
        <v>998</v>
      </c>
      <c r="L359" s="614">
        <f t="shared" si="132"/>
        <v>998</v>
      </c>
      <c r="M359" s="614">
        <f t="shared" si="132"/>
        <v>0</v>
      </c>
      <c r="N359" s="614">
        <f t="shared" si="132"/>
        <v>998</v>
      </c>
      <c r="O359" s="614">
        <f t="shared" si="132"/>
        <v>998</v>
      </c>
      <c r="P359" s="614">
        <f t="shared" si="132"/>
        <v>0</v>
      </c>
      <c r="Q359" s="864">
        <f t="shared" si="132"/>
        <v>950</v>
      </c>
      <c r="R359" s="864">
        <f t="shared" si="132"/>
        <v>950</v>
      </c>
      <c r="S359" s="864">
        <f t="shared" si="132"/>
        <v>0</v>
      </c>
      <c r="T359" s="614">
        <f t="shared" si="132"/>
        <v>950</v>
      </c>
      <c r="U359" s="614"/>
      <c r="V359" s="614">
        <f>V360</f>
        <v>950</v>
      </c>
      <c r="W359" s="746" t="s">
        <v>1517</v>
      </c>
      <c r="X359" s="178"/>
      <c r="Y359" s="614"/>
      <c r="Z359" s="660"/>
      <c r="AA359" s="991"/>
      <c r="AB359" s="987"/>
      <c r="AC359" s="556"/>
      <c r="AD359" s="556"/>
      <c r="AE359" s="556"/>
    </row>
    <row r="360" spans="1:31" ht="26.1" customHeight="1">
      <c r="A360" s="966">
        <v>1</v>
      </c>
      <c r="B360" s="587" t="s">
        <v>585</v>
      </c>
      <c r="C360" s="299"/>
      <c r="D360" s="233" t="s">
        <v>1661</v>
      </c>
      <c r="E360" s="312" t="s">
        <v>321</v>
      </c>
      <c r="F360" s="70" t="s">
        <v>1662</v>
      </c>
      <c r="G360" s="176">
        <v>998</v>
      </c>
      <c r="H360" s="176">
        <v>998</v>
      </c>
      <c r="I360" s="207"/>
      <c r="J360" s="207"/>
      <c r="K360" s="176">
        <v>998</v>
      </c>
      <c r="L360" s="176">
        <v>998</v>
      </c>
      <c r="M360" s="207"/>
      <c r="N360" s="104">
        <v>998</v>
      </c>
      <c r="O360" s="104">
        <v>998</v>
      </c>
      <c r="P360" s="104"/>
      <c r="Q360" s="831">
        <v>950</v>
      </c>
      <c r="R360" s="831">
        <v>950</v>
      </c>
      <c r="S360" s="865"/>
      <c r="T360" s="104">
        <v>950</v>
      </c>
      <c r="U360" s="104"/>
      <c r="V360" s="104">
        <v>950</v>
      </c>
      <c r="W360" s="513"/>
      <c r="X360" s="24"/>
      <c r="Y360" s="104"/>
    </row>
    <row r="361" spans="1:31" s="203" customFormat="1" ht="26.1" customHeight="1">
      <c r="A361" s="967"/>
      <c r="B361" s="616" t="s">
        <v>586</v>
      </c>
      <c r="C361" s="298"/>
      <c r="D361" s="304"/>
      <c r="E361" s="888"/>
      <c r="F361" s="709"/>
      <c r="G361" s="614">
        <f t="shared" ref="G361:T361" si="133">SUM(G362:G362)</f>
        <v>1750</v>
      </c>
      <c r="H361" s="614">
        <f t="shared" si="133"/>
        <v>1000</v>
      </c>
      <c r="I361" s="614">
        <f t="shared" si="133"/>
        <v>0</v>
      </c>
      <c r="J361" s="614">
        <f t="shared" si="133"/>
        <v>0</v>
      </c>
      <c r="K361" s="614">
        <f t="shared" si="133"/>
        <v>1757</v>
      </c>
      <c r="L361" s="614">
        <f t="shared" si="133"/>
        <v>1000</v>
      </c>
      <c r="M361" s="614">
        <f t="shared" si="133"/>
        <v>0</v>
      </c>
      <c r="N361" s="614">
        <f t="shared" si="133"/>
        <v>1800</v>
      </c>
      <c r="O361" s="614">
        <f t="shared" si="133"/>
        <v>1000</v>
      </c>
      <c r="P361" s="614">
        <f t="shared" si="133"/>
        <v>0</v>
      </c>
      <c r="Q361" s="864">
        <f t="shared" si="133"/>
        <v>1000</v>
      </c>
      <c r="R361" s="864">
        <f t="shared" si="133"/>
        <v>1000</v>
      </c>
      <c r="S361" s="864">
        <f t="shared" si="133"/>
        <v>0</v>
      </c>
      <c r="T361" s="614">
        <f t="shared" si="133"/>
        <v>1000</v>
      </c>
      <c r="U361" s="614"/>
      <c r="V361" s="614">
        <f>SUM(V362:V362)</f>
        <v>1000</v>
      </c>
      <c r="W361" s="739" t="s">
        <v>1529</v>
      </c>
      <c r="X361" s="178"/>
      <c r="Y361" s="614"/>
      <c r="Z361" s="660"/>
      <c r="AA361" s="991"/>
      <c r="AB361" s="987"/>
      <c r="AC361" s="556"/>
      <c r="AD361" s="556"/>
      <c r="AE361" s="556"/>
    </row>
    <row r="362" spans="1:31" ht="33.75" customHeight="1">
      <c r="A362" s="966">
        <v>1</v>
      </c>
      <c r="B362" s="587" t="s">
        <v>587</v>
      </c>
      <c r="C362" s="299"/>
      <c r="D362" s="233" t="s">
        <v>588</v>
      </c>
      <c r="E362" s="312" t="s">
        <v>321</v>
      </c>
      <c r="F362" s="70" t="s">
        <v>1663</v>
      </c>
      <c r="G362" s="176">
        <v>1750</v>
      </c>
      <c r="H362" s="176">
        <v>1000</v>
      </c>
      <c r="I362" s="207"/>
      <c r="J362" s="207"/>
      <c r="K362" s="176">
        <v>1757</v>
      </c>
      <c r="L362" s="176">
        <v>1000</v>
      </c>
      <c r="M362" s="207"/>
      <c r="N362" s="104">
        <v>1800</v>
      </c>
      <c r="O362" s="104">
        <v>1000</v>
      </c>
      <c r="P362" s="104"/>
      <c r="Q362" s="831">
        <v>1000</v>
      </c>
      <c r="R362" s="831">
        <v>1000</v>
      </c>
      <c r="S362" s="865"/>
      <c r="T362" s="73">
        <f>SUM(U362:V362)</f>
        <v>1000</v>
      </c>
      <c r="U362" s="104"/>
      <c r="V362" s="104">
        <v>1000</v>
      </c>
      <c r="W362" s="513"/>
      <c r="X362" s="24"/>
      <c r="Y362" s="104"/>
    </row>
    <row r="363" spans="1:31" s="640" customFormat="1" ht="34.5" customHeight="1">
      <c r="A363" s="630" t="s">
        <v>1119</v>
      </c>
      <c r="B363" s="618" t="s">
        <v>1137</v>
      </c>
      <c r="C363" s="625"/>
      <c r="D363" s="625"/>
      <c r="E363" s="626"/>
      <c r="F363" s="690"/>
      <c r="G363" s="636">
        <f t="shared" ref="G363:V363" si="134">G364+G370</f>
        <v>698777</v>
      </c>
      <c r="H363" s="636">
        <f t="shared" si="134"/>
        <v>511314</v>
      </c>
      <c r="I363" s="636">
        <f t="shared" si="134"/>
        <v>156905</v>
      </c>
      <c r="J363" s="636">
        <f t="shared" si="134"/>
        <v>144121</v>
      </c>
      <c r="K363" s="636">
        <f t="shared" si="134"/>
        <v>647763</v>
      </c>
      <c r="L363" s="636">
        <f t="shared" si="134"/>
        <v>459248</v>
      </c>
      <c r="M363" s="636">
        <f t="shared" si="134"/>
        <v>0</v>
      </c>
      <c r="N363" s="636">
        <f t="shared" si="134"/>
        <v>227539</v>
      </c>
      <c r="O363" s="636">
        <f t="shared" si="134"/>
        <v>193414</v>
      </c>
      <c r="P363" s="636">
        <f t="shared" si="134"/>
        <v>0</v>
      </c>
      <c r="Q363" s="855">
        <f t="shared" si="134"/>
        <v>168511</v>
      </c>
      <c r="R363" s="855">
        <f t="shared" si="134"/>
        <v>168511</v>
      </c>
      <c r="S363" s="855">
        <f t="shared" si="134"/>
        <v>0</v>
      </c>
      <c r="T363" s="636">
        <f t="shared" si="134"/>
        <v>140042</v>
      </c>
      <c r="U363" s="636">
        <f t="shared" si="134"/>
        <v>122272</v>
      </c>
      <c r="V363" s="636">
        <f t="shared" si="134"/>
        <v>17770</v>
      </c>
      <c r="W363" s="690"/>
      <c r="X363" s="690"/>
      <c r="Y363" s="636">
        <f>Y364+Y370</f>
        <v>37</v>
      </c>
      <c r="Z363" s="659"/>
      <c r="AA363" s="996"/>
      <c r="AB363" s="988"/>
      <c r="AC363" s="639"/>
      <c r="AD363" s="639"/>
      <c r="AE363" s="639"/>
    </row>
    <row r="364" spans="1:31" s="267" customFormat="1" ht="19.5" customHeight="1">
      <c r="A364" s="11" t="s">
        <v>525</v>
      </c>
      <c r="B364" s="65" t="s">
        <v>26</v>
      </c>
      <c r="C364" s="13"/>
      <c r="D364" s="13"/>
      <c r="E364" s="14"/>
      <c r="F364" s="89"/>
      <c r="G364" s="15">
        <f t="shared" ref="G364:V364" si="135">SUM(G365:G369)</f>
        <v>25158</v>
      </c>
      <c r="H364" s="15">
        <f t="shared" si="135"/>
        <v>25158</v>
      </c>
      <c r="I364" s="15">
        <f t="shared" si="135"/>
        <v>0</v>
      </c>
      <c r="J364" s="15">
        <f t="shared" si="135"/>
        <v>0</v>
      </c>
      <c r="K364" s="15">
        <f t="shared" si="135"/>
        <v>25158</v>
      </c>
      <c r="L364" s="15">
        <f t="shared" si="135"/>
        <v>25158</v>
      </c>
      <c r="M364" s="15">
        <f t="shared" si="135"/>
        <v>0</v>
      </c>
      <c r="N364" s="15">
        <f t="shared" si="135"/>
        <v>550</v>
      </c>
      <c r="O364" s="15">
        <f t="shared" si="135"/>
        <v>550</v>
      </c>
      <c r="P364" s="15">
        <f t="shared" si="135"/>
        <v>0</v>
      </c>
      <c r="Q364" s="846">
        <f t="shared" si="135"/>
        <v>550</v>
      </c>
      <c r="R364" s="846">
        <f t="shared" si="135"/>
        <v>550</v>
      </c>
      <c r="S364" s="846">
        <f t="shared" si="135"/>
        <v>0</v>
      </c>
      <c r="T364" s="15">
        <f t="shared" si="135"/>
        <v>550</v>
      </c>
      <c r="U364" s="15">
        <f t="shared" si="135"/>
        <v>550</v>
      </c>
      <c r="V364" s="15">
        <f t="shared" si="135"/>
        <v>0</v>
      </c>
      <c r="W364" s="89"/>
      <c r="X364" s="89"/>
      <c r="Y364" s="15">
        <f>SUM(Y365:Y369)</f>
        <v>5</v>
      </c>
      <c r="Z364" s="660"/>
      <c r="AA364" s="996"/>
      <c r="AB364" s="988"/>
      <c r="AC364" s="558"/>
      <c r="AD364" s="558"/>
      <c r="AE364" s="558"/>
    </row>
    <row r="365" spans="1:31" s="25" customFormat="1" ht="30">
      <c r="A365" s="17" t="s">
        <v>27</v>
      </c>
      <c r="B365" s="291" t="s">
        <v>28</v>
      </c>
      <c r="C365" s="18" t="s">
        <v>29</v>
      </c>
      <c r="D365" s="19"/>
      <c r="E365" s="20" t="s">
        <v>30</v>
      </c>
      <c r="F365" s="80"/>
      <c r="G365" s="21">
        <v>20000</v>
      </c>
      <c r="H365" s="21">
        <v>20000</v>
      </c>
      <c r="I365" s="22">
        <v>0</v>
      </c>
      <c r="J365" s="23">
        <v>0</v>
      </c>
      <c r="K365" s="21">
        <v>20000</v>
      </c>
      <c r="L365" s="21">
        <v>20000</v>
      </c>
      <c r="M365" s="23"/>
      <c r="N365" s="21">
        <v>100</v>
      </c>
      <c r="O365" s="22">
        <v>100</v>
      </c>
      <c r="P365" s="23"/>
      <c r="Q365" s="833">
        <f>SUM(R365:S365)</f>
        <v>100</v>
      </c>
      <c r="R365" s="853">
        <v>100</v>
      </c>
      <c r="S365" s="853"/>
      <c r="T365" s="73">
        <f>SUM(U365:V365)</f>
        <v>100</v>
      </c>
      <c r="U365" s="22">
        <v>100</v>
      </c>
      <c r="V365" s="22"/>
      <c r="W365" s="691" t="s">
        <v>1542</v>
      </c>
      <c r="X365" s="24"/>
      <c r="Y365" s="22">
        <v>1</v>
      </c>
      <c r="Z365" s="657"/>
      <c r="AA365" s="996"/>
      <c r="AB365" s="978"/>
      <c r="AC365" s="553"/>
      <c r="AD365" s="553"/>
      <c r="AE365" s="553"/>
    </row>
    <row r="366" spans="1:31" s="25" customFormat="1" ht="25.5">
      <c r="A366" s="17" t="s">
        <v>41</v>
      </c>
      <c r="B366" s="291" t="s">
        <v>156</v>
      </c>
      <c r="C366" s="18" t="s">
        <v>29</v>
      </c>
      <c r="D366" s="19" t="s">
        <v>157</v>
      </c>
      <c r="E366" s="20" t="s">
        <v>154</v>
      </c>
      <c r="F366" s="80" t="s">
        <v>158</v>
      </c>
      <c r="G366" s="21">
        <v>5158</v>
      </c>
      <c r="H366" s="22">
        <v>5158</v>
      </c>
      <c r="I366" s="42">
        <v>0</v>
      </c>
      <c r="J366" s="42">
        <v>0</v>
      </c>
      <c r="K366" s="22">
        <v>5158</v>
      </c>
      <c r="L366" s="22">
        <v>5158</v>
      </c>
      <c r="M366" s="23"/>
      <c r="N366" s="21">
        <f>+O366</f>
        <v>150</v>
      </c>
      <c r="O366" s="22">
        <v>150</v>
      </c>
      <c r="P366" s="23"/>
      <c r="Q366" s="833">
        <f>SUM(R366:S366)</f>
        <v>150</v>
      </c>
      <c r="R366" s="853">
        <v>150</v>
      </c>
      <c r="S366" s="853"/>
      <c r="T366" s="73">
        <f>SUM(U366:V366)</f>
        <v>150</v>
      </c>
      <c r="U366" s="22">
        <v>150</v>
      </c>
      <c r="V366" s="22"/>
      <c r="W366" s="691" t="s">
        <v>1519</v>
      </c>
      <c r="X366" s="24"/>
      <c r="Y366" s="22">
        <v>1</v>
      </c>
      <c r="Z366" s="657"/>
      <c r="AA366" s="996"/>
      <c r="AB366" s="978"/>
      <c r="AC366" s="553"/>
      <c r="AD366" s="553"/>
      <c r="AE366" s="553"/>
    </row>
    <row r="367" spans="1:31" s="649" customFormat="1" ht="25.5">
      <c r="A367" s="17" t="s">
        <v>58</v>
      </c>
      <c r="B367" s="291" t="s">
        <v>547</v>
      </c>
      <c r="C367" s="18" t="s">
        <v>85</v>
      </c>
      <c r="D367" s="19"/>
      <c r="E367" s="20">
        <v>2018</v>
      </c>
      <c r="F367" s="80"/>
      <c r="G367" s="21"/>
      <c r="H367" s="21"/>
      <c r="I367" s="22"/>
      <c r="J367" s="23"/>
      <c r="K367" s="21"/>
      <c r="L367" s="21"/>
      <c r="M367" s="23"/>
      <c r="N367" s="21">
        <v>100</v>
      </c>
      <c r="O367" s="22">
        <v>100</v>
      </c>
      <c r="P367" s="23"/>
      <c r="Q367" s="833">
        <v>100</v>
      </c>
      <c r="R367" s="853">
        <v>100</v>
      </c>
      <c r="S367" s="853"/>
      <c r="T367" s="73">
        <f>SUM(U367:V367)</f>
        <v>100</v>
      </c>
      <c r="U367" s="22">
        <v>100</v>
      </c>
      <c r="V367" s="22"/>
      <c r="W367" s="691" t="s">
        <v>1586</v>
      </c>
      <c r="X367" s="24"/>
      <c r="Y367" s="22">
        <v>1</v>
      </c>
      <c r="Z367" s="657"/>
      <c r="AA367" s="996"/>
      <c r="AB367" s="989"/>
      <c r="AC367" s="648"/>
      <c r="AD367" s="648"/>
      <c r="AE367" s="648"/>
    </row>
    <row r="368" spans="1:31" s="649" customFormat="1" ht="25.5">
      <c r="A368" s="17" t="s">
        <v>64</v>
      </c>
      <c r="B368" s="291" t="s">
        <v>548</v>
      </c>
      <c r="C368" s="18" t="s">
        <v>260</v>
      </c>
      <c r="D368" s="19"/>
      <c r="E368" s="20" t="s">
        <v>549</v>
      </c>
      <c r="F368" s="80"/>
      <c r="G368" s="21"/>
      <c r="H368" s="21"/>
      <c r="I368" s="22"/>
      <c r="J368" s="23"/>
      <c r="K368" s="21"/>
      <c r="L368" s="21"/>
      <c r="M368" s="23"/>
      <c r="N368" s="21">
        <v>100</v>
      </c>
      <c r="O368" s="22">
        <v>100</v>
      </c>
      <c r="P368" s="23"/>
      <c r="Q368" s="833">
        <v>100</v>
      </c>
      <c r="R368" s="853">
        <v>100</v>
      </c>
      <c r="S368" s="853"/>
      <c r="T368" s="73">
        <f>SUM(U368:V368)</f>
        <v>100</v>
      </c>
      <c r="U368" s="22">
        <v>100</v>
      </c>
      <c r="V368" s="22"/>
      <c r="W368" s="691" t="s">
        <v>1586</v>
      </c>
      <c r="X368" s="24"/>
      <c r="Y368" s="22">
        <v>1</v>
      </c>
      <c r="Z368" s="657"/>
      <c r="AA368" s="996"/>
      <c r="AB368" s="989"/>
      <c r="AC368" s="648"/>
      <c r="AD368" s="648"/>
      <c r="AE368" s="648"/>
    </row>
    <row r="369" spans="1:31" s="649" customFormat="1" ht="25.5">
      <c r="A369" s="17" t="s">
        <v>69</v>
      </c>
      <c r="B369" s="291" t="s">
        <v>550</v>
      </c>
      <c r="C369" s="18" t="s">
        <v>71</v>
      </c>
      <c r="D369" s="19"/>
      <c r="E369" s="20" t="s">
        <v>549</v>
      </c>
      <c r="F369" s="80"/>
      <c r="G369" s="21"/>
      <c r="H369" s="21"/>
      <c r="I369" s="22"/>
      <c r="J369" s="23"/>
      <c r="K369" s="21"/>
      <c r="L369" s="21"/>
      <c r="M369" s="23"/>
      <c r="N369" s="21">
        <v>100</v>
      </c>
      <c r="O369" s="22">
        <v>100</v>
      </c>
      <c r="P369" s="23"/>
      <c r="Q369" s="833">
        <v>100</v>
      </c>
      <c r="R369" s="853">
        <v>100</v>
      </c>
      <c r="S369" s="853"/>
      <c r="T369" s="73">
        <f>SUM(U369:V369)</f>
        <v>100</v>
      </c>
      <c r="U369" s="22">
        <v>100</v>
      </c>
      <c r="V369" s="22"/>
      <c r="W369" s="691" t="s">
        <v>1586</v>
      </c>
      <c r="X369" s="24"/>
      <c r="Y369" s="22">
        <v>1</v>
      </c>
      <c r="Z369" s="657"/>
      <c r="AA369" s="996"/>
      <c r="AB369" s="989"/>
      <c r="AC369" s="648"/>
      <c r="AD369" s="648"/>
      <c r="AE369" s="648"/>
    </row>
    <row r="370" spans="1:31" s="267" customFormat="1" ht="19.5" customHeight="1">
      <c r="A370" s="11" t="s">
        <v>499</v>
      </c>
      <c r="B370" s="586" t="s">
        <v>31</v>
      </c>
      <c r="C370" s="13"/>
      <c r="D370" s="13"/>
      <c r="E370" s="14"/>
      <c r="F370" s="89"/>
      <c r="G370" s="15">
        <f t="shared" ref="G370:V370" si="136">SUM(G371,G380,G390)</f>
        <v>673619</v>
      </c>
      <c r="H370" s="15">
        <f t="shared" si="136"/>
        <v>486156</v>
      </c>
      <c r="I370" s="15">
        <f t="shared" si="136"/>
        <v>156905</v>
      </c>
      <c r="J370" s="15">
        <f t="shared" si="136"/>
        <v>144121</v>
      </c>
      <c r="K370" s="15">
        <f t="shared" si="136"/>
        <v>622605</v>
      </c>
      <c r="L370" s="15">
        <f t="shared" si="136"/>
        <v>434090</v>
      </c>
      <c r="M370" s="15">
        <f t="shared" si="136"/>
        <v>0</v>
      </c>
      <c r="N370" s="15">
        <f t="shared" si="136"/>
        <v>226989</v>
      </c>
      <c r="O370" s="15">
        <f t="shared" si="136"/>
        <v>192864</v>
      </c>
      <c r="P370" s="15">
        <f t="shared" si="136"/>
        <v>0</v>
      </c>
      <c r="Q370" s="846">
        <f t="shared" si="136"/>
        <v>167961</v>
      </c>
      <c r="R370" s="846">
        <f t="shared" si="136"/>
        <v>167961</v>
      </c>
      <c r="S370" s="846">
        <f t="shared" si="136"/>
        <v>0</v>
      </c>
      <c r="T370" s="15">
        <f t="shared" si="136"/>
        <v>139492</v>
      </c>
      <c r="U370" s="15">
        <f t="shared" si="136"/>
        <v>121722</v>
      </c>
      <c r="V370" s="15">
        <f t="shared" si="136"/>
        <v>17770</v>
      </c>
      <c r="W370" s="89"/>
      <c r="X370" s="89"/>
      <c r="Y370" s="15">
        <f>SUM(Y371,Y380,Y390)</f>
        <v>32</v>
      </c>
      <c r="Z370" s="660"/>
      <c r="AA370" s="996"/>
      <c r="AB370" s="988"/>
      <c r="AC370" s="558"/>
      <c r="AD370" s="558"/>
      <c r="AE370" s="558"/>
    </row>
    <row r="371" spans="1:31" s="16" customFormat="1" ht="15.75">
      <c r="A371" s="11" t="s">
        <v>78</v>
      </c>
      <c r="B371" s="65" t="s">
        <v>79</v>
      </c>
      <c r="C371" s="13"/>
      <c r="D371" s="13"/>
      <c r="E371" s="14"/>
      <c r="F371" s="89"/>
      <c r="G371" s="33">
        <f t="shared" ref="G371:V371" si="137">SUM(G372:G379)</f>
        <v>224117</v>
      </c>
      <c r="H371" s="33">
        <f t="shared" si="137"/>
        <v>180503</v>
      </c>
      <c r="I371" s="33">
        <f t="shared" si="137"/>
        <v>120141</v>
      </c>
      <c r="J371" s="33">
        <f t="shared" si="137"/>
        <v>118441</v>
      </c>
      <c r="K371" s="33">
        <f t="shared" si="137"/>
        <v>175984</v>
      </c>
      <c r="L371" s="33">
        <f t="shared" si="137"/>
        <v>132370</v>
      </c>
      <c r="M371" s="33">
        <f t="shared" si="137"/>
        <v>0</v>
      </c>
      <c r="N371" s="33">
        <f t="shared" si="137"/>
        <v>74138</v>
      </c>
      <c r="O371" s="33">
        <f t="shared" si="137"/>
        <v>57854</v>
      </c>
      <c r="P371" s="33">
        <f t="shared" si="137"/>
        <v>0</v>
      </c>
      <c r="Q371" s="841">
        <f t="shared" si="137"/>
        <v>54033</v>
      </c>
      <c r="R371" s="841">
        <f t="shared" si="137"/>
        <v>54033</v>
      </c>
      <c r="S371" s="841">
        <f t="shared" si="137"/>
        <v>0</v>
      </c>
      <c r="T371" s="33">
        <f t="shared" si="137"/>
        <v>45800</v>
      </c>
      <c r="U371" s="33">
        <f t="shared" si="137"/>
        <v>43800</v>
      </c>
      <c r="V371" s="33">
        <f t="shared" si="137"/>
        <v>2000</v>
      </c>
      <c r="W371" s="699"/>
      <c r="X371" s="699"/>
      <c r="Y371" s="15">
        <f>SUM(Y372:Y379)</f>
        <v>8</v>
      </c>
      <c r="Z371" s="660"/>
      <c r="AA371" s="996"/>
      <c r="AB371" s="988"/>
      <c r="AC371" s="558"/>
      <c r="AD371" s="558"/>
      <c r="AE371" s="558"/>
    </row>
    <row r="372" spans="1:31" s="25" customFormat="1" ht="25.5">
      <c r="A372" s="17" t="s">
        <v>27</v>
      </c>
      <c r="B372" s="292" t="s">
        <v>36</v>
      </c>
      <c r="C372" s="18" t="s">
        <v>29</v>
      </c>
      <c r="D372" s="18" t="s">
        <v>37</v>
      </c>
      <c r="E372" s="40" t="s">
        <v>242</v>
      </c>
      <c r="F372" s="711" t="s">
        <v>39</v>
      </c>
      <c r="G372" s="42">
        <v>95590</v>
      </c>
      <c r="H372" s="42">
        <v>95590</v>
      </c>
      <c r="I372" s="38">
        <v>85629</v>
      </c>
      <c r="J372" s="38">
        <v>85629</v>
      </c>
      <c r="K372" s="22">
        <v>49961</v>
      </c>
      <c r="L372" s="22">
        <v>49961</v>
      </c>
      <c r="M372" s="42"/>
      <c r="N372" s="42">
        <f>O372</f>
        <v>2545</v>
      </c>
      <c r="O372" s="42">
        <v>2545</v>
      </c>
      <c r="P372" s="42"/>
      <c r="Q372" s="833">
        <f>R372</f>
        <v>2545</v>
      </c>
      <c r="R372" s="869">
        <v>2545</v>
      </c>
      <c r="S372" s="869"/>
      <c r="T372" s="73">
        <f>U372</f>
        <v>2500</v>
      </c>
      <c r="U372" s="42">
        <v>2500</v>
      </c>
      <c r="V372" s="42"/>
      <c r="W372" s="710" t="s">
        <v>1542</v>
      </c>
      <c r="X372" s="24"/>
      <c r="Y372" s="42">
        <v>1</v>
      </c>
      <c r="Z372" s="657"/>
      <c r="AA372" s="996"/>
      <c r="AB372" s="978"/>
      <c r="AC372" s="553"/>
      <c r="AD372" s="553"/>
      <c r="AE372" s="553"/>
    </row>
    <row r="373" spans="1:31" s="25" customFormat="1" ht="30">
      <c r="A373" s="17" t="s">
        <v>41</v>
      </c>
      <c r="B373" s="292" t="s">
        <v>99</v>
      </c>
      <c r="C373" s="18" t="s">
        <v>29</v>
      </c>
      <c r="D373" s="18" t="s">
        <v>100</v>
      </c>
      <c r="E373" s="40" t="s">
        <v>94</v>
      </c>
      <c r="F373" s="711" t="s">
        <v>101</v>
      </c>
      <c r="G373" s="42">
        <v>6750</v>
      </c>
      <c r="H373" s="42">
        <v>6750</v>
      </c>
      <c r="I373" s="38">
        <v>2922</v>
      </c>
      <c r="J373" s="38">
        <v>2922</v>
      </c>
      <c r="K373" s="22">
        <v>6388</v>
      </c>
      <c r="L373" s="22">
        <v>6388</v>
      </c>
      <c r="M373" s="42"/>
      <c r="N373" s="42">
        <f>+O373</f>
        <v>3828</v>
      </c>
      <c r="O373" s="42">
        <v>3828</v>
      </c>
      <c r="P373" s="42"/>
      <c r="Q373" s="833">
        <f t="shared" ref="Q373:Q379" si="138">SUM(R373:S373)</f>
        <v>3828</v>
      </c>
      <c r="R373" s="869">
        <v>3828</v>
      </c>
      <c r="S373" s="869"/>
      <c r="T373" s="73">
        <f t="shared" ref="T373:T379" si="139">SUM(U373:V373)</f>
        <v>3800</v>
      </c>
      <c r="U373" s="42">
        <v>3800</v>
      </c>
      <c r="V373" s="42"/>
      <c r="W373" s="710" t="s">
        <v>1542</v>
      </c>
      <c r="X373" s="24"/>
      <c r="Y373" s="42">
        <v>1</v>
      </c>
      <c r="Z373" s="657"/>
      <c r="AA373" s="996"/>
      <c r="AB373" s="978"/>
      <c r="AC373" s="553"/>
      <c r="AD373" s="553"/>
      <c r="AE373" s="553"/>
    </row>
    <row r="374" spans="1:31" s="25" customFormat="1" ht="25.5">
      <c r="A374" s="17" t="s">
        <v>58</v>
      </c>
      <c r="B374" s="292" t="s">
        <v>102</v>
      </c>
      <c r="C374" s="19" t="s">
        <v>29</v>
      </c>
      <c r="D374" s="32" t="s">
        <v>103</v>
      </c>
      <c r="E374" s="20" t="s">
        <v>30</v>
      </c>
      <c r="F374" s="80" t="s">
        <v>104</v>
      </c>
      <c r="G374" s="21">
        <v>21991</v>
      </c>
      <c r="H374" s="21">
        <v>21991</v>
      </c>
      <c r="I374" s="38">
        <v>7143</v>
      </c>
      <c r="J374" s="38">
        <v>7143</v>
      </c>
      <c r="K374" s="22">
        <v>20948</v>
      </c>
      <c r="L374" s="22">
        <v>20948</v>
      </c>
      <c r="M374" s="22"/>
      <c r="N374" s="22">
        <v>14848</v>
      </c>
      <c r="O374" s="22">
        <v>14848</v>
      </c>
      <c r="P374" s="22"/>
      <c r="Q374" s="833">
        <f t="shared" si="138"/>
        <v>13935</v>
      </c>
      <c r="R374" s="853">
        <v>13935</v>
      </c>
      <c r="S374" s="853"/>
      <c r="T374" s="73">
        <f t="shared" si="139"/>
        <v>10000</v>
      </c>
      <c r="U374" s="22">
        <v>10000</v>
      </c>
      <c r="V374" s="22"/>
      <c r="W374" s="691" t="s">
        <v>1536</v>
      </c>
      <c r="X374" s="24"/>
      <c r="Y374" s="22">
        <v>1</v>
      </c>
      <c r="Z374" s="657"/>
      <c r="AA374" s="996"/>
      <c r="AB374" s="978"/>
      <c r="AC374" s="553"/>
      <c r="AD374" s="553"/>
      <c r="AE374" s="553"/>
    </row>
    <row r="375" spans="1:31" s="25" customFormat="1" ht="38.25">
      <c r="A375" s="17" t="s">
        <v>64</v>
      </c>
      <c r="B375" s="292" t="s">
        <v>105</v>
      </c>
      <c r="C375" s="18" t="s">
        <v>29</v>
      </c>
      <c r="D375" s="18" t="s">
        <v>106</v>
      </c>
      <c r="E375" s="40" t="s">
        <v>94</v>
      </c>
      <c r="F375" s="711" t="s">
        <v>107</v>
      </c>
      <c r="G375" s="42">
        <v>30091</v>
      </c>
      <c r="H375" s="42">
        <v>30091</v>
      </c>
      <c r="I375" s="38">
        <v>7399</v>
      </c>
      <c r="J375" s="38">
        <v>7399</v>
      </c>
      <c r="K375" s="22">
        <v>29592</v>
      </c>
      <c r="L375" s="22">
        <v>29592</v>
      </c>
      <c r="M375" s="42"/>
      <c r="N375" s="42">
        <v>22704</v>
      </c>
      <c r="O375" s="42">
        <v>22704</v>
      </c>
      <c r="P375" s="42"/>
      <c r="Q375" s="833">
        <f t="shared" si="138"/>
        <v>22692</v>
      </c>
      <c r="R375" s="869">
        <v>22692</v>
      </c>
      <c r="S375" s="869"/>
      <c r="T375" s="73">
        <f t="shared" si="139"/>
        <v>20000</v>
      </c>
      <c r="U375" s="42">
        <v>20000</v>
      </c>
      <c r="V375" s="42"/>
      <c r="W375" s="710" t="s">
        <v>1544</v>
      </c>
      <c r="X375" s="24"/>
      <c r="Y375" s="42">
        <v>1</v>
      </c>
      <c r="Z375" s="657"/>
      <c r="AA375" s="996"/>
      <c r="AB375" s="978"/>
      <c r="AC375" s="553"/>
      <c r="AD375" s="553"/>
      <c r="AE375" s="553"/>
    </row>
    <row r="376" spans="1:31" s="25" customFormat="1" ht="75">
      <c r="A376" s="17" t="s">
        <v>69</v>
      </c>
      <c r="B376" s="166" t="s">
        <v>84</v>
      </c>
      <c r="C376" s="36" t="s">
        <v>85</v>
      </c>
      <c r="D376" s="18" t="s">
        <v>86</v>
      </c>
      <c r="E376" s="37" t="s">
        <v>87</v>
      </c>
      <c r="F376" s="710" t="s">
        <v>88</v>
      </c>
      <c r="G376" s="38">
        <v>36842</v>
      </c>
      <c r="H376" s="38">
        <v>11626</v>
      </c>
      <c r="I376" s="38">
        <v>9300</v>
      </c>
      <c r="J376" s="38">
        <v>7600</v>
      </c>
      <c r="K376" s="22">
        <v>36242</v>
      </c>
      <c r="L376" s="22">
        <v>11026</v>
      </c>
      <c r="M376" s="23"/>
      <c r="N376" s="21">
        <v>8326</v>
      </c>
      <c r="O376" s="21">
        <v>4326</v>
      </c>
      <c r="P376" s="23"/>
      <c r="Q376" s="833">
        <f t="shared" si="138"/>
        <v>4326</v>
      </c>
      <c r="R376" s="833">
        <v>4326</v>
      </c>
      <c r="S376" s="833"/>
      <c r="T376" s="73">
        <f t="shared" si="139"/>
        <v>4000</v>
      </c>
      <c r="U376" s="21">
        <v>4000</v>
      </c>
      <c r="V376" s="21"/>
      <c r="W376" s="691" t="s">
        <v>1525</v>
      </c>
      <c r="X376" s="24"/>
      <c r="Y376" s="21">
        <v>1</v>
      </c>
      <c r="Z376" s="657"/>
      <c r="AA376" s="996">
        <f>V376</f>
        <v>0</v>
      </c>
      <c r="AB376" s="978"/>
      <c r="AC376" s="553"/>
      <c r="AD376" s="553"/>
      <c r="AE376" s="553"/>
    </row>
    <row r="377" spans="1:31" s="25" customFormat="1" ht="38.25">
      <c r="A377" s="17" t="s">
        <v>74</v>
      </c>
      <c r="B377" s="291" t="s">
        <v>92</v>
      </c>
      <c r="C377" s="18" t="s">
        <v>60</v>
      </c>
      <c r="D377" s="18" t="s">
        <v>93</v>
      </c>
      <c r="E377" s="20" t="s">
        <v>94</v>
      </c>
      <c r="F377" s="691" t="s">
        <v>95</v>
      </c>
      <c r="G377" s="22">
        <v>10443</v>
      </c>
      <c r="H377" s="22">
        <v>4987</v>
      </c>
      <c r="I377" s="38">
        <v>2848</v>
      </c>
      <c r="J377" s="38">
        <v>2848</v>
      </c>
      <c r="K377" s="22">
        <v>10443</v>
      </c>
      <c r="L377" s="22">
        <v>4987</v>
      </c>
      <c r="M377" s="23"/>
      <c r="N377" s="22">
        <v>6826</v>
      </c>
      <c r="O377" s="22">
        <v>2130</v>
      </c>
      <c r="P377" s="23"/>
      <c r="Q377" s="833">
        <f t="shared" si="138"/>
        <v>2139</v>
      </c>
      <c r="R377" s="853">
        <v>2139</v>
      </c>
      <c r="S377" s="853"/>
      <c r="T377" s="73">
        <f t="shared" si="139"/>
        <v>2000</v>
      </c>
      <c r="U377" s="22">
        <v>2000</v>
      </c>
      <c r="V377" s="22"/>
      <c r="W377" s="513" t="s">
        <v>1517</v>
      </c>
      <c r="X377" s="24"/>
      <c r="Y377" s="22">
        <v>1</v>
      </c>
      <c r="Z377" s="657"/>
      <c r="AA377" s="996"/>
      <c r="AB377" s="978"/>
      <c r="AC377" s="553"/>
      <c r="AD377" s="553"/>
      <c r="AE377" s="553"/>
    </row>
    <row r="378" spans="1:31" s="25" customFormat="1" ht="75">
      <c r="A378" s="17" t="s">
        <v>141</v>
      </c>
      <c r="B378" s="292" t="s">
        <v>96</v>
      </c>
      <c r="C378" s="19" t="s">
        <v>5</v>
      </c>
      <c r="D378" s="32" t="s">
        <v>97</v>
      </c>
      <c r="E378" s="20" t="s">
        <v>30</v>
      </c>
      <c r="F378" s="80" t="s">
        <v>98</v>
      </c>
      <c r="G378" s="21">
        <v>11605</v>
      </c>
      <c r="H378" s="21">
        <v>3621</v>
      </c>
      <c r="I378" s="22">
        <v>1900</v>
      </c>
      <c r="J378" s="22">
        <v>1900</v>
      </c>
      <c r="K378" s="22">
        <v>11605</v>
      </c>
      <c r="L378" s="22">
        <v>3621</v>
      </c>
      <c r="M378" s="22"/>
      <c r="N378" s="22">
        <v>9129</v>
      </c>
      <c r="O378" s="22">
        <v>1721</v>
      </c>
      <c r="P378" s="22"/>
      <c r="Q378" s="833">
        <f t="shared" si="138"/>
        <v>1721</v>
      </c>
      <c r="R378" s="853">
        <v>1721</v>
      </c>
      <c r="S378" s="853"/>
      <c r="T378" s="73">
        <f t="shared" si="139"/>
        <v>1500</v>
      </c>
      <c r="U378" s="22">
        <v>1500</v>
      </c>
      <c r="V378" s="22"/>
      <c r="W378" s="691" t="s">
        <v>1521</v>
      </c>
      <c r="X378" s="24"/>
      <c r="Y378" s="22">
        <v>1</v>
      </c>
      <c r="Z378" s="657"/>
      <c r="AA378" s="996"/>
      <c r="AB378" s="978"/>
      <c r="AC378" s="553"/>
      <c r="AD378" s="553"/>
      <c r="AE378" s="553"/>
    </row>
    <row r="379" spans="1:31" s="25" customFormat="1" ht="25.5">
      <c r="A379" s="17" t="s">
        <v>146</v>
      </c>
      <c r="B379" s="292" t="s">
        <v>108</v>
      </c>
      <c r="C379" s="19" t="s">
        <v>71</v>
      </c>
      <c r="D379" s="32" t="s">
        <v>109</v>
      </c>
      <c r="E379" s="20" t="s">
        <v>30</v>
      </c>
      <c r="F379" s="80" t="s">
        <v>110</v>
      </c>
      <c r="G379" s="21">
        <v>10805</v>
      </c>
      <c r="H379" s="21">
        <v>5847</v>
      </c>
      <c r="I379" s="38">
        <f>J379</f>
        <v>3000</v>
      </c>
      <c r="J379" s="38">
        <v>3000</v>
      </c>
      <c r="K379" s="22">
        <v>10805</v>
      </c>
      <c r="L379" s="22">
        <v>5847</v>
      </c>
      <c r="M379" s="22"/>
      <c r="N379" s="22">
        <v>5932</v>
      </c>
      <c r="O379" s="22">
        <v>5752</v>
      </c>
      <c r="P379" s="22"/>
      <c r="Q379" s="833">
        <f t="shared" si="138"/>
        <v>2847</v>
      </c>
      <c r="R379" s="853">
        <v>2847</v>
      </c>
      <c r="S379" s="853"/>
      <c r="T379" s="73">
        <f t="shared" si="139"/>
        <v>2000</v>
      </c>
      <c r="U379" s="22"/>
      <c r="V379" s="22">
        <v>2000</v>
      </c>
      <c r="W379" s="691" t="s">
        <v>1516</v>
      </c>
      <c r="X379" s="24" t="s">
        <v>171</v>
      </c>
      <c r="Y379" s="22">
        <v>1</v>
      </c>
      <c r="Z379" s="657"/>
      <c r="AA379" s="996">
        <f>V379</f>
        <v>2000</v>
      </c>
      <c r="AB379" s="978"/>
      <c r="AC379" s="553"/>
      <c r="AD379" s="553"/>
      <c r="AE379" s="553"/>
    </row>
    <row r="380" spans="1:31" s="5" customFormat="1" ht="28.5">
      <c r="A380" s="11" t="s">
        <v>116</v>
      </c>
      <c r="B380" s="65" t="s">
        <v>117</v>
      </c>
      <c r="C380" s="635"/>
      <c r="D380" s="635"/>
      <c r="E380" s="44"/>
      <c r="F380" s="1012"/>
      <c r="G380" s="45">
        <f t="shared" ref="G380:V380" si="140">SUM(G381:G389)</f>
        <v>288092</v>
      </c>
      <c r="H380" s="45">
        <f t="shared" si="140"/>
        <v>214097</v>
      </c>
      <c r="I380" s="45">
        <f t="shared" si="140"/>
        <v>35647</v>
      </c>
      <c r="J380" s="45">
        <f t="shared" si="140"/>
        <v>25063</v>
      </c>
      <c r="K380" s="45">
        <f t="shared" si="140"/>
        <v>285860</v>
      </c>
      <c r="L380" s="45">
        <f t="shared" si="140"/>
        <v>211865</v>
      </c>
      <c r="M380" s="45">
        <f t="shared" si="140"/>
        <v>0</v>
      </c>
      <c r="N380" s="45">
        <f t="shared" si="140"/>
        <v>81739</v>
      </c>
      <c r="O380" s="45">
        <f t="shared" si="140"/>
        <v>80739</v>
      </c>
      <c r="P380" s="45">
        <f t="shared" si="140"/>
        <v>0</v>
      </c>
      <c r="Q380" s="827">
        <f t="shared" si="140"/>
        <v>76136</v>
      </c>
      <c r="R380" s="827">
        <f t="shared" si="140"/>
        <v>76136</v>
      </c>
      <c r="S380" s="827">
        <f t="shared" si="140"/>
        <v>0</v>
      </c>
      <c r="T380" s="45">
        <f t="shared" si="140"/>
        <v>55900</v>
      </c>
      <c r="U380" s="45">
        <f t="shared" si="140"/>
        <v>55900</v>
      </c>
      <c r="V380" s="45">
        <f t="shared" si="140"/>
        <v>0</v>
      </c>
      <c r="W380" s="352"/>
      <c r="X380" s="352"/>
      <c r="Y380" s="45">
        <f>SUM(Y381:Y389)</f>
        <v>9</v>
      </c>
      <c r="Z380" s="657"/>
      <c r="AA380" s="975"/>
      <c r="AB380" s="875"/>
    </row>
    <row r="381" spans="1:31" s="25" customFormat="1" ht="30">
      <c r="A381" s="34">
        <v>1</v>
      </c>
      <c r="B381" s="292" t="s">
        <v>118</v>
      </c>
      <c r="C381" s="18" t="s">
        <v>29</v>
      </c>
      <c r="D381" s="18" t="s">
        <v>119</v>
      </c>
      <c r="E381" s="40" t="s">
        <v>120</v>
      </c>
      <c r="F381" s="711" t="s">
        <v>121</v>
      </c>
      <c r="G381" s="42">
        <v>113480</v>
      </c>
      <c r="H381" s="42">
        <v>74075</v>
      </c>
      <c r="I381" s="42">
        <v>11000</v>
      </c>
      <c r="J381" s="42">
        <v>416</v>
      </c>
      <c r="K381" s="22">
        <v>113480</v>
      </c>
      <c r="L381" s="22">
        <v>74075</v>
      </c>
      <c r="M381" s="42"/>
      <c r="N381" s="42">
        <f t="shared" ref="N381:N388" si="141">+O381</f>
        <v>20000</v>
      </c>
      <c r="O381" s="42">
        <v>20000</v>
      </c>
      <c r="P381" s="42"/>
      <c r="Q381" s="833">
        <f t="shared" ref="Q381:Q389" si="142">SUM(R381:S381)</f>
        <v>20000</v>
      </c>
      <c r="R381" s="869">
        <v>20000</v>
      </c>
      <c r="S381" s="869"/>
      <c r="T381" s="73">
        <f t="shared" ref="T381:T389" si="143">SUM(U381:V381)</f>
        <v>10000</v>
      </c>
      <c r="U381" s="42">
        <v>10000</v>
      </c>
      <c r="V381" s="42"/>
      <c r="W381" s="710" t="s">
        <v>1560</v>
      </c>
      <c r="X381" s="24"/>
      <c r="Y381" s="42">
        <v>1</v>
      </c>
      <c r="Z381" s="657"/>
      <c r="AA381" s="996"/>
      <c r="AB381" s="978"/>
      <c r="AC381" s="553"/>
      <c r="AD381" s="553"/>
      <c r="AE381" s="553"/>
    </row>
    <row r="382" spans="1:31" s="25" customFormat="1" ht="45">
      <c r="A382" s="34">
        <v>2</v>
      </c>
      <c r="B382" s="292" t="s">
        <v>125</v>
      </c>
      <c r="C382" s="18" t="s">
        <v>29</v>
      </c>
      <c r="D382" s="18" t="s">
        <v>126</v>
      </c>
      <c r="E382" s="40" t="s">
        <v>30</v>
      </c>
      <c r="F382" s="711" t="s">
        <v>127</v>
      </c>
      <c r="G382" s="42">
        <v>33572</v>
      </c>
      <c r="H382" s="42">
        <v>33572</v>
      </c>
      <c r="I382" s="42">
        <v>6500</v>
      </c>
      <c r="J382" s="42">
        <v>6500</v>
      </c>
      <c r="K382" s="22">
        <v>33072</v>
      </c>
      <c r="L382" s="22">
        <v>33072</v>
      </c>
      <c r="M382" s="42"/>
      <c r="N382" s="42">
        <f t="shared" si="141"/>
        <v>10000</v>
      </c>
      <c r="O382" s="42">
        <v>10000</v>
      </c>
      <c r="P382" s="42"/>
      <c r="Q382" s="833">
        <f t="shared" si="142"/>
        <v>10000</v>
      </c>
      <c r="R382" s="869">
        <v>10000</v>
      </c>
      <c r="S382" s="869"/>
      <c r="T382" s="73">
        <f t="shared" si="143"/>
        <v>8000</v>
      </c>
      <c r="U382" s="42">
        <v>8000</v>
      </c>
      <c r="V382" s="42"/>
      <c r="W382" s="710" t="s">
        <v>1560</v>
      </c>
      <c r="X382" s="24"/>
      <c r="Y382" s="42">
        <v>1</v>
      </c>
      <c r="Z382" s="657"/>
      <c r="AA382" s="996"/>
      <c r="AB382" s="978"/>
      <c r="AC382" s="553"/>
      <c r="AD382" s="553"/>
      <c r="AE382" s="553"/>
    </row>
    <row r="383" spans="1:31" s="25" customFormat="1" ht="30" customHeight="1">
      <c r="A383" s="34">
        <v>3</v>
      </c>
      <c r="B383" s="292" t="s">
        <v>122</v>
      </c>
      <c r="C383" s="18" t="s">
        <v>29</v>
      </c>
      <c r="D383" s="18" t="s">
        <v>123</v>
      </c>
      <c r="E383" s="40" t="s">
        <v>45</v>
      </c>
      <c r="F383" s="711" t="s">
        <v>124</v>
      </c>
      <c r="G383" s="42">
        <v>11952</v>
      </c>
      <c r="H383" s="42">
        <v>11952</v>
      </c>
      <c r="I383" s="42">
        <v>3883</v>
      </c>
      <c r="J383" s="42">
        <v>3883</v>
      </c>
      <c r="K383" s="22">
        <v>11477</v>
      </c>
      <c r="L383" s="22">
        <v>11477</v>
      </c>
      <c r="M383" s="42"/>
      <c r="N383" s="42">
        <f t="shared" si="141"/>
        <v>8544</v>
      </c>
      <c r="O383" s="42">
        <v>8544</v>
      </c>
      <c r="P383" s="42"/>
      <c r="Q383" s="833">
        <f t="shared" si="142"/>
        <v>4035</v>
      </c>
      <c r="R383" s="869">
        <v>4035</v>
      </c>
      <c r="S383" s="869"/>
      <c r="T383" s="73">
        <f t="shared" si="143"/>
        <v>4000</v>
      </c>
      <c r="U383" s="42">
        <v>4000</v>
      </c>
      <c r="V383" s="42"/>
      <c r="W383" s="710" t="s">
        <v>1561</v>
      </c>
      <c r="X383" s="24"/>
      <c r="Y383" s="42">
        <v>1</v>
      </c>
      <c r="Z383" s="657"/>
      <c r="AA383" s="996"/>
      <c r="AB383" s="978"/>
      <c r="AC383" s="553"/>
      <c r="AD383" s="553"/>
      <c r="AE383" s="553"/>
    </row>
    <row r="384" spans="1:31" s="25" customFormat="1" ht="45">
      <c r="A384" s="34">
        <v>4</v>
      </c>
      <c r="B384" s="292" t="s">
        <v>128</v>
      </c>
      <c r="C384" s="18" t="s">
        <v>29</v>
      </c>
      <c r="D384" s="18" t="s">
        <v>129</v>
      </c>
      <c r="E384" s="40" t="s">
        <v>30</v>
      </c>
      <c r="F384" s="711" t="s">
        <v>130</v>
      </c>
      <c r="G384" s="42">
        <v>9786</v>
      </c>
      <c r="H384" s="42">
        <v>9786</v>
      </c>
      <c r="I384" s="42">
        <v>3223</v>
      </c>
      <c r="J384" s="42">
        <v>3223</v>
      </c>
      <c r="K384" s="22">
        <v>9163</v>
      </c>
      <c r="L384" s="22">
        <v>9163</v>
      </c>
      <c r="M384" s="42"/>
      <c r="N384" s="42">
        <f t="shared" si="141"/>
        <v>2600</v>
      </c>
      <c r="O384" s="42">
        <v>2600</v>
      </c>
      <c r="P384" s="42"/>
      <c r="Q384" s="833">
        <f t="shared" si="142"/>
        <v>2600</v>
      </c>
      <c r="R384" s="869">
        <v>2600</v>
      </c>
      <c r="S384" s="869"/>
      <c r="T384" s="73">
        <f t="shared" si="143"/>
        <v>2600</v>
      </c>
      <c r="U384" s="42">
        <v>2600</v>
      </c>
      <c r="V384" s="42"/>
      <c r="W384" s="710" t="s">
        <v>1537</v>
      </c>
      <c r="X384" s="24"/>
      <c r="Y384" s="42">
        <v>1</v>
      </c>
      <c r="Z384" s="657"/>
      <c r="AA384" s="996"/>
      <c r="AB384" s="978"/>
      <c r="AC384" s="553"/>
      <c r="AD384" s="553"/>
      <c r="AE384" s="553"/>
    </row>
    <row r="385" spans="1:38" s="25" customFormat="1" ht="51">
      <c r="A385" s="34">
        <v>5</v>
      </c>
      <c r="B385" s="292" t="s">
        <v>131</v>
      </c>
      <c r="C385" s="19" t="s">
        <v>29</v>
      </c>
      <c r="D385" s="32" t="s">
        <v>132</v>
      </c>
      <c r="E385" s="20" t="s">
        <v>30</v>
      </c>
      <c r="F385" s="80" t="s">
        <v>133</v>
      </c>
      <c r="G385" s="21">
        <v>21488</v>
      </c>
      <c r="H385" s="21">
        <v>21488</v>
      </c>
      <c r="I385" s="38">
        <f>J385</f>
        <v>2857</v>
      </c>
      <c r="J385" s="38">
        <v>2857</v>
      </c>
      <c r="K385" s="22">
        <v>21488</v>
      </c>
      <c r="L385" s="22">
        <v>21488</v>
      </c>
      <c r="M385" s="22"/>
      <c r="N385" s="22">
        <f t="shared" si="141"/>
        <v>6594</v>
      </c>
      <c r="O385" s="22">
        <v>6594</v>
      </c>
      <c r="P385" s="22"/>
      <c r="Q385" s="833">
        <f t="shared" si="142"/>
        <v>6500</v>
      </c>
      <c r="R385" s="853">
        <v>6500</v>
      </c>
      <c r="S385" s="853"/>
      <c r="T385" s="73">
        <f t="shared" si="143"/>
        <v>6500</v>
      </c>
      <c r="U385" s="42">
        <v>6500</v>
      </c>
      <c r="V385" s="42"/>
      <c r="W385" s="691" t="s">
        <v>1562</v>
      </c>
      <c r="X385" s="80" t="s">
        <v>134</v>
      </c>
      <c r="Y385" s="22">
        <v>1</v>
      </c>
      <c r="Z385" s="657"/>
      <c r="AA385" s="996"/>
      <c r="AB385" s="978"/>
      <c r="AC385" s="553"/>
      <c r="AD385" s="553"/>
      <c r="AE385" s="553"/>
    </row>
    <row r="386" spans="1:38" s="25" customFormat="1" ht="60">
      <c r="A386" s="34">
        <v>6</v>
      </c>
      <c r="B386" s="292" t="s">
        <v>135</v>
      </c>
      <c r="C386" s="19" t="s">
        <v>29</v>
      </c>
      <c r="D386" s="32" t="s">
        <v>136</v>
      </c>
      <c r="E386" s="20" t="s">
        <v>30</v>
      </c>
      <c r="F386" s="80" t="s">
        <v>137</v>
      </c>
      <c r="G386" s="21">
        <v>21832</v>
      </c>
      <c r="H386" s="21">
        <v>17450</v>
      </c>
      <c r="I386" s="38">
        <v>4799</v>
      </c>
      <c r="J386" s="38">
        <v>4799</v>
      </c>
      <c r="K386" s="22">
        <v>21583</v>
      </c>
      <c r="L386" s="22">
        <v>17201</v>
      </c>
      <c r="M386" s="22"/>
      <c r="N386" s="22">
        <f t="shared" si="141"/>
        <v>11201</v>
      </c>
      <c r="O386" s="22">
        <v>11201</v>
      </c>
      <c r="P386" s="22"/>
      <c r="Q386" s="833">
        <f t="shared" si="142"/>
        <v>11201</v>
      </c>
      <c r="R386" s="853">
        <v>11201</v>
      </c>
      <c r="S386" s="853"/>
      <c r="T386" s="73">
        <f t="shared" si="143"/>
        <v>8000</v>
      </c>
      <c r="U386" s="22">
        <v>8000</v>
      </c>
      <c r="V386" s="22"/>
      <c r="W386" s="691" t="s">
        <v>1563</v>
      </c>
      <c r="X386" s="24" t="s">
        <v>1719</v>
      </c>
      <c r="Y386" s="22">
        <v>1</v>
      </c>
      <c r="Z386" s="657"/>
      <c r="AA386" s="996"/>
      <c r="AB386" s="978"/>
      <c r="AC386" s="553"/>
      <c r="AD386" s="553"/>
      <c r="AE386" s="553"/>
    </row>
    <row r="387" spans="1:38" s="25" customFormat="1" ht="60">
      <c r="A387" s="34">
        <v>7</v>
      </c>
      <c r="B387" s="292" t="s">
        <v>138</v>
      </c>
      <c r="C387" s="19" t="s">
        <v>29</v>
      </c>
      <c r="D387" s="32" t="s">
        <v>139</v>
      </c>
      <c r="E387" s="20" t="s">
        <v>30</v>
      </c>
      <c r="F387" s="80" t="s">
        <v>140</v>
      </c>
      <c r="G387" s="21">
        <v>11305</v>
      </c>
      <c r="H387" s="21">
        <v>11305</v>
      </c>
      <c r="I387" s="42">
        <v>3385</v>
      </c>
      <c r="J387" s="42">
        <v>3385</v>
      </c>
      <c r="K387" s="22">
        <v>10920</v>
      </c>
      <c r="L387" s="22">
        <v>10920</v>
      </c>
      <c r="M387" s="22"/>
      <c r="N387" s="22">
        <f t="shared" si="141"/>
        <v>3800</v>
      </c>
      <c r="O387" s="22">
        <v>3800</v>
      </c>
      <c r="P387" s="22"/>
      <c r="Q387" s="833">
        <f t="shared" si="142"/>
        <v>3800</v>
      </c>
      <c r="R387" s="853">
        <v>3800</v>
      </c>
      <c r="S387" s="853"/>
      <c r="T387" s="73">
        <f t="shared" si="143"/>
        <v>3800</v>
      </c>
      <c r="U387" s="22">
        <v>3800</v>
      </c>
      <c r="V387" s="22"/>
      <c r="W387" s="691" t="s">
        <v>1564</v>
      </c>
      <c r="X387" s="24"/>
      <c r="Y387" s="22">
        <v>1</v>
      </c>
      <c r="Z387" s="657"/>
      <c r="AA387" s="996"/>
      <c r="AB387" s="978"/>
      <c r="AC387" s="553"/>
      <c r="AD387" s="553"/>
      <c r="AE387" s="553"/>
    </row>
    <row r="388" spans="1:38" s="25" customFormat="1" ht="60">
      <c r="A388" s="34">
        <v>8</v>
      </c>
      <c r="B388" s="292" t="s">
        <v>142</v>
      </c>
      <c r="C388" s="19" t="s">
        <v>143</v>
      </c>
      <c r="D388" s="32" t="s">
        <v>144</v>
      </c>
      <c r="E388" s="20" t="s">
        <v>30</v>
      </c>
      <c r="F388" s="80" t="s">
        <v>145</v>
      </c>
      <c r="G388" s="21">
        <v>43677</v>
      </c>
      <c r="H388" s="21">
        <v>23580</v>
      </c>
      <c r="I388" s="42">
        <v>0</v>
      </c>
      <c r="J388" s="42">
        <v>0</v>
      </c>
      <c r="K388" s="22">
        <v>43677</v>
      </c>
      <c r="L388" s="22">
        <v>23580</v>
      </c>
      <c r="M388" s="22"/>
      <c r="N388" s="22">
        <f t="shared" si="141"/>
        <v>10000</v>
      </c>
      <c r="O388" s="22">
        <v>10000</v>
      </c>
      <c r="P388" s="22"/>
      <c r="Q388" s="833">
        <f t="shared" si="142"/>
        <v>10000</v>
      </c>
      <c r="R388" s="853">
        <v>10000</v>
      </c>
      <c r="S388" s="853"/>
      <c r="T388" s="73">
        <f t="shared" si="143"/>
        <v>8000</v>
      </c>
      <c r="U388" s="22">
        <v>8000</v>
      </c>
      <c r="V388" s="22"/>
      <c r="W388" s="691" t="s">
        <v>1518</v>
      </c>
      <c r="X388" s="24"/>
      <c r="Y388" s="22">
        <v>1</v>
      </c>
      <c r="Z388" s="657"/>
      <c r="AA388" s="996"/>
      <c r="AB388" s="978"/>
      <c r="AC388" s="553"/>
      <c r="AD388" s="553"/>
      <c r="AE388" s="553"/>
    </row>
    <row r="389" spans="1:38" s="25" customFormat="1" ht="60">
      <c r="A389" s="34">
        <v>9</v>
      </c>
      <c r="B389" s="292" t="s">
        <v>147</v>
      </c>
      <c r="C389" s="19" t="s">
        <v>71</v>
      </c>
      <c r="D389" s="32" t="s">
        <v>148</v>
      </c>
      <c r="E389" s="20" t="s">
        <v>30</v>
      </c>
      <c r="F389" s="80" t="s">
        <v>149</v>
      </c>
      <c r="G389" s="21">
        <v>21000</v>
      </c>
      <c r="H389" s="21">
        <v>10889</v>
      </c>
      <c r="I389" s="42">
        <v>0</v>
      </c>
      <c r="J389" s="42">
        <v>0</v>
      </c>
      <c r="K389" s="22">
        <v>21000</v>
      </c>
      <c r="L389" s="22">
        <v>10889</v>
      </c>
      <c r="M389" s="22"/>
      <c r="N389" s="22">
        <v>9000</v>
      </c>
      <c r="O389" s="22">
        <v>8000</v>
      </c>
      <c r="P389" s="22"/>
      <c r="Q389" s="833">
        <f t="shared" si="142"/>
        <v>8000</v>
      </c>
      <c r="R389" s="853">
        <v>8000</v>
      </c>
      <c r="S389" s="853"/>
      <c r="T389" s="73">
        <f t="shared" si="143"/>
        <v>5000</v>
      </c>
      <c r="U389" s="22">
        <v>5000</v>
      </c>
      <c r="V389" s="22"/>
      <c r="W389" s="691" t="s">
        <v>1516</v>
      </c>
      <c r="X389" s="24"/>
      <c r="Y389" s="22">
        <v>1</v>
      </c>
      <c r="Z389" s="657"/>
      <c r="AA389" s="996"/>
      <c r="AB389" s="978"/>
      <c r="AC389" s="553"/>
      <c r="AD389" s="553"/>
      <c r="AE389" s="553"/>
    </row>
    <row r="390" spans="1:38" s="5" customFormat="1" ht="25.5" customHeight="1">
      <c r="A390" s="11" t="s">
        <v>150</v>
      </c>
      <c r="B390" s="65" t="s">
        <v>151</v>
      </c>
      <c r="C390" s="635"/>
      <c r="D390" s="635"/>
      <c r="E390" s="44"/>
      <c r="F390" s="1012"/>
      <c r="G390" s="45">
        <f t="shared" ref="G390:V390" si="144">SUM(G391:G405)</f>
        <v>161410</v>
      </c>
      <c r="H390" s="45">
        <f t="shared" si="144"/>
        <v>91556</v>
      </c>
      <c r="I390" s="45">
        <f t="shared" si="144"/>
        <v>1117</v>
      </c>
      <c r="J390" s="45">
        <f t="shared" si="144"/>
        <v>617</v>
      </c>
      <c r="K390" s="45">
        <f t="shared" si="144"/>
        <v>160761</v>
      </c>
      <c r="L390" s="45">
        <f t="shared" si="144"/>
        <v>89855</v>
      </c>
      <c r="M390" s="45">
        <f t="shared" si="144"/>
        <v>0</v>
      </c>
      <c r="N390" s="45">
        <f t="shared" si="144"/>
        <v>71112</v>
      </c>
      <c r="O390" s="45">
        <f t="shared" si="144"/>
        <v>54271</v>
      </c>
      <c r="P390" s="45">
        <f t="shared" si="144"/>
        <v>0</v>
      </c>
      <c r="Q390" s="827">
        <f t="shared" si="144"/>
        <v>37792</v>
      </c>
      <c r="R390" s="827">
        <f t="shared" si="144"/>
        <v>37792</v>
      </c>
      <c r="S390" s="827">
        <f t="shared" si="144"/>
        <v>0</v>
      </c>
      <c r="T390" s="45">
        <f t="shared" si="144"/>
        <v>37792</v>
      </c>
      <c r="U390" s="45">
        <f t="shared" si="144"/>
        <v>22022</v>
      </c>
      <c r="V390" s="45">
        <f t="shared" si="144"/>
        <v>15770</v>
      </c>
      <c r="W390" s="352"/>
      <c r="X390" s="352"/>
      <c r="Y390" s="45">
        <f>SUM(Y391:Y405)</f>
        <v>15</v>
      </c>
      <c r="Z390" s="657"/>
      <c r="AA390" s="975"/>
      <c r="AB390" s="875"/>
    </row>
    <row r="391" spans="1:38" s="25" customFormat="1" ht="45">
      <c r="A391" s="17" t="s">
        <v>27</v>
      </c>
      <c r="B391" s="291" t="s">
        <v>152</v>
      </c>
      <c r="C391" s="18" t="s">
        <v>29</v>
      </c>
      <c r="D391" s="19" t="s">
        <v>153</v>
      </c>
      <c r="E391" s="20" t="s">
        <v>154</v>
      </c>
      <c r="F391" s="80" t="s">
        <v>155</v>
      </c>
      <c r="G391" s="21">
        <v>4789</v>
      </c>
      <c r="H391" s="22">
        <v>4789</v>
      </c>
      <c r="I391" s="42">
        <v>150</v>
      </c>
      <c r="J391" s="42">
        <v>150</v>
      </c>
      <c r="K391" s="22">
        <v>4789</v>
      </c>
      <c r="L391" s="22">
        <v>4789</v>
      </c>
      <c r="M391" s="23"/>
      <c r="N391" s="22">
        <f>+O391</f>
        <v>3800</v>
      </c>
      <c r="O391" s="22">
        <v>3800</v>
      </c>
      <c r="P391" s="23"/>
      <c r="Q391" s="828">
        <f t="shared" ref="Q391:Q403" si="145">SUM(R391:S391)</f>
        <v>3000</v>
      </c>
      <c r="R391" s="853">
        <v>3000</v>
      </c>
      <c r="S391" s="853"/>
      <c r="T391" s="73">
        <f t="shared" ref="T391:T405" si="146">SUM(U391:V391)</f>
        <v>3000</v>
      </c>
      <c r="U391" s="22">
        <v>3000</v>
      </c>
      <c r="V391" s="22"/>
      <c r="W391" s="691" t="s">
        <v>1538</v>
      </c>
      <c r="X391" s="24"/>
      <c r="Y391" s="22">
        <v>1</v>
      </c>
      <c r="Z391" s="657"/>
      <c r="AA391" s="996"/>
      <c r="AB391" s="978"/>
      <c r="AC391" s="553"/>
      <c r="AD391" s="553"/>
      <c r="AE391" s="553"/>
    </row>
    <row r="392" spans="1:38" s="25" customFormat="1" ht="25.5">
      <c r="A392" s="17" t="s">
        <v>41</v>
      </c>
      <c r="B392" s="291" t="s">
        <v>159</v>
      </c>
      <c r="C392" s="18" t="s">
        <v>29</v>
      </c>
      <c r="D392" s="19" t="s">
        <v>160</v>
      </c>
      <c r="E392" s="20" t="s">
        <v>30</v>
      </c>
      <c r="F392" s="80" t="s">
        <v>161</v>
      </c>
      <c r="G392" s="21">
        <v>8486</v>
      </c>
      <c r="H392" s="21">
        <v>8486</v>
      </c>
      <c r="I392" s="42">
        <v>0</v>
      </c>
      <c r="J392" s="42">
        <v>0</v>
      </c>
      <c r="K392" s="22">
        <v>8486</v>
      </c>
      <c r="L392" s="22">
        <v>8486</v>
      </c>
      <c r="M392" s="23"/>
      <c r="N392" s="22">
        <v>4207</v>
      </c>
      <c r="O392" s="22">
        <v>4207</v>
      </c>
      <c r="P392" s="23"/>
      <c r="Q392" s="828">
        <f t="shared" si="145"/>
        <v>3000</v>
      </c>
      <c r="R392" s="853">
        <v>3000</v>
      </c>
      <c r="S392" s="853"/>
      <c r="T392" s="73">
        <f t="shared" si="146"/>
        <v>3000</v>
      </c>
      <c r="U392" s="22">
        <v>3000</v>
      </c>
      <c r="V392" s="22"/>
      <c r="W392" s="691" t="s">
        <v>1522</v>
      </c>
      <c r="X392" s="24"/>
      <c r="Y392" s="22">
        <v>1</v>
      </c>
      <c r="Z392" s="657"/>
      <c r="AA392" s="996"/>
      <c r="AB392" s="978"/>
      <c r="AC392" s="553"/>
      <c r="AD392" s="553"/>
      <c r="AE392" s="553"/>
    </row>
    <row r="393" spans="1:38" s="25" customFormat="1" ht="38.25">
      <c r="A393" s="17" t="s">
        <v>58</v>
      </c>
      <c r="B393" s="291" t="s">
        <v>162</v>
      </c>
      <c r="C393" s="18" t="s">
        <v>29</v>
      </c>
      <c r="D393" s="19"/>
      <c r="E393" s="20" t="s">
        <v>163</v>
      </c>
      <c r="F393" s="80" t="s">
        <v>1598</v>
      </c>
      <c r="G393" s="21">
        <v>14307</v>
      </c>
      <c r="H393" s="22">
        <v>14307</v>
      </c>
      <c r="I393" s="42">
        <f>J393</f>
        <v>467</v>
      </c>
      <c r="J393" s="42">
        <v>467</v>
      </c>
      <c r="K393" s="22">
        <v>14307</v>
      </c>
      <c r="L393" s="22">
        <v>14307</v>
      </c>
      <c r="M393" s="23"/>
      <c r="N393" s="22">
        <f>+O393</f>
        <v>3000</v>
      </c>
      <c r="O393" s="22">
        <v>3000</v>
      </c>
      <c r="P393" s="23"/>
      <c r="Q393" s="828">
        <f t="shared" si="145"/>
        <v>3000</v>
      </c>
      <c r="R393" s="853">
        <v>3000</v>
      </c>
      <c r="S393" s="853"/>
      <c r="T393" s="73">
        <f t="shared" si="146"/>
        <v>3000</v>
      </c>
      <c r="U393" s="22">
        <v>3000</v>
      </c>
      <c r="V393" s="22"/>
      <c r="W393" s="691" t="s">
        <v>1565</v>
      </c>
      <c r="X393" s="24"/>
      <c r="Y393" s="22">
        <v>1</v>
      </c>
      <c r="Z393" s="657"/>
      <c r="AA393" s="996"/>
      <c r="AB393" s="978"/>
      <c r="AC393" s="553"/>
      <c r="AD393" s="553"/>
      <c r="AE393" s="553"/>
    </row>
    <row r="394" spans="1:38" s="25" customFormat="1" ht="30">
      <c r="A394" s="17" t="s">
        <v>64</v>
      </c>
      <c r="B394" s="291" t="s">
        <v>165</v>
      </c>
      <c r="C394" s="18" t="s">
        <v>112</v>
      </c>
      <c r="D394" s="19"/>
      <c r="E394" s="20" t="s">
        <v>166</v>
      </c>
      <c r="F394" s="80" t="s">
        <v>1602</v>
      </c>
      <c r="G394" s="21">
        <v>2768</v>
      </c>
      <c r="H394" s="22">
        <v>1118</v>
      </c>
      <c r="I394" s="42">
        <v>0</v>
      </c>
      <c r="J394" s="42">
        <v>0</v>
      </c>
      <c r="K394" s="22">
        <v>2769</v>
      </c>
      <c r="L394" s="22">
        <v>1118</v>
      </c>
      <c r="M394" s="23"/>
      <c r="N394" s="21">
        <v>2769</v>
      </c>
      <c r="O394" s="22">
        <v>1118</v>
      </c>
      <c r="P394" s="23"/>
      <c r="Q394" s="833">
        <f t="shared" si="145"/>
        <v>1118</v>
      </c>
      <c r="R394" s="853">
        <v>1118</v>
      </c>
      <c r="S394" s="853"/>
      <c r="T394" s="73">
        <f t="shared" si="146"/>
        <v>1118</v>
      </c>
      <c r="U394" s="22">
        <v>1118</v>
      </c>
      <c r="V394" s="22"/>
      <c r="W394" s="691" t="s">
        <v>1566</v>
      </c>
      <c r="X394" s="24"/>
      <c r="Y394" s="22">
        <v>1</v>
      </c>
      <c r="Z394" s="657"/>
      <c r="AA394" s="996"/>
      <c r="AB394" s="978"/>
      <c r="AC394" s="553"/>
      <c r="AD394" s="553"/>
      <c r="AE394" s="553"/>
    </row>
    <row r="395" spans="1:38" s="54" customFormat="1" ht="38.25" customHeight="1">
      <c r="A395" s="17" t="s">
        <v>69</v>
      </c>
      <c r="B395" s="68" t="s">
        <v>711</v>
      </c>
      <c r="C395" s="101" t="s">
        <v>29</v>
      </c>
      <c r="D395" s="19"/>
      <c r="E395" s="95" t="s">
        <v>489</v>
      </c>
      <c r="F395" s="80" t="s">
        <v>712</v>
      </c>
      <c r="G395" s="223">
        <v>60000</v>
      </c>
      <c r="H395" s="223">
        <v>15000</v>
      </c>
      <c r="I395" s="23">
        <v>500</v>
      </c>
      <c r="J395" s="23">
        <v>0</v>
      </c>
      <c r="K395" s="71">
        <v>60000</v>
      </c>
      <c r="L395" s="71">
        <v>15000</v>
      </c>
      <c r="M395" s="23"/>
      <c r="N395" s="175">
        <v>4500</v>
      </c>
      <c r="O395" s="175">
        <v>4500</v>
      </c>
      <c r="P395" s="78"/>
      <c r="Q395" s="828">
        <f t="shared" si="145"/>
        <v>3000</v>
      </c>
      <c r="R395" s="861">
        <v>3000</v>
      </c>
      <c r="S395" s="861"/>
      <c r="T395" s="73">
        <f t="shared" si="146"/>
        <v>3000</v>
      </c>
      <c r="U395" s="175">
        <v>3000</v>
      </c>
      <c r="V395" s="175"/>
      <c r="W395" s="691" t="s">
        <v>1566</v>
      </c>
      <c r="X395" s="24"/>
      <c r="Y395" s="175">
        <v>1</v>
      </c>
      <c r="Z395" s="657"/>
      <c r="AA395" s="990"/>
      <c r="AB395" s="811"/>
      <c r="AC395" s="551"/>
      <c r="AD395" s="551"/>
      <c r="AE395" s="551"/>
      <c r="AG395" s="57"/>
      <c r="AH395" s="57"/>
      <c r="AI395" s="57"/>
      <c r="AJ395" s="57"/>
      <c r="AK395" s="57"/>
      <c r="AL395" s="57"/>
    </row>
    <row r="396" spans="1:38" s="25" customFormat="1" ht="25.5">
      <c r="A396" s="17" t="s">
        <v>74</v>
      </c>
      <c r="B396" s="291" t="s">
        <v>172</v>
      </c>
      <c r="C396" s="18" t="s">
        <v>173</v>
      </c>
      <c r="D396" s="19" t="s">
        <v>174</v>
      </c>
      <c r="E396" s="20" t="s">
        <v>154</v>
      </c>
      <c r="F396" s="692" t="s">
        <v>175</v>
      </c>
      <c r="G396" s="1028">
        <v>12931</v>
      </c>
      <c r="H396" s="1029">
        <v>8557</v>
      </c>
      <c r="I396" s="42">
        <v>0</v>
      </c>
      <c r="J396" s="42">
        <v>0</v>
      </c>
      <c r="K396" s="22">
        <v>12931</v>
      </c>
      <c r="L396" s="22">
        <v>8557</v>
      </c>
      <c r="M396" s="23"/>
      <c r="N396" s="21">
        <v>4000</v>
      </c>
      <c r="O396" s="22">
        <v>3000</v>
      </c>
      <c r="P396" s="23"/>
      <c r="Q396" s="833">
        <f t="shared" si="145"/>
        <v>3000</v>
      </c>
      <c r="R396" s="853">
        <v>3000</v>
      </c>
      <c r="S396" s="853"/>
      <c r="T396" s="73">
        <f t="shared" si="146"/>
        <v>3000</v>
      </c>
      <c r="U396" s="22"/>
      <c r="V396" s="22">
        <v>3000</v>
      </c>
      <c r="W396" s="691" t="s">
        <v>1551</v>
      </c>
      <c r="X396" s="24" t="s">
        <v>171</v>
      </c>
      <c r="Y396" s="22">
        <v>1</v>
      </c>
      <c r="Z396" s="657"/>
      <c r="AA396" s="996">
        <f t="shared" ref="AA396:AA403" si="147">V396</f>
        <v>3000</v>
      </c>
      <c r="AB396" s="978"/>
      <c r="AC396" s="553"/>
      <c r="AD396" s="553"/>
      <c r="AE396" s="553"/>
    </row>
    <row r="397" spans="1:38" s="25" customFormat="1" ht="25.5">
      <c r="A397" s="17" t="s">
        <v>141</v>
      </c>
      <c r="B397" s="291" t="s">
        <v>180</v>
      </c>
      <c r="C397" s="18" t="s">
        <v>66</v>
      </c>
      <c r="D397" s="19" t="s">
        <v>160</v>
      </c>
      <c r="E397" s="20" t="s">
        <v>30</v>
      </c>
      <c r="F397" s="80" t="s">
        <v>1667</v>
      </c>
      <c r="G397" s="21">
        <v>5380</v>
      </c>
      <c r="H397" s="22">
        <v>3919</v>
      </c>
      <c r="I397" s="42">
        <v>0</v>
      </c>
      <c r="J397" s="42">
        <v>0</v>
      </c>
      <c r="K397" s="22">
        <v>5592</v>
      </c>
      <c r="L397" s="22">
        <v>3080</v>
      </c>
      <c r="M397" s="23"/>
      <c r="N397" s="21">
        <f>+O397</f>
        <v>3000</v>
      </c>
      <c r="O397" s="22">
        <v>3000</v>
      </c>
      <c r="P397" s="23"/>
      <c r="Q397" s="833">
        <f t="shared" si="145"/>
        <v>3000</v>
      </c>
      <c r="R397" s="853">
        <v>3000</v>
      </c>
      <c r="S397" s="853"/>
      <c r="T397" s="73">
        <f t="shared" si="146"/>
        <v>3000</v>
      </c>
      <c r="U397" s="22"/>
      <c r="V397" s="22">
        <v>3000</v>
      </c>
      <c r="W397" s="691" t="s">
        <v>1526</v>
      </c>
      <c r="X397" s="24" t="s">
        <v>178</v>
      </c>
      <c r="Y397" s="22">
        <v>1</v>
      </c>
      <c r="Z397" s="657"/>
      <c r="AA397" s="996">
        <f t="shared" si="147"/>
        <v>3000</v>
      </c>
      <c r="AB397" s="978"/>
      <c r="AC397" s="553"/>
      <c r="AD397" s="553"/>
      <c r="AE397" s="553"/>
    </row>
    <row r="398" spans="1:38" s="25" customFormat="1" ht="25.5">
      <c r="A398" s="17" t="s">
        <v>146</v>
      </c>
      <c r="B398" s="291" t="s">
        <v>183</v>
      </c>
      <c r="C398" s="18" t="s">
        <v>71</v>
      </c>
      <c r="D398" s="19" t="s">
        <v>184</v>
      </c>
      <c r="E398" s="20" t="s">
        <v>166</v>
      </c>
      <c r="F398" s="80" t="s">
        <v>185</v>
      </c>
      <c r="G398" s="21">
        <v>3892</v>
      </c>
      <c r="H398" s="22">
        <v>2770</v>
      </c>
      <c r="I398" s="42">
        <v>0</v>
      </c>
      <c r="J398" s="42">
        <v>0</v>
      </c>
      <c r="K398" s="22">
        <v>3892</v>
      </c>
      <c r="L398" s="22">
        <v>2770</v>
      </c>
      <c r="M398" s="23"/>
      <c r="N398" s="21">
        <v>3261</v>
      </c>
      <c r="O398" s="22">
        <v>2770</v>
      </c>
      <c r="P398" s="23"/>
      <c r="Q398" s="833">
        <f t="shared" si="145"/>
        <v>2770</v>
      </c>
      <c r="R398" s="853">
        <v>2770</v>
      </c>
      <c r="S398" s="853"/>
      <c r="T398" s="73">
        <f t="shared" si="146"/>
        <v>2770</v>
      </c>
      <c r="U398" s="22"/>
      <c r="V398" s="22">
        <v>2770</v>
      </c>
      <c r="W398" s="691" t="s">
        <v>1516</v>
      </c>
      <c r="X398" s="24" t="s">
        <v>186</v>
      </c>
      <c r="Y398" s="22">
        <v>1</v>
      </c>
      <c r="Z398" s="657"/>
      <c r="AA398" s="996">
        <f t="shared" si="147"/>
        <v>2770</v>
      </c>
      <c r="AB398" s="978"/>
      <c r="AC398" s="553"/>
      <c r="AD398" s="553"/>
      <c r="AE398" s="553"/>
    </row>
    <row r="399" spans="1:38" s="25" customFormat="1" ht="25.5">
      <c r="A399" s="17" t="s">
        <v>179</v>
      </c>
      <c r="B399" s="291" t="s">
        <v>176</v>
      </c>
      <c r="C399" s="18" t="s">
        <v>60</v>
      </c>
      <c r="D399" s="19" t="s">
        <v>174</v>
      </c>
      <c r="E399" s="20" t="s">
        <v>154</v>
      </c>
      <c r="F399" s="692" t="s">
        <v>177</v>
      </c>
      <c r="G399" s="1028">
        <v>10677</v>
      </c>
      <c r="H399" s="1029">
        <v>7747</v>
      </c>
      <c r="I399" s="42">
        <v>0</v>
      </c>
      <c r="J399" s="42">
        <v>0</v>
      </c>
      <c r="K399" s="22">
        <v>10677</v>
      </c>
      <c r="L399" s="22">
        <v>7747</v>
      </c>
      <c r="M399" s="23"/>
      <c r="N399" s="21">
        <v>8747</v>
      </c>
      <c r="O399" s="22">
        <v>7747</v>
      </c>
      <c r="P399" s="23"/>
      <c r="Q399" s="833">
        <f t="shared" si="145"/>
        <v>4000</v>
      </c>
      <c r="R399" s="853">
        <v>4000</v>
      </c>
      <c r="S399" s="853"/>
      <c r="T399" s="73">
        <f t="shared" si="146"/>
        <v>4000</v>
      </c>
      <c r="U399" s="22"/>
      <c r="V399" s="22">
        <v>4000</v>
      </c>
      <c r="W399" s="513" t="s">
        <v>1517</v>
      </c>
      <c r="X399" s="24" t="s">
        <v>178</v>
      </c>
      <c r="Y399" s="22">
        <v>1</v>
      </c>
      <c r="Z399" s="657"/>
      <c r="AA399" s="996">
        <f t="shared" si="147"/>
        <v>4000</v>
      </c>
      <c r="AB399" s="978"/>
      <c r="AC399" s="553"/>
      <c r="AD399" s="553"/>
      <c r="AE399" s="553"/>
    </row>
    <row r="400" spans="1:38" s="25" customFormat="1" ht="28.5" customHeight="1">
      <c r="A400" s="17" t="s">
        <v>182</v>
      </c>
      <c r="B400" s="291" t="s">
        <v>188</v>
      </c>
      <c r="C400" s="18" t="s">
        <v>60</v>
      </c>
      <c r="D400" s="19" t="s">
        <v>189</v>
      </c>
      <c r="E400" s="20" t="s">
        <v>166</v>
      </c>
      <c r="F400" s="80" t="s">
        <v>190</v>
      </c>
      <c r="G400" s="21">
        <v>6148</v>
      </c>
      <c r="H400" s="22">
        <v>3072</v>
      </c>
      <c r="I400" s="42">
        <v>0</v>
      </c>
      <c r="J400" s="42">
        <v>0</v>
      </c>
      <c r="K400" s="22">
        <v>6148</v>
      </c>
      <c r="L400" s="22">
        <v>3072</v>
      </c>
      <c r="M400" s="23"/>
      <c r="N400" s="21">
        <v>6148</v>
      </c>
      <c r="O400" s="22">
        <v>3072</v>
      </c>
      <c r="P400" s="23"/>
      <c r="Q400" s="833">
        <f t="shared" si="145"/>
        <v>1500</v>
      </c>
      <c r="R400" s="853">
        <v>1500</v>
      </c>
      <c r="S400" s="853"/>
      <c r="T400" s="73">
        <f t="shared" si="146"/>
        <v>1500</v>
      </c>
      <c r="U400" s="22">
        <v>1500</v>
      </c>
      <c r="V400" s="22"/>
      <c r="W400" s="513" t="s">
        <v>1517</v>
      </c>
      <c r="X400" s="24"/>
      <c r="Y400" s="22">
        <v>1</v>
      </c>
      <c r="Z400" s="657"/>
      <c r="AA400" s="996">
        <f t="shared" si="147"/>
        <v>0</v>
      </c>
      <c r="AB400" s="978"/>
      <c r="AC400" s="553"/>
      <c r="AD400" s="553"/>
      <c r="AE400" s="553"/>
    </row>
    <row r="401" spans="1:31" s="25" customFormat="1" ht="60">
      <c r="A401" s="17" t="s">
        <v>187</v>
      </c>
      <c r="B401" s="291" t="s">
        <v>168</v>
      </c>
      <c r="C401" s="18" t="s">
        <v>5</v>
      </c>
      <c r="D401" s="19" t="s">
        <v>169</v>
      </c>
      <c r="E401" s="20" t="s">
        <v>154</v>
      </c>
      <c r="F401" s="80" t="s">
        <v>1599</v>
      </c>
      <c r="G401" s="21">
        <v>4925</v>
      </c>
      <c r="H401" s="22">
        <v>3240</v>
      </c>
      <c r="I401" s="42">
        <v>0</v>
      </c>
      <c r="J401" s="42">
        <v>0</v>
      </c>
      <c r="K401" s="22">
        <v>4925</v>
      </c>
      <c r="L401" s="22">
        <v>3240</v>
      </c>
      <c r="M401" s="23"/>
      <c r="N401" s="21">
        <v>6731</v>
      </c>
      <c r="O401" s="22">
        <v>3214</v>
      </c>
      <c r="P401" s="23"/>
      <c r="Q401" s="833">
        <f t="shared" si="145"/>
        <v>3000</v>
      </c>
      <c r="R401" s="853">
        <v>3000</v>
      </c>
      <c r="S401" s="853"/>
      <c r="T401" s="73">
        <f t="shared" si="146"/>
        <v>3000</v>
      </c>
      <c r="U401" s="22"/>
      <c r="V401" s="22">
        <v>3000</v>
      </c>
      <c r="W401" s="513" t="s">
        <v>1521</v>
      </c>
      <c r="X401" s="24" t="s">
        <v>171</v>
      </c>
      <c r="Y401" s="22">
        <v>1</v>
      </c>
      <c r="Z401" s="657"/>
      <c r="AA401" s="996">
        <f t="shared" si="147"/>
        <v>3000</v>
      </c>
      <c r="AB401" s="978"/>
      <c r="AC401" s="553"/>
      <c r="AD401" s="553"/>
      <c r="AE401" s="553"/>
    </row>
    <row r="402" spans="1:31" s="25" customFormat="1" ht="25.5">
      <c r="A402" s="17" t="s">
        <v>191</v>
      </c>
      <c r="B402" s="291" t="s">
        <v>192</v>
      </c>
      <c r="C402" s="18" t="s">
        <v>5</v>
      </c>
      <c r="D402" s="19" t="s">
        <v>193</v>
      </c>
      <c r="E402" s="20" t="s">
        <v>154</v>
      </c>
      <c r="F402" s="80" t="s">
        <v>1600</v>
      </c>
      <c r="G402" s="21">
        <v>11416</v>
      </c>
      <c r="H402" s="22">
        <v>4873</v>
      </c>
      <c r="I402" s="42">
        <v>0</v>
      </c>
      <c r="J402" s="42">
        <v>0</v>
      </c>
      <c r="K402" s="22">
        <v>11416</v>
      </c>
      <c r="L402" s="22">
        <v>4873</v>
      </c>
      <c r="M402" s="23"/>
      <c r="N402" s="21">
        <v>11164</v>
      </c>
      <c r="O402" s="22">
        <v>7067</v>
      </c>
      <c r="P402" s="23"/>
      <c r="Q402" s="833">
        <f t="shared" si="145"/>
        <v>2000</v>
      </c>
      <c r="R402" s="853">
        <v>2000</v>
      </c>
      <c r="S402" s="853"/>
      <c r="T402" s="73">
        <f t="shared" si="146"/>
        <v>2000</v>
      </c>
      <c r="U402" s="22">
        <v>2000</v>
      </c>
      <c r="V402" s="22"/>
      <c r="W402" s="513" t="s">
        <v>1521</v>
      </c>
      <c r="X402" s="24"/>
      <c r="Y402" s="22">
        <v>1</v>
      </c>
      <c r="Z402" s="657"/>
      <c r="AA402" s="996">
        <f t="shared" si="147"/>
        <v>0</v>
      </c>
      <c r="AB402" s="978"/>
      <c r="AC402" s="553"/>
      <c r="AD402" s="553"/>
      <c r="AE402" s="553"/>
    </row>
    <row r="403" spans="1:31" s="25" customFormat="1" ht="25.5">
      <c r="A403" s="17" t="s">
        <v>195</v>
      </c>
      <c r="B403" s="291" t="s">
        <v>196</v>
      </c>
      <c r="C403" s="18" t="s">
        <v>5</v>
      </c>
      <c r="D403" s="19" t="s">
        <v>197</v>
      </c>
      <c r="E403" s="20" t="s">
        <v>120</v>
      </c>
      <c r="F403" s="80" t="s">
        <v>1601</v>
      </c>
      <c r="G403" s="21">
        <v>6329</v>
      </c>
      <c r="H403" s="22">
        <v>4316</v>
      </c>
      <c r="I403" s="42">
        <v>0</v>
      </c>
      <c r="J403" s="42">
        <v>0</v>
      </c>
      <c r="K403" s="22">
        <v>6329</v>
      </c>
      <c r="L403" s="22">
        <v>4316</v>
      </c>
      <c r="M403" s="23"/>
      <c r="N403" s="21">
        <v>6381</v>
      </c>
      <c r="O403" s="22">
        <v>4372</v>
      </c>
      <c r="P403" s="23"/>
      <c r="Q403" s="833">
        <f t="shared" si="145"/>
        <v>2000</v>
      </c>
      <c r="R403" s="853">
        <v>2000</v>
      </c>
      <c r="S403" s="853"/>
      <c r="T403" s="73">
        <f t="shared" si="146"/>
        <v>2000</v>
      </c>
      <c r="U403" s="22">
        <v>2000</v>
      </c>
      <c r="V403" s="22"/>
      <c r="W403" s="513" t="s">
        <v>1521</v>
      </c>
      <c r="X403" s="24"/>
      <c r="Y403" s="22">
        <v>1</v>
      </c>
      <c r="Z403" s="657"/>
      <c r="AA403" s="996">
        <f t="shared" si="147"/>
        <v>0</v>
      </c>
      <c r="AB403" s="978"/>
      <c r="AC403" s="553"/>
      <c r="AD403" s="553"/>
      <c r="AE403" s="553"/>
    </row>
    <row r="404" spans="1:31" s="211" customFormat="1" ht="25.5">
      <c r="A404" s="17" t="s">
        <v>590</v>
      </c>
      <c r="B404" s="727" t="s">
        <v>551</v>
      </c>
      <c r="C404" s="299" t="s">
        <v>143</v>
      </c>
      <c r="D404" s="606" t="s">
        <v>552</v>
      </c>
      <c r="E404" s="307" t="s">
        <v>30</v>
      </c>
      <c r="F404" s="693" t="s">
        <v>553</v>
      </c>
      <c r="G404" s="175">
        <v>4922</v>
      </c>
      <c r="H404" s="175">
        <v>4922</v>
      </c>
      <c r="I404" s="207"/>
      <c r="J404" s="207"/>
      <c r="K404" s="176">
        <v>4500</v>
      </c>
      <c r="L404" s="176">
        <v>4500</v>
      </c>
      <c r="M404" s="207"/>
      <c r="N404" s="316">
        <v>1790</v>
      </c>
      <c r="O404" s="316">
        <v>1790</v>
      </c>
      <c r="P404" s="316"/>
      <c r="Q404" s="865">
        <v>1790</v>
      </c>
      <c r="R404" s="865">
        <v>1790</v>
      </c>
      <c r="S404" s="865"/>
      <c r="T404" s="73">
        <f t="shared" si="146"/>
        <v>1790</v>
      </c>
      <c r="U404" s="316">
        <v>1790</v>
      </c>
      <c r="V404" s="316"/>
      <c r="W404" s="691" t="s">
        <v>1586</v>
      </c>
      <c r="X404" s="24" t="s">
        <v>345</v>
      </c>
      <c r="Y404" s="105">
        <v>1</v>
      </c>
      <c r="Z404" s="657"/>
      <c r="AA404" s="990"/>
      <c r="AB404" s="811"/>
      <c r="AC404" s="560"/>
      <c r="AD404" s="560"/>
      <c r="AE404" s="551"/>
    </row>
    <row r="405" spans="1:31" s="211" customFormat="1" ht="25.5">
      <c r="A405" s="17" t="s">
        <v>591</v>
      </c>
      <c r="B405" s="727" t="s">
        <v>554</v>
      </c>
      <c r="C405" s="299" t="s">
        <v>5</v>
      </c>
      <c r="D405" s="606" t="s">
        <v>552</v>
      </c>
      <c r="E405" s="307" t="s">
        <v>30</v>
      </c>
      <c r="F405" s="693" t="s">
        <v>555</v>
      </c>
      <c r="G405" s="175">
        <v>4440</v>
      </c>
      <c r="H405" s="175">
        <v>4440</v>
      </c>
      <c r="I405" s="207"/>
      <c r="J405" s="207"/>
      <c r="K405" s="176">
        <v>4000</v>
      </c>
      <c r="L405" s="176">
        <v>4000</v>
      </c>
      <c r="M405" s="207"/>
      <c r="N405" s="316">
        <v>1614</v>
      </c>
      <c r="O405" s="316">
        <v>1614</v>
      </c>
      <c r="P405" s="316"/>
      <c r="Q405" s="865">
        <v>1614</v>
      </c>
      <c r="R405" s="865">
        <v>1614</v>
      </c>
      <c r="S405" s="865"/>
      <c r="T405" s="73">
        <f t="shared" si="146"/>
        <v>1614</v>
      </c>
      <c r="U405" s="316">
        <v>1614</v>
      </c>
      <c r="V405" s="316"/>
      <c r="W405" s="691" t="s">
        <v>1586</v>
      </c>
      <c r="X405" s="24" t="s">
        <v>345</v>
      </c>
      <c r="Y405" s="105">
        <v>1</v>
      </c>
      <c r="Z405" s="657"/>
      <c r="AA405" s="990"/>
      <c r="AB405" s="811"/>
      <c r="AC405" s="560"/>
      <c r="AD405" s="560"/>
      <c r="AE405" s="551"/>
    </row>
    <row r="406" spans="1:31" s="211" customFormat="1">
      <c r="A406" s="17"/>
      <c r="B406" s="765"/>
      <c r="C406" s="17"/>
      <c r="D406" s="17"/>
      <c r="E406" s="891"/>
      <c r="F406" s="712"/>
      <c r="G406" s="17"/>
      <c r="H406" s="17"/>
      <c r="I406" s="17"/>
      <c r="J406" s="17"/>
      <c r="K406" s="17"/>
      <c r="L406" s="17"/>
      <c r="M406" s="17"/>
      <c r="N406" s="17"/>
      <c r="O406" s="17"/>
      <c r="P406" s="17"/>
      <c r="Q406" s="870"/>
      <c r="R406" s="870"/>
      <c r="S406" s="870"/>
      <c r="T406" s="17"/>
      <c r="U406" s="17"/>
      <c r="V406" s="17"/>
      <c r="W406" s="712"/>
      <c r="X406" s="712"/>
      <c r="Y406" s="906"/>
      <c r="Z406" s="657"/>
      <c r="AA406" s="990"/>
      <c r="AB406" s="811"/>
      <c r="AC406" s="560"/>
      <c r="AD406" s="560"/>
      <c r="AE406" s="551"/>
    </row>
    <row r="407" spans="1:31" s="640" customFormat="1" ht="26.25" customHeight="1">
      <c r="A407" s="630" t="s">
        <v>1120</v>
      </c>
      <c r="B407" s="618" t="s">
        <v>1488</v>
      </c>
      <c r="C407" s="625"/>
      <c r="D407" s="625"/>
      <c r="E407" s="626"/>
      <c r="F407" s="690"/>
      <c r="G407" s="621">
        <f t="shared" ref="G407:V407" si="148">G408+G410</f>
        <v>631065</v>
      </c>
      <c r="H407" s="621">
        <f t="shared" si="148"/>
        <v>473034</v>
      </c>
      <c r="I407" s="621">
        <f t="shared" si="148"/>
        <v>175648</v>
      </c>
      <c r="J407" s="621">
        <f t="shared" si="148"/>
        <v>142048</v>
      </c>
      <c r="K407" s="621">
        <f t="shared" si="148"/>
        <v>414377.6</v>
      </c>
      <c r="L407" s="621">
        <f t="shared" si="148"/>
        <v>368705.6</v>
      </c>
      <c r="M407" s="621">
        <f t="shared" si="148"/>
        <v>0</v>
      </c>
      <c r="N407" s="621">
        <f t="shared" si="148"/>
        <v>163815</v>
      </c>
      <c r="O407" s="621">
        <f t="shared" si="148"/>
        <v>102413</v>
      </c>
      <c r="P407" s="621">
        <f t="shared" si="148"/>
        <v>0</v>
      </c>
      <c r="Q407" s="826">
        <f t="shared" si="148"/>
        <v>69287</v>
      </c>
      <c r="R407" s="826">
        <f t="shared" si="148"/>
        <v>69287</v>
      </c>
      <c r="S407" s="826">
        <f t="shared" si="148"/>
        <v>0</v>
      </c>
      <c r="T407" s="621">
        <f t="shared" si="148"/>
        <v>64790</v>
      </c>
      <c r="U407" s="621">
        <f t="shared" si="148"/>
        <v>64790</v>
      </c>
      <c r="V407" s="621">
        <f t="shared" si="148"/>
        <v>0</v>
      </c>
      <c r="W407" s="684"/>
      <c r="X407" s="743"/>
      <c r="Y407" s="621">
        <f>Y408+Y410</f>
        <v>11</v>
      </c>
      <c r="Z407" s="659"/>
      <c r="AA407" s="996"/>
      <c r="AB407" s="988"/>
      <c r="AC407" s="639"/>
      <c r="AD407" s="639"/>
      <c r="AE407" s="639"/>
    </row>
    <row r="408" spans="1:31" s="16" customFormat="1" ht="29.25" customHeight="1">
      <c r="A408" s="11" t="s">
        <v>525</v>
      </c>
      <c r="B408" s="65" t="s">
        <v>26</v>
      </c>
      <c r="C408" s="13"/>
      <c r="D408" s="13"/>
      <c r="E408" s="14"/>
      <c r="F408" s="89"/>
      <c r="G408" s="45">
        <f t="shared" ref="G408:V408" si="149">SUM(G409:G409)</f>
        <v>110000</v>
      </c>
      <c r="H408" s="45">
        <f t="shared" si="149"/>
        <v>10000</v>
      </c>
      <c r="I408" s="45">
        <f t="shared" si="149"/>
        <v>0</v>
      </c>
      <c r="J408" s="45">
        <f t="shared" si="149"/>
        <v>0</v>
      </c>
      <c r="K408" s="45">
        <f t="shared" si="149"/>
        <v>35000</v>
      </c>
      <c r="L408" s="45">
        <f t="shared" si="149"/>
        <v>30000</v>
      </c>
      <c r="M408" s="45">
        <f t="shared" si="149"/>
        <v>0</v>
      </c>
      <c r="N408" s="45">
        <f t="shared" si="149"/>
        <v>50000</v>
      </c>
      <c r="O408" s="45">
        <f t="shared" si="149"/>
        <v>0</v>
      </c>
      <c r="P408" s="45">
        <f t="shared" si="149"/>
        <v>0</v>
      </c>
      <c r="Q408" s="827">
        <f t="shared" si="149"/>
        <v>500</v>
      </c>
      <c r="R408" s="827">
        <f t="shared" si="149"/>
        <v>500</v>
      </c>
      <c r="S408" s="827">
        <f t="shared" si="149"/>
        <v>0</v>
      </c>
      <c r="T408" s="45">
        <f t="shared" si="149"/>
        <v>500</v>
      </c>
      <c r="U408" s="45">
        <f t="shared" si="149"/>
        <v>500</v>
      </c>
      <c r="V408" s="45">
        <f t="shared" si="149"/>
        <v>0</v>
      </c>
      <c r="W408" s="352"/>
      <c r="X408" s="379"/>
      <c r="Y408" s="45">
        <f>SUM(Y409:Y409)</f>
        <v>1</v>
      </c>
      <c r="Z408" s="660"/>
      <c r="AA408" s="996"/>
      <c r="AB408" s="988"/>
      <c r="AC408" s="558"/>
      <c r="AD408" s="558"/>
      <c r="AE408" s="558"/>
    </row>
    <row r="409" spans="1:31" s="25" customFormat="1" ht="60">
      <c r="A409" s="138">
        <v>1</v>
      </c>
      <c r="B409" s="766" t="s">
        <v>1483</v>
      </c>
      <c r="C409" s="524" t="s">
        <v>1435</v>
      </c>
      <c r="D409" s="403" t="s">
        <v>1484</v>
      </c>
      <c r="E409" s="535" t="s">
        <v>355</v>
      </c>
      <c r="F409" s="1012" t="s">
        <v>1485</v>
      </c>
      <c r="G409" s="392">
        <v>110000</v>
      </c>
      <c r="H409" s="392">
        <v>10000</v>
      </c>
      <c r="I409" s="392"/>
      <c r="J409" s="392"/>
      <c r="K409" s="392">
        <v>35000</v>
      </c>
      <c r="L409" s="392">
        <v>30000</v>
      </c>
      <c r="M409" s="392"/>
      <c r="N409" s="392">
        <v>50000</v>
      </c>
      <c r="O409" s="392"/>
      <c r="P409" s="23"/>
      <c r="Q409" s="871">
        <f>+R409</f>
        <v>500</v>
      </c>
      <c r="R409" s="871">
        <v>500</v>
      </c>
      <c r="S409" s="846"/>
      <c r="T409" s="73">
        <f>SUM(U409:V409)</f>
        <v>500</v>
      </c>
      <c r="U409" s="392">
        <v>500</v>
      </c>
      <c r="V409" s="15"/>
      <c r="W409" s="1012" t="s">
        <v>1567</v>
      </c>
      <c r="X409" s="24"/>
      <c r="Y409" s="23">
        <v>1</v>
      </c>
      <c r="Z409" s="657"/>
      <c r="AA409" s="996"/>
      <c r="AB409" s="978"/>
      <c r="AC409" s="553"/>
      <c r="AD409" s="553"/>
      <c r="AE409" s="553"/>
    </row>
    <row r="410" spans="1:31" s="353" customFormat="1" ht="26.25" customHeight="1">
      <c r="A410" s="82" t="s">
        <v>499</v>
      </c>
      <c r="B410" s="586" t="s">
        <v>31</v>
      </c>
      <c r="C410" s="350"/>
      <c r="D410" s="350"/>
      <c r="E410" s="351"/>
      <c r="F410" s="352"/>
      <c r="G410" s="45">
        <f t="shared" ref="G410:V410" si="150">SUM(G411,G416,G419)</f>
        <v>521065</v>
      </c>
      <c r="H410" s="45">
        <f t="shared" si="150"/>
        <v>463034</v>
      </c>
      <c r="I410" s="45">
        <f t="shared" si="150"/>
        <v>175648</v>
      </c>
      <c r="J410" s="45">
        <f t="shared" si="150"/>
        <v>142048</v>
      </c>
      <c r="K410" s="45">
        <f t="shared" si="150"/>
        <v>379377.6</v>
      </c>
      <c r="L410" s="45">
        <f t="shared" si="150"/>
        <v>338705.6</v>
      </c>
      <c r="M410" s="45">
        <f t="shared" si="150"/>
        <v>0</v>
      </c>
      <c r="N410" s="45">
        <f t="shared" si="150"/>
        <v>113815</v>
      </c>
      <c r="O410" s="45">
        <f t="shared" si="150"/>
        <v>102413</v>
      </c>
      <c r="P410" s="45">
        <f t="shared" si="150"/>
        <v>0</v>
      </c>
      <c r="Q410" s="827">
        <f t="shared" si="150"/>
        <v>68787</v>
      </c>
      <c r="R410" s="827">
        <f t="shared" si="150"/>
        <v>68787</v>
      </c>
      <c r="S410" s="827">
        <f t="shared" si="150"/>
        <v>0</v>
      </c>
      <c r="T410" s="45">
        <f t="shared" si="150"/>
        <v>64290</v>
      </c>
      <c r="U410" s="45">
        <f t="shared" si="150"/>
        <v>64290</v>
      </c>
      <c r="V410" s="45">
        <f t="shared" si="150"/>
        <v>0</v>
      </c>
      <c r="W410" s="352"/>
      <c r="X410" s="89"/>
      <c r="Y410" s="45">
        <f>SUM(Y411,Y416,Y419)</f>
        <v>10</v>
      </c>
      <c r="Z410" s="660"/>
      <c r="AA410" s="975"/>
      <c r="AB410" s="973"/>
    </row>
    <row r="411" spans="1:31" s="16" customFormat="1" ht="32.25" customHeight="1">
      <c r="A411" s="11" t="s">
        <v>78</v>
      </c>
      <c r="B411" s="65" t="s">
        <v>611</v>
      </c>
      <c r="C411" s="13"/>
      <c r="D411" s="13"/>
      <c r="E411" s="14"/>
      <c r="F411" s="89"/>
      <c r="G411" s="362">
        <f t="shared" ref="G411:V411" si="151">SUM(G412:G415)</f>
        <v>131296</v>
      </c>
      <c r="H411" s="362">
        <f t="shared" si="151"/>
        <v>86296</v>
      </c>
      <c r="I411" s="362">
        <f t="shared" si="151"/>
        <v>95927</v>
      </c>
      <c r="J411" s="362">
        <f t="shared" si="151"/>
        <v>62327</v>
      </c>
      <c r="K411" s="362">
        <f t="shared" si="151"/>
        <v>89283.5</v>
      </c>
      <c r="L411" s="362">
        <f t="shared" si="151"/>
        <v>60339.4</v>
      </c>
      <c r="M411" s="362">
        <f t="shared" si="151"/>
        <v>0</v>
      </c>
      <c r="N411" s="362">
        <f t="shared" si="151"/>
        <v>33757</v>
      </c>
      <c r="O411" s="362">
        <f t="shared" si="151"/>
        <v>22355</v>
      </c>
      <c r="P411" s="362">
        <f t="shared" si="151"/>
        <v>0</v>
      </c>
      <c r="Q411" s="872">
        <f t="shared" si="151"/>
        <v>20697</v>
      </c>
      <c r="R411" s="872">
        <f t="shared" si="151"/>
        <v>20697</v>
      </c>
      <c r="S411" s="872">
        <f t="shared" si="151"/>
        <v>0</v>
      </c>
      <c r="T411" s="362">
        <f t="shared" si="151"/>
        <v>12700</v>
      </c>
      <c r="U411" s="362">
        <f t="shared" si="151"/>
        <v>12700</v>
      </c>
      <c r="V411" s="362">
        <f t="shared" si="151"/>
        <v>0</v>
      </c>
      <c r="W411" s="740"/>
      <c r="X411" s="379"/>
      <c r="Y411" s="362">
        <f>SUM(Y412:Y415)</f>
        <v>4</v>
      </c>
      <c r="Z411" s="660"/>
      <c r="AA411" s="996"/>
      <c r="AB411" s="988"/>
      <c r="AC411" s="558"/>
      <c r="AD411" s="558"/>
      <c r="AE411" s="558"/>
    </row>
    <row r="412" spans="1:31" s="16" customFormat="1" ht="60">
      <c r="A412" s="138">
        <v>1</v>
      </c>
      <c r="B412" s="766" t="s">
        <v>1434</v>
      </c>
      <c r="C412" s="524" t="s">
        <v>1435</v>
      </c>
      <c r="D412" s="524" t="s">
        <v>1436</v>
      </c>
      <c r="E412" s="522" t="s">
        <v>1437</v>
      </c>
      <c r="F412" s="713" t="s">
        <v>1438</v>
      </c>
      <c r="G412" s="392">
        <v>70441</v>
      </c>
      <c r="H412" s="392">
        <v>70441</v>
      </c>
      <c r="I412" s="392">
        <v>57327</v>
      </c>
      <c r="J412" s="392">
        <v>57327</v>
      </c>
      <c r="K412" s="392">
        <f>+G412-17327</f>
        <v>53114</v>
      </c>
      <c r="L412" s="392">
        <f>+H412*0.9-17327</f>
        <v>46069.9</v>
      </c>
      <c r="M412" s="15"/>
      <c r="N412" s="392">
        <f>+O412</f>
        <v>11500</v>
      </c>
      <c r="O412" s="392">
        <v>11500</v>
      </c>
      <c r="P412" s="15"/>
      <c r="Q412" s="871">
        <f>+R412</f>
        <v>11500</v>
      </c>
      <c r="R412" s="871">
        <v>11500</v>
      </c>
      <c r="S412" s="846"/>
      <c r="T412" s="73">
        <f>SUM(U412:V412)</f>
        <v>6000</v>
      </c>
      <c r="U412" s="392">
        <v>6000</v>
      </c>
      <c r="V412" s="15"/>
      <c r="W412" s="1012" t="s">
        <v>1567</v>
      </c>
      <c r="X412" s="379"/>
      <c r="Y412" s="651">
        <v>1</v>
      </c>
      <c r="Z412" s="660"/>
      <c r="AA412" s="996"/>
      <c r="AB412" s="988"/>
      <c r="AC412" s="558"/>
      <c r="AD412" s="558"/>
      <c r="AE412" s="558"/>
    </row>
    <row r="413" spans="1:31" s="25" customFormat="1" ht="60">
      <c r="A413" s="138">
        <v>2</v>
      </c>
      <c r="B413" s="766" t="s">
        <v>1439</v>
      </c>
      <c r="C413" s="524" t="s">
        <v>1435</v>
      </c>
      <c r="D413" s="403" t="s">
        <v>1440</v>
      </c>
      <c r="E413" s="522" t="s">
        <v>87</v>
      </c>
      <c r="F413" s="713" t="s">
        <v>1441</v>
      </c>
      <c r="G413" s="392">
        <v>49997</v>
      </c>
      <c r="H413" s="392">
        <v>4997</v>
      </c>
      <c r="I413" s="392">
        <v>33600</v>
      </c>
      <c r="J413" s="392"/>
      <c r="K413" s="392">
        <f>+G413*0.9-18600</f>
        <v>26397.300000000003</v>
      </c>
      <c r="L413" s="392">
        <f>+H413*0.9</f>
        <v>4497.3</v>
      </c>
      <c r="M413" s="392"/>
      <c r="N413" s="392">
        <v>16399</v>
      </c>
      <c r="O413" s="392">
        <v>4997</v>
      </c>
      <c r="P413" s="23"/>
      <c r="Q413" s="871">
        <f>+R413</f>
        <v>4497</v>
      </c>
      <c r="R413" s="871">
        <v>4497</v>
      </c>
      <c r="S413" s="860"/>
      <c r="T413" s="73">
        <f>SUM(U413:V413)</f>
        <v>2000</v>
      </c>
      <c r="U413" s="392">
        <v>2000</v>
      </c>
      <c r="V413" s="15"/>
      <c r="W413" s="1012" t="s">
        <v>1567</v>
      </c>
      <c r="X413" s="24"/>
      <c r="Y413" s="651">
        <v>1</v>
      </c>
      <c r="Z413" s="657"/>
      <c r="AA413" s="996"/>
      <c r="AB413" s="978"/>
      <c r="AC413" s="553"/>
      <c r="AD413" s="553"/>
      <c r="AE413" s="553"/>
    </row>
    <row r="414" spans="1:31" s="16" customFormat="1" ht="30">
      <c r="A414" s="138">
        <v>3</v>
      </c>
      <c r="B414" s="766" t="s">
        <v>1603</v>
      </c>
      <c r="C414" s="524" t="s">
        <v>43</v>
      </c>
      <c r="D414" s="524">
        <v>2000</v>
      </c>
      <c r="E414" s="522" t="s">
        <v>1443</v>
      </c>
      <c r="F414" s="713" t="s">
        <v>1446</v>
      </c>
      <c r="G414" s="392">
        <v>6518</v>
      </c>
      <c r="H414" s="392">
        <v>6518</v>
      </c>
      <c r="I414" s="392">
        <v>3000</v>
      </c>
      <c r="J414" s="392">
        <v>3000</v>
      </c>
      <c r="K414" s="392">
        <f>+G414*0.9</f>
        <v>5866.2</v>
      </c>
      <c r="L414" s="392">
        <f>+H414*0.9</f>
        <v>5866.2</v>
      </c>
      <c r="M414" s="15"/>
      <c r="N414" s="392">
        <f>6518-3000</f>
        <v>3518</v>
      </c>
      <c r="O414" s="392">
        <f>6518-3000</f>
        <v>3518</v>
      </c>
      <c r="P414" s="15"/>
      <c r="Q414" s="871">
        <v>2800</v>
      </c>
      <c r="R414" s="871">
        <v>2800</v>
      </c>
      <c r="S414" s="846"/>
      <c r="T414" s="73">
        <f>SUM(U414:V414)</f>
        <v>2800</v>
      </c>
      <c r="U414" s="392">
        <v>2800</v>
      </c>
      <c r="V414" s="15"/>
      <c r="W414" s="1012" t="s">
        <v>1567</v>
      </c>
      <c r="X414" s="379"/>
      <c r="Y414" s="651">
        <v>1</v>
      </c>
      <c r="Z414" s="660"/>
      <c r="AA414" s="996"/>
      <c r="AB414" s="988"/>
      <c r="AC414" s="558"/>
      <c r="AD414" s="558"/>
      <c r="AE414" s="558"/>
    </row>
    <row r="415" spans="1:31" s="25" customFormat="1" ht="30">
      <c r="A415" s="138">
        <v>4</v>
      </c>
      <c r="B415" s="68" t="s">
        <v>1447</v>
      </c>
      <c r="C415" s="19" t="s">
        <v>29</v>
      </c>
      <c r="D415" s="19" t="s">
        <v>1448</v>
      </c>
      <c r="E415" s="70" t="s">
        <v>30</v>
      </c>
      <c r="F415" s="80" t="s">
        <v>1449</v>
      </c>
      <c r="G415" s="392">
        <v>4340</v>
      </c>
      <c r="H415" s="392">
        <v>4340</v>
      </c>
      <c r="I415" s="392">
        <f>J415</f>
        <v>2000</v>
      </c>
      <c r="J415" s="392">
        <v>2000</v>
      </c>
      <c r="K415" s="392">
        <f>L415</f>
        <v>3906</v>
      </c>
      <c r="L415" s="392">
        <f>H415*0.9</f>
        <v>3906</v>
      </c>
      <c r="M415" s="392"/>
      <c r="N415" s="392">
        <f>O415</f>
        <v>2340</v>
      </c>
      <c r="O415" s="392">
        <f>4340-2000</f>
        <v>2340</v>
      </c>
      <c r="P415" s="392"/>
      <c r="Q415" s="871">
        <v>1900</v>
      </c>
      <c r="R415" s="871">
        <v>1900</v>
      </c>
      <c r="S415" s="871"/>
      <c r="T415" s="73">
        <f>SUM(U415:V415)</f>
        <v>1900</v>
      </c>
      <c r="U415" s="392">
        <v>1900</v>
      </c>
      <c r="V415" s="15"/>
      <c r="W415" s="1012" t="s">
        <v>1568</v>
      </c>
      <c r="X415" s="24"/>
      <c r="Y415" s="958">
        <v>1</v>
      </c>
      <c r="Z415" s="657"/>
      <c r="AA415" s="996"/>
      <c r="AB415" s="978"/>
      <c r="AC415" s="553"/>
      <c r="AD415" s="553"/>
      <c r="AE415" s="553"/>
    </row>
    <row r="416" spans="1:31" s="16" customFormat="1" ht="28.5">
      <c r="A416" s="11" t="s">
        <v>116</v>
      </c>
      <c r="B416" s="65" t="s">
        <v>117</v>
      </c>
      <c r="C416" s="13"/>
      <c r="D416" s="13"/>
      <c r="E416" s="14"/>
      <c r="F416" s="89"/>
      <c r="G416" s="362">
        <f t="shared" ref="G416:V416" si="152">SUM(G417:G418)</f>
        <v>199655</v>
      </c>
      <c r="H416" s="362">
        <f t="shared" si="152"/>
        <v>199655</v>
      </c>
      <c r="I416" s="362">
        <f t="shared" si="152"/>
        <v>79252</v>
      </c>
      <c r="J416" s="362">
        <f t="shared" si="152"/>
        <v>79252</v>
      </c>
      <c r="K416" s="362">
        <f t="shared" si="152"/>
        <v>119160.5</v>
      </c>
      <c r="L416" s="362">
        <f t="shared" si="152"/>
        <v>119160.5</v>
      </c>
      <c r="M416" s="362">
        <f t="shared" si="152"/>
        <v>0</v>
      </c>
      <c r="N416" s="362">
        <f t="shared" si="152"/>
        <v>23400</v>
      </c>
      <c r="O416" s="362">
        <f t="shared" si="152"/>
        <v>23400</v>
      </c>
      <c r="P416" s="362">
        <f t="shared" si="152"/>
        <v>0</v>
      </c>
      <c r="Q416" s="872">
        <f t="shared" si="152"/>
        <v>18300</v>
      </c>
      <c r="R416" s="872">
        <f t="shared" si="152"/>
        <v>18300</v>
      </c>
      <c r="S416" s="872">
        <f t="shared" si="152"/>
        <v>0</v>
      </c>
      <c r="T416" s="362">
        <f t="shared" si="152"/>
        <v>18300</v>
      </c>
      <c r="U416" s="362">
        <f t="shared" si="152"/>
        <v>18300</v>
      </c>
      <c r="V416" s="362">
        <f t="shared" si="152"/>
        <v>0</v>
      </c>
      <c r="W416" s="740"/>
      <c r="X416" s="379"/>
      <c r="Y416" s="362">
        <f>SUM(Y417:Y418)</f>
        <v>2</v>
      </c>
      <c r="Z416" s="660"/>
      <c r="AA416" s="996"/>
      <c r="AB416" s="988"/>
      <c r="AC416" s="558"/>
      <c r="AD416" s="558"/>
      <c r="AE416" s="558"/>
    </row>
    <row r="417" spans="1:31" s="25" customFormat="1" ht="30">
      <c r="A417" s="529">
        <v>1</v>
      </c>
      <c r="B417" s="287" t="s">
        <v>1450</v>
      </c>
      <c r="C417" s="41" t="s">
        <v>60</v>
      </c>
      <c r="D417" s="41"/>
      <c r="E417" s="523" t="s">
        <v>1451</v>
      </c>
      <c r="F417" s="711" t="s">
        <v>1452</v>
      </c>
      <c r="G417" s="392">
        <v>174945</v>
      </c>
      <c r="H417" s="392">
        <v>174945</v>
      </c>
      <c r="I417" s="392">
        <v>75552</v>
      </c>
      <c r="J417" s="392">
        <v>75552</v>
      </c>
      <c r="K417" s="392">
        <f>174945*0.9-63000</f>
        <v>94450.5</v>
      </c>
      <c r="L417" s="392">
        <f>174945*0.9-63000</f>
        <v>94450.5</v>
      </c>
      <c r="M417" s="23"/>
      <c r="N417" s="392">
        <f>+O417</f>
        <v>15000</v>
      </c>
      <c r="O417" s="392">
        <v>15000</v>
      </c>
      <c r="P417" s="23"/>
      <c r="Q417" s="871">
        <f>+R417</f>
        <v>10000</v>
      </c>
      <c r="R417" s="871">
        <v>10000</v>
      </c>
      <c r="S417" s="860"/>
      <c r="T417" s="73">
        <f>SUM(U417:V417)</f>
        <v>10000</v>
      </c>
      <c r="U417" s="392">
        <v>10000</v>
      </c>
      <c r="V417" s="15"/>
      <c r="W417" s="1012" t="s">
        <v>1567</v>
      </c>
      <c r="X417" s="24"/>
      <c r="Y417" s="23">
        <v>1</v>
      </c>
      <c r="Z417" s="714"/>
      <c r="AA417" s="996"/>
      <c r="AB417" s="978"/>
      <c r="AC417" s="553"/>
      <c r="AD417" s="553"/>
      <c r="AE417" s="553"/>
    </row>
    <row r="418" spans="1:31" s="25" customFormat="1" ht="30">
      <c r="A418" s="529">
        <v>2</v>
      </c>
      <c r="B418" s="68" t="s">
        <v>1457</v>
      </c>
      <c r="C418" s="19" t="s">
        <v>173</v>
      </c>
      <c r="D418" s="19"/>
      <c r="E418" s="70" t="s">
        <v>30</v>
      </c>
      <c r="F418" s="80" t="s">
        <v>1458</v>
      </c>
      <c r="G418" s="392">
        <f>H418</f>
        <v>24710</v>
      </c>
      <c r="H418" s="392">
        <v>24710</v>
      </c>
      <c r="I418" s="392">
        <f>J418</f>
        <v>3700</v>
      </c>
      <c r="J418" s="392">
        <v>3700</v>
      </c>
      <c r="K418" s="392">
        <f>L418</f>
        <v>24710</v>
      </c>
      <c r="L418" s="392">
        <v>24710</v>
      </c>
      <c r="M418" s="392"/>
      <c r="N418" s="392">
        <f>+O418</f>
        <v>8400</v>
      </c>
      <c r="O418" s="392">
        <v>8400</v>
      </c>
      <c r="P418" s="392"/>
      <c r="Q418" s="871">
        <f>+R418</f>
        <v>8300</v>
      </c>
      <c r="R418" s="871">
        <v>8300</v>
      </c>
      <c r="S418" s="871"/>
      <c r="T418" s="73">
        <f>SUM(U418:V418)</f>
        <v>8300</v>
      </c>
      <c r="U418" s="392">
        <v>8300</v>
      </c>
      <c r="V418" s="392"/>
      <c r="W418" s="1012" t="s">
        <v>1568</v>
      </c>
      <c r="X418" s="24"/>
      <c r="Y418" s="392">
        <v>1</v>
      </c>
      <c r="Z418" s="657"/>
      <c r="AA418" s="996"/>
      <c r="AB418" s="978"/>
      <c r="AC418" s="553"/>
      <c r="AD418" s="553"/>
      <c r="AE418" s="553"/>
    </row>
    <row r="419" spans="1:31" s="16" customFormat="1" ht="15.75">
      <c r="A419" s="11" t="s">
        <v>150</v>
      </c>
      <c r="B419" s="65" t="s">
        <v>151</v>
      </c>
      <c r="C419" s="13"/>
      <c r="D419" s="13"/>
      <c r="E419" s="14"/>
      <c r="F419" s="89"/>
      <c r="G419" s="45">
        <f t="shared" ref="G419:Q419" si="153">SUM(G420:G423)</f>
        <v>190114</v>
      </c>
      <c r="H419" s="45">
        <f t="shared" si="153"/>
        <v>177083</v>
      </c>
      <c r="I419" s="45">
        <f t="shared" si="153"/>
        <v>469</v>
      </c>
      <c r="J419" s="45">
        <f t="shared" si="153"/>
        <v>469</v>
      </c>
      <c r="K419" s="45">
        <f t="shared" si="153"/>
        <v>170933.6</v>
      </c>
      <c r="L419" s="45">
        <f t="shared" si="153"/>
        <v>159205.70000000001</v>
      </c>
      <c r="M419" s="45">
        <f t="shared" si="153"/>
        <v>0</v>
      </c>
      <c r="N419" s="45">
        <f t="shared" si="153"/>
        <v>56658</v>
      </c>
      <c r="O419" s="45">
        <f t="shared" si="153"/>
        <v>56658</v>
      </c>
      <c r="P419" s="45">
        <f t="shared" si="153"/>
        <v>0</v>
      </c>
      <c r="Q419" s="827">
        <f t="shared" si="153"/>
        <v>29790</v>
      </c>
      <c r="R419" s="827">
        <f>SUM(R420:R423)</f>
        <v>29790</v>
      </c>
      <c r="S419" s="827">
        <f t="shared" ref="S419:T419" si="154">SUM(S420:S423)</f>
        <v>0</v>
      </c>
      <c r="T419" s="45">
        <f t="shared" si="154"/>
        <v>33290</v>
      </c>
      <c r="U419" s="45">
        <f>SUM(U420:U423)</f>
        <v>33290</v>
      </c>
      <c r="V419" s="45">
        <f t="shared" ref="V419" si="155">SUM(V420:V423)</f>
        <v>0</v>
      </c>
      <c r="W419" s="352"/>
      <c r="X419" s="379"/>
      <c r="Y419" s="45">
        <f t="shared" ref="Y419" si="156">SUM(Y420:Y423)</f>
        <v>4</v>
      </c>
      <c r="Z419" s="660"/>
      <c r="AA419" s="996"/>
      <c r="AB419" s="988"/>
      <c r="AC419" s="558"/>
      <c r="AD419" s="558"/>
      <c r="AE419" s="558"/>
    </row>
    <row r="420" spans="1:31" s="16" customFormat="1" ht="63.75">
      <c r="A420" s="138">
        <v>1</v>
      </c>
      <c r="B420" s="93" t="s">
        <v>1466</v>
      </c>
      <c r="C420" s="101" t="s">
        <v>60</v>
      </c>
      <c r="D420" s="101" t="s">
        <v>1467</v>
      </c>
      <c r="E420" s="137">
        <v>2017</v>
      </c>
      <c r="F420" s="100" t="s">
        <v>1468</v>
      </c>
      <c r="G420" s="104">
        <v>26062</v>
      </c>
      <c r="H420" s="72">
        <f>G420/2</f>
        <v>13031</v>
      </c>
      <c r="I420" s="72">
        <v>269</v>
      </c>
      <c r="J420" s="72">
        <f>I420</f>
        <v>269</v>
      </c>
      <c r="K420" s="72">
        <f>+G420*0.9-169</f>
        <v>23286.799999999999</v>
      </c>
      <c r="L420" s="72">
        <f>+H420*0.9-169</f>
        <v>11558.9</v>
      </c>
      <c r="M420" s="72"/>
      <c r="N420" s="72">
        <v>25793</v>
      </c>
      <c r="O420" s="72">
        <v>25793</v>
      </c>
      <c r="P420" s="72"/>
      <c r="Q420" s="123">
        <f>R420</f>
        <v>11290</v>
      </c>
      <c r="R420" s="123">
        <f>11559-269</f>
        <v>11290</v>
      </c>
      <c r="S420" s="123"/>
      <c r="T420" s="73">
        <f t="shared" ref="T420:T423" si="157">SUM(U420:V420)</f>
        <v>11290</v>
      </c>
      <c r="U420" s="72">
        <f>11559-269</f>
        <v>11290</v>
      </c>
      <c r="V420" s="72"/>
      <c r="W420" s="1012" t="s">
        <v>1569</v>
      </c>
      <c r="X420" s="745" t="s">
        <v>1666</v>
      </c>
      <c r="Y420" s="72">
        <v>1</v>
      </c>
      <c r="Z420" s="660"/>
      <c r="AA420" s="996"/>
      <c r="AB420" s="988"/>
      <c r="AC420" s="558"/>
      <c r="AD420" s="558"/>
      <c r="AE420" s="558"/>
    </row>
    <row r="421" spans="1:31" s="5" customFormat="1" ht="25.5">
      <c r="A421" s="138">
        <v>2</v>
      </c>
      <c r="B421" s="766" t="s">
        <v>1459</v>
      </c>
      <c r="C421" s="524" t="s">
        <v>260</v>
      </c>
      <c r="D421" s="403">
        <v>10000</v>
      </c>
      <c r="E421" s="535" t="s">
        <v>355</v>
      </c>
      <c r="F421" s="693" t="s">
        <v>1665</v>
      </c>
      <c r="G421" s="72">
        <v>109497</v>
      </c>
      <c r="H421" s="72">
        <v>109497</v>
      </c>
      <c r="I421" s="72"/>
      <c r="J421" s="72"/>
      <c r="K421" s="72">
        <f>+G421*0.9</f>
        <v>98547.3</v>
      </c>
      <c r="L421" s="72">
        <f>+H421*0.9</f>
        <v>98547.3</v>
      </c>
      <c r="M421" s="72"/>
      <c r="N421" s="72">
        <f>+O421</f>
        <v>10000</v>
      </c>
      <c r="O421" s="72">
        <v>10000</v>
      </c>
      <c r="P421" s="72"/>
      <c r="Q421" s="123">
        <f>+R421</f>
        <v>500</v>
      </c>
      <c r="R421" s="123">
        <v>500</v>
      </c>
      <c r="S421" s="123"/>
      <c r="T421" s="73">
        <f>SUM(U421:V421)</f>
        <v>10000</v>
      </c>
      <c r="U421" s="72">
        <v>10000</v>
      </c>
      <c r="V421" s="72"/>
      <c r="W421" s="1012" t="s">
        <v>1567</v>
      </c>
      <c r="X421" s="80"/>
      <c r="Y421" s="72">
        <v>1</v>
      </c>
      <c r="Z421" s="657"/>
      <c r="AA421" s="975"/>
      <c r="AB421" s="875"/>
    </row>
    <row r="422" spans="1:31" s="5" customFormat="1" ht="45">
      <c r="A422" s="138">
        <v>3</v>
      </c>
      <c r="B422" s="68" t="s">
        <v>1461</v>
      </c>
      <c r="C422" s="635" t="s">
        <v>278</v>
      </c>
      <c r="D422" s="635"/>
      <c r="E422" s="44" t="s">
        <v>355</v>
      </c>
      <c r="F422" s="1012" t="s">
        <v>1462</v>
      </c>
      <c r="G422" s="72">
        <f>H422</f>
        <v>49590</v>
      </c>
      <c r="H422" s="72">
        <v>49590</v>
      </c>
      <c r="I422" s="72">
        <f>J422</f>
        <v>100</v>
      </c>
      <c r="J422" s="72">
        <v>100</v>
      </c>
      <c r="K422" s="72">
        <f>L422</f>
        <v>44631</v>
      </c>
      <c r="L422" s="72">
        <f>H422*90%</f>
        <v>44631</v>
      </c>
      <c r="M422" s="72">
        <v>0</v>
      </c>
      <c r="N422" s="72">
        <f>O422</f>
        <v>16000</v>
      </c>
      <c r="O422" s="72">
        <v>16000</v>
      </c>
      <c r="P422" s="72"/>
      <c r="Q422" s="123">
        <f>R422</f>
        <v>16000</v>
      </c>
      <c r="R422" s="123">
        <v>16000</v>
      </c>
      <c r="S422" s="123"/>
      <c r="T422" s="73">
        <f t="shared" si="157"/>
        <v>10000</v>
      </c>
      <c r="U422" s="72">
        <v>10000</v>
      </c>
      <c r="V422" s="72"/>
      <c r="W422" s="1012" t="s">
        <v>1568</v>
      </c>
      <c r="X422" s="80"/>
      <c r="Y422" s="72">
        <v>1</v>
      </c>
      <c r="Z422" s="657"/>
      <c r="AA422" s="975"/>
      <c r="AB422" s="875"/>
    </row>
    <row r="423" spans="1:31" s="5" customFormat="1" ht="30">
      <c r="A423" s="138">
        <v>4</v>
      </c>
      <c r="B423" s="68" t="s">
        <v>1469</v>
      </c>
      <c r="C423" s="635" t="s">
        <v>278</v>
      </c>
      <c r="D423" s="635"/>
      <c r="E423" s="44" t="s">
        <v>355</v>
      </c>
      <c r="F423" s="1012" t="s">
        <v>1589</v>
      </c>
      <c r="G423" s="72">
        <v>4965</v>
      </c>
      <c r="H423" s="72">
        <v>4965</v>
      </c>
      <c r="I423" s="72">
        <f>J423</f>
        <v>100</v>
      </c>
      <c r="J423" s="72">
        <v>100</v>
      </c>
      <c r="K423" s="72">
        <f>L423</f>
        <v>4468.5</v>
      </c>
      <c r="L423" s="72">
        <f>H423*90%</f>
        <v>4468.5</v>
      </c>
      <c r="M423" s="72"/>
      <c r="N423" s="72">
        <f>O423</f>
        <v>4865</v>
      </c>
      <c r="O423" s="72">
        <v>4865</v>
      </c>
      <c r="P423" s="72"/>
      <c r="Q423" s="123">
        <f>R423</f>
        <v>2000</v>
      </c>
      <c r="R423" s="123">
        <v>2000</v>
      </c>
      <c r="S423" s="123"/>
      <c r="T423" s="73">
        <f t="shared" si="157"/>
        <v>2000</v>
      </c>
      <c r="U423" s="72">
        <v>2000</v>
      </c>
      <c r="V423" s="72"/>
      <c r="W423" s="1012" t="s">
        <v>1568</v>
      </c>
      <c r="X423" s="80"/>
      <c r="Y423" s="72">
        <v>1</v>
      </c>
      <c r="Z423" s="657"/>
      <c r="AA423" s="975"/>
      <c r="AB423" s="875"/>
    </row>
    <row r="424" spans="1:31" s="5" customFormat="1" ht="15.75">
      <c r="A424" s="138"/>
      <c r="B424" s="68"/>
      <c r="C424" s="635"/>
      <c r="D424" s="635"/>
      <c r="E424" s="44"/>
      <c r="F424" s="1012"/>
      <c r="G424" s="72"/>
      <c r="H424" s="72"/>
      <c r="I424" s="72"/>
      <c r="J424" s="72"/>
      <c r="K424" s="72"/>
      <c r="L424" s="72"/>
      <c r="M424" s="72"/>
      <c r="N424" s="72"/>
      <c r="O424" s="72"/>
      <c r="P424" s="72"/>
      <c r="Q424" s="123"/>
      <c r="R424" s="123"/>
      <c r="S424" s="123"/>
      <c r="T424" s="72"/>
      <c r="U424" s="72"/>
      <c r="V424" s="72"/>
      <c r="W424" s="1012"/>
      <c r="X424" s="80"/>
      <c r="Y424" s="72"/>
      <c r="Z424" s="657"/>
      <c r="AA424" s="975"/>
      <c r="AB424" s="875"/>
    </row>
    <row r="425" spans="1:31" s="640" customFormat="1" ht="25.5" customHeight="1">
      <c r="A425" s="630" t="s">
        <v>1471</v>
      </c>
      <c r="B425" s="618" t="s">
        <v>1489</v>
      </c>
      <c r="C425" s="625"/>
      <c r="D425" s="625"/>
      <c r="E425" s="626"/>
      <c r="F425" s="690"/>
      <c r="G425" s="621"/>
      <c r="H425" s="621"/>
      <c r="I425" s="621"/>
      <c r="J425" s="621"/>
      <c r="K425" s="621">
        <v>15000</v>
      </c>
      <c r="L425" s="621">
        <v>15000</v>
      </c>
      <c r="M425" s="621"/>
      <c r="N425" s="621">
        <f>+O425</f>
        <v>3500</v>
      </c>
      <c r="O425" s="621">
        <v>3500</v>
      </c>
      <c r="P425" s="621"/>
      <c r="Q425" s="621">
        <f>SUM(R425:S425)</f>
        <v>3500</v>
      </c>
      <c r="R425" s="621">
        <v>1500</v>
      </c>
      <c r="S425" s="621">
        <v>2000</v>
      </c>
      <c r="T425" s="621">
        <f t="shared" ref="T425" si="158">SUM(U425:V425)</f>
        <v>3500</v>
      </c>
      <c r="U425" s="621">
        <v>1500</v>
      </c>
      <c r="V425" s="621">
        <v>2000</v>
      </c>
      <c r="W425" s="1006" t="s">
        <v>1519</v>
      </c>
      <c r="X425" s="1215" t="s">
        <v>1726</v>
      </c>
      <c r="Y425" s="621"/>
      <c r="Z425" s="659"/>
      <c r="AA425" s="1007"/>
      <c r="AB425" s="639"/>
      <c r="AC425" s="639"/>
      <c r="AD425" s="639"/>
      <c r="AE425" s="639"/>
    </row>
    <row r="426" spans="1:31" s="640" customFormat="1" ht="28.5">
      <c r="A426" s="630" t="s">
        <v>1499</v>
      </c>
      <c r="B426" s="618" t="s">
        <v>1734</v>
      </c>
      <c r="C426" s="625"/>
      <c r="D426" s="625"/>
      <c r="E426" s="626"/>
      <c r="F426" s="690"/>
      <c r="G426" s="621"/>
      <c r="H426" s="621"/>
      <c r="I426" s="621"/>
      <c r="J426" s="621"/>
      <c r="K426" s="621">
        <v>270492</v>
      </c>
      <c r="L426" s="621">
        <v>270492</v>
      </c>
      <c r="M426" s="621"/>
      <c r="N426" s="621">
        <f>+O426</f>
        <v>76711</v>
      </c>
      <c r="O426" s="621">
        <v>76711</v>
      </c>
      <c r="P426" s="621"/>
      <c r="Q426" s="621">
        <f>SUM(R426:S426)</f>
        <v>76711</v>
      </c>
      <c r="R426" s="621">
        <v>30851</v>
      </c>
      <c r="S426" s="621">
        <v>45860</v>
      </c>
      <c r="T426" s="621">
        <f>SUM(U426:V426)</f>
        <v>76711</v>
      </c>
      <c r="U426" s="621">
        <v>30969</v>
      </c>
      <c r="V426" s="621">
        <v>45742</v>
      </c>
      <c r="W426" s="1006" t="s">
        <v>1519</v>
      </c>
      <c r="X426" s="1216"/>
      <c r="Y426" s="621"/>
      <c r="Z426" s="659"/>
      <c r="AA426" s="1007"/>
      <c r="AB426" s="639"/>
      <c r="AC426" s="639"/>
      <c r="AD426" s="639"/>
      <c r="AE426" s="639"/>
    </row>
    <row r="427" spans="1:31" s="16" customFormat="1" ht="15.75">
      <c r="A427" s="46"/>
      <c r="B427" s="293"/>
      <c r="C427" s="48"/>
      <c r="D427" s="48"/>
      <c r="E427" s="48"/>
      <c r="F427" s="50"/>
      <c r="G427" s="49"/>
      <c r="H427" s="49"/>
      <c r="I427" s="49"/>
      <c r="J427" s="49"/>
      <c r="K427" s="49"/>
      <c r="L427" s="49"/>
      <c r="M427" s="49"/>
      <c r="N427" s="49"/>
      <c r="O427" s="49"/>
      <c r="P427" s="49"/>
      <c r="Q427" s="873"/>
      <c r="R427" s="873"/>
      <c r="S427" s="873"/>
      <c r="T427" s="49"/>
      <c r="U427" s="49"/>
      <c r="V427" s="49"/>
      <c r="W427" s="50"/>
      <c r="X427" s="50"/>
      <c r="Y427" s="49"/>
      <c r="Z427" s="660"/>
      <c r="AA427" s="996"/>
      <c r="AB427" s="988"/>
      <c r="AC427" s="558"/>
      <c r="AD427" s="558"/>
      <c r="AE427" s="558"/>
    </row>
  </sheetData>
  <autoFilter ref="A11:X427"/>
  <mergeCells count="42">
    <mergeCell ref="A6:A10"/>
    <mergeCell ref="B6:B10"/>
    <mergeCell ref="C6:C10"/>
    <mergeCell ref="D6:D10"/>
    <mergeCell ref="E6:E10"/>
    <mergeCell ref="A1:X1"/>
    <mergeCell ref="A2:X2"/>
    <mergeCell ref="A3:X3"/>
    <mergeCell ref="A4:X4"/>
    <mergeCell ref="A5:X5"/>
    <mergeCell ref="Y6:Y10"/>
    <mergeCell ref="F7:F10"/>
    <mergeCell ref="G7:H7"/>
    <mergeCell ref="G8:G10"/>
    <mergeCell ref="H8:H10"/>
    <mergeCell ref="K8:K10"/>
    <mergeCell ref="L8:M8"/>
    <mergeCell ref="N8:N10"/>
    <mergeCell ref="F6:H6"/>
    <mergeCell ref="I6:J8"/>
    <mergeCell ref="K6:M7"/>
    <mergeCell ref="N6:P7"/>
    <mergeCell ref="Q6:S7"/>
    <mergeCell ref="T6:V7"/>
    <mergeCell ref="O8:P8"/>
    <mergeCell ref="Q8:Q10"/>
    <mergeCell ref="V9:V10"/>
    <mergeCell ref="X425:X426"/>
    <mergeCell ref="U8:V8"/>
    <mergeCell ref="I9:I10"/>
    <mergeCell ref="J9:J10"/>
    <mergeCell ref="L9:L10"/>
    <mergeCell ref="M9:M10"/>
    <mergeCell ref="O9:O10"/>
    <mergeCell ref="P9:P10"/>
    <mergeCell ref="R9:R10"/>
    <mergeCell ref="S9:S10"/>
    <mergeCell ref="U9:U10"/>
    <mergeCell ref="W6:W10"/>
    <mergeCell ref="X6:X10"/>
    <mergeCell ref="R8:S8"/>
    <mergeCell ref="T8:T10"/>
  </mergeCells>
  <printOptions horizontalCentered="1"/>
  <pageMargins left="0" right="0" top="0.25" bottom="0.25" header="0.196850393700787" footer="0.196850393700787"/>
  <pageSetup paperSize="9" scale="57" fitToHeight="0" orientation="landscape" useFirstPageNumber="1" r:id="rId1"/>
  <headerFooter>
    <oddFooter>&amp;R&amp;12&amp;P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S181"/>
  <sheetViews>
    <sheetView topLeftCell="A6" zoomScale="85" zoomScaleNormal="85" zoomScalePageLayoutView="85" workbookViewId="0">
      <pane xSplit="2" ySplit="8" topLeftCell="H14" activePane="bottomRight" state="frozen"/>
      <selection activeCell="A6" sqref="A6"/>
      <selection pane="topRight" activeCell="C6" sqref="C6"/>
      <selection pane="bottomLeft" activeCell="A14" sqref="A14"/>
      <selection pane="bottomRight" activeCell="V26" sqref="V26"/>
    </sheetView>
  </sheetViews>
  <sheetFormatPr defaultColWidth="9.140625" defaultRowHeight="18.75"/>
  <cols>
    <col min="1" max="1" width="6" style="279" customWidth="1"/>
    <col min="2" max="2" width="41.7109375" style="294" customWidth="1"/>
    <col min="3" max="3" width="5.5703125" style="55" customWidth="1"/>
    <col min="4" max="4" width="14.140625" style="55" customWidth="1"/>
    <col min="5" max="5" width="10.28515625" style="55" customWidth="1"/>
    <col min="6" max="6" width="15.7109375" style="54" customWidth="1"/>
    <col min="7" max="8" width="11.7109375" style="317" customWidth="1"/>
    <col min="9" max="9" width="10.5703125" style="317" customWidth="1"/>
    <col min="10" max="10" width="10.42578125" style="317" customWidth="1"/>
    <col min="11" max="11" width="11.5703125" style="317" customWidth="1"/>
    <col min="12" max="12" width="10.7109375" style="317" customWidth="1"/>
    <col min="13" max="13" width="6.140625" style="317" customWidth="1"/>
    <col min="14" max="14" width="11.140625" style="317" hidden="1" customWidth="1"/>
    <col min="15" max="15" width="11" style="317" hidden="1" customWidth="1"/>
    <col min="16" max="16" width="7.140625" style="317" hidden="1" customWidth="1"/>
    <col min="17" max="17" width="11.140625" style="874" hidden="1" customWidth="1"/>
    <col min="18" max="18" width="10.42578125" style="874" hidden="1" customWidth="1"/>
    <col min="19" max="19" width="8.85546875" style="874" hidden="1" customWidth="1"/>
    <col min="20" max="20" width="10.7109375" style="317" customWidth="1"/>
    <col min="21" max="21" width="8.7109375" style="317" customWidth="1"/>
    <col min="22" max="22" width="10.85546875" style="317" customWidth="1"/>
    <col min="23" max="23" width="11.140625" style="54" customWidth="1"/>
    <col min="24" max="24" width="13.140625" style="54" customWidth="1"/>
    <col min="25" max="25" width="5.42578125" style="317" customWidth="1"/>
    <col min="26" max="26" width="20.140625" style="657" customWidth="1"/>
    <col min="27" max="27" width="9.42578125" style="990" customWidth="1"/>
    <col min="28" max="28" width="6.28515625" style="811" customWidth="1"/>
    <col min="29" max="31" width="9.140625" style="551"/>
    <col min="32" max="16384" width="9.140625" style="2"/>
  </cols>
  <sheetData>
    <row r="1" spans="1:31" s="1" customFormat="1" ht="20.25">
      <c r="A1" s="1225"/>
      <c r="B1" s="1225"/>
      <c r="C1" s="1225"/>
      <c r="D1" s="1225"/>
      <c r="E1" s="1225"/>
      <c r="F1" s="1225"/>
      <c r="G1" s="1225"/>
      <c r="H1" s="1225"/>
      <c r="I1" s="1225"/>
      <c r="J1" s="1225"/>
      <c r="K1" s="1225"/>
      <c r="L1" s="1225"/>
      <c r="M1" s="1225"/>
      <c r="N1" s="1225"/>
      <c r="O1" s="1225"/>
      <c r="P1" s="1225"/>
      <c r="Q1" s="1225"/>
      <c r="R1" s="1225"/>
      <c r="S1" s="1225"/>
      <c r="T1" s="1225"/>
      <c r="U1" s="1225"/>
      <c r="V1" s="1225"/>
      <c r="W1" s="1225"/>
      <c r="X1" s="1225"/>
      <c r="Y1" s="902"/>
      <c r="Z1" s="657"/>
      <c r="AA1" s="991"/>
      <c r="AB1" s="970"/>
      <c r="AC1" s="550"/>
      <c r="AD1" s="550"/>
      <c r="AE1" s="550"/>
    </row>
    <row r="2" spans="1:31" ht="26.45" customHeight="1">
      <c r="A2" s="1226" t="s">
        <v>1747</v>
      </c>
      <c r="B2" s="1226"/>
      <c r="C2" s="1226"/>
      <c r="D2" s="1226"/>
      <c r="E2" s="1226"/>
      <c r="F2" s="1226"/>
      <c r="G2" s="1226"/>
      <c r="H2" s="1226"/>
      <c r="I2" s="1226"/>
      <c r="J2" s="1226"/>
      <c r="K2" s="1226"/>
      <c r="L2" s="1226"/>
      <c r="M2" s="1226"/>
      <c r="N2" s="1226"/>
      <c r="O2" s="1226"/>
      <c r="P2" s="1226"/>
      <c r="Q2" s="1226"/>
      <c r="R2" s="1226"/>
      <c r="S2" s="1226"/>
      <c r="T2" s="1226"/>
      <c r="U2" s="1226"/>
      <c r="V2" s="1226"/>
      <c r="W2" s="1226"/>
      <c r="X2" s="1226"/>
      <c r="Y2" s="903"/>
    </row>
    <row r="3" spans="1:31" ht="26.45" customHeight="1">
      <c r="A3" s="1225" t="s">
        <v>1205</v>
      </c>
      <c r="B3" s="1225"/>
      <c r="C3" s="1225"/>
      <c r="D3" s="1225"/>
      <c r="E3" s="1225"/>
      <c r="F3" s="1225"/>
      <c r="G3" s="1225"/>
      <c r="H3" s="1225"/>
      <c r="I3" s="1225"/>
      <c r="J3" s="1225"/>
      <c r="K3" s="1225"/>
      <c r="L3" s="1225"/>
      <c r="M3" s="1225"/>
      <c r="N3" s="1225"/>
      <c r="O3" s="1225"/>
      <c r="P3" s="1225"/>
      <c r="Q3" s="1225"/>
      <c r="R3" s="1225"/>
      <c r="S3" s="1225"/>
      <c r="T3" s="1225"/>
      <c r="U3" s="1225"/>
      <c r="V3" s="1225"/>
      <c r="W3" s="1225"/>
      <c r="X3" s="1225"/>
      <c r="Y3" s="902"/>
    </row>
    <row r="4" spans="1:31" ht="30" customHeight="1">
      <c r="A4" s="1227" t="s">
        <v>1725</v>
      </c>
      <c r="B4" s="1227"/>
      <c r="C4" s="1227"/>
      <c r="D4" s="1227"/>
      <c r="E4" s="1227"/>
      <c r="F4" s="1227"/>
      <c r="G4" s="1227"/>
      <c r="H4" s="1227"/>
      <c r="I4" s="1227"/>
      <c r="J4" s="1227"/>
      <c r="K4" s="1227"/>
      <c r="L4" s="1227"/>
      <c r="M4" s="1227"/>
      <c r="N4" s="1227"/>
      <c r="O4" s="1227"/>
      <c r="P4" s="1227"/>
      <c r="Q4" s="1227"/>
      <c r="R4" s="1227"/>
      <c r="S4" s="1227"/>
      <c r="T4" s="1227"/>
      <c r="U4" s="1227"/>
      <c r="V4" s="1227"/>
      <c r="W4" s="1227"/>
      <c r="X4" s="1227"/>
      <c r="Y4" s="904"/>
    </row>
    <row r="5" spans="1:31" ht="20.25">
      <c r="A5" s="1228" t="s">
        <v>4</v>
      </c>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011"/>
    </row>
    <row r="6" spans="1:31" s="1013" customFormat="1" ht="33" customHeight="1">
      <c r="A6" s="1223" t="s">
        <v>5</v>
      </c>
      <c r="B6" s="1223" t="s">
        <v>6</v>
      </c>
      <c r="C6" s="1223" t="s">
        <v>7</v>
      </c>
      <c r="D6" s="1223" t="s">
        <v>8</v>
      </c>
      <c r="E6" s="1224" t="s">
        <v>9</v>
      </c>
      <c r="F6" s="1220" t="s">
        <v>10</v>
      </c>
      <c r="G6" s="1220"/>
      <c r="H6" s="1220"/>
      <c r="I6" s="1220" t="s">
        <v>12</v>
      </c>
      <c r="J6" s="1220"/>
      <c r="K6" s="1223" t="s">
        <v>13</v>
      </c>
      <c r="L6" s="1223"/>
      <c r="M6" s="1223"/>
      <c r="N6" s="1220" t="s">
        <v>1595</v>
      </c>
      <c r="O6" s="1220"/>
      <c r="P6" s="1220"/>
      <c r="Q6" s="1232" t="s">
        <v>202</v>
      </c>
      <c r="R6" s="1232"/>
      <c r="S6" s="1232"/>
      <c r="T6" s="1220" t="s">
        <v>1593</v>
      </c>
      <c r="U6" s="1220"/>
      <c r="V6" s="1220"/>
      <c r="W6" s="1222" t="s">
        <v>1487</v>
      </c>
      <c r="X6" s="1229" t="s">
        <v>15</v>
      </c>
      <c r="Y6" s="1217" t="s">
        <v>1126</v>
      </c>
      <c r="Z6" s="657"/>
      <c r="AA6" s="992"/>
      <c r="AB6" s="971"/>
      <c r="AC6" s="549"/>
      <c r="AD6" s="549"/>
      <c r="AE6" s="549"/>
    </row>
    <row r="7" spans="1:31" s="1013" customFormat="1" ht="24.75" customHeight="1">
      <c r="A7" s="1223"/>
      <c r="B7" s="1223"/>
      <c r="C7" s="1223"/>
      <c r="D7" s="1223"/>
      <c r="E7" s="1224"/>
      <c r="F7" s="1220" t="s">
        <v>16</v>
      </c>
      <c r="G7" s="1220" t="s">
        <v>17</v>
      </c>
      <c r="H7" s="1220"/>
      <c r="I7" s="1220"/>
      <c r="J7" s="1220"/>
      <c r="K7" s="1223"/>
      <c r="L7" s="1223"/>
      <c r="M7" s="1223"/>
      <c r="N7" s="1220"/>
      <c r="O7" s="1220"/>
      <c r="P7" s="1220"/>
      <c r="Q7" s="1232"/>
      <c r="R7" s="1232"/>
      <c r="S7" s="1232"/>
      <c r="T7" s="1220"/>
      <c r="U7" s="1220"/>
      <c r="V7" s="1220"/>
      <c r="W7" s="1222"/>
      <c r="X7" s="1229"/>
      <c r="Y7" s="1218"/>
      <c r="Z7" s="657"/>
      <c r="AA7" s="992"/>
      <c r="AB7" s="971"/>
      <c r="AC7" s="549"/>
      <c r="AD7" s="549"/>
      <c r="AE7" s="549"/>
    </row>
    <row r="8" spans="1:31" s="1013" customFormat="1" ht="15.75">
      <c r="A8" s="1223"/>
      <c r="B8" s="1223"/>
      <c r="C8" s="1223"/>
      <c r="D8" s="1223"/>
      <c r="E8" s="1224"/>
      <c r="F8" s="1220"/>
      <c r="G8" s="1220" t="s">
        <v>20</v>
      </c>
      <c r="H8" s="1220" t="s">
        <v>21</v>
      </c>
      <c r="I8" s="1220"/>
      <c r="J8" s="1220"/>
      <c r="K8" s="1220" t="s">
        <v>20</v>
      </c>
      <c r="L8" s="1220" t="s">
        <v>21</v>
      </c>
      <c r="M8" s="1220"/>
      <c r="N8" s="1220" t="s">
        <v>20</v>
      </c>
      <c r="O8" s="1220" t="s">
        <v>21</v>
      </c>
      <c r="P8" s="1220"/>
      <c r="Q8" s="1232" t="s">
        <v>22</v>
      </c>
      <c r="R8" s="1232" t="s">
        <v>199</v>
      </c>
      <c r="S8" s="1232"/>
      <c r="T8" s="1220" t="s">
        <v>22</v>
      </c>
      <c r="U8" s="1220" t="s">
        <v>199</v>
      </c>
      <c r="V8" s="1220"/>
      <c r="W8" s="1222"/>
      <c r="X8" s="1229"/>
      <c r="Y8" s="1218"/>
      <c r="Z8" s="657"/>
      <c r="AA8" s="992"/>
      <c r="AB8" s="971"/>
      <c r="AC8" s="549"/>
      <c r="AD8" s="549"/>
      <c r="AE8" s="549"/>
    </row>
    <row r="9" spans="1:31" s="1013" customFormat="1" ht="24.75" customHeight="1">
      <c r="A9" s="1223"/>
      <c r="B9" s="1223"/>
      <c r="C9" s="1223"/>
      <c r="D9" s="1223"/>
      <c r="E9" s="1224"/>
      <c r="F9" s="1220"/>
      <c r="G9" s="1220"/>
      <c r="H9" s="1221"/>
      <c r="I9" s="1220" t="s">
        <v>20</v>
      </c>
      <c r="J9" s="1220" t="s">
        <v>21</v>
      </c>
      <c r="K9" s="1220"/>
      <c r="L9" s="1220" t="s">
        <v>22</v>
      </c>
      <c r="M9" s="1230" t="s">
        <v>1482</v>
      </c>
      <c r="N9" s="1220"/>
      <c r="O9" s="1220" t="s">
        <v>22</v>
      </c>
      <c r="P9" s="1230" t="s">
        <v>1482</v>
      </c>
      <c r="Q9" s="1232"/>
      <c r="R9" s="1232" t="s">
        <v>200</v>
      </c>
      <c r="S9" s="1232" t="s">
        <v>201</v>
      </c>
      <c r="T9" s="1220"/>
      <c r="U9" s="1220" t="s">
        <v>200</v>
      </c>
      <c r="V9" s="1233" t="s">
        <v>201</v>
      </c>
      <c r="W9" s="1222"/>
      <c r="X9" s="1229"/>
      <c r="Y9" s="1218"/>
      <c r="Z9" s="657"/>
      <c r="AA9" s="992"/>
      <c r="AB9" s="971"/>
      <c r="AC9" s="549"/>
      <c r="AD9" s="549"/>
      <c r="AE9" s="549"/>
    </row>
    <row r="10" spans="1:31" s="1013" customFormat="1" ht="39" customHeight="1">
      <c r="A10" s="1223"/>
      <c r="B10" s="1223"/>
      <c r="C10" s="1223"/>
      <c r="D10" s="1223"/>
      <c r="E10" s="1224"/>
      <c r="F10" s="1220"/>
      <c r="G10" s="1220"/>
      <c r="H10" s="1221"/>
      <c r="I10" s="1220"/>
      <c r="J10" s="1220"/>
      <c r="K10" s="1220"/>
      <c r="L10" s="1220"/>
      <c r="M10" s="1230"/>
      <c r="N10" s="1220"/>
      <c r="O10" s="1220"/>
      <c r="P10" s="1230"/>
      <c r="Q10" s="1232"/>
      <c r="R10" s="1232"/>
      <c r="S10" s="1232"/>
      <c r="T10" s="1220"/>
      <c r="U10" s="1220"/>
      <c r="V10" s="1233"/>
      <c r="W10" s="1222"/>
      <c r="X10" s="1229"/>
      <c r="Y10" s="1219"/>
      <c r="Z10" s="657"/>
      <c r="AA10" s="992" t="s">
        <v>1513</v>
      </c>
      <c r="AB10" s="971" t="s">
        <v>1724</v>
      </c>
      <c r="AC10" s="549"/>
      <c r="AD10" s="549"/>
      <c r="AE10" s="549"/>
    </row>
    <row r="11" spans="1:31" s="318" customFormat="1" ht="15">
      <c r="A11" s="319">
        <v>1</v>
      </c>
      <c r="B11" s="319">
        <v>2</v>
      </c>
      <c r="C11" s="319">
        <v>3</v>
      </c>
      <c r="D11" s="319">
        <v>4</v>
      </c>
      <c r="E11" s="757">
        <v>5</v>
      </c>
      <c r="F11" s="242">
        <v>6</v>
      </c>
      <c r="G11" s="319">
        <v>7</v>
      </c>
      <c r="H11" s="319">
        <v>8</v>
      </c>
      <c r="I11" s="319">
        <v>9</v>
      </c>
      <c r="J11" s="319">
        <v>10</v>
      </c>
      <c r="K11" s="319">
        <v>11</v>
      </c>
      <c r="L11" s="319">
        <v>12</v>
      </c>
      <c r="M11" s="319">
        <v>13</v>
      </c>
      <c r="N11" s="319">
        <v>14</v>
      </c>
      <c r="O11" s="319">
        <v>15</v>
      </c>
      <c r="P11" s="319">
        <v>16</v>
      </c>
      <c r="Q11" s="824"/>
      <c r="R11" s="824"/>
      <c r="S11" s="824"/>
      <c r="T11" s="319">
        <v>14</v>
      </c>
      <c r="U11" s="319">
        <v>15</v>
      </c>
      <c r="V11" s="319">
        <v>16</v>
      </c>
      <c r="W11" s="319">
        <v>17</v>
      </c>
      <c r="X11" s="319">
        <v>18</v>
      </c>
      <c r="Y11" s="319">
        <v>22</v>
      </c>
      <c r="Z11" s="657"/>
      <c r="AA11" s="993"/>
      <c r="AB11" s="972"/>
    </row>
    <row r="12" spans="1:31" s="5" customFormat="1" ht="15.75">
      <c r="A12" s="563"/>
      <c r="B12" s="564"/>
      <c r="C12" s="565"/>
      <c r="D12" s="565"/>
      <c r="E12" s="566"/>
      <c r="F12" s="682"/>
      <c r="G12" s="563"/>
      <c r="H12" s="563"/>
      <c r="I12" s="563"/>
      <c r="J12" s="563"/>
      <c r="K12" s="563"/>
      <c r="L12" s="563"/>
      <c r="M12" s="563"/>
      <c r="N12" s="563"/>
      <c r="O12" s="567"/>
      <c r="P12" s="563"/>
      <c r="Q12" s="825">
        <f>968968+1177000-Q13</f>
        <v>1202539</v>
      </c>
      <c r="R12" s="825">
        <f>968968-R13</f>
        <v>645423</v>
      </c>
      <c r="S12" s="825">
        <f>1177000-S13</f>
        <v>557116</v>
      </c>
      <c r="T12" s="1005">
        <f>968968+1177000-T13</f>
        <v>1237844</v>
      </c>
      <c r="U12" s="1005">
        <f>968968-U13</f>
        <v>775174</v>
      </c>
      <c r="V12" s="1005">
        <f>1177000-V13</f>
        <v>462670</v>
      </c>
      <c r="W12" s="682"/>
      <c r="X12" s="682"/>
      <c r="Y12" s="567"/>
      <c r="Z12" s="657"/>
      <c r="AA12" s="975"/>
      <c r="AB12" s="875"/>
    </row>
    <row r="13" spans="1:31" s="10" customFormat="1" ht="35.25" customHeight="1">
      <c r="A13" s="568"/>
      <c r="B13" s="569" t="s">
        <v>24</v>
      </c>
      <c r="C13" s="570"/>
      <c r="D13" s="570"/>
      <c r="E13" s="571"/>
      <c r="F13" s="683"/>
      <c r="G13" s="572">
        <f t="shared" ref="G13:V13" si="0">SUM(G23,G41,G70,G132,G153,G171,)</f>
        <v>5411458</v>
      </c>
      <c r="H13" s="572">
        <f t="shared" si="0"/>
        <v>4026125.6</v>
      </c>
      <c r="I13" s="572">
        <f t="shared" si="0"/>
        <v>719048</v>
      </c>
      <c r="J13" s="572">
        <f t="shared" si="0"/>
        <v>490607</v>
      </c>
      <c r="K13" s="572">
        <f t="shared" si="0"/>
        <v>4759383.120000001</v>
      </c>
      <c r="L13" s="572">
        <f t="shared" si="0"/>
        <v>3702283.3000000003</v>
      </c>
      <c r="M13" s="572">
        <f t="shared" si="0"/>
        <v>0</v>
      </c>
      <c r="N13" s="572">
        <f t="shared" si="0"/>
        <v>1628796.3</v>
      </c>
      <c r="O13" s="572">
        <f t="shared" si="0"/>
        <v>1147796</v>
      </c>
      <c r="P13" s="572">
        <f t="shared" si="0"/>
        <v>0</v>
      </c>
      <c r="Q13" s="572">
        <f t="shared" si="0"/>
        <v>943429</v>
      </c>
      <c r="R13" s="572">
        <f t="shared" si="0"/>
        <v>323545</v>
      </c>
      <c r="S13" s="572">
        <f t="shared" si="0"/>
        <v>619884</v>
      </c>
      <c r="T13" s="572">
        <f t="shared" si="0"/>
        <v>908124</v>
      </c>
      <c r="U13" s="572">
        <f t="shared" si="0"/>
        <v>193794</v>
      </c>
      <c r="V13" s="572">
        <f t="shared" si="0"/>
        <v>714330</v>
      </c>
      <c r="W13" s="572"/>
      <c r="X13" s="568" t="s">
        <v>1741</v>
      </c>
      <c r="Y13" s="572">
        <f>SUM(Y23,Y41,Y70,Y132,Y153,Y171,)</f>
        <v>105</v>
      </c>
      <c r="Z13" s="658"/>
      <c r="AA13" s="975">
        <f>SUM(AA23:AA180)</f>
        <v>124952</v>
      </c>
      <c r="AB13" s="974">
        <f>AA13/1177000*100</f>
        <v>10.616142735768904</v>
      </c>
    </row>
    <row r="14" spans="1:31" s="750" customFormat="1" ht="28.5" hidden="1" customHeight="1">
      <c r="A14" s="747"/>
      <c r="B14" s="65" t="s">
        <v>1727</v>
      </c>
      <c r="C14" s="668"/>
      <c r="D14" s="668"/>
      <c r="E14" s="748"/>
      <c r="F14" s="1012"/>
      <c r="G14" s="643">
        <f>SUM(G42,G71,)</f>
        <v>797622</v>
      </c>
      <c r="H14" s="643">
        <f t="shared" ref="H14:V14" si="1">SUM(H42,H71,)</f>
        <v>717314</v>
      </c>
      <c r="I14" s="643">
        <f t="shared" si="1"/>
        <v>500</v>
      </c>
      <c r="J14" s="643">
        <f t="shared" si="1"/>
        <v>500</v>
      </c>
      <c r="K14" s="643">
        <f t="shared" si="1"/>
        <v>800060</v>
      </c>
      <c r="L14" s="643">
        <f t="shared" si="1"/>
        <v>719749</v>
      </c>
      <c r="M14" s="643">
        <f t="shared" si="1"/>
        <v>0</v>
      </c>
      <c r="N14" s="643">
        <f t="shared" si="1"/>
        <v>7686</v>
      </c>
      <c r="O14" s="643">
        <f t="shared" si="1"/>
        <v>7686</v>
      </c>
      <c r="P14" s="643">
        <f t="shared" si="1"/>
        <v>0</v>
      </c>
      <c r="Q14" s="643">
        <f t="shared" si="1"/>
        <v>6386</v>
      </c>
      <c r="R14" s="643">
        <f t="shared" si="1"/>
        <v>4286</v>
      </c>
      <c r="S14" s="643">
        <f t="shared" si="1"/>
        <v>2100</v>
      </c>
      <c r="T14" s="643">
        <f t="shared" si="1"/>
        <v>6386</v>
      </c>
      <c r="U14" s="643">
        <f t="shared" si="1"/>
        <v>1300</v>
      </c>
      <c r="V14" s="643">
        <f t="shared" si="1"/>
        <v>5086</v>
      </c>
      <c r="W14" s="643"/>
      <c r="X14" s="643"/>
      <c r="Y14" s="643">
        <f>SUM(Y42,Y71,)</f>
        <v>24</v>
      </c>
      <c r="Z14" s="657"/>
      <c r="AA14" s="975"/>
      <c r="AB14" s="975"/>
    </row>
    <row r="15" spans="1:31" s="750" customFormat="1" ht="28.5" hidden="1" customHeight="1">
      <c r="A15" s="747"/>
      <c r="B15" s="65" t="s">
        <v>1728</v>
      </c>
      <c r="C15" s="668"/>
      <c r="D15" s="668"/>
      <c r="E15" s="748"/>
      <c r="F15" s="1012"/>
      <c r="G15" s="643">
        <f t="shared" ref="G15:V15" si="2">SUM(G24,G51,G88,G133,G154,G172,)</f>
        <v>4613836</v>
      </c>
      <c r="H15" s="643">
        <f t="shared" si="2"/>
        <v>3308811.6</v>
      </c>
      <c r="I15" s="643">
        <f t="shared" si="2"/>
        <v>718548</v>
      </c>
      <c r="J15" s="643">
        <f t="shared" si="2"/>
        <v>490107</v>
      </c>
      <c r="K15" s="643">
        <f t="shared" si="2"/>
        <v>3959323.12</v>
      </c>
      <c r="L15" s="643">
        <f t="shared" si="2"/>
        <v>2982534.3000000003</v>
      </c>
      <c r="M15" s="643">
        <f t="shared" si="2"/>
        <v>0</v>
      </c>
      <c r="N15" s="643">
        <f t="shared" si="2"/>
        <v>1621110.3</v>
      </c>
      <c r="O15" s="643">
        <f t="shared" si="2"/>
        <v>1140110</v>
      </c>
      <c r="P15" s="643">
        <f t="shared" si="2"/>
        <v>0</v>
      </c>
      <c r="Q15" s="643">
        <f t="shared" si="2"/>
        <v>937043</v>
      </c>
      <c r="R15" s="643">
        <f t="shared" si="2"/>
        <v>319259</v>
      </c>
      <c r="S15" s="643">
        <f t="shared" si="2"/>
        <v>617784</v>
      </c>
      <c r="T15" s="643">
        <f t="shared" si="2"/>
        <v>901738</v>
      </c>
      <c r="U15" s="643">
        <f t="shared" si="2"/>
        <v>192494</v>
      </c>
      <c r="V15" s="643">
        <f t="shared" si="2"/>
        <v>709244</v>
      </c>
      <c r="W15" s="643"/>
      <c r="X15" s="643"/>
      <c r="Y15" s="643">
        <f>SUM(Y24,Y51,Y88,Y133,Y154,Y172,)</f>
        <v>81</v>
      </c>
      <c r="Z15" s="657"/>
      <c r="AA15" s="975"/>
      <c r="AB15" s="975"/>
    </row>
    <row r="16" spans="1:31" s="750" customFormat="1" ht="29.25" hidden="1" customHeight="1">
      <c r="A16" s="747"/>
      <c r="B16" s="586" t="s">
        <v>1575</v>
      </c>
      <c r="C16" s="668"/>
      <c r="D16" s="668"/>
      <c r="E16" s="748"/>
      <c r="F16" s="1012"/>
      <c r="G16" s="643">
        <f>G134</f>
        <v>17604</v>
      </c>
      <c r="H16" s="643">
        <f t="shared" ref="H16:V16" si="3">H134</f>
        <v>6223</v>
      </c>
      <c r="I16" s="643">
        <f t="shared" si="3"/>
        <v>4692</v>
      </c>
      <c r="J16" s="643">
        <f t="shared" si="3"/>
        <v>3972</v>
      </c>
      <c r="K16" s="643">
        <f t="shared" si="3"/>
        <v>12912</v>
      </c>
      <c r="L16" s="643">
        <f t="shared" si="3"/>
        <v>2251</v>
      </c>
      <c r="M16" s="643">
        <f t="shared" si="3"/>
        <v>0</v>
      </c>
      <c r="N16" s="643">
        <f t="shared" si="3"/>
        <v>12900</v>
      </c>
      <c r="O16" s="643">
        <f t="shared" si="3"/>
        <v>2250</v>
      </c>
      <c r="P16" s="643">
        <f t="shared" si="3"/>
        <v>0</v>
      </c>
      <c r="Q16" s="643">
        <f t="shared" si="3"/>
        <v>2250</v>
      </c>
      <c r="R16" s="643">
        <f t="shared" si="3"/>
        <v>0</v>
      </c>
      <c r="S16" s="643">
        <f t="shared" si="3"/>
        <v>2250</v>
      </c>
      <c r="T16" s="643">
        <f t="shared" si="3"/>
        <v>2250</v>
      </c>
      <c r="U16" s="643">
        <f t="shared" si="3"/>
        <v>0</v>
      </c>
      <c r="V16" s="643">
        <f t="shared" si="3"/>
        <v>2250</v>
      </c>
      <c r="W16" s="643"/>
      <c r="X16" s="643"/>
      <c r="Y16" s="643">
        <f t="shared" ref="Y16" si="4">Y134</f>
        <v>1</v>
      </c>
      <c r="Z16" s="657"/>
      <c r="AA16" s="975"/>
      <c r="AB16" s="975"/>
    </row>
    <row r="17" spans="1:45" s="750" customFormat="1" ht="29.25" hidden="1" customHeight="1">
      <c r="A17" s="747"/>
      <c r="B17" s="586" t="s">
        <v>1576</v>
      </c>
      <c r="C17" s="668"/>
      <c r="D17" s="668"/>
      <c r="E17" s="748"/>
      <c r="F17" s="1012"/>
      <c r="G17" s="643">
        <f t="shared" ref="G17:V17" si="5">SUM(G25,G52,G89,G136,G173,)</f>
        <v>681645</v>
      </c>
      <c r="H17" s="643">
        <f t="shared" si="5"/>
        <v>468906</v>
      </c>
      <c r="I17" s="643">
        <f t="shared" si="5"/>
        <v>484331</v>
      </c>
      <c r="J17" s="643">
        <f t="shared" si="5"/>
        <v>325441</v>
      </c>
      <c r="K17" s="643">
        <f t="shared" si="5"/>
        <v>276409.3</v>
      </c>
      <c r="L17" s="643">
        <f t="shared" si="5"/>
        <v>237906</v>
      </c>
      <c r="M17" s="643">
        <f t="shared" si="5"/>
        <v>0</v>
      </c>
      <c r="N17" s="643">
        <f t="shared" si="5"/>
        <v>105411.3</v>
      </c>
      <c r="O17" s="643">
        <f t="shared" si="5"/>
        <v>72985</v>
      </c>
      <c r="P17" s="643">
        <f t="shared" si="5"/>
        <v>0</v>
      </c>
      <c r="Q17" s="643">
        <f t="shared" si="5"/>
        <v>67739</v>
      </c>
      <c r="R17" s="643">
        <f t="shared" si="5"/>
        <v>19539</v>
      </c>
      <c r="S17" s="643">
        <f t="shared" si="5"/>
        <v>48200</v>
      </c>
      <c r="T17" s="643">
        <f t="shared" si="5"/>
        <v>66892</v>
      </c>
      <c r="U17" s="643">
        <f t="shared" si="5"/>
        <v>4125</v>
      </c>
      <c r="V17" s="643">
        <f t="shared" si="5"/>
        <v>62767</v>
      </c>
      <c r="W17" s="643"/>
      <c r="X17" s="643"/>
      <c r="Y17" s="643">
        <f>SUM(Y25,Y52,Y89,Y136,Y173,)</f>
        <v>19</v>
      </c>
      <c r="Z17" s="657"/>
      <c r="AA17" s="975"/>
      <c r="AB17" s="975"/>
    </row>
    <row r="18" spans="1:45" s="750" customFormat="1" ht="29.25" hidden="1" customHeight="1">
      <c r="A18" s="747" t="s">
        <v>1572</v>
      </c>
      <c r="B18" s="65" t="s">
        <v>1573</v>
      </c>
      <c r="C18" s="668"/>
      <c r="D18" s="668"/>
      <c r="E18" s="748"/>
      <c r="F18" s="1012"/>
      <c r="G18" s="643">
        <f>SUM(G30,G54,G98,)</f>
        <v>1590639</v>
      </c>
      <c r="H18" s="643">
        <f t="shared" ref="H18:V18" si="6">SUM(H30,H54,H98,)</f>
        <v>1071197</v>
      </c>
      <c r="I18" s="643">
        <f t="shared" si="6"/>
        <v>218399</v>
      </c>
      <c r="J18" s="643">
        <f t="shared" si="6"/>
        <v>148645</v>
      </c>
      <c r="K18" s="643">
        <f t="shared" si="6"/>
        <v>1489635.82</v>
      </c>
      <c r="L18" s="643">
        <f t="shared" si="6"/>
        <v>1031588.8</v>
      </c>
      <c r="M18" s="643">
        <f t="shared" si="6"/>
        <v>0</v>
      </c>
      <c r="N18" s="643">
        <f t="shared" si="6"/>
        <v>629178</v>
      </c>
      <c r="O18" s="643">
        <f t="shared" si="6"/>
        <v>351172</v>
      </c>
      <c r="P18" s="643">
        <f t="shared" si="6"/>
        <v>0</v>
      </c>
      <c r="Q18" s="643">
        <f t="shared" si="6"/>
        <v>316500</v>
      </c>
      <c r="R18" s="643">
        <f t="shared" si="6"/>
        <v>93500</v>
      </c>
      <c r="S18" s="643">
        <f t="shared" si="6"/>
        <v>223000</v>
      </c>
      <c r="T18" s="643">
        <f t="shared" si="6"/>
        <v>290500</v>
      </c>
      <c r="U18" s="643">
        <f t="shared" si="6"/>
        <v>87000</v>
      </c>
      <c r="V18" s="643">
        <f t="shared" si="6"/>
        <v>203500</v>
      </c>
      <c r="W18" s="643"/>
      <c r="X18" s="643"/>
      <c r="Y18" s="643">
        <f>SUM(Y30,Y54,Y98,)</f>
        <v>16</v>
      </c>
      <c r="Z18" s="657"/>
      <c r="AA18" s="975"/>
      <c r="AB18" s="975"/>
    </row>
    <row r="19" spans="1:45" s="750" customFormat="1" ht="29.25" hidden="1" customHeight="1">
      <c r="A19" s="747"/>
      <c r="B19" s="751" t="s">
        <v>1574</v>
      </c>
      <c r="C19" s="668"/>
      <c r="D19" s="668"/>
      <c r="E19" s="748"/>
      <c r="F19" s="1012"/>
      <c r="G19" s="643">
        <f t="shared" ref="G19:V19" si="7">SUM(G32,G64,G105,G142,G155,G175,)</f>
        <v>2323948</v>
      </c>
      <c r="H19" s="643">
        <f t="shared" si="7"/>
        <v>1762485.6</v>
      </c>
      <c r="I19" s="643">
        <f t="shared" si="7"/>
        <v>11126</v>
      </c>
      <c r="J19" s="643">
        <f t="shared" si="7"/>
        <v>12049</v>
      </c>
      <c r="K19" s="643">
        <f t="shared" si="7"/>
        <v>2180366</v>
      </c>
      <c r="L19" s="643">
        <f t="shared" si="7"/>
        <v>1710788.5</v>
      </c>
      <c r="M19" s="643">
        <f t="shared" si="7"/>
        <v>0</v>
      </c>
      <c r="N19" s="643">
        <f t="shared" si="7"/>
        <v>873621</v>
      </c>
      <c r="O19" s="643">
        <f t="shared" si="7"/>
        <v>713703</v>
      </c>
      <c r="P19" s="643">
        <f t="shared" si="7"/>
        <v>0</v>
      </c>
      <c r="Q19" s="643">
        <f t="shared" si="7"/>
        <v>550554</v>
      </c>
      <c r="R19" s="643">
        <f t="shared" si="7"/>
        <v>206220</v>
      </c>
      <c r="S19" s="643">
        <f t="shared" si="7"/>
        <v>344334</v>
      </c>
      <c r="T19" s="643">
        <f t="shared" si="7"/>
        <v>542096</v>
      </c>
      <c r="U19" s="643">
        <f t="shared" si="7"/>
        <v>101369</v>
      </c>
      <c r="V19" s="643">
        <f t="shared" si="7"/>
        <v>440727</v>
      </c>
      <c r="W19" s="643"/>
      <c r="X19" s="643"/>
      <c r="Y19" s="643">
        <f>SUM(Y32,Y64,Y105,Y142,Y155,Y175,)</f>
        <v>45</v>
      </c>
      <c r="Z19" s="657"/>
      <c r="AA19" s="975"/>
      <c r="AB19" s="975"/>
    </row>
    <row r="20" spans="1:45" s="750" customFormat="1" ht="25.5" customHeight="1">
      <c r="A20" s="747"/>
      <c r="B20" s="1014" t="s">
        <v>1739</v>
      </c>
      <c r="C20" s="668"/>
      <c r="D20" s="668"/>
      <c r="E20" s="748"/>
      <c r="F20" s="1012"/>
      <c r="G20" s="643"/>
      <c r="H20" s="643"/>
      <c r="I20" s="643"/>
      <c r="J20" s="643"/>
      <c r="K20" s="643"/>
      <c r="L20" s="643"/>
      <c r="M20" s="643"/>
      <c r="N20" s="643"/>
      <c r="O20" s="643"/>
      <c r="P20" s="643"/>
      <c r="Q20" s="123"/>
      <c r="R20" s="123"/>
      <c r="S20" s="123"/>
      <c r="T20" s="643">
        <f t="shared" ref="T20:U20" si="8">T41+T70</f>
        <v>783172</v>
      </c>
      <c r="U20" s="643">
        <f t="shared" si="8"/>
        <v>193794</v>
      </c>
      <c r="V20" s="643">
        <f>V41+V70</f>
        <v>589378</v>
      </c>
      <c r="W20" s="1015"/>
      <c r="X20" s="1027">
        <f>V20/1177000*100</f>
        <v>50.074596431605777</v>
      </c>
      <c r="Y20" s="643">
        <f>Y41+Y70</f>
        <v>79</v>
      </c>
      <c r="Z20" s="657"/>
      <c r="AA20" s="975"/>
      <c r="AB20" s="975"/>
    </row>
    <row r="21" spans="1:45" s="750" customFormat="1" ht="27" customHeight="1">
      <c r="A21" s="747"/>
      <c r="B21" s="1014" t="s">
        <v>1740</v>
      </c>
      <c r="C21" s="668"/>
      <c r="D21" s="668"/>
      <c r="E21" s="748"/>
      <c r="F21" s="1012"/>
      <c r="G21" s="643"/>
      <c r="H21" s="643"/>
      <c r="I21" s="643"/>
      <c r="J21" s="643"/>
      <c r="K21" s="643"/>
      <c r="L21" s="643"/>
      <c r="M21" s="643"/>
      <c r="N21" s="643"/>
      <c r="O21" s="643"/>
      <c r="P21" s="643"/>
      <c r="Q21" s="123"/>
      <c r="R21" s="123"/>
      <c r="S21" s="123"/>
      <c r="T21" s="643">
        <f>SUM(T23,T132,T153,T171)</f>
        <v>124952</v>
      </c>
      <c r="U21" s="643">
        <f>SUM(U23,U132,U153,U171)</f>
        <v>0</v>
      </c>
      <c r="V21" s="643">
        <f>SUM(V23,V132,V153,V171)</f>
        <v>124952</v>
      </c>
      <c r="W21" s="1015"/>
      <c r="X21" s="1027">
        <f>V21/1177000*100</f>
        <v>10.616142735768904</v>
      </c>
      <c r="Y21" s="643">
        <f>SUM(Y23,Y132,Y153,Y171)</f>
        <v>26</v>
      </c>
      <c r="Z21" s="657"/>
      <c r="AA21" s="975"/>
      <c r="AB21" s="975"/>
    </row>
    <row r="22" spans="1:45" s="750" customFormat="1" ht="15.75">
      <c r="A22" s="747"/>
      <c r="B22" s="19"/>
      <c r="C22" s="668"/>
      <c r="D22" s="668"/>
      <c r="E22" s="748"/>
      <c r="F22" s="1012"/>
      <c r="G22" s="643"/>
      <c r="H22" s="643"/>
      <c r="I22" s="643"/>
      <c r="J22" s="643"/>
      <c r="K22" s="643"/>
      <c r="L22" s="643"/>
      <c r="M22" s="643"/>
      <c r="N22" s="643"/>
      <c r="O22" s="643"/>
      <c r="P22" s="643"/>
      <c r="Q22" s="123"/>
      <c r="R22" s="123"/>
      <c r="S22" s="123"/>
      <c r="T22" s="643"/>
      <c r="U22" s="643"/>
      <c r="V22" s="643"/>
      <c r="W22" s="749"/>
      <c r="X22" s="749"/>
      <c r="Y22" s="643"/>
      <c r="Z22" s="657"/>
      <c r="AA22" s="975"/>
      <c r="AB22" s="975"/>
    </row>
    <row r="23" spans="1:45" s="629" customFormat="1" ht="26.1" customHeight="1">
      <c r="A23" s="630" t="s">
        <v>350</v>
      </c>
      <c r="B23" s="618" t="s">
        <v>1142</v>
      </c>
      <c r="C23" s="625"/>
      <c r="D23" s="625"/>
      <c r="E23" s="626"/>
      <c r="F23" s="690"/>
      <c r="G23" s="621">
        <f t="shared" ref="G23:U23" si="9">SUM(G24)</f>
        <v>262891</v>
      </c>
      <c r="H23" s="621">
        <f t="shared" si="9"/>
        <v>231345</v>
      </c>
      <c r="I23" s="621">
        <f t="shared" si="9"/>
        <v>8083</v>
      </c>
      <c r="J23" s="621">
        <f t="shared" si="9"/>
        <v>8083</v>
      </c>
      <c r="K23" s="621">
        <f t="shared" si="9"/>
        <v>241785</v>
      </c>
      <c r="L23" s="621">
        <f t="shared" si="9"/>
        <v>219744</v>
      </c>
      <c r="M23" s="621">
        <f t="shared" si="9"/>
        <v>0</v>
      </c>
      <c r="N23" s="621">
        <f t="shared" si="9"/>
        <v>123138</v>
      </c>
      <c r="O23" s="621">
        <f t="shared" si="9"/>
        <v>95352</v>
      </c>
      <c r="P23" s="621">
        <f t="shared" si="9"/>
        <v>0</v>
      </c>
      <c r="Q23" s="621">
        <f t="shared" si="9"/>
        <v>68067</v>
      </c>
      <c r="R23" s="621">
        <f t="shared" si="9"/>
        <v>68067</v>
      </c>
      <c r="S23" s="621">
        <f t="shared" si="9"/>
        <v>0</v>
      </c>
      <c r="T23" s="621">
        <f t="shared" si="9"/>
        <v>68067</v>
      </c>
      <c r="U23" s="621">
        <f t="shared" si="9"/>
        <v>0</v>
      </c>
      <c r="V23" s="621">
        <f>SUM(V24)</f>
        <v>68067</v>
      </c>
      <c r="W23" s="684"/>
      <c r="X23" s="684"/>
      <c r="Y23" s="621">
        <f>SUM(Y24)</f>
        <v>12</v>
      </c>
      <c r="Z23" s="662"/>
      <c r="AA23" s="990"/>
      <c r="AB23" s="811"/>
      <c r="AC23" s="628"/>
      <c r="AD23" s="628"/>
      <c r="AE23" s="628"/>
    </row>
    <row r="24" spans="1:45" s="265" customFormat="1" ht="26.1" customHeight="1">
      <c r="A24" s="82" t="s">
        <v>499</v>
      </c>
      <c r="B24" s="586" t="s">
        <v>31</v>
      </c>
      <c r="C24" s="350"/>
      <c r="D24" s="350"/>
      <c r="E24" s="351"/>
      <c r="F24" s="352"/>
      <c r="G24" s="45">
        <f t="shared" ref="G24:V24" si="10">SUM(G25,G30,G32)</f>
        <v>262891</v>
      </c>
      <c r="H24" s="45">
        <f t="shared" si="10"/>
        <v>231345</v>
      </c>
      <c r="I24" s="45">
        <f t="shared" si="10"/>
        <v>8083</v>
      </c>
      <c r="J24" s="45">
        <f t="shared" si="10"/>
        <v>8083</v>
      </c>
      <c r="K24" s="45">
        <f t="shared" si="10"/>
        <v>241785</v>
      </c>
      <c r="L24" s="45">
        <f t="shared" si="10"/>
        <v>219744</v>
      </c>
      <c r="M24" s="45">
        <f t="shared" si="10"/>
        <v>0</v>
      </c>
      <c r="N24" s="45">
        <f t="shared" si="10"/>
        <v>123138</v>
      </c>
      <c r="O24" s="45">
        <f t="shared" si="10"/>
        <v>95352</v>
      </c>
      <c r="P24" s="45">
        <f t="shared" si="10"/>
        <v>0</v>
      </c>
      <c r="Q24" s="827">
        <f t="shared" si="10"/>
        <v>68067</v>
      </c>
      <c r="R24" s="827">
        <f t="shared" si="10"/>
        <v>68067</v>
      </c>
      <c r="S24" s="827">
        <f t="shared" si="10"/>
        <v>0</v>
      </c>
      <c r="T24" s="45">
        <f t="shared" si="10"/>
        <v>68067</v>
      </c>
      <c r="U24" s="45">
        <f t="shared" si="10"/>
        <v>0</v>
      </c>
      <c r="V24" s="45">
        <f t="shared" si="10"/>
        <v>68067</v>
      </c>
      <c r="W24" s="352"/>
      <c r="X24" s="352"/>
      <c r="Y24" s="45">
        <f>SUM(Y25,Y30,Y32)</f>
        <v>12</v>
      </c>
      <c r="Z24" s="657"/>
      <c r="AA24" s="990"/>
      <c r="AB24" s="811"/>
      <c r="AC24" s="551"/>
      <c r="AD24" s="551"/>
      <c r="AE24" s="551"/>
    </row>
    <row r="25" spans="1:45" ht="28.5" customHeight="1">
      <c r="A25" s="11" t="s">
        <v>78</v>
      </c>
      <c r="B25" s="65" t="s">
        <v>79</v>
      </c>
      <c r="C25" s="13"/>
      <c r="D25" s="13"/>
      <c r="E25" s="14"/>
      <c r="F25" s="89"/>
      <c r="G25" s="15">
        <f t="shared" ref="G25:V25" si="11">SUM(G26:G29)</f>
        <v>20780</v>
      </c>
      <c r="H25" s="15">
        <f t="shared" si="11"/>
        <v>20780</v>
      </c>
      <c r="I25" s="15">
        <f t="shared" si="11"/>
        <v>5883</v>
      </c>
      <c r="J25" s="15">
        <f t="shared" si="11"/>
        <v>5883</v>
      </c>
      <c r="K25" s="15">
        <f t="shared" si="11"/>
        <v>18450</v>
      </c>
      <c r="L25" s="15">
        <f t="shared" si="11"/>
        <v>18450</v>
      </c>
      <c r="M25" s="15">
        <f t="shared" si="11"/>
        <v>0</v>
      </c>
      <c r="N25" s="15">
        <f t="shared" si="11"/>
        <v>12567</v>
      </c>
      <c r="O25" s="15">
        <f t="shared" si="11"/>
        <v>12567</v>
      </c>
      <c r="P25" s="15">
        <f t="shared" si="11"/>
        <v>0</v>
      </c>
      <c r="Q25" s="846">
        <f t="shared" si="11"/>
        <v>12567</v>
      </c>
      <c r="R25" s="846">
        <f t="shared" si="11"/>
        <v>12567</v>
      </c>
      <c r="S25" s="846">
        <f t="shared" si="11"/>
        <v>0</v>
      </c>
      <c r="T25" s="15">
        <f t="shared" si="11"/>
        <v>12567</v>
      </c>
      <c r="U25" s="15">
        <f t="shared" si="11"/>
        <v>0</v>
      </c>
      <c r="V25" s="15">
        <f t="shared" si="11"/>
        <v>12567</v>
      </c>
      <c r="W25" s="89"/>
      <c r="X25" s="89"/>
      <c r="Y25" s="15">
        <f>SUM(Y26:Y29)</f>
        <v>4</v>
      </c>
    </row>
    <row r="26" spans="1:45" ht="38.25" customHeight="1">
      <c r="A26" s="97" t="s">
        <v>64</v>
      </c>
      <c r="B26" s="183" t="s">
        <v>416</v>
      </c>
      <c r="C26" s="167" t="s">
        <v>66</v>
      </c>
      <c r="D26" s="172" t="s">
        <v>417</v>
      </c>
      <c r="E26" s="163" t="s">
        <v>166</v>
      </c>
      <c r="F26" s="696" t="s">
        <v>418</v>
      </c>
      <c r="G26" s="173">
        <v>5079</v>
      </c>
      <c r="H26" s="173">
        <v>5079</v>
      </c>
      <c r="I26" s="175">
        <v>1300</v>
      </c>
      <c r="J26" s="175">
        <v>1300</v>
      </c>
      <c r="K26" s="173">
        <v>4867</v>
      </c>
      <c r="L26" s="173">
        <v>4867</v>
      </c>
      <c r="M26" s="175"/>
      <c r="N26" s="176">
        <v>3567</v>
      </c>
      <c r="O26" s="176">
        <v>3567</v>
      </c>
      <c r="P26" s="176"/>
      <c r="Q26" s="848">
        <v>3567</v>
      </c>
      <c r="R26" s="848">
        <v>3567</v>
      </c>
      <c r="S26" s="849"/>
      <c r="T26" s="73">
        <f t="shared" ref="T26:T29" si="12">SUM(U26:V26)</f>
        <v>3567</v>
      </c>
      <c r="U26" s="176"/>
      <c r="V26" s="176">
        <v>3567</v>
      </c>
      <c r="W26" s="513" t="s">
        <v>1526</v>
      </c>
      <c r="X26" s="178"/>
      <c r="Y26" s="177">
        <v>1</v>
      </c>
      <c r="AA26" s="990">
        <f>V26</f>
        <v>3567</v>
      </c>
    </row>
    <row r="27" spans="1:45" s="811" customFormat="1" ht="26.1" customHeight="1">
      <c r="A27" s="97" t="s">
        <v>69</v>
      </c>
      <c r="B27" s="93" t="s">
        <v>424</v>
      </c>
      <c r="C27" s="152" t="s">
        <v>66</v>
      </c>
      <c r="D27" s="162" t="s">
        <v>420</v>
      </c>
      <c r="E27" s="163" t="s">
        <v>30</v>
      </c>
      <c r="F27" s="696" t="s">
        <v>425</v>
      </c>
      <c r="G27" s="164">
        <v>3957</v>
      </c>
      <c r="H27" s="164">
        <v>3957</v>
      </c>
      <c r="I27" s="22">
        <v>1583</v>
      </c>
      <c r="J27" s="22">
        <v>1583</v>
      </c>
      <c r="K27" s="164">
        <v>3583</v>
      </c>
      <c r="L27" s="164">
        <v>3583</v>
      </c>
      <c r="M27" s="175"/>
      <c r="N27" s="176">
        <v>2000</v>
      </c>
      <c r="O27" s="176">
        <v>2000</v>
      </c>
      <c r="P27" s="176"/>
      <c r="Q27" s="848">
        <v>2000</v>
      </c>
      <c r="R27" s="848">
        <v>2000</v>
      </c>
      <c r="S27" s="849"/>
      <c r="T27" s="73">
        <f t="shared" si="12"/>
        <v>2000</v>
      </c>
      <c r="U27" s="176"/>
      <c r="V27" s="176">
        <v>2000</v>
      </c>
      <c r="W27" s="513" t="s">
        <v>1526</v>
      </c>
      <c r="X27" s="178"/>
      <c r="Y27" s="177">
        <v>1</v>
      </c>
      <c r="Z27" s="657"/>
      <c r="AA27" s="990">
        <f t="shared" ref="AA27:AA29" si="13">V27</f>
        <v>2000</v>
      </c>
      <c r="AC27" s="551"/>
      <c r="AD27" s="551"/>
      <c r="AE27" s="551"/>
      <c r="AF27" s="2"/>
      <c r="AG27" s="2"/>
      <c r="AH27" s="2"/>
      <c r="AI27" s="2"/>
      <c r="AJ27" s="2"/>
      <c r="AK27" s="2"/>
      <c r="AL27" s="2"/>
      <c r="AM27" s="2"/>
      <c r="AN27" s="2"/>
      <c r="AO27" s="2"/>
      <c r="AP27" s="2"/>
      <c r="AQ27" s="2"/>
      <c r="AR27" s="2"/>
      <c r="AS27" s="2"/>
    </row>
    <row r="28" spans="1:45" s="811" customFormat="1" ht="26.1" customHeight="1">
      <c r="A28" s="97" t="s">
        <v>74</v>
      </c>
      <c r="B28" s="93" t="s">
        <v>426</v>
      </c>
      <c r="C28" s="152" t="s">
        <v>66</v>
      </c>
      <c r="D28" s="162" t="s">
        <v>427</v>
      </c>
      <c r="E28" s="163" t="s">
        <v>30</v>
      </c>
      <c r="F28" s="696" t="s">
        <v>428</v>
      </c>
      <c r="G28" s="164">
        <v>6460</v>
      </c>
      <c r="H28" s="164">
        <v>6460</v>
      </c>
      <c r="I28" s="22">
        <v>1500</v>
      </c>
      <c r="J28" s="22">
        <v>1500</v>
      </c>
      <c r="K28" s="164">
        <v>5500</v>
      </c>
      <c r="L28" s="164">
        <v>5500</v>
      </c>
      <c r="M28" s="175"/>
      <c r="N28" s="176">
        <v>4000</v>
      </c>
      <c r="O28" s="176">
        <v>4000</v>
      </c>
      <c r="P28" s="176"/>
      <c r="Q28" s="848">
        <v>4000</v>
      </c>
      <c r="R28" s="848">
        <v>4000</v>
      </c>
      <c r="S28" s="849"/>
      <c r="T28" s="73">
        <f t="shared" si="12"/>
        <v>4000</v>
      </c>
      <c r="U28" s="176"/>
      <c r="V28" s="176">
        <v>4000</v>
      </c>
      <c r="W28" s="513" t="s">
        <v>1526</v>
      </c>
      <c r="X28" s="178"/>
      <c r="Y28" s="177">
        <v>1</v>
      </c>
      <c r="Z28" s="657"/>
      <c r="AA28" s="990">
        <f t="shared" si="13"/>
        <v>4000</v>
      </c>
      <c r="AC28" s="551"/>
      <c r="AD28" s="551"/>
      <c r="AE28" s="551"/>
      <c r="AF28" s="2"/>
      <c r="AG28" s="2"/>
      <c r="AH28" s="2"/>
      <c r="AI28" s="2"/>
      <c r="AJ28" s="2"/>
      <c r="AK28" s="2"/>
      <c r="AL28" s="2"/>
      <c r="AM28" s="2"/>
      <c r="AN28" s="2"/>
      <c r="AO28" s="2"/>
      <c r="AP28" s="2"/>
      <c r="AQ28" s="2"/>
      <c r="AR28" s="2"/>
      <c r="AS28" s="2"/>
    </row>
    <row r="29" spans="1:45" s="811" customFormat="1" ht="26.1" customHeight="1">
      <c r="A29" s="97" t="s">
        <v>141</v>
      </c>
      <c r="B29" s="93" t="s">
        <v>429</v>
      </c>
      <c r="C29" s="152" t="s">
        <v>66</v>
      </c>
      <c r="D29" s="162" t="s">
        <v>427</v>
      </c>
      <c r="E29" s="163" t="s">
        <v>30</v>
      </c>
      <c r="F29" s="696" t="s">
        <v>430</v>
      </c>
      <c r="G29" s="164">
        <v>5284</v>
      </c>
      <c r="H29" s="164">
        <v>5284</v>
      </c>
      <c r="I29" s="22">
        <v>1500</v>
      </c>
      <c r="J29" s="22">
        <v>1500</v>
      </c>
      <c r="K29" s="164">
        <v>4500</v>
      </c>
      <c r="L29" s="164">
        <v>4500</v>
      </c>
      <c r="M29" s="175"/>
      <c r="N29" s="176">
        <v>3000</v>
      </c>
      <c r="O29" s="176">
        <v>3000</v>
      </c>
      <c r="P29" s="176"/>
      <c r="Q29" s="848">
        <v>3000</v>
      </c>
      <c r="R29" s="848">
        <v>3000</v>
      </c>
      <c r="S29" s="849"/>
      <c r="T29" s="73">
        <f t="shared" si="12"/>
        <v>3000</v>
      </c>
      <c r="U29" s="176"/>
      <c r="V29" s="176">
        <v>3000</v>
      </c>
      <c r="W29" s="513" t="s">
        <v>1526</v>
      </c>
      <c r="X29" s="178"/>
      <c r="Y29" s="177">
        <v>1</v>
      </c>
      <c r="Z29" s="657"/>
      <c r="AA29" s="990">
        <f t="shared" si="13"/>
        <v>3000</v>
      </c>
      <c r="AC29" s="551"/>
      <c r="AD29" s="551"/>
      <c r="AE29" s="551"/>
      <c r="AF29" s="2"/>
      <c r="AG29" s="2"/>
      <c r="AH29" s="2"/>
      <c r="AI29" s="2"/>
      <c r="AJ29" s="2"/>
      <c r="AK29" s="2"/>
      <c r="AL29" s="2"/>
      <c r="AM29" s="2"/>
      <c r="AN29" s="2"/>
      <c r="AO29" s="2"/>
      <c r="AP29" s="2"/>
      <c r="AQ29" s="2"/>
      <c r="AR29" s="2"/>
      <c r="AS29" s="2"/>
    </row>
    <row r="30" spans="1:45" s="811" customFormat="1" ht="28.5">
      <c r="A30" s="11" t="s">
        <v>116</v>
      </c>
      <c r="B30" s="65" t="s">
        <v>117</v>
      </c>
      <c r="C30" s="13"/>
      <c r="D30" s="13"/>
      <c r="E30" s="14"/>
      <c r="F30" s="89"/>
      <c r="G30" s="15">
        <f t="shared" ref="G30:U30" si="14">SUM(G31:G31)</f>
        <v>18528</v>
      </c>
      <c r="H30" s="15">
        <f t="shared" si="14"/>
        <v>18528</v>
      </c>
      <c r="I30" s="15">
        <f t="shared" si="14"/>
        <v>2000</v>
      </c>
      <c r="J30" s="15">
        <f t="shared" si="14"/>
        <v>2000</v>
      </c>
      <c r="K30" s="15">
        <f t="shared" si="14"/>
        <v>18528</v>
      </c>
      <c r="L30" s="15">
        <f t="shared" si="14"/>
        <v>18528</v>
      </c>
      <c r="M30" s="15">
        <f t="shared" si="14"/>
        <v>0</v>
      </c>
      <c r="N30" s="15">
        <f t="shared" si="14"/>
        <v>6500</v>
      </c>
      <c r="O30" s="15">
        <f t="shared" si="14"/>
        <v>6500</v>
      </c>
      <c r="P30" s="15">
        <f t="shared" si="14"/>
        <v>0</v>
      </c>
      <c r="Q30" s="15">
        <f t="shared" si="14"/>
        <v>6500</v>
      </c>
      <c r="R30" s="15">
        <f t="shared" si="14"/>
        <v>6500</v>
      </c>
      <c r="S30" s="15">
        <f t="shared" si="14"/>
        <v>0</v>
      </c>
      <c r="T30" s="15">
        <f t="shared" si="14"/>
        <v>6500</v>
      </c>
      <c r="U30" s="15">
        <f t="shared" si="14"/>
        <v>0</v>
      </c>
      <c r="V30" s="15">
        <f>SUM(V31:V31)</f>
        <v>6500</v>
      </c>
      <c r="W30" s="89"/>
      <c r="X30" s="89"/>
      <c r="Y30" s="15">
        <f>SUM(Y31:Y31)</f>
        <v>1</v>
      </c>
      <c r="Z30" s="657"/>
      <c r="AA30" s="990"/>
      <c r="AC30" s="551"/>
      <c r="AD30" s="551"/>
      <c r="AE30" s="551"/>
      <c r="AF30" s="2"/>
      <c r="AG30" s="2"/>
      <c r="AH30" s="2"/>
      <c r="AI30" s="2"/>
      <c r="AJ30" s="2"/>
      <c r="AK30" s="2"/>
      <c r="AL30" s="2"/>
      <c r="AM30" s="2"/>
      <c r="AN30" s="2"/>
      <c r="AO30" s="2"/>
      <c r="AP30" s="2"/>
      <c r="AQ30" s="2"/>
      <c r="AR30" s="2"/>
      <c r="AS30" s="2"/>
    </row>
    <row r="31" spans="1:45" s="811" customFormat="1" ht="26.1" customHeight="1">
      <c r="A31" s="190" t="s">
        <v>179</v>
      </c>
      <c r="B31" s="93" t="s">
        <v>457</v>
      </c>
      <c r="C31" s="172" t="s">
        <v>60</v>
      </c>
      <c r="D31" s="162" t="s">
        <v>458</v>
      </c>
      <c r="E31" s="163" t="s">
        <v>30</v>
      </c>
      <c r="F31" s="696" t="s">
        <v>459</v>
      </c>
      <c r="G31" s="164">
        <v>18528</v>
      </c>
      <c r="H31" s="164">
        <v>18528</v>
      </c>
      <c r="I31" s="173">
        <v>2000</v>
      </c>
      <c r="J31" s="173">
        <v>2000</v>
      </c>
      <c r="K31" s="173">
        <v>18528</v>
      </c>
      <c r="L31" s="164">
        <v>18528</v>
      </c>
      <c r="M31" s="22"/>
      <c r="N31" s="133">
        <v>6500</v>
      </c>
      <c r="O31" s="133">
        <v>6500</v>
      </c>
      <c r="P31" s="133"/>
      <c r="Q31" s="842">
        <v>6500</v>
      </c>
      <c r="R31" s="842">
        <v>6500</v>
      </c>
      <c r="S31" s="842"/>
      <c r="T31" s="73">
        <f t="shared" ref="T31" si="15">SUM(U31:V31)</f>
        <v>6500</v>
      </c>
      <c r="U31" s="133"/>
      <c r="V31" s="133">
        <v>6500</v>
      </c>
      <c r="W31" s="513" t="s">
        <v>1517</v>
      </c>
      <c r="X31" s="24"/>
      <c r="Y31" s="133">
        <v>1</v>
      </c>
      <c r="Z31" s="657"/>
      <c r="AA31" s="996">
        <f>V31</f>
        <v>6500</v>
      </c>
      <c r="AC31" s="551"/>
      <c r="AD31" s="551"/>
      <c r="AE31" s="551"/>
      <c r="AF31" s="2"/>
      <c r="AG31" s="2"/>
      <c r="AH31" s="2"/>
      <c r="AI31" s="2"/>
      <c r="AJ31" s="2"/>
      <c r="AK31" s="2"/>
      <c r="AL31" s="2"/>
      <c r="AM31" s="2"/>
      <c r="AN31" s="2"/>
      <c r="AO31" s="2"/>
      <c r="AP31" s="2"/>
      <c r="AQ31" s="2"/>
      <c r="AR31" s="2"/>
      <c r="AS31" s="2"/>
    </row>
    <row r="32" spans="1:45" s="811" customFormat="1" ht="32.25" customHeight="1">
      <c r="A32" s="192" t="s">
        <v>150</v>
      </c>
      <c r="B32" s="159" t="s">
        <v>151</v>
      </c>
      <c r="C32" s="160"/>
      <c r="D32" s="160"/>
      <c r="E32" s="161"/>
      <c r="F32" s="699"/>
      <c r="G32" s="90">
        <f t="shared" ref="G32:V32" si="16">SUM(G33:G39)</f>
        <v>223583</v>
      </c>
      <c r="H32" s="90">
        <f t="shared" si="16"/>
        <v>192037</v>
      </c>
      <c r="I32" s="90">
        <f t="shared" si="16"/>
        <v>200</v>
      </c>
      <c r="J32" s="90">
        <f t="shared" si="16"/>
        <v>200</v>
      </c>
      <c r="K32" s="90">
        <f t="shared" si="16"/>
        <v>204807</v>
      </c>
      <c r="L32" s="90">
        <f t="shared" si="16"/>
        <v>182766</v>
      </c>
      <c r="M32" s="90">
        <f t="shared" si="16"/>
        <v>0</v>
      </c>
      <c r="N32" s="90">
        <f t="shared" si="16"/>
        <v>104071</v>
      </c>
      <c r="O32" s="90">
        <f t="shared" si="16"/>
        <v>76285</v>
      </c>
      <c r="P32" s="90">
        <f t="shared" si="16"/>
        <v>0</v>
      </c>
      <c r="Q32" s="829">
        <f t="shared" si="16"/>
        <v>49000</v>
      </c>
      <c r="R32" s="829">
        <f t="shared" si="16"/>
        <v>49000</v>
      </c>
      <c r="S32" s="829">
        <f t="shared" si="16"/>
        <v>0</v>
      </c>
      <c r="T32" s="90">
        <f t="shared" si="16"/>
        <v>49000</v>
      </c>
      <c r="U32" s="90">
        <f t="shared" si="16"/>
        <v>0</v>
      </c>
      <c r="V32" s="90">
        <f t="shared" si="16"/>
        <v>49000</v>
      </c>
      <c r="W32" s="699"/>
      <c r="X32" s="699"/>
      <c r="Y32" s="90">
        <f>SUM(Y33:Y39)</f>
        <v>7</v>
      </c>
      <c r="Z32" s="657"/>
      <c r="AA32" s="990"/>
      <c r="AC32" s="551"/>
      <c r="AD32" s="551"/>
      <c r="AE32" s="551"/>
      <c r="AF32" s="2"/>
      <c r="AG32" s="2"/>
      <c r="AH32" s="2"/>
      <c r="AI32" s="2"/>
      <c r="AJ32" s="2"/>
      <c r="AK32" s="2"/>
      <c r="AL32" s="2"/>
      <c r="AM32" s="2"/>
      <c r="AN32" s="2"/>
      <c r="AO32" s="2"/>
      <c r="AP32" s="2"/>
      <c r="AQ32" s="2"/>
      <c r="AR32" s="2"/>
      <c r="AS32" s="2"/>
    </row>
    <row r="33" spans="1:38" ht="45">
      <c r="A33" s="150">
        <v>1</v>
      </c>
      <c r="B33" s="151" t="s">
        <v>464</v>
      </c>
      <c r="C33" s="172" t="s">
        <v>66</v>
      </c>
      <c r="D33" s="172" t="s">
        <v>465</v>
      </c>
      <c r="E33" s="163" t="s">
        <v>120</v>
      </c>
      <c r="F33" s="698" t="s">
        <v>466</v>
      </c>
      <c r="G33" s="153">
        <v>80211</v>
      </c>
      <c r="H33" s="153">
        <v>80211</v>
      </c>
      <c r="I33" s="72"/>
      <c r="J33" s="72"/>
      <c r="K33" s="72">
        <f>G33-I33</f>
        <v>80211</v>
      </c>
      <c r="L33" s="72">
        <f>H33-J33</f>
        <v>80211</v>
      </c>
      <c r="M33" s="72"/>
      <c r="N33" s="73">
        <v>30000</v>
      </c>
      <c r="O33" s="73">
        <v>30000</v>
      </c>
      <c r="P33" s="73"/>
      <c r="Q33" s="828">
        <v>30000</v>
      </c>
      <c r="R33" s="828">
        <v>30000</v>
      </c>
      <c r="S33" s="828"/>
      <c r="T33" s="73">
        <f t="shared" ref="T33:T39" si="17">SUM(U33:V33)</f>
        <v>30000</v>
      </c>
      <c r="U33" s="73"/>
      <c r="V33" s="73">
        <v>30000</v>
      </c>
      <c r="W33" s="513" t="s">
        <v>1524</v>
      </c>
      <c r="X33" s="24" t="s">
        <v>467</v>
      </c>
      <c r="Y33" s="73">
        <v>1</v>
      </c>
      <c r="AA33" s="996">
        <f>V33</f>
        <v>30000</v>
      </c>
    </row>
    <row r="34" spans="1:38" s="194" customFormat="1" ht="102">
      <c r="A34" s="150">
        <v>5</v>
      </c>
      <c r="B34" s="280" t="s">
        <v>474</v>
      </c>
      <c r="C34" s="70" t="s">
        <v>112</v>
      </c>
      <c r="D34" s="70" t="s">
        <v>475</v>
      </c>
      <c r="E34" s="307" t="s">
        <v>30</v>
      </c>
      <c r="F34" s="24" t="s">
        <v>476</v>
      </c>
      <c r="G34" s="596">
        <v>19245</v>
      </c>
      <c r="H34" s="596">
        <v>9623</v>
      </c>
      <c r="I34" s="72"/>
      <c r="J34" s="72"/>
      <c r="K34" s="173"/>
      <c r="L34" s="173"/>
      <c r="M34" s="72"/>
      <c r="N34" s="605">
        <v>11723</v>
      </c>
      <c r="O34" s="605">
        <v>7200</v>
      </c>
      <c r="P34" s="605"/>
      <c r="Q34" s="851">
        <v>3000</v>
      </c>
      <c r="R34" s="851">
        <v>3000</v>
      </c>
      <c r="S34" s="828"/>
      <c r="T34" s="73">
        <f t="shared" si="17"/>
        <v>3000</v>
      </c>
      <c r="U34" s="605"/>
      <c r="V34" s="605">
        <v>3000</v>
      </c>
      <c r="W34" s="513" t="s">
        <v>1529</v>
      </c>
      <c r="X34" s="24"/>
      <c r="Y34" s="605">
        <v>1</v>
      </c>
      <c r="Z34" s="657"/>
      <c r="AA34" s="996">
        <f t="shared" ref="AA34:AA39" si="18">V34</f>
        <v>3000</v>
      </c>
      <c r="AB34" s="811"/>
      <c r="AC34" s="551"/>
      <c r="AD34" s="551"/>
      <c r="AE34" s="551"/>
    </row>
    <row r="35" spans="1:38" ht="50.25" customHeight="1">
      <c r="A35" s="150">
        <v>6</v>
      </c>
      <c r="B35" s="151" t="s">
        <v>477</v>
      </c>
      <c r="C35" s="172" t="s">
        <v>112</v>
      </c>
      <c r="D35" s="606" t="s">
        <v>478</v>
      </c>
      <c r="E35" s="307" t="s">
        <v>166</v>
      </c>
      <c r="F35" s="696" t="s">
        <v>479</v>
      </c>
      <c r="G35" s="173">
        <v>5381</v>
      </c>
      <c r="H35" s="173">
        <v>5381</v>
      </c>
      <c r="I35" s="72">
        <v>100</v>
      </c>
      <c r="J35" s="72">
        <v>100</v>
      </c>
      <c r="K35" s="173">
        <v>5733</v>
      </c>
      <c r="L35" s="173">
        <v>5733</v>
      </c>
      <c r="M35" s="72"/>
      <c r="N35" s="73">
        <v>5281</v>
      </c>
      <c r="O35" s="73">
        <v>5281</v>
      </c>
      <c r="P35" s="73"/>
      <c r="Q35" s="828">
        <v>2000</v>
      </c>
      <c r="R35" s="828">
        <v>2000</v>
      </c>
      <c r="S35" s="828"/>
      <c r="T35" s="73">
        <f t="shared" si="17"/>
        <v>2000</v>
      </c>
      <c r="U35" s="73"/>
      <c r="V35" s="73">
        <v>2000</v>
      </c>
      <c r="W35" s="513" t="s">
        <v>1529</v>
      </c>
      <c r="X35" s="24"/>
      <c r="Y35" s="73">
        <v>1</v>
      </c>
      <c r="AA35" s="996">
        <f t="shared" si="18"/>
        <v>2000</v>
      </c>
    </row>
    <row r="36" spans="1:38" ht="45">
      <c r="A36" s="150">
        <v>7</v>
      </c>
      <c r="B36" s="151" t="s">
        <v>480</v>
      </c>
      <c r="C36" s="172" t="s">
        <v>112</v>
      </c>
      <c r="D36" s="172" t="s">
        <v>481</v>
      </c>
      <c r="E36" s="163" t="s">
        <v>154</v>
      </c>
      <c r="F36" s="696" t="s">
        <v>482</v>
      </c>
      <c r="G36" s="173">
        <v>12030</v>
      </c>
      <c r="H36" s="173">
        <v>12030</v>
      </c>
      <c r="I36" s="72">
        <v>100</v>
      </c>
      <c r="J36" s="72">
        <v>100</v>
      </c>
      <c r="K36" s="173">
        <v>12030</v>
      </c>
      <c r="L36" s="173">
        <v>12030</v>
      </c>
      <c r="M36" s="72"/>
      <c r="N36" s="73">
        <v>8400</v>
      </c>
      <c r="O36" s="73">
        <v>8400</v>
      </c>
      <c r="P36" s="73"/>
      <c r="Q36" s="828">
        <v>2000</v>
      </c>
      <c r="R36" s="828">
        <v>2000</v>
      </c>
      <c r="S36" s="828"/>
      <c r="T36" s="73">
        <f t="shared" si="17"/>
        <v>2000</v>
      </c>
      <c r="U36" s="73"/>
      <c r="V36" s="73">
        <v>2000</v>
      </c>
      <c r="W36" s="513" t="s">
        <v>1529</v>
      </c>
      <c r="X36" s="24"/>
      <c r="Y36" s="73">
        <v>1</v>
      </c>
      <c r="AA36" s="996">
        <f t="shared" si="18"/>
        <v>2000</v>
      </c>
    </row>
    <row r="37" spans="1:38" ht="45">
      <c r="A37" s="150">
        <v>8</v>
      </c>
      <c r="B37" s="93" t="s">
        <v>483</v>
      </c>
      <c r="C37" s="101" t="s">
        <v>484</v>
      </c>
      <c r="D37" s="606" t="s">
        <v>485</v>
      </c>
      <c r="E37" s="307" t="s">
        <v>30</v>
      </c>
      <c r="F37" s="685" t="s">
        <v>486</v>
      </c>
      <c r="G37" s="71">
        <v>6710</v>
      </c>
      <c r="H37" s="71">
        <v>6710</v>
      </c>
      <c r="I37" s="72"/>
      <c r="J37" s="72"/>
      <c r="K37" s="71">
        <v>6710</v>
      </c>
      <c r="L37" s="71">
        <v>6710</v>
      </c>
      <c r="M37" s="72"/>
      <c r="N37" s="73">
        <v>6743</v>
      </c>
      <c r="O37" s="73">
        <v>5404</v>
      </c>
      <c r="P37" s="73"/>
      <c r="Q37" s="828">
        <v>2000</v>
      </c>
      <c r="R37" s="828">
        <v>2000</v>
      </c>
      <c r="S37" s="828"/>
      <c r="T37" s="73">
        <f t="shared" si="17"/>
        <v>2000</v>
      </c>
      <c r="U37" s="73"/>
      <c r="V37" s="73">
        <v>2000</v>
      </c>
      <c r="W37" s="513" t="s">
        <v>1529</v>
      </c>
      <c r="X37" s="1012"/>
      <c r="Y37" s="73">
        <v>1</v>
      </c>
      <c r="AA37" s="996">
        <f t="shared" si="18"/>
        <v>2000</v>
      </c>
    </row>
    <row r="38" spans="1:38" s="195" customFormat="1" ht="30">
      <c r="A38" s="150">
        <v>9</v>
      </c>
      <c r="B38" s="607" t="s">
        <v>487</v>
      </c>
      <c r="C38" s="101" t="s">
        <v>112</v>
      </c>
      <c r="D38" s="606" t="s">
        <v>488</v>
      </c>
      <c r="E38" s="307" t="s">
        <v>489</v>
      </c>
      <c r="F38" s="696" t="s">
        <v>490</v>
      </c>
      <c r="G38" s="164">
        <v>39713</v>
      </c>
      <c r="H38" s="72">
        <v>31984</v>
      </c>
      <c r="I38" s="72"/>
      <c r="J38" s="72"/>
      <c r="K38" s="71">
        <v>39713</v>
      </c>
      <c r="L38" s="72">
        <v>31984</v>
      </c>
      <c r="M38" s="72"/>
      <c r="N38" s="605">
        <v>15729</v>
      </c>
      <c r="O38" s="72">
        <v>8000</v>
      </c>
      <c r="P38" s="72"/>
      <c r="Q38" s="123">
        <v>5000</v>
      </c>
      <c r="R38" s="123">
        <v>5000</v>
      </c>
      <c r="S38" s="828"/>
      <c r="T38" s="73">
        <f t="shared" si="17"/>
        <v>5000</v>
      </c>
      <c r="U38" s="72"/>
      <c r="V38" s="72">
        <v>5000</v>
      </c>
      <c r="W38" s="513" t="s">
        <v>1529</v>
      </c>
      <c r="X38" s="24"/>
      <c r="Y38" s="72">
        <v>1</v>
      </c>
      <c r="Z38" s="657"/>
      <c r="AA38" s="996">
        <f t="shared" si="18"/>
        <v>5000</v>
      </c>
      <c r="AB38" s="978"/>
      <c r="AC38" s="553"/>
      <c r="AD38" s="553"/>
      <c r="AE38" s="553"/>
    </row>
    <row r="39" spans="1:38" s="195" customFormat="1" ht="30">
      <c r="A39" s="150">
        <v>10</v>
      </c>
      <c r="B39" s="607" t="s">
        <v>493</v>
      </c>
      <c r="C39" s="101" t="s">
        <v>112</v>
      </c>
      <c r="D39" s="606" t="s">
        <v>494</v>
      </c>
      <c r="E39" s="307" t="s">
        <v>489</v>
      </c>
      <c r="F39" s="696" t="s">
        <v>495</v>
      </c>
      <c r="G39" s="164">
        <v>60293</v>
      </c>
      <c r="H39" s="72">
        <v>46098</v>
      </c>
      <c r="I39" s="72"/>
      <c r="J39" s="72"/>
      <c r="K39" s="71">
        <v>60410</v>
      </c>
      <c r="L39" s="72">
        <v>46098</v>
      </c>
      <c r="M39" s="72"/>
      <c r="N39" s="605">
        <v>26195</v>
      </c>
      <c r="O39" s="72">
        <v>12000</v>
      </c>
      <c r="P39" s="72"/>
      <c r="Q39" s="123">
        <v>5000</v>
      </c>
      <c r="R39" s="123">
        <v>5000</v>
      </c>
      <c r="S39" s="828"/>
      <c r="T39" s="73">
        <f t="shared" si="17"/>
        <v>5000</v>
      </c>
      <c r="U39" s="72"/>
      <c r="V39" s="72">
        <v>5000</v>
      </c>
      <c r="W39" s="513" t="s">
        <v>1529</v>
      </c>
      <c r="X39" s="24"/>
      <c r="Y39" s="72">
        <v>1</v>
      </c>
      <c r="Z39" s="657"/>
      <c r="AA39" s="996">
        <f t="shared" si="18"/>
        <v>5000</v>
      </c>
      <c r="AB39" s="978"/>
      <c r="AC39" s="553"/>
      <c r="AD39" s="553"/>
      <c r="AE39" s="553"/>
    </row>
    <row r="40" spans="1:38" s="54" customFormat="1">
      <c r="A40" s="215"/>
      <c r="B40" s="282"/>
      <c r="C40" s="32"/>
      <c r="D40" s="101"/>
      <c r="E40" s="39"/>
      <c r="F40" s="703"/>
      <c r="G40" s="22"/>
      <c r="H40" s="22"/>
      <c r="I40" s="22"/>
      <c r="J40" s="22"/>
      <c r="K40" s="22"/>
      <c r="L40" s="22"/>
      <c r="M40" s="22"/>
      <c r="N40" s="22"/>
      <c r="O40" s="217"/>
      <c r="P40" s="78"/>
      <c r="Q40" s="857"/>
      <c r="R40" s="853">
        <f>968968*0.2-R41</f>
        <v>-18231.399999999994</v>
      </c>
      <c r="S40" s="853"/>
      <c r="T40" s="217"/>
      <c r="U40" s="22">
        <f>968968*0.2-U41</f>
        <v>-0.39999999999417923</v>
      </c>
      <c r="V40" s="22"/>
      <c r="W40" s="691"/>
      <c r="X40" s="80"/>
      <c r="Y40" s="22"/>
      <c r="Z40" s="657">
        <f>Z41-1177000*0.5</f>
        <v>878</v>
      </c>
      <c r="AA40" s="990"/>
      <c r="AB40" s="811"/>
      <c r="AC40" s="551"/>
      <c r="AD40" s="551"/>
      <c r="AE40" s="551"/>
      <c r="AG40" s="57"/>
      <c r="AH40" s="57"/>
      <c r="AI40" s="57"/>
      <c r="AJ40" s="57"/>
      <c r="AK40" s="57"/>
      <c r="AL40" s="57"/>
    </row>
    <row r="41" spans="1:38" s="633" customFormat="1" ht="28.5" customHeight="1">
      <c r="A41" s="630" t="s">
        <v>546</v>
      </c>
      <c r="B41" s="618" t="s">
        <v>1145</v>
      </c>
      <c r="C41" s="631"/>
      <c r="D41" s="631"/>
      <c r="E41" s="632"/>
      <c r="F41" s="692"/>
      <c r="G41" s="636">
        <f t="shared" ref="G41:V41" si="19">SUM(G42,G51)</f>
        <v>3073976</v>
      </c>
      <c r="H41" s="636">
        <f t="shared" si="19"/>
        <v>2323807</v>
      </c>
      <c r="I41" s="636">
        <f t="shared" si="19"/>
        <v>253054</v>
      </c>
      <c r="J41" s="636">
        <f t="shared" si="19"/>
        <v>192204</v>
      </c>
      <c r="K41" s="636">
        <f t="shared" si="19"/>
        <v>2825206</v>
      </c>
      <c r="L41" s="636">
        <f t="shared" si="19"/>
        <v>2209443</v>
      </c>
      <c r="M41" s="636">
        <f t="shared" si="19"/>
        <v>0</v>
      </c>
      <c r="N41" s="636">
        <f t="shared" si="19"/>
        <v>806068</v>
      </c>
      <c r="O41" s="636">
        <f t="shared" si="19"/>
        <v>726639</v>
      </c>
      <c r="P41" s="636">
        <f t="shared" si="19"/>
        <v>0</v>
      </c>
      <c r="Q41" s="855">
        <f t="shared" si="19"/>
        <v>621425</v>
      </c>
      <c r="R41" s="855">
        <f t="shared" si="19"/>
        <v>212025</v>
      </c>
      <c r="S41" s="855">
        <f t="shared" si="19"/>
        <v>409400</v>
      </c>
      <c r="T41" s="636">
        <f t="shared" si="19"/>
        <v>580667</v>
      </c>
      <c r="U41" s="636">
        <f t="shared" si="19"/>
        <v>193794</v>
      </c>
      <c r="V41" s="636">
        <f t="shared" si="19"/>
        <v>386873</v>
      </c>
      <c r="W41" s="690"/>
      <c r="X41" s="690"/>
      <c r="Y41" s="636">
        <f>SUM(Y42,Y51)</f>
        <v>23</v>
      </c>
      <c r="Z41" s="662">
        <f>V41+V70</f>
        <v>589378</v>
      </c>
      <c r="AA41" s="990"/>
      <c r="AB41" s="811"/>
      <c r="AC41" s="628"/>
      <c r="AD41" s="628"/>
      <c r="AE41" s="628"/>
      <c r="AG41" s="629"/>
      <c r="AH41" s="629"/>
      <c r="AI41" s="629"/>
      <c r="AJ41" s="629"/>
      <c r="AK41" s="629"/>
      <c r="AL41" s="629"/>
    </row>
    <row r="42" spans="1:38" s="266" customFormat="1" ht="25.5" hidden="1" customHeight="1">
      <c r="A42" s="11" t="s">
        <v>525</v>
      </c>
      <c r="B42" s="65" t="s">
        <v>26</v>
      </c>
      <c r="C42" s="19"/>
      <c r="D42" s="19"/>
      <c r="E42" s="70"/>
      <c r="F42" s="80"/>
      <c r="G42" s="15">
        <f t="shared" ref="G42:V42" si="20">SUM(G43:G50)</f>
        <v>237126</v>
      </c>
      <c r="H42" s="15">
        <f t="shared" si="20"/>
        <v>223418</v>
      </c>
      <c r="I42" s="15">
        <f t="shared" si="20"/>
        <v>500</v>
      </c>
      <c r="J42" s="15">
        <f t="shared" si="20"/>
        <v>500</v>
      </c>
      <c r="K42" s="15">
        <f t="shared" si="20"/>
        <v>237026</v>
      </c>
      <c r="L42" s="15">
        <f t="shared" si="20"/>
        <v>223318</v>
      </c>
      <c r="M42" s="15">
        <f t="shared" si="20"/>
        <v>0</v>
      </c>
      <c r="N42" s="15">
        <f t="shared" si="20"/>
        <v>1600</v>
      </c>
      <c r="O42" s="15">
        <f t="shared" si="20"/>
        <v>1600</v>
      </c>
      <c r="P42" s="15">
        <f t="shared" si="20"/>
        <v>0</v>
      </c>
      <c r="Q42" s="846">
        <f t="shared" si="20"/>
        <v>1300</v>
      </c>
      <c r="R42" s="846">
        <f t="shared" si="20"/>
        <v>900</v>
      </c>
      <c r="S42" s="846">
        <f t="shared" si="20"/>
        <v>400</v>
      </c>
      <c r="T42" s="15">
        <f t="shared" si="20"/>
        <v>1300</v>
      </c>
      <c r="U42" s="15">
        <f t="shared" si="20"/>
        <v>1300</v>
      </c>
      <c r="V42" s="15">
        <f t="shared" si="20"/>
        <v>0</v>
      </c>
      <c r="W42" s="89"/>
      <c r="X42" s="89"/>
      <c r="Y42" s="15">
        <f>SUM(Y43:Y50)</f>
        <v>8</v>
      </c>
      <c r="Z42" s="663"/>
      <c r="AA42" s="990"/>
      <c r="AB42" s="811"/>
      <c r="AC42" s="551"/>
      <c r="AD42" s="551"/>
      <c r="AE42" s="551"/>
      <c r="AG42" s="265"/>
      <c r="AH42" s="265"/>
      <c r="AI42" s="265"/>
      <c r="AJ42" s="265"/>
      <c r="AK42" s="265"/>
      <c r="AL42" s="265"/>
    </row>
    <row r="43" spans="1:38" s="54" customFormat="1" ht="38.25" hidden="1">
      <c r="A43" s="222">
        <v>1</v>
      </c>
      <c r="B43" s="68" t="s">
        <v>808</v>
      </c>
      <c r="C43" s="19" t="s">
        <v>29</v>
      </c>
      <c r="D43" s="19"/>
      <c r="E43" s="70" t="s">
        <v>355</v>
      </c>
      <c r="F43" s="705"/>
      <c r="G43" s="23">
        <f>H43</f>
        <v>19776</v>
      </c>
      <c r="H43" s="23">
        <v>19776</v>
      </c>
      <c r="I43" s="23">
        <f>J43</f>
        <v>200</v>
      </c>
      <c r="J43" s="23">
        <v>200</v>
      </c>
      <c r="K43" s="23">
        <v>19776</v>
      </c>
      <c r="L43" s="23">
        <v>19776</v>
      </c>
      <c r="M43" s="23"/>
      <c r="N43" s="23">
        <v>200</v>
      </c>
      <c r="O43" s="23">
        <v>200</v>
      </c>
      <c r="P43" s="78"/>
      <c r="Q43" s="860">
        <v>200</v>
      </c>
      <c r="R43" s="860"/>
      <c r="S43" s="860">
        <v>200</v>
      </c>
      <c r="T43" s="73">
        <f t="shared" ref="T43:T50" si="21">SUM(U43:V43)</f>
        <v>200</v>
      </c>
      <c r="U43" s="23">
        <v>200</v>
      </c>
      <c r="V43" s="23"/>
      <c r="W43" s="80" t="s">
        <v>1546</v>
      </c>
      <c r="X43" s="741" t="s">
        <v>1096</v>
      </c>
      <c r="Y43" s="23">
        <v>1</v>
      </c>
      <c r="Z43" s="657"/>
      <c r="AA43" s="990"/>
      <c r="AB43" s="811"/>
      <c r="AC43" s="551"/>
      <c r="AD43" s="551"/>
      <c r="AE43" s="551"/>
      <c r="AG43" s="57"/>
      <c r="AH43" s="57"/>
      <c r="AI43" s="57"/>
      <c r="AJ43" s="57"/>
      <c r="AK43" s="57"/>
      <c r="AL43" s="57"/>
    </row>
    <row r="44" spans="1:38" s="54" customFormat="1" ht="30" hidden="1">
      <c r="A44" s="222">
        <v>2</v>
      </c>
      <c r="B44" s="68" t="s">
        <v>809</v>
      </c>
      <c r="C44" s="19" t="s">
        <v>43</v>
      </c>
      <c r="D44" s="19" t="s">
        <v>810</v>
      </c>
      <c r="E44" s="70" t="s">
        <v>163</v>
      </c>
      <c r="F44" s="705"/>
      <c r="G44" s="23">
        <v>65795</v>
      </c>
      <c r="H44" s="23">
        <v>54977</v>
      </c>
      <c r="I44" s="23">
        <v>100</v>
      </c>
      <c r="J44" s="23">
        <v>100</v>
      </c>
      <c r="K44" s="23">
        <v>65795</v>
      </c>
      <c r="L44" s="23">
        <v>54977</v>
      </c>
      <c r="M44" s="23"/>
      <c r="N44" s="23">
        <v>100</v>
      </c>
      <c r="O44" s="23">
        <v>100</v>
      </c>
      <c r="P44" s="78"/>
      <c r="Q44" s="860">
        <v>100</v>
      </c>
      <c r="R44" s="860"/>
      <c r="S44" s="860">
        <v>100</v>
      </c>
      <c r="T44" s="73">
        <f t="shared" si="21"/>
        <v>100</v>
      </c>
      <c r="U44" s="23">
        <v>100</v>
      </c>
      <c r="V44" s="23"/>
      <c r="W44" s="80" t="s">
        <v>1544</v>
      </c>
      <c r="X44" s="741" t="s">
        <v>1097</v>
      </c>
      <c r="Y44" s="23">
        <v>1</v>
      </c>
      <c r="Z44" s="657"/>
      <c r="AA44" s="990"/>
      <c r="AB44" s="811"/>
      <c r="AC44" s="551"/>
      <c r="AD44" s="551"/>
      <c r="AE44" s="551"/>
      <c r="AG44" s="57"/>
      <c r="AH44" s="57"/>
      <c r="AI44" s="57"/>
      <c r="AJ44" s="57"/>
      <c r="AK44" s="57"/>
      <c r="AL44" s="57"/>
    </row>
    <row r="45" spans="1:38" s="54" customFormat="1" ht="38.25" hidden="1">
      <c r="A45" s="222">
        <v>3</v>
      </c>
      <c r="B45" s="68" t="s">
        <v>811</v>
      </c>
      <c r="C45" s="19" t="s">
        <v>173</v>
      </c>
      <c r="D45" s="19" t="s">
        <v>810</v>
      </c>
      <c r="E45" s="70" t="s">
        <v>163</v>
      </c>
      <c r="F45" s="705"/>
      <c r="G45" s="23">
        <v>23414</v>
      </c>
      <c r="H45" s="23">
        <v>20524</v>
      </c>
      <c r="I45" s="23">
        <v>100</v>
      </c>
      <c r="J45" s="23">
        <v>100</v>
      </c>
      <c r="K45" s="23">
        <v>23414</v>
      </c>
      <c r="L45" s="23">
        <v>20524</v>
      </c>
      <c r="M45" s="23"/>
      <c r="N45" s="23">
        <v>100</v>
      </c>
      <c r="O45" s="23">
        <v>100</v>
      </c>
      <c r="P45" s="78"/>
      <c r="Q45" s="860">
        <v>100</v>
      </c>
      <c r="R45" s="860"/>
      <c r="S45" s="860">
        <v>100</v>
      </c>
      <c r="T45" s="73">
        <f t="shared" si="21"/>
        <v>100</v>
      </c>
      <c r="U45" s="23">
        <v>100</v>
      </c>
      <c r="V45" s="23"/>
      <c r="W45" s="80" t="s">
        <v>1544</v>
      </c>
      <c r="X45" s="741" t="s">
        <v>1098</v>
      </c>
      <c r="Y45" s="23">
        <v>1</v>
      </c>
      <c r="Z45" s="657"/>
      <c r="AA45" s="990"/>
      <c r="AB45" s="811"/>
      <c r="AC45" s="551"/>
      <c r="AD45" s="551"/>
      <c r="AE45" s="551"/>
      <c r="AG45" s="57"/>
      <c r="AH45" s="57"/>
      <c r="AI45" s="57"/>
      <c r="AJ45" s="57"/>
      <c r="AK45" s="57"/>
      <c r="AL45" s="57"/>
    </row>
    <row r="46" spans="1:38" s="54" customFormat="1" ht="38.25" hidden="1">
      <c r="A46" s="222">
        <v>4</v>
      </c>
      <c r="B46" s="68" t="s">
        <v>812</v>
      </c>
      <c r="C46" s="19" t="s">
        <v>260</v>
      </c>
      <c r="D46" s="19" t="s">
        <v>813</v>
      </c>
      <c r="E46" s="70" t="s">
        <v>120</v>
      </c>
      <c r="F46" s="80"/>
      <c r="G46" s="223">
        <v>17264</v>
      </c>
      <c r="H46" s="223">
        <v>17264</v>
      </c>
      <c r="I46" s="23">
        <f>J46</f>
        <v>100</v>
      </c>
      <c r="J46" s="23">
        <v>100</v>
      </c>
      <c r="K46" s="72">
        <f t="shared" ref="K46:L50" si="22">G46-I46</f>
        <v>17164</v>
      </c>
      <c r="L46" s="72">
        <f t="shared" si="22"/>
        <v>17164</v>
      </c>
      <c r="M46" s="23"/>
      <c r="N46" s="23">
        <v>150</v>
      </c>
      <c r="O46" s="23">
        <v>150</v>
      </c>
      <c r="P46" s="78"/>
      <c r="Q46" s="860">
        <f>SUM(R46:S46)</f>
        <v>150</v>
      </c>
      <c r="R46" s="860">
        <v>150</v>
      </c>
      <c r="S46" s="860"/>
      <c r="T46" s="73">
        <f t="shared" si="21"/>
        <v>150</v>
      </c>
      <c r="U46" s="23">
        <v>150</v>
      </c>
      <c r="V46" s="23"/>
      <c r="W46" s="80" t="s">
        <v>1545</v>
      </c>
      <c r="X46" s="80" t="s">
        <v>1099</v>
      </c>
      <c r="Y46" s="23">
        <v>1</v>
      </c>
      <c r="Z46" s="657"/>
      <c r="AA46" s="990"/>
      <c r="AB46" s="811"/>
      <c r="AC46" s="551"/>
      <c r="AD46" s="551"/>
      <c r="AE46" s="551"/>
      <c r="AG46" s="57"/>
      <c r="AH46" s="57"/>
      <c r="AI46" s="57"/>
      <c r="AJ46" s="57"/>
      <c r="AK46" s="57"/>
      <c r="AL46" s="57"/>
    </row>
    <row r="47" spans="1:38" s="54" customFormat="1" ht="90" hidden="1">
      <c r="A47" s="222">
        <v>5</v>
      </c>
      <c r="B47" s="68" t="s">
        <v>815</v>
      </c>
      <c r="C47" s="19" t="s">
        <v>143</v>
      </c>
      <c r="D47" s="19" t="s">
        <v>816</v>
      </c>
      <c r="E47" s="70" t="s">
        <v>120</v>
      </c>
      <c r="F47" s="80"/>
      <c r="G47" s="223">
        <v>13476</v>
      </c>
      <c r="H47" s="223">
        <v>13476</v>
      </c>
      <c r="I47" s="23"/>
      <c r="J47" s="23"/>
      <c r="K47" s="72">
        <f t="shared" si="22"/>
        <v>13476</v>
      </c>
      <c r="L47" s="72">
        <f t="shared" si="22"/>
        <v>13476</v>
      </c>
      <c r="M47" s="23"/>
      <c r="N47" s="23">
        <v>700</v>
      </c>
      <c r="O47" s="23">
        <v>700</v>
      </c>
      <c r="P47" s="78"/>
      <c r="Q47" s="860">
        <f>SUM(R47:S47)</f>
        <v>400</v>
      </c>
      <c r="R47" s="860">
        <v>400</v>
      </c>
      <c r="S47" s="860"/>
      <c r="T47" s="73">
        <f t="shared" si="21"/>
        <v>400</v>
      </c>
      <c r="U47" s="23">
        <v>400</v>
      </c>
      <c r="V47" s="23"/>
      <c r="W47" s="80" t="s">
        <v>1545</v>
      </c>
      <c r="X47" s="80" t="s">
        <v>1100</v>
      </c>
      <c r="Y47" s="23">
        <v>1</v>
      </c>
      <c r="Z47" s="657"/>
      <c r="AA47" s="990"/>
      <c r="AB47" s="811"/>
      <c r="AC47" s="551"/>
      <c r="AD47" s="551"/>
      <c r="AE47" s="551"/>
      <c r="AG47" s="57"/>
      <c r="AH47" s="57"/>
      <c r="AI47" s="57"/>
      <c r="AJ47" s="57"/>
      <c r="AK47" s="57"/>
      <c r="AL47" s="57"/>
    </row>
    <row r="48" spans="1:38" s="54" customFormat="1" ht="90" hidden="1">
      <c r="A48" s="222">
        <v>6</v>
      </c>
      <c r="B48" s="68" t="s">
        <v>817</v>
      </c>
      <c r="C48" s="19" t="s">
        <v>5</v>
      </c>
      <c r="D48" s="19" t="s">
        <v>818</v>
      </c>
      <c r="E48" s="70" t="s">
        <v>355</v>
      </c>
      <c r="F48" s="80"/>
      <c r="G48" s="72">
        <v>50535</v>
      </c>
      <c r="H48" s="72">
        <v>50535</v>
      </c>
      <c r="I48" s="23"/>
      <c r="J48" s="23"/>
      <c r="K48" s="72">
        <f t="shared" si="22"/>
        <v>50535</v>
      </c>
      <c r="L48" s="72">
        <f t="shared" si="22"/>
        <v>50535</v>
      </c>
      <c r="M48" s="23"/>
      <c r="N48" s="23">
        <v>150</v>
      </c>
      <c r="O48" s="23">
        <v>150</v>
      </c>
      <c r="P48" s="78"/>
      <c r="Q48" s="860">
        <f>SUM(R48:S48)</f>
        <v>150</v>
      </c>
      <c r="R48" s="860">
        <v>150</v>
      </c>
      <c r="S48" s="860"/>
      <c r="T48" s="73">
        <f t="shared" si="21"/>
        <v>150</v>
      </c>
      <c r="U48" s="23">
        <v>150</v>
      </c>
      <c r="V48" s="23"/>
      <c r="W48" s="80" t="s">
        <v>1545</v>
      </c>
      <c r="X48" s="80" t="s">
        <v>1101</v>
      </c>
      <c r="Y48" s="23">
        <v>1</v>
      </c>
      <c r="Z48" s="657"/>
      <c r="AA48" s="990"/>
      <c r="AB48" s="811"/>
      <c r="AC48" s="551"/>
      <c r="AD48" s="551"/>
      <c r="AE48" s="551"/>
      <c r="AG48" s="57"/>
      <c r="AH48" s="57"/>
      <c r="AI48" s="57"/>
      <c r="AJ48" s="57"/>
      <c r="AK48" s="57"/>
      <c r="AL48" s="57"/>
    </row>
    <row r="49" spans="1:38" s="54" customFormat="1" ht="75" hidden="1">
      <c r="A49" s="222">
        <v>7</v>
      </c>
      <c r="B49" s="68" t="s">
        <v>820</v>
      </c>
      <c r="C49" s="19" t="s">
        <v>60</v>
      </c>
      <c r="D49" s="19" t="s">
        <v>821</v>
      </c>
      <c r="E49" s="70" t="s">
        <v>120</v>
      </c>
      <c r="F49" s="80"/>
      <c r="G49" s="72">
        <v>13500</v>
      </c>
      <c r="H49" s="72">
        <v>13500</v>
      </c>
      <c r="I49" s="23"/>
      <c r="J49" s="23"/>
      <c r="K49" s="72">
        <f t="shared" si="22"/>
        <v>13500</v>
      </c>
      <c r="L49" s="72">
        <f t="shared" si="22"/>
        <v>13500</v>
      </c>
      <c r="M49" s="23"/>
      <c r="N49" s="23">
        <v>100</v>
      </c>
      <c r="O49" s="23">
        <v>100</v>
      </c>
      <c r="P49" s="78"/>
      <c r="Q49" s="860">
        <f>SUM(R49:S49)</f>
        <v>100</v>
      </c>
      <c r="R49" s="860">
        <v>100</v>
      </c>
      <c r="S49" s="860"/>
      <c r="T49" s="73">
        <f t="shared" si="21"/>
        <v>100</v>
      </c>
      <c r="U49" s="23">
        <v>100</v>
      </c>
      <c r="V49" s="23"/>
      <c r="W49" s="80" t="s">
        <v>1545</v>
      </c>
      <c r="X49" s="80" t="s">
        <v>1102</v>
      </c>
      <c r="Y49" s="23">
        <v>1</v>
      </c>
      <c r="Z49" s="657"/>
      <c r="AA49" s="990"/>
      <c r="AB49" s="811"/>
      <c r="AC49" s="551"/>
      <c r="AD49" s="551"/>
      <c r="AE49" s="551"/>
      <c r="AG49" s="57"/>
      <c r="AH49" s="57"/>
      <c r="AI49" s="57"/>
      <c r="AJ49" s="57"/>
      <c r="AK49" s="57"/>
      <c r="AL49" s="57"/>
    </row>
    <row r="50" spans="1:38" s="54" customFormat="1" ht="38.25" hidden="1">
      <c r="A50" s="222">
        <v>8</v>
      </c>
      <c r="B50" s="68" t="s">
        <v>822</v>
      </c>
      <c r="C50" s="19" t="s">
        <v>5</v>
      </c>
      <c r="D50" s="19" t="s">
        <v>823</v>
      </c>
      <c r="E50" s="70" t="s">
        <v>355</v>
      </c>
      <c r="F50" s="80"/>
      <c r="G50" s="72">
        <v>33366</v>
      </c>
      <c r="H50" s="72">
        <v>33366</v>
      </c>
      <c r="I50" s="23"/>
      <c r="J50" s="23"/>
      <c r="K50" s="72">
        <f t="shared" si="22"/>
        <v>33366</v>
      </c>
      <c r="L50" s="72">
        <f t="shared" si="22"/>
        <v>33366</v>
      </c>
      <c r="M50" s="23"/>
      <c r="N50" s="23">
        <v>100</v>
      </c>
      <c r="O50" s="23">
        <v>100</v>
      </c>
      <c r="P50" s="78"/>
      <c r="Q50" s="860">
        <f>SUM(R50:S50)</f>
        <v>100</v>
      </c>
      <c r="R50" s="860">
        <v>100</v>
      </c>
      <c r="S50" s="860"/>
      <c r="T50" s="73">
        <f t="shared" si="21"/>
        <v>100</v>
      </c>
      <c r="U50" s="23">
        <v>100</v>
      </c>
      <c r="V50" s="23"/>
      <c r="W50" s="80" t="s">
        <v>1545</v>
      </c>
      <c r="X50" s="80" t="s">
        <v>1103</v>
      </c>
      <c r="Y50" s="23">
        <v>1</v>
      </c>
      <c r="Z50" s="657"/>
      <c r="AA50" s="990"/>
      <c r="AB50" s="811"/>
      <c r="AC50" s="551"/>
      <c r="AD50" s="551"/>
      <c r="AE50" s="551"/>
      <c r="AG50" s="57"/>
      <c r="AH50" s="57"/>
      <c r="AI50" s="57"/>
      <c r="AJ50" s="57"/>
      <c r="AK50" s="57"/>
      <c r="AL50" s="57"/>
    </row>
    <row r="51" spans="1:38" s="266" customFormat="1" hidden="1">
      <c r="A51" s="11" t="s">
        <v>499</v>
      </c>
      <c r="B51" s="65" t="s">
        <v>31</v>
      </c>
      <c r="C51" s="19"/>
      <c r="D51" s="19"/>
      <c r="E51" s="70"/>
      <c r="F51" s="80"/>
      <c r="G51" s="15">
        <f t="shared" ref="G51:V51" si="23">SUM(G52,G54,G64)</f>
        <v>2836850</v>
      </c>
      <c r="H51" s="15">
        <f t="shared" si="23"/>
        <v>2100389</v>
      </c>
      <c r="I51" s="15">
        <f t="shared" si="23"/>
        <v>252554</v>
      </c>
      <c r="J51" s="15">
        <f t="shared" si="23"/>
        <v>191704</v>
      </c>
      <c r="K51" s="15">
        <f t="shared" si="23"/>
        <v>2588180</v>
      </c>
      <c r="L51" s="15">
        <f t="shared" si="23"/>
        <v>1986125</v>
      </c>
      <c r="M51" s="15">
        <f t="shared" si="23"/>
        <v>0</v>
      </c>
      <c r="N51" s="15">
        <f t="shared" si="23"/>
        <v>804468</v>
      </c>
      <c r="O51" s="15">
        <f t="shared" si="23"/>
        <v>725039</v>
      </c>
      <c r="P51" s="15">
        <f t="shared" si="23"/>
        <v>0</v>
      </c>
      <c r="Q51" s="15">
        <f t="shared" si="23"/>
        <v>620125</v>
      </c>
      <c r="R51" s="15">
        <f t="shared" si="23"/>
        <v>211125</v>
      </c>
      <c r="S51" s="15">
        <f t="shared" si="23"/>
        <v>409000</v>
      </c>
      <c r="T51" s="15">
        <f t="shared" si="23"/>
        <v>579367</v>
      </c>
      <c r="U51" s="15">
        <f t="shared" si="23"/>
        <v>192494</v>
      </c>
      <c r="V51" s="15">
        <f t="shared" si="23"/>
        <v>386873</v>
      </c>
      <c r="W51" s="15"/>
      <c r="X51" s="15"/>
      <c r="Y51" s="15">
        <f>SUM(Y52,Y54,Y64)</f>
        <v>15</v>
      </c>
      <c r="Z51" s="657"/>
      <c r="AA51" s="990"/>
      <c r="AB51" s="811"/>
      <c r="AC51" s="551"/>
      <c r="AD51" s="551"/>
      <c r="AE51" s="551"/>
      <c r="AG51" s="265"/>
      <c r="AH51" s="265"/>
      <c r="AI51" s="265"/>
      <c r="AJ51" s="265"/>
      <c r="AK51" s="265"/>
      <c r="AL51" s="265"/>
    </row>
    <row r="52" spans="1:38" s="54" customFormat="1" hidden="1">
      <c r="A52" s="11" t="s">
        <v>78</v>
      </c>
      <c r="B52" s="65" t="s">
        <v>79</v>
      </c>
      <c r="C52" s="19"/>
      <c r="D52" s="19"/>
      <c r="E52" s="70"/>
      <c r="F52" s="80"/>
      <c r="G52" s="15">
        <f t="shared" ref="G52:V52" si="24">SUM(G53:G53)</f>
        <v>116950</v>
      </c>
      <c r="H52" s="15">
        <f t="shared" si="24"/>
        <v>62705</v>
      </c>
      <c r="I52" s="15">
        <f t="shared" si="24"/>
        <v>92228</v>
      </c>
      <c r="J52" s="15">
        <f t="shared" si="24"/>
        <v>62132</v>
      </c>
      <c r="K52" s="15">
        <f t="shared" si="24"/>
        <v>24722</v>
      </c>
      <c r="L52" s="15">
        <f t="shared" si="24"/>
        <v>15848</v>
      </c>
      <c r="M52" s="15">
        <f t="shared" si="24"/>
        <v>0</v>
      </c>
      <c r="N52" s="15">
        <f t="shared" si="24"/>
        <v>11700</v>
      </c>
      <c r="O52" s="15">
        <f t="shared" si="24"/>
        <v>4125</v>
      </c>
      <c r="P52" s="15">
        <f t="shared" si="24"/>
        <v>0</v>
      </c>
      <c r="Q52" s="846">
        <f t="shared" si="24"/>
        <v>4125</v>
      </c>
      <c r="R52" s="846">
        <f t="shared" si="24"/>
        <v>4125</v>
      </c>
      <c r="S52" s="846">
        <f t="shared" si="24"/>
        <v>0</v>
      </c>
      <c r="T52" s="15">
        <f t="shared" si="24"/>
        <v>4125</v>
      </c>
      <c r="U52" s="15">
        <f t="shared" si="24"/>
        <v>4125</v>
      </c>
      <c r="V52" s="15">
        <f t="shared" si="24"/>
        <v>0</v>
      </c>
      <c r="W52" s="89"/>
      <c r="X52" s="89"/>
      <c r="Y52" s="15">
        <f>SUM(Y53:Y53)</f>
        <v>1</v>
      </c>
      <c r="Z52" s="657"/>
      <c r="AA52" s="990"/>
      <c r="AB52" s="811"/>
      <c r="AC52" s="551"/>
      <c r="AD52" s="551"/>
      <c r="AE52" s="551"/>
      <c r="AG52" s="57"/>
      <c r="AH52" s="57"/>
      <c r="AI52" s="57"/>
      <c r="AJ52" s="57"/>
      <c r="AK52" s="57"/>
      <c r="AL52" s="57"/>
    </row>
    <row r="53" spans="1:38" s="54" customFormat="1" ht="105" hidden="1">
      <c r="A53" s="97" t="s">
        <v>27</v>
      </c>
      <c r="B53" s="179" t="s">
        <v>830</v>
      </c>
      <c r="C53" s="101" t="s">
        <v>43</v>
      </c>
      <c r="D53" s="19" t="s">
        <v>831</v>
      </c>
      <c r="E53" s="70" t="s">
        <v>235</v>
      </c>
      <c r="F53" s="100" t="s">
        <v>832</v>
      </c>
      <c r="G53" s="23">
        <v>116950</v>
      </c>
      <c r="H53" s="226">
        <v>62705</v>
      </c>
      <c r="I53" s="72">
        <v>92228</v>
      </c>
      <c r="J53" s="23">
        <f>50982+11150</f>
        <v>62132</v>
      </c>
      <c r="K53" s="23">
        <f>G53-I53</f>
        <v>24722</v>
      </c>
      <c r="L53" s="23">
        <f>H53-50982+4125</f>
        <v>15848</v>
      </c>
      <c r="M53" s="23"/>
      <c r="N53" s="23">
        <v>11700</v>
      </c>
      <c r="O53" s="23">
        <v>4125</v>
      </c>
      <c r="P53" s="78"/>
      <c r="Q53" s="860">
        <f>SUM(R53:S53)</f>
        <v>4125</v>
      </c>
      <c r="R53" s="860">
        <v>4125</v>
      </c>
      <c r="S53" s="860"/>
      <c r="T53" s="73">
        <f>SUM(U53:V53)</f>
        <v>4125</v>
      </c>
      <c r="U53" s="23">
        <v>4125</v>
      </c>
      <c r="V53" s="23"/>
      <c r="W53" s="80" t="s">
        <v>1545</v>
      </c>
      <c r="X53" s="80"/>
      <c r="Y53" s="23">
        <v>1</v>
      </c>
      <c r="Z53" s="657"/>
      <c r="AA53" s="990"/>
      <c r="AB53" s="811"/>
      <c r="AC53" s="551"/>
      <c r="AD53" s="551"/>
      <c r="AE53" s="551"/>
      <c r="AG53" s="57"/>
      <c r="AH53" s="57"/>
      <c r="AI53" s="57"/>
      <c r="AJ53" s="57"/>
      <c r="AK53" s="57"/>
      <c r="AL53" s="57"/>
    </row>
    <row r="54" spans="1:38" s="54" customFormat="1" ht="28.5" hidden="1">
      <c r="A54" s="11" t="s">
        <v>116</v>
      </c>
      <c r="B54" s="65" t="s">
        <v>117</v>
      </c>
      <c r="C54" s="19"/>
      <c r="D54" s="19"/>
      <c r="E54" s="70"/>
      <c r="F54" s="80"/>
      <c r="G54" s="15">
        <f t="shared" ref="G54:V54" si="25">SUM(G55:G63)</f>
        <v>1028953</v>
      </c>
      <c r="H54" s="15">
        <f t="shared" si="25"/>
        <v>767653</v>
      </c>
      <c r="I54" s="15">
        <f t="shared" si="25"/>
        <v>154866</v>
      </c>
      <c r="J54" s="15">
        <f t="shared" si="25"/>
        <v>124112</v>
      </c>
      <c r="K54" s="15">
        <f t="shared" si="25"/>
        <v>985712</v>
      </c>
      <c r="L54" s="15">
        <f t="shared" si="25"/>
        <v>736760</v>
      </c>
      <c r="M54" s="15">
        <f t="shared" si="25"/>
        <v>0</v>
      </c>
      <c r="N54" s="15">
        <f t="shared" si="25"/>
        <v>256664</v>
      </c>
      <c r="O54" s="15">
        <f t="shared" si="25"/>
        <v>236800</v>
      </c>
      <c r="P54" s="15">
        <f t="shared" si="25"/>
        <v>0</v>
      </c>
      <c r="Q54" s="846">
        <f t="shared" si="25"/>
        <v>242000</v>
      </c>
      <c r="R54" s="846">
        <f t="shared" si="25"/>
        <v>87000</v>
      </c>
      <c r="S54" s="846">
        <f t="shared" si="25"/>
        <v>155000</v>
      </c>
      <c r="T54" s="15">
        <f t="shared" si="25"/>
        <v>216000</v>
      </c>
      <c r="U54" s="15">
        <f t="shared" si="25"/>
        <v>87000</v>
      </c>
      <c r="V54" s="15">
        <f t="shared" si="25"/>
        <v>129000</v>
      </c>
      <c r="W54" s="89"/>
      <c r="X54" s="89"/>
      <c r="Y54" s="15">
        <f>SUM(Y55:Y63)</f>
        <v>9</v>
      </c>
      <c r="Z54" s="657"/>
      <c r="AA54" s="990"/>
      <c r="AB54" s="811"/>
      <c r="AC54" s="551"/>
      <c r="AD54" s="551"/>
      <c r="AE54" s="551"/>
      <c r="AG54" s="57"/>
      <c r="AH54" s="57"/>
      <c r="AI54" s="57"/>
      <c r="AJ54" s="57"/>
      <c r="AK54" s="57"/>
      <c r="AL54" s="57"/>
    </row>
    <row r="55" spans="1:38" s="54" customFormat="1" ht="30" hidden="1">
      <c r="A55" s="97" t="s">
        <v>27</v>
      </c>
      <c r="B55" s="179" t="s">
        <v>854</v>
      </c>
      <c r="C55" s="101" t="s">
        <v>60</v>
      </c>
      <c r="D55" s="297" t="s">
        <v>855</v>
      </c>
      <c r="E55" s="505" t="s">
        <v>856</v>
      </c>
      <c r="F55" s="80" t="s">
        <v>857</v>
      </c>
      <c r="G55" s="72">
        <v>71396</v>
      </c>
      <c r="H55" s="72">
        <v>33160</v>
      </c>
      <c r="I55" s="72">
        <f>4160+18000+J55</f>
        <v>23530</v>
      </c>
      <c r="J55" s="23">
        <f>970+400</f>
        <v>1370</v>
      </c>
      <c r="K55" s="23">
        <f>G55-I55</f>
        <v>47866</v>
      </c>
      <c r="L55" s="23">
        <f>H55-J55</f>
        <v>31790</v>
      </c>
      <c r="M55" s="23"/>
      <c r="N55" s="23">
        <v>27684</v>
      </c>
      <c r="O55" s="23">
        <v>20000</v>
      </c>
      <c r="P55" s="78"/>
      <c r="Q55" s="828">
        <f>SUM(R55:S55)</f>
        <v>10000</v>
      </c>
      <c r="R55" s="860">
        <v>10000</v>
      </c>
      <c r="S55" s="860"/>
      <c r="T55" s="73">
        <f>SUM(U55:V55)</f>
        <v>10000</v>
      </c>
      <c r="U55" s="23">
        <v>10000</v>
      </c>
      <c r="V55" s="23"/>
      <c r="W55" s="80" t="s">
        <v>1545</v>
      </c>
      <c r="X55" s="24"/>
      <c r="Y55" s="23">
        <v>1</v>
      </c>
      <c r="Z55" s="657"/>
      <c r="AA55" s="990"/>
      <c r="AB55" s="811"/>
      <c r="AC55" s="551"/>
      <c r="AD55" s="551"/>
      <c r="AE55" s="551"/>
      <c r="AG55" s="57"/>
      <c r="AH55" s="57"/>
      <c r="AI55" s="57"/>
      <c r="AJ55" s="57"/>
      <c r="AK55" s="57"/>
      <c r="AL55" s="57"/>
    </row>
    <row r="56" spans="1:38" s="54" customFormat="1" ht="30" hidden="1">
      <c r="A56" s="97" t="s">
        <v>41</v>
      </c>
      <c r="B56" s="179" t="s">
        <v>858</v>
      </c>
      <c r="C56" s="101" t="s">
        <v>85</v>
      </c>
      <c r="D56" s="101" t="s">
        <v>859</v>
      </c>
      <c r="E56" s="95" t="s">
        <v>1673</v>
      </c>
      <c r="F56" s="100" t="s">
        <v>861</v>
      </c>
      <c r="G56" s="21">
        <v>83956</v>
      </c>
      <c r="H56" s="226">
        <f>G56</f>
        <v>83956</v>
      </c>
      <c r="I56" s="23">
        <f t="shared" ref="I56:I61" si="26">J56</f>
        <v>43505</v>
      </c>
      <c r="J56" s="23">
        <f>13505+30000</f>
        <v>43505</v>
      </c>
      <c r="K56" s="23">
        <f>L56</f>
        <v>70451</v>
      </c>
      <c r="L56" s="23">
        <f>H56-13505</f>
        <v>70451</v>
      </c>
      <c r="M56" s="23"/>
      <c r="N56" s="23">
        <v>25000</v>
      </c>
      <c r="O56" s="23">
        <v>25000</v>
      </c>
      <c r="P56" s="78"/>
      <c r="Q56" s="828">
        <f>SUM(R56:S56)</f>
        <v>15000</v>
      </c>
      <c r="R56" s="860">
        <v>15000</v>
      </c>
      <c r="S56" s="860"/>
      <c r="T56" s="73">
        <f>SUM(U56:V56)</f>
        <v>15000</v>
      </c>
      <c r="U56" s="23">
        <v>15000</v>
      </c>
      <c r="V56" s="23"/>
      <c r="W56" s="80" t="s">
        <v>1545</v>
      </c>
      <c r="X56" s="24"/>
      <c r="Y56" s="23">
        <v>1</v>
      </c>
      <c r="Z56" s="657"/>
      <c r="AA56" s="990"/>
      <c r="AB56" s="811"/>
      <c r="AC56" s="551"/>
      <c r="AD56" s="551"/>
      <c r="AE56" s="551"/>
      <c r="AG56" s="57"/>
      <c r="AH56" s="57"/>
      <c r="AI56" s="57"/>
      <c r="AJ56" s="57"/>
      <c r="AK56" s="57"/>
      <c r="AL56" s="57"/>
    </row>
    <row r="57" spans="1:38" s="54" customFormat="1" ht="25.5" hidden="1">
      <c r="A57" s="97" t="s">
        <v>58</v>
      </c>
      <c r="B57" s="68" t="s">
        <v>864</v>
      </c>
      <c r="C57" s="19" t="s">
        <v>43</v>
      </c>
      <c r="D57" s="19" t="s">
        <v>865</v>
      </c>
      <c r="E57" s="44" t="s">
        <v>120</v>
      </c>
      <c r="F57" s="80" t="s">
        <v>866</v>
      </c>
      <c r="G57" s="23">
        <v>74513</v>
      </c>
      <c r="H57" s="23">
        <v>74513</v>
      </c>
      <c r="I57" s="23">
        <f t="shared" si="26"/>
        <v>1149</v>
      </c>
      <c r="J57" s="23">
        <f>299+850</f>
        <v>1149</v>
      </c>
      <c r="K57" s="23">
        <f>L57</f>
        <v>74214</v>
      </c>
      <c r="L57" s="23">
        <f>H57-299</f>
        <v>74214</v>
      </c>
      <c r="M57" s="23"/>
      <c r="N57" s="23">
        <v>20000</v>
      </c>
      <c r="O57" s="23">
        <v>20000</v>
      </c>
      <c r="P57" s="78"/>
      <c r="Q57" s="828">
        <v>15000</v>
      </c>
      <c r="R57" s="860">
        <v>15000</v>
      </c>
      <c r="S57" s="860"/>
      <c r="T57" s="73">
        <v>15000</v>
      </c>
      <c r="U57" s="23">
        <v>15000</v>
      </c>
      <c r="V57" s="23"/>
      <c r="W57" s="80" t="s">
        <v>1545</v>
      </c>
      <c r="X57" s="24"/>
      <c r="Y57" s="23">
        <v>1</v>
      </c>
      <c r="Z57" s="657"/>
      <c r="AA57" s="990"/>
      <c r="AB57" s="811"/>
      <c r="AC57" s="551"/>
      <c r="AD57" s="551"/>
      <c r="AE57" s="551"/>
      <c r="AG57" s="57"/>
      <c r="AH57" s="57"/>
      <c r="AI57" s="57"/>
      <c r="AJ57" s="57"/>
      <c r="AK57" s="57"/>
      <c r="AL57" s="57"/>
    </row>
    <row r="58" spans="1:38" s="54" customFormat="1" ht="30" hidden="1">
      <c r="A58" s="97" t="s">
        <v>64</v>
      </c>
      <c r="B58" s="68" t="s">
        <v>867</v>
      </c>
      <c r="C58" s="19" t="s">
        <v>143</v>
      </c>
      <c r="D58" s="19" t="s">
        <v>868</v>
      </c>
      <c r="E58" s="44" t="s">
        <v>120</v>
      </c>
      <c r="F58" s="80" t="s">
        <v>869</v>
      </c>
      <c r="G58" s="23">
        <v>67415</v>
      </c>
      <c r="H58" s="23">
        <v>67415</v>
      </c>
      <c r="I58" s="23">
        <f t="shared" si="26"/>
        <v>700</v>
      </c>
      <c r="J58" s="23">
        <v>700</v>
      </c>
      <c r="K58" s="23">
        <f>L58</f>
        <v>67415</v>
      </c>
      <c r="L58" s="23">
        <f>H58</f>
        <v>67415</v>
      </c>
      <c r="M58" s="23"/>
      <c r="N58" s="23">
        <v>30000</v>
      </c>
      <c r="O58" s="23">
        <v>30000</v>
      </c>
      <c r="P58" s="78"/>
      <c r="Q58" s="828">
        <f t="shared" ref="Q58:Q63" si="27">SUM(R58:S58)</f>
        <v>10000</v>
      </c>
      <c r="R58" s="860">
        <v>10000</v>
      </c>
      <c r="S58" s="860"/>
      <c r="T58" s="73">
        <f t="shared" ref="T58:T63" si="28">SUM(U58:V58)</f>
        <v>10000</v>
      </c>
      <c r="U58" s="23">
        <v>10000</v>
      </c>
      <c r="V58" s="23"/>
      <c r="W58" s="80" t="s">
        <v>1545</v>
      </c>
      <c r="X58" s="24"/>
      <c r="Y58" s="23">
        <v>1</v>
      </c>
      <c r="Z58" s="657"/>
      <c r="AA58" s="990"/>
      <c r="AB58" s="811"/>
      <c r="AC58" s="551"/>
      <c r="AD58" s="551"/>
      <c r="AE58" s="551"/>
      <c r="AG58" s="57"/>
      <c r="AH58" s="57"/>
      <c r="AI58" s="57"/>
      <c r="AJ58" s="57"/>
      <c r="AK58" s="57"/>
      <c r="AL58" s="57"/>
    </row>
    <row r="59" spans="1:38" s="54" customFormat="1" ht="30" hidden="1">
      <c r="A59" s="97" t="s">
        <v>69</v>
      </c>
      <c r="B59" s="93" t="s">
        <v>874</v>
      </c>
      <c r="C59" s="297" t="s">
        <v>85</v>
      </c>
      <c r="D59" s="101" t="s">
        <v>875</v>
      </c>
      <c r="E59" s="312" t="s">
        <v>30</v>
      </c>
      <c r="F59" s="100" t="s">
        <v>877</v>
      </c>
      <c r="G59" s="226">
        <v>16000</v>
      </c>
      <c r="H59" s="226">
        <f>G59</f>
        <v>16000</v>
      </c>
      <c r="I59" s="23">
        <f t="shared" si="26"/>
        <v>680</v>
      </c>
      <c r="J59" s="23">
        <v>680</v>
      </c>
      <c r="K59" s="23">
        <v>16000</v>
      </c>
      <c r="L59" s="23">
        <v>16000</v>
      </c>
      <c r="M59" s="23"/>
      <c r="N59" s="23">
        <v>10000</v>
      </c>
      <c r="O59" s="23">
        <v>10000</v>
      </c>
      <c r="P59" s="78"/>
      <c r="Q59" s="828">
        <f t="shared" si="27"/>
        <v>7000</v>
      </c>
      <c r="R59" s="860">
        <v>7000</v>
      </c>
      <c r="S59" s="860"/>
      <c r="T59" s="73">
        <f t="shared" si="28"/>
        <v>7000</v>
      </c>
      <c r="U59" s="23">
        <v>7000</v>
      </c>
      <c r="V59" s="23"/>
      <c r="W59" s="80" t="s">
        <v>1545</v>
      </c>
      <c r="X59" s="24"/>
      <c r="Y59" s="23">
        <v>1</v>
      </c>
      <c r="Z59" s="657"/>
      <c r="AA59" s="990"/>
      <c r="AB59" s="811"/>
      <c r="AC59" s="551"/>
      <c r="AD59" s="551"/>
      <c r="AE59" s="551"/>
      <c r="AG59" s="57"/>
      <c r="AH59" s="57"/>
      <c r="AI59" s="57"/>
      <c r="AJ59" s="57"/>
      <c r="AK59" s="57"/>
      <c r="AL59" s="57"/>
    </row>
    <row r="60" spans="1:38" s="54" customFormat="1" ht="30" hidden="1">
      <c r="A60" s="97" t="s">
        <v>74</v>
      </c>
      <c r="B60" s="93" t="s">
        <v>878</v>
      </c>
      <c r="C60" s="101" t="s">
        <v>173</v>
      </c>
      <c r="D60" s="101" t="s">
        <v>879</v>
      </c>
      <c r="E60" s="312" t="s">
        <v>30</v>
      </c>
      <c r="F60" s="763" t="s">
        <v>880</v>
      </c>
      <c r="G60" s="764">
        <v>7400</v>
      </c>
      <c r="H60" s="764">
        <f>G60</f>
        <v>7400</v>
      </c>
      <c r="I60" s="23">
        <f t="shared" si="26"/>
        <v>500</v>
      </c>
      <c r="J60" s="23">
        <v>500</v>
      </c>
      <c r="K60" s="23">
        <v>7400</v>
      </c>
      <c r="L60" s="23">
        <v>7400</v>
      </c>
      <c r="M60" s="23"/>
      <c r="N60" s="23">
        <v>3000</v>
      </c>
      <c r="O60" s="23">
        <v>3000</v>
      </c>
      <c r="P60" s="78"/>
      <c r="Q60" s="828">
        <f t="shared" si="27"/>
        <v>2000</v>
      </c>
      <c r="R60" s="860">
        <v>2000</v>
      </c>
      <c r="S60" s="860"/>
      <c r="T60" s="73">
        <f t="shared" si="28"/>
        <v>2000</v>
      </c>
      <c r="U60" s="23">
        <v>2000</v>
      </c>
      <c r="V60" s="23"/>
      <c r="W60" s="80" t="s">
        <v>1545</v>
      </c>
      <c r="X60" s="24"/>
      <c r="Y60" s="23">
        <v>1</v>
      </c>
      <c r="Z60" s="657"/>
      <c r="AA60" s="990"/>
      <c r="AB60" s="811"/>
      <c r="AC60" s="551"/>
      <c r="AD60" s="551"/>
      <c r="AE60" s="551"/>
      <c r="AG60" s="57"/>
      <c r="AH60" s="57"/>
      <c r="AI60" s="57"/>
      <c r="AJ60" s="57"/>
      <c r="AK60" s="57"/>
      <c r="AL60" s="57"/>
    </row>
    <row r="61" spans="1:38" s="54" customFormat="1" ht="45" hidden="1">
      <c r="A61" s="97" t="s">
        <v>141</v>
      </c>
      <c r="B61" s="93" t="s">
        <v>881</v>
      </c>
      <c r="C61" s="297" t="s">
        <v>66</v>
      </c>
      <c r="D61" s="101" t="s">
        <v>882</v>
      </c>
      <c r="E61" s="312" t="s">
        <v>30</v>
      </c>
      <c r="F61" s="100" t="s">
        <v>883</v>
      </c>
      <c r="G61" s="226">
        <f>H61</f>
        <v>6307</v>
      </c>
      <c r="H61" s="226">
        <v>6307</v>
      </c>
      <c r="I61" s="23">
        <f t="shared" si="26"/>
        <v>500</v>
      </c>
      <c r="J61" s="23">
        <v>500</v>
      </c>
      <c r="K61" s="226">
        <v>6307</v>
      </c>
      <c r="L61" s="226">
        <v>6307</v>
      </c>
      <c r="M61" s="23"/>
      <c r="N61" s="23">
        <v>3000</v>
      </c>
      <c r="O61" s="23">
        <v>3000</v>
      </c>
      <c r="P61" s="78"/>
      <c r="Q61" s="828">
        <f t="shared" si="27"/>
        <v>2000</v>
      </c>
      <c r="R61" s="860">
        <v>2000</v>
      </c>
      <c r="S61" s="860"/>
      <c r="T61" s="73">
        <f t="shared" si="28"/>
        <v>2000</v>
      </c>
      <c r="U61" s="23">
        <v>2000</v>
      </c>
      <c r="V61" s="23"/>
      <c r="W61" s="80" t="s">
        <v>1545</v>
      </c>
      <c r="X61" s="24"/>
      <c r="Y61" s="23">
        <v>1</v>
      </c>
      <c r="Z61" s="657"/>
      <c r="AA61" s="990"/>
      <c r="AB61" s="811"/>
      <c r="AC61" s="551"/>
      <c r="AD61" s="551"/>
      <c r="AE61" s="551"/>
      <c r="AG61" s="57"/>
      <c r="AH61" s="57"/>
      <c r="AI61" s="57"/>
      <c r="AJ61" s="57"/>
      <c r="AK61" s="57"/>
      <c r="AL61" s="57"/>
    </row>
    <row r="62" spans="1:38" s="54" customFormat="1" ht="30" hidden="1">
      <c r="A62" s="97" t="s">
        <v>146</v>
      </c>
      <c r="B62" s="286" t="s">
        <v>848</v>
      </c>
      <c r="C62" s="296" t="s">
        <v>222</v>
      </c>
      <c r="D62" s="305"/>
      <c r="E62" s="885"/>
      <c r="F62" s="704"/>
      <c r="G62" s="228">
        <v>66092</v>
      </c>
      <c r="H62" s="228">
        <v>35358</v>
      </c>
      <c r="I62" s="23">
        <v>4302</v>
      </c>
      <c r="J62" s="23">
        <v>4302</v>
      </c>
      <c r="K62" s="23">
        <v>61790</v>
      </c>
      <c r="L62" s="23">
        <v>31056</v>
      </c>
      <c r="M62" s="23">
        <v>0</v>
      </c>
      <c r="N62" s="23">
        <v>11700</v>
      </c>
      <c r="O62" s="23">
        <v>11000</v>
      </c>
      <c r="P62" s="78"/>
      <c r="Q62" s="828">
        <f t="shared" si="27"/>
        <v>16000</v>
      </c>
      <c r="R62" s="860"/>
      <c r="S62" s="860">
        <v>16000</v>
      </c>
      <c r="T62" s="73">
        <f t="shared" si="28"/>
        <v>16000</v>
      </c>
      <c r="U62" s="23"/>
      <c r="V62" s="23">
        <v>16000</v>
      </c>
      <c r="W62" s="80" t="s">
        <v>1548</v>
      </c>
      <c r="X62" s="24"/>
      <c r="Y62" s="23">
        <v>1</v>
      </c>
      <c r="Z62" s="657"/>
      <c r="AA62" s="990"/>
      <c r="AB62" s="811"/>
      <c r="AC62" s="551"/>
      <c r="AD62" s="551"/>
      <c r="AE62" s="551"/>
      <c r="AG62" s="57"/>
      <c r="AH62" s="57"/>
      <c r="AI62" s="57"/>
      <c r="AJ62" s="57"/>
      <c r="AK62" s="57"/>
      <c r="AL62" s="57"/>
    </row>
    <row r="63" spans="1:38" s="54" customFormat="1" ht="51" hidden="1">
      <c r="A63" s="97" t="s">
        <v>179</v>
      </c>
      <c r="B63" s="93" t="s">
        <v>829</v>
      </c>
      <c r="C63" s="297" t="s">
        <v>222</v>
      </c>
      <c r="D63" s="101"/>
      <c r="E63" s="312"/>
      <c r="F63" s="100"/>
      <c r="G63" s="226">
        <v>635874</v>
      </c>
      <c r="H63" s="226">
        <v>443544</v>
      </c>
      <c r="I63" s="23">
        <v>80000</v>
      </c>
      <c r="J63" s="23">
        <v>71406</v>
      </c>
      <c r="K63" s="23">
        <v>634269</v>
      </c>
      <c r="L63" s="23">
        <v>432127</v>
      </c>
      <c r="M63" s="23">
        <v>0</v>
      </c>
      <c r="N63" s="23">
        <v>126280</v>
      </c>
      <c r="O63" s="23">
        <v>114800</v>
      </c>
      <c r="P63" s="78"/>
      <c r="Q63" s="828">
        <f t="shared" si="27"/>
        <v>165000</v>
      </c>
      <c r="R63" s="860">
        <v>26000</v>
      </c>
      <c r="S63" s="860">
        <v>139000</v>
      </c>
      <c r="T63" s="73">
        <f t="shared" si="28"/>
        <v>139000</v>
      </c>
      <c r="U63" s="23">
        <v>26000</v>
      </c>
      <c r="V63" s="23">
        <v>113000</v>
      </c>
      <c r="W63" s="80" t="s">
        <v>1547</v>
      </c>
      <c r="X63" s="24"/>
      <c r="Y63" s="23">
        <v>1</v>
      </c>
      <c r="Z63" s="657"/>
      <c r="AA63" s="990"/>
      <c r="AB63" s="811"/>
      <c r="AC63" s="551"/>
      <c r="AD63" s="551"/>
      <c r="AE63" s="551"/>
      <c r="AG63" s="57"/>
      <c r="AH63" s="57"/>
      <c r="AI63" s="57"/>
      <c r="AJ63" s="57"/>
      <c r="AK63" s="57"/>
      <c r="AL63" s="57"/>
    </row>
    <row r="64" spans="1:38" s="54" customFormat="1" hidden="1">
      <c r="A64" s="11" t="s">
        <v>150</v>
      </c>
      <c r="B64" s="65" t="s">
        <v>151</v>
      </c>
      <c r="C64" s="19"/>
      <c r="D64" s="19"/>
      <c r="E64" s="70"/>
      <c r="F64" s="80"/>
      <c r="G64" s="15">
        <f t="shared" ref="G64:V64" si="29">SUM(G65:G69)</f>
        <v>1690947</v>
      </c>
      <c r="H64" s="15">
        <f t="shared" si="29"/>
        <v>1270031</v>
      </c>
      <c r="I64" s="15">
        <f t="shared" si="29"/>
        <v>5460</v>
      </c>
      <c r="J64" s="15">
        <f t="shared" si="29"/>
        <v>5460</v>
      </c>
      <c r="K64" s="15">
        <f t="shared" si="29"/>
        <v>1577746</v>
      </c>
      <c r="L64" s="15">
        <f t="shared" si="29"/>
        <v>1233517</v>
      </c>
      <c r="M64" s="15">
        <f t="shared" si="29"/>
        <v>0</v>
      </c>
      <c r="N64" s="15">
        <f t="shared" si="29"/>
        <v>536104</v>
      </c>
      <c r="O64" s="15">
        <f t="shared" si="29"/>
        <v>484114</v>
      </c>
      <c r="P64" s="15">
        <f t="shared" si="29"/>
        <v>0</v>
      </c>
      <c r="Q64" s="846">
        <f t="shared" si="29"/>
        <v>374000</v>
      </c>
      <c r="R64" s="846">
        <f t="shared" si="29"/>
        <v>120000</v>
      </c>
      <c r="S64" s="846">
        <f t="shared" si="29"/>
        <v>254000</v>
      </c>
      <c r="T64" s="15">
        <f t="shared" si="29"/>
        <v>359242</v>
      </c>
      <c r="U64" s="15">
        <f t="shared" si="29"/>
        <v>101369</v>
      </c>
      <c r="V64" s="15">
        <f t="shared" si="29"/>
        <v>257873</v>
      </c>
      <c r="W64" s="89"/>
      <c r="X64" s="89"/>
      <c r="Y64" s="15">
        <f>SUM(Y65:Y69)</f>
        <v>5</v>
      </c>
      <c r="Z64" s="657"/>
      <c r="AA64" s="990"/>
      <c r="AB64" s="811"/>
      <c r="AC64" s="551"/>
      <c r="AD64" s="551"/>
      <c r="AE64" s="551"/>
      <c r="AG64" s="57"/>
      <c r="AH64" s="57"/>
      <c r="AI64" s="57"/>
      <c r="AJ64" s="57"/>
      <c r="AK64" s="57"/>
      <c r="AL64" s="57"/>
    </row>
    <row r="65" spans="1:38" s="54" customFormat="1" ht="105" hidden="1">
      <c r="A65" s="97" t="s">
        <v>27</v>
      </c>
      <c r="B65" s="93" t="s">
        <v>884</v>
      </c>
      <c r="C65" s="297" t="s">
        <v>29</v>
      </c>
      <c r="D65" s="101" t="s">
        <v>885</v>
      </c>
      <c r="E65" s="312" t="s">
        <v>355</v>
      </c>
      <c r="F65" s="100" t="s">
        <v>886</v>
      </c>
      <c r="G65" s="226">
        <v>104310</v>
      </c>
      <c r="H65" s="226">
        <v>104310</v>
      </c>
      <c r="I65" s="23">
        <v>750</v>
      </c>
      <c r="J65" s="23">
        <v>750</v>
      </c>
      <c r="K65" s="23">
        <v>104310</v>
      </c>
      <c r="L65" s="23">
        <v>104310</v>
      </c>
      <c r="M65" s="23"/>
      <c r="N65" s="23">
        <v>30000</v>
      </c>
      <c r="O65" s="23">
        <v>30000</v>
      </c>
      <c r="P65" s="78"/>
      <c r="Q65" s="828">
        <f>SUM(R65:S65)</f>
        <v>20000</v>
      </c>
      <c r="R65" s="860">
        <v>20000</v>
      </c>
      <c r="S65" s="860"/>
      <c r="T65" s="73">
        <f>SUM(U65:V65)</f>
        <v>20000</v>
      </c>
      <c r="U65" s="23">
        <v>20000</v>
      </c>
      <c r="V65" s="23"/>
      <c r="W65" s="80" t="s">
        <v>1549</v>
      </c>
      <c r="X65" s="24"/>
      <c r="Y65" s="23">
        <v>1</v>
      </c>
      <c r="Z65" s="657"/>
      <c r="AA65" s="990"/>
      <c r="AB65" s="811"/>
      <c r="AC65" s="551"/>
      <c r="AD65" s="551"/>
      <c r="AE65" s="551"/>
      <c r="AG65" s="57"/>
      <c r="AH65" s="57"/>
      <c r="AI65" s="57"/>
      <c r="AJ65" s="57"/>
      <c r="AK65" s="57"/>
      <c r="AL65" s="57"/>
    </row>
    <row r="66" spans="1:38" s="54" customFormat="1" ht="45" hidden="1">
      <c r="A66" s="97" t="s">
        <v>41</v>
      </c>
      <c r="B66" s="68" t="s">
        <v>887</v>
      </c>
      <c r="C66" s="19" t="s">
        <v>5</v>
      </c>
      <c r="D66" s="19" t="s">
        <v>888</v>
      </c>
      <c r="E66" s="312" t="s">
        <v>120</v>
      </c>
      <c r="F66" s="80" t="s">
        <v>889</v>
      </c>
      <c r="G66" s="23">
        <f>H66</f>
        <v>81155</v>
      </c>
      <c r="H66" s="23">
        <v>81155</v>
      </c>
      <c r="I66" s="23">
        <f>J66</f>
        <v>127</v>
      </c>
      <c r="J66" s="23">
        <v>127</v>
      </c>
      <c r="K66" s="23">
        <f>L66</f>
        <v>81155</v>
      </c>
      <c r="L66" s="23">
        <v>81155</v>
      </c>
      <c r="M66" s="23"/>
      <c r="N66" s="23">
        <v>18405</v>
      </c>
      <c r="O66" s="23">
        <v>18405</v>
      </c>
      <c r="P66" s="78"/>
      <c r="Q66" s="828">
        <f>SUM(R66:S66)</f>
        <v>16000</v>
      </c>
      <c r="R66" s="860">
        <v>16000</v>
      </c>
      <c r="S66" s="860"/>
      <c r="T66" s="73">
        <f>SUM(U66:V66)</f>
        <v>16000</v>
      </c>
      <c r="U66" s="23">
        <v>16000</v>
      </c>
      <c r="V66" s="23"/>
      <c r="W66" s="80" t="s">
        <v>1545</v>
      </c>
      <c r="X66" s="80"/>
      <c r="Y66" s="23">
        <v>1</v>
      </c>
      <c r="Z66" s="657"/>
      <c r="AA66" s="990"/>
      <c r="AB66" s="811"/>
      <c r="AC66" s="551"/>
      <c r="AD66" s="551"/>
      <c r="AE66" s="551"/>
      <c r="AG66" s="57"/>
      <c r="AH66" s="57"/>
      <c r="AI66" s="57"/>
      <c r="AJ66" s="57"/>
      <c r="AK66" s="57"/>
      <c r="AL66" s="57"/>
    </row>
    <row r="67" spans="1:38" s="54" customFormat="1" ht="45" hidden="1">
      <c r="A67" s="97" t="s">
        <v>58</v>
      </c>
      <c r="B67" s="68" t="s">
        <v>890</v>
      </c>
      <c r="C67" s="19" t="s">
        <v>5</v>
      </c>
      <c r="D67" s="19" t="s">
        <v>891</v>
      </c>
      <c r="E67" s="312" t="s">
        <v>489</v>
      </c>
      <c r="F67" s="80" t="s">
        <v>892</v>
      </c>
      <c r="G67" s="23">
        <f>H67</f>
        <v>16628</v>
      </c>
      <c r="H67" s="23">
        <v>16628</v>
      </c>
      <c r="I67" s="23">
        <f>J67</f>
        <v>32</v>
      </c>
      <c r="J67" s="23">
        <v>32</v>
      </c>
      <c r="K67" s="23">
        <v>16628</v>
      </c>
      <c r="L67" s="23">
        <v>16628</v>
      </c>
      <c r="M67" s="23">
        <v>0</v>
      </c>
      <c r="N67" s="23">
        <v>4809</v>
      </c>
      <c r="O67" s="23">
        <v>4809</v>
      </c>
      <c r="P67" s="78"/>
      <c r="Q67" s="828">
        <v>4000</v>
      </c>
      <c r="R67" s="828">
        <v>4000</v>
      </c>
      <c r="S67" s="860"/>
      <c r="T67" s="73">
        <v>4000</v>
      </c>
      <c r="U67" s="73">
        <v>4000</v>
      </c>
      <c r="V67" s="23"/>
      <c r="W67" s="80" t="s">
        <v>1545</v>
      </c>
      <c r="X67" s="100"/>
      <c r="Y67" s="23">
        <v>1</v>
      </c>
      <c r="Z67" s="657"/>
      <c r="AA67" s="990"/>
      <c r="AB67" s="811"/>
      <c r="AC67" s="551"/>
      <c r="AD67" s="551"/>
      <c r="AE67" s="551"/>
      <c r="AG67" s="57"/>
      <c r="AH67" s="57"/>
      <c r="AI67" s="57"/>
      <c r="AJ67" s="57"/>
      <c r="AK67" s="57"/>
      <c r="AL67" s="57"/>
    </row>
    <row r="68" spans="1:38" s="54" customFormat="1" ht="30" hidden="1">
      <c r="A68" s="97" t="s">
        <v>64</v>
      </c>
      <c r="B68" s="286" t="s">
        <v>848</v>
      </c>
      <c r="C68" s="296" t="s">
        <v>222</v>
      </c>
      <c r="D68" s="305"/>
      <c r="E68" s="885"/>
      <c r="F68" s="704"/>
      <c r="G68" s="228">
        <v>236823</v>
      </c>
      <c r="H68" s="228">
        <v>188151</v>
      </c>
      <c r="I68" s="23">
        <v>1380</v>
      </c>
      <c r="J68" s="23">
        <v>1380</v>
      </c>
      <c r="K68" s="23">
        <v>225653</v>
      </c>
      <c r="L68" s="23">
        <v>181424</v>
      </c>
      <c r="M68" s="23">
        <v>0</v>
      </c>
      <c r="N68" s="23">
        <v>55100</v>
      </c>
      <c r="O68" s="23">
        <v>42000</v>
      </c>
      <c r="P68" s="78"/>
      <c r="Q68" s="828">
        <f>SUM(R68:S68)</f>
        <v>54000</v>
      </c>
      <c r="R68" s="828"/>
      <c r="S68" s="860">
        <v>54000</v>
      </c>
      <c r="T68" s="73">
        <f>SUM(U68:V68)</f>
        <v>54000</v>
      </c>
      <c r="U68" s="73"/>
      <c r="V68" s="23">
        <v>54000</v>
      </c>
      <c r="W68" s="80" t="s">
        <v>1548</v>
      </c>
      <c r="X68" s="24"/>
      <c r="Y68" s="23">
        <v>1</v>
      </c>
      <c r="Z68" s="657">
        <f>T68+T62</f>
        <v>70000</v>
      </c>
      <c r="AA68" s="990"/>
      <c r="AB68" s="811"/>
      <c r="AC68" s="551"/>
      <c r="AD68" s="551"/>
      <c r="AE68" s="551"/>
      <c r="AG68" s="57"/>
      <c r="AH68" s="57"/>
      <c r="AI68" s="57"/>
      <c r="AJ68" s="57"/>
      <c r="AK68" s="57"/>
      <c r="AL68" s="57"/>
    </row>
    <row r="69" spans="1:38" s="54" customFormat="1" ht="33" hidden="1" customHeight="1">
      <c r="A69" s="97" t="s">
        <v>69</v>
      </c>
      <c r="B69" s="68" t="s">
        <v>829</v>
      </c>
      <c r="C69" s="19"/>
      <c r="D69" s="19"/>
      <c r="E69" s="70"/>
      <c r="F69" s="80"/>
      <c r="G69" s="23">
        <v>1252031</v>
      </c>
      <c r="H69" s="23">
        <v>879787</v>
      </c>
      <c r="I69" s="223">
        <v>3171</v>
      </c>
      <c r="J69" s="223">
        <v>3171</v>
      </c>
      <c r="K69" s="23">
        <v>1150000</v>
      </c>
      <c r="L69" s="23">
        <v>850000</v>
      </c>
      <c r="M69" s="23"/>
      <c r="N69" s="23">
        <v>427790</v>
      </c>
      <c r="O69" s="23">
        <v>388900</v>
      </c>
      <c r="P69" s="78"/>
      <c r="Q69" s="828">
        <f>SUM(R69:S69)</f>
        <v>280000</v>
      </c>
      <c r="R69" s="828">
        <v>80000</v>
      </c>
      <c r="S69" s="860">
        <v>200000</v>
      </c>
      <c r="T69" s="73">
        <f>SUM(U69:V69)</f>
        <v>265242</v>
      </c>
      <c r="U69" s="73">
        <v>61369</v>
      </c>
      <c r="V69" s="23">
        <v>203873</v>
      </c>
      <c r="W69" s="80" t="s">
        <v>1547</v>
      </c>
      <c r="X69" s="100"/>
      <c r="Y69" s="23">
        <v>1</v>
      </c>
      <c r="Z69" s="657">
        <f>T69+T63</f>
        <v>404242</v>
      </c>
      <c r="AA69" s="990"/>
      <c r="AB69" s="811"/>
      <c r="AC69" s="551"/>
      <c r="AD69" s="551"/>
      <c r="AE69" s="551"/>
      <c r="AG69" s="57"/>
      <c r="AH69" s="57"/>
      <c r="AI69" s="57"/>
      <c r="AJ69" s="57"/>
      <c r="AK69" s="57"/>
      <c r="AL69" s="57"/>
    </row>
    <row r="70" spans="1:38" s="633" customFormat="1" ht="33" customHeight="1">
      <c r="A70" s="630" t="s">
        <v>556</v>
      </c>
      <c r="B70" s="618" t="s">
        <v>1146</v>
      </c>
      <c r="C70" s="625"/>
      <c r="D70" s="625"/>
      <c r="E70" s="626"/>
      <c r="F70" s="690"/>
      <c r="G70" s="636">
        <f t="shared" ref="G70:V70" si="30">G71+G88</f>
        <v>1886529</v>
      </c>
      <c r="H70" s="636">
        <f t="shared" si="30"/>
        <v>1367251</v>
      </c>
      <c r="I70" s="636">
        <f t="shared" si="30"/>
        <v>431762</v>
      </c>
      <c r="J70" s="636">
        <f t="shared" si="30"/>
        <v>264928</v>
      </c>
      <c r="K70" s="636">
        <f t="shared" si="30"/>
        <v>1511591.7200000002</v>
      </c>
      <c r="L70" s="636">
        <f t="shared" si="30"/>
        <v>1175637.7</v>
      </c>
      <c r="M70" s="636">
        <f t="shared" si="30"/>
        <v>0</v>
      </c>
      <c r="N70" s="636">
        <f t="shared" si="30"/>
        <v>585721</v>
      </c>
      <c r="O70" s="636">
        <f t="shared" si="30"/>
        <v>265418</v>
      </c>
      <c r="P70" s="636">
        <f t="shared" si="30"/>
        <v>0</v>
      </c>
      <c r="Q70" s="855">
        <f t="shared" si="30"/>
        <v>202505</v>
      </c>
      <c r="R70" s="855">
        <f t="shared" si="30"/>
        <v>19186</v>
      </c>
      <c r="S70" s="855">
        <f t="shared" si="30"/>
        <v>183319</v>
      </c>
      <c r="T70" s="636">
        <f t="shared" si="30"/>
        <v>202505</v>
      </c>
      <c r="U70" s="636">
        <f t="shared" si="30"/>
        <v>0</v>
      </c>
      <c r="V70" s="636">
        <f t="shared" si="30"/>
        <v>202505</v>
      </c>
      <c r="W70" s="690"/>
      <c r="X70" s="690"/>
      <c r="Y70" s="636">
        <f>Y71+Y88</f>
        <v>56</v>
      </c>
      <c r="Z70" s="664">
        <f>V70/1177000*100</f>
        <v>17.205182667799491</v>
      </c>
      <c r="AA70" s="990"/>
      <c r="AB70" s="811"/>
      <c r="AC70" s="628"/>
      <c r="AD70" s="628"/>
      <c r="AE70" s="628"/>
      <c r="AG70" s="629"/>
      <c r="AH70" s="629"/>
      <c r="AI70" s="629"/>
      <c r="AJ70" s="629"/>
      <c r="AK70" s="629"/>
      <c r="AL70" s="629"/>
    </row>
    <row r="71" spans="1:38" s="266" customFormat="1" hidden="1">
      <c r="A71" s="64" t="s">
        <v>525</v>
      </c>
      <c r="B71" s="65" t="s">
        <v>26</v>
      </c>
      <c r="C71" s="635"/>
      <c r="D71" s="635"/>
      <c r="E71" s="44"/>
      <c r="F71" s="1012"/>
      <c r="G71" s="45">
        <f t="shared" ref="G71:V71" si="31">SUM(G72:G87)</f>
        <v>560496</v>
      </c>
      <c r="H71" s="45">
        <f t="shared" si="31"/>
        <v>493896</v>
      </c>
      <c r="I71" s="45">
        <f t="shared" si="31"/>
        <v>0</v>
      </c>
      <c r="J71" s="45">
        <f t="shared" si="31"/>
        <v>0</v>
      </c>
      <c r="K71" s="45">
        <f t="shared" si="31"/>
        <v>563034</v>
      </c>
      <c r="L71" s="45">
        <f t="shared" si="31"/>
        <v>496431</v>
      </c>
      <c r="M71" s="45">
        <f t="shared" si="31"/>
        <v>0</v>
      </c>
      <c r="N71" s="45">
        <f t="shared" si="31"/>
        <v>6086</v>
      </c>
      <c r="O71" s="45">
        <f t="shared" si="31"/>
        <v>6086</v>
      </c>
      <c r="P71" s="45">
        <f t="shared" si="31"/>
        <v>0</v>
      </c>
      <c r="Q71" s="827">
        <f t="shared" si="31"/>
        <v>5086</v>
      </c>
      <c r="R71" s="827">
        <f t="shared" si="31"/>
        <v>3386</v>
      </c>
      <c r="S71" s="827">
        <f t="shared" si="31"/>
        <v>1700</v>
      </c>
      <c r="T71" s="45">
        <f t="shared" si="31"/>
        <v>5086</v>
      </c>
      <c r="U71" s="45">
        <f t="shared" si="31"/>
        <v>0</v>
      </c>
      <c r="V71" s="45">
        <f t="shared" si="31"/>
        <v>5086</v>
      </c>
      <c r="W71" s="352"/>
      <c r="X71" s="352"/>
      <c r="Y71" s="45">
        <f>SUM(Y72:Y87)</f>
        <v>16</v>
      </c>
      <c r="Z71" s="657"/>
      <c r="AA71" s="990"/>
      <c r="AB71" s="811"/>
      <c r="AC71" s="551"/>
      <c r="AD71" s="551"/>
      <c r="AE71" s="551"/>
      <c r="AG71" s="265"/>
      <c r="AH71" s="265"/>
      <c r="AI71" s="265"/>
      <c r="AJ71" s="265"/>
      <c r="AK71" s="265"/>
      <c r="AL71" s="265"/>
    </row>
    <row r="72" spans="1:38" s="54" customFormat="1" ht="40.5" hidden="1" customHeight="1">
      <c r="A72" s="190" t="s">
        <v>27</v>
      </c>
      <c r="B72" s="287" t="s">
        <v>894</v>
      </c>
      <c r="C72" s="19" t="s">
        <v>66</v>
      </c>
      <c r="D72" s="635"/>
      <c r="E72" s="44"/>
      <c r="F72" s="80" t="s">
        <v>895</v>
      </c>
      <c r="G72" s="223">
        <v>24740</v>
      </c>
      <c r="H72" s="223">
        <v>24740</v>
      </c>
      <c r="I72" s="72"/>
      <c r="J72" s="72"/>
      <c r="K72" s="72">
        <v>24740</v>
      </c>
      <c r="L72" s="72">
        <v>24740</v>
      </c>
      <c r="M72" s="72"/>
      <c r="N72" s="72">
        <v>886</v>
      </c>
      <c r="O72" s="72">
        <v>886</v>
      </c>
      <c r="P72" s="78"/>
      <c r="Q72" s="123">
        <f t="shared" ref="Q72:Q77" si="32">SUM(R72:S72)</f>
        <v>886</v>
      </c>
      <c r="R72" s="123">
        <v>886</v>
      </c>
      <c r="S72" s="123"/>
      <c r="T72" s="73">
        <f t="shared" ref="T72:T87" si="33">SUM(U72:V72)</f>
        <v>886</v>
      </c>
      <c r="U72" s="72"/>
      <c r="V72" s="72">
        <v>886</v>
      </c>
      <c r="W72" s="1012" t="s">
        <v>1550</v>
      </c>
      <c r="X72" s="1012"/>
      <c r="Y72" s="72">
        <v>1</v>
      </c>
      <c r="Z72" s="657"/>
      <c r="AA72" s="990"/>
      <c r="AB72" s="811"/>
      <c r="AC72" s="551"/>
      <c r="AD72" s="551"/>
      <c r="AE72" s="551"/>
      <c r="AG72" s="57"/>
      <c r="AH72" s="57"/>
      <c r="AI72" s="57"/>
      <c r="AJ72" s="57"/>
      <c r="AK72" s="57"/>
      <c r="AL72" s="57"/>
    </row>
    <row r="73" spans="1:38" s="54" customFormat="1" hidden="1">
      <c r="A73" s="190" t="s">
        <v>41</v>
      </c>
      <c r="B73" s="287" t="s">
        <v>917</v>
      </c>
      <c r="C73" s="19" t="s">
        <v>29</v>
      </c>
      <c r="D73" s="635" t="s">
        <v>918</v>
      </c>
      <c r="E73" s="44" t="s">
        <v>120</v>
      </c>
      <c r="F73" s="1012"/>
      <c r="G73" s="72">
        <v>178812</v>
      </c>
      <c r="H73" s="72">
        <v>112212</v>
      </c>
      <c r="I73" s="72"/>
      <c r="J73" s="72"/>
      <c r="K73" s="72">
        <v>178812</v>
      </c>
      <c r="L73" s="72">
        <v>112212</v>
      </c>
      <c r="M73" s="72"/>
      <c r="N73" s="72">
        <v>2000</v>
      </c>
      <c r="O73" s="72">
        <v>2000</v>
      </c>
      <c r="P73" s="78"/>
      <c r="Q73" s="123">
        <f t="shared" si="32"/>
        <v>1000</v>
      </c>
      <c r="R73" s="123">
        <v>1000</v>
      </c>
      <c r="S73" s="123"/>
      <c r="T73" s="73">
        <f t="shared" si="33"/>
        <v>1000</v>
      </c>
      <c r="U73" s="72"/>
      <c r="V73" s="72">
        <v>1000</v>
      </c>
      <c r="W73" s="1012" t="s">
        <v>1550</v>
      </c>
      <c r="X73" s="80"/>
      <c r="Y73" s="72">
        <v>1</v>
      </c>
      <c r="Z73" s="657"/>
      <c r="AA73" s="990"/>
      <c r="AB73" s="811"/>
      <c r="AC73" s="551"/>
      <c r="AD73" s="551"/>
      <c r="AE73" s="551"/>
      <c r="AG73" s="57"/>
      <c r="AH73" s="57"/>
      <c r="AI73" s="57"/>
      <c r="AJ73" s="57"/>
      <c r="AK73" s="57"/>
      <c r="AL73" s="57"/>
    </row>
    <row r="74" spans="1:38" s="54" customFormat="1" ht="90" hidden="1">
      <c r="A74" s="190" t="s">
        <v>58</v>
      </c>
      <c r="B74" s="287" t="s">
        <v>920</v>
      </c>
      <c r="C74" s="19" t="s">
        <v>29</v>
      </c>
      <c r="D74" s="635" t="s">
        <v>921</v>
      </c>
      <c r="E74" s="44" t="s">
        <v>154</v>
      </c>
      <c r="F74" s="706"/>
      <c r="G74" s="72">
        <v>19000</v>
      </c>
      <c r="H74" s="72">
        <v>19000</v>
      </c>
      <c r="I74" s="72"/>
      <c r="J74" s="72"/>
      <c r="K74" s="72">
        <v>19000</v>
      </c>
      <c r="L74" s="72">
        <v>19000</v>
      </c>
      <c r="M74" s="72"/>
      <c r="N74" s="72">
        <v>300</v>
      </c>
      <c r="O74" s="72">
        <v>300</v>
      </c>
      <c r="P74" s="78"/>
      <c r="Q74" s="123">
        <f t="shared" si="32"/>
        <v>300</v>
      </c>
      <c r="R74" s="123"/>
      <c r="S74" s="123">
        <v>300</v>
      </c>
      <c r="T74" s="73">
        <f t="shared" si="33"/>
        <v>300</v>
      </c>
      <c r="U74" s="72"/>
      <c r="V74" s="72">
        <v>300</v>
      </c>
      <c r="W74" s="1012" t="s">
        <v>1550</v>
      </c>
      <c r="X74" s="1012" t="s">
        <v>1113</v>
      </c>
      <c r="Y74" s="72">
        <v>1</v>
      </c>
      <c r="Z74" s="657"/>
      <c r="AA74" s="990"/>
      <c r="AB74" s="811"/>
      <c r="AC74" s="551"/>
      <c r="AD74" s="551"/>
      <c r="AE74" s="551"/>
      <c r="AG74" s="57"/>
      <c r="AH74" s="57"/>
      <c r="AI74" s="57"/>
      <c r="AJ74" s="57"/>
      <c r="AK74" s="57"/>
      <c r="AL74" s="57"/>
    </row>
    <row r="75" spans="1:38" s="54" customFormat="1" ht="105" hidden="1">
      <c r="A75" s="190" t="s">
        <v>64</v>
      </c>
      <c r="B75" s="287" t="s">
        <v>922</v>
      </c>
      <c r="C75" s="19" t="s">
        <v>29</v>
      </c>
      <c r="D75" s="635" t="s">
        <v>923</v>
      </c>
      <c r="E75" s="44" t="s">
        <v>355</v>
      </c>
      <c r="F75" s="707"/>
      <c r="G75" s="72">
        <v>265048</v>
      </c>
      <c r="H75" s="72">
        <v>265048</v>
      </c>
      <c r="I75" s="72"/>
      <c r="J75" s="72"/>
      <c r="K75" s="72">
        <v>265048</v>
      </c>
      <c r="L75" s="72">
        <v>265048</v>
      </c>
      <c r="M75" s="72"/>
      <c r="N75" s="72">
        <v>1000</v>
      </c>
      <c r="O75" s="72">
        <v>1000</v>
      </c>
      <c r="P75" s="78"/>
      <c r="Q75" s="123">
        <f t="shared" si="32"/>
        <v>1000</v>
      </c>
      <c r="R75" s="123"/>
      <c r="S75" s="123">
        <v>1000</v>
      </c>
      <c r="T75" s="73">
        <f t="shared" si="33"/>
        <v>1000</v>
      </c>
      <c r="U75" s="72"/>
      <c r="V75" s="72">
        <v>1000</v>
      </c>
      <c r="W75" s="1012" t="s">
        <v>1550</v>
      </c>
      <c r="X75" s="1012" t="s">
        <v>1114</v>
      </c>
      <c r="Y75" s="72">
        <v>1</v>
      </c>
      <c r="Z75" s="657"/>
      <c r="AA75" s="990"/>
      <c r="AB75" s="811"/>
      <c r="AC75" s="551"/>
      <c r="AD75" s="551"/>
      <c r="AE75" s="551"/>
      <c r="AG75" s="57"/>
      <c r="AH75" s="57"/>
      <c r="AI75" s="57"/>
      <c r="AJ75" s="57"/>
      <c r="AK75" s="57"/>
      <c r="AL75" s="57"/>
    </row>
    <row r="76" spans="1:38" s="54" customFormat="1" ht="51" hidden="1">
      <c r="A76" s="190" t="s">
        <v>69</v>
      </c>
      <c r="B76" s="288" t="s">
        <v>898</v>
      </c>
      <c r="C76" s="19" t="s">
        <v>29</v>
      </c>
      <c r="D76" s="19" t="s">
        <v>899</v>
      </c>
      <c r="E76" s="70" t="s">
        <v>120</v>
      </c>
      <c r="F76" s="706"/>
      <c r="G76" s="72">
        <v>6414</v>
      </c>
      <c r="H76" s="72">
        <v>6414</v>
      </c>
      <c r="I76" s="72"/>
      <c r="J76" s="72"/>
      <c r="K76" s="72">
        <v>6414</v>
      </c>
      <c r="L76" s="72">
        <v>6414</v>
      </c>
      <c r="M76" s="72"/>
      <c r="N76" s="72">
        <v>200</v>
      </c>
      <c r="O76" s="72">
        <v>200</v>
      </c>
      <c r="P76" s="78"/>
      <c r="Q76" s="123">
        <f t="shared" si="32"/>
        <v>200</v>
      </c>
      <c r="R76" s="123"/>
      <c r="S76" s="123">
        <v>200</v>
      </c>
      <c r="T76" s="73">
        <f t="shared" si="33"/>
        <v>200</v>
      </c>
      <c r="U76" s="72"/>
      <c r="V76" s="72">
        <v>200</v>
      </c>
      <c r="W76" s="1012" t="s">
        <v>1527</v>
      </c>
      <c r="X76" s="80" t="s">
        <v>1105</v>
      </c>
      <c r="Y76" s="72">
        <v>1</v>
      </c>
      <c r="Z76" s="657"/>
      <c r="AA76" s="990"/>
      <c r="AB76" s="811"/>
      <c r="AC76" s="551"/>
      <c r="AD76" s="551"/>
      <c r="AE76" s="551"/>
      <c r="AG76" s="57"/>
      <c r="AH76" s="57"/>
      <c r="AI76" s="57"/>
      <c r="AJ76" s="57"/>
      <c r="AK76" s="57"/>
      <c r="AL76" s="57"/>
    </row>
    <row r="77" spans="1:38" s="54" customFormat="1" ht="51" hidden="1">
      <c r="A77" s="190" t="s">
        <v>74</v>
      </c>
      <c r="B77" s="288" t="s">
        <v>900</v>
      </c>
      <c r="C77" s="19" t="s">
        <v>85</v>
      </c>
      <c r="D77" s="19" t="s">
        <v>901</v>
      </c>
      <c r="E77" s="44" t="s">
        <v>163</v>
      </c>
      <c r="F77" s="80"/>
      <c r="G77" s="72">
        <v>6133</v>
      </c>
      <c r="H77" s="72">
        <v>6133</v>
      </c>
      <c r="I77" s="72"/>
      <c r="J77" s="72"/>
      <c r="K77" s="72">
        <v>6133</v>
      </c>
      <c r="L77" s="72">
        <v>6133</v>
      </c>
      <c r="M77" s="72"/>
      <c r="N77" s="72">
        <v>200</v>
      </c>
      <c r="O77" s="72">
        <v>200</v>
      </c>
      <c r="P77" s="78"/>
      <c r="Q77" s="123">
        <f t="shared" si="32"/>
        <v>200</v>
      </c>
      <c r="R77" s="123"/>
      <c r="S77" s="123">
        <v>200</v>
      </c>
      <c r="T77" s="73">
        <f t="shared" si="33"/>
        <v>200</v>
      </c>
      <c r="U77" s="72"/>
      <c r="V77" s="72">
        <v>200</v>
      </c>
      <c r="W77" s="1012" t="s">
        <v>1525</v>
      </c>
      <c r="X77" s="80" t="s">
        <v>1106</v>
      </c>
      <c r="Y77" s="72">
        <v>1</v>
      </c>
      <c r="Z77" s="657"/>
      <c r="AA77" s="990"/>
      <c r="AB77" s="811"/>
      <c r="AC77" s="551"/>
      <c r="AD77" s="551"/>
      <c r="AE77" s="551"/>
      <c r="AG77" s="57"/>
      <c r="AH77" s="57"/>
      <c r="AI77" s="57"/>
      <c r="AJ77" s="57"/>
      <c r="AK77" s="57"/>
      <c r="AL77" s="57"/>
    </row>
    <row r="78" spans="1:38" s="54" customFormat="1" ht="51" hidden="1">
      <c r="A78" s="190" t="s">
        <v>141</v>
      </c>
      <c r="B78" s="288" t="s">
        <v>905</v>
      </c>
      <c r="C78" s="19" t="s">
        <v>143</v>
      </c>
      <c r="D78" s="19" t="s">
        <v>906</v>
      </c>
      <c r="E78" s="70" t="s">
        <v>355</v>
      </c>
      <c r="F78" s="706"/>
      <c r="G78" s="72">
        <v>6249</v>
      </c>
      <c r="H78" s="72">
        <v>6249</v>
      </c>
      <c r="I78" s="72"/>
      <c r="J78" s="72"/>
      <c r="K78" s="72">
        <v>6249</v>
      </c>
      <c r="L78" s="72">
        <v>6249</v>
      </c>
      <c r="M78" s="72"/>
      <c r="N78" s="72">
        <v>200</v>
      </c>
      <c r="O78" s="72">
        <v>200</v>
      </c>
      <c r="P78" s="78"/>
      <c r="Q78" s="123">
        <v>200</v>
      </c>
      <c r="R78" s="123">
        <v>200</v>
      </c>
      <c r="S78" s="123"/>
      <c r="T78" s="73">
        <f t="shared" si="33"/>
        <v>200</v>
      </c>
      <c r="U78" s="72"/>
      <c r="V78" s="72">
        <v>200</v>
      </c>
      <c r="W78" s="1012" t="s">
        <v>1518</v>
      </c>
      <c r="X78" s="80" t="s">
        <v>1109</v>
      </c>
      <c r="Y78" s="72">
        <v>1</v>
      </c>
      <c r="Z78" s="657"/>
      <c r="AA78" s="990"/>
      <c r="AB78" s="811"/>
      <c r="AC78" s="551"/>
      <c r="AD78" s="551"/>
      <c r="AE78" s="551"/>
      <c r="AG78" s="57"/>
      <c r="AH78" s="57"/>
      <c r="AI78" s="57"/>
      <c r="AJ78" s="57"/>
      <c r="AK78" s="57"/>
      <c r="AL78" s="57"/>
    </row>
    <row r="79" spans="1:38" s="54" customFormat="1" ht="30" hidden="1">
      <c r="A79" s="190" t="s">
        <v>146</v>
      </c>
      <c r="B79" s="288" t="s">
        <v>907</v>
      </c>
      <c r="C79" s="19" t="s">
        <v>143</v>
      </c>
      <c r="D79" s="19" t="s">
        <v>1676</v>
      </c>
      <c r="E79" s="70" t="s">
        <v>355</v>
      </c>
      <c r="F79" s="80"/>
      <c r="G79" s="72">
        <v>3459</v>
      </c>
      <c r="H79" s="72">
        <v>3459</v>
      </c>
      <c r="I79" s="72"/>
      <c r="J79" s="72"/>
      <c r="K79" s="72">
        <v>3459</v>
      </c>
      <c r="L79" s="72">
        <v>3459</v>
      </c>
      <c r="M79" s="72"/>
      <c r="N79" s="72">
        <v>50</v>
      </c>
      <c r="O79" s="72">
        <v>50</v>
      </c>
      <c r="P79" s="78"/>
      <c r="Q79" s="123">
        <f t="shared" ref="Q79:Q87" si="34">SUM(R79:S79)</f>
        <v>50</v>
      </c>
      <c r="R79" s="123">
        <v>50</v>
      </c>
      <c r="S79" s="123"/>
      <c r="T79" s="73">
        <f t="shared" si="33"/>
        <v>50</v>
      </c>
      <c r="U79" s="72"/>
      <c r="V79" s="72">
        <v>50</v>
      </c>
      <c r="W79" s="1012" t="s">
        <v>1518</v>
      </c>
      <c r="X79" s="80" t="s">
        <v>1582</v>
      </c>
      <c r="Y79" s="72">
        <v>1</v>
      </c>
      <c r="Z79" s="657"/>
      <c r="AA79" s="990"/>
      <c r="AB79" s="811"/>
      <c r="AC79" s="551"/>
      <c r="AD79" s="551"/>
      <c r="AE79" s="551"/>
      <c r="AG79" s="57"/>
      <c r="AH79" s="57"/>
      <c r="AI79" s="57"/>
      <c r="AJ79" s="57"/>
      <c r="AK79" s="57"/>
      <c r="AL79" s="57"/>
    </row>
    <row r="80" spans="1:38" s="54" customFormat="1" ht="30" hidden="1">
      <c r="A80" s="190" t="s">
        <v>179</v>
      </c>
      <c r="B80" s="288" t="s">
        <v>1675</v>
      </c>
      <c r="C80" s="19" t="s">
        <v>143</v>
      </c>
      <c r="D80" s="19" t="s">
        <v>1676</v>
      </c>
      <c r="E80" s="70" t="s">
        <v>355</v>
      </c>
      <c r="F80" s="80"/>
      <c r="G80" s="72">
        <v>2990</v>
      </c>
      <c r="H80" s="72">
        <v>2990</v>
      </c>
      <c r="I80" s="72"/>
      <c r="J80" s="72"/>
      <c r="K80" s="72">
        <v>2990</v>
      </c>
      <c r="L80" s="72">
        <v>2990</v>
      </c>
      <c r="M80" s="72"/>
      <c r="N80" s="72">
        <v>50</v>
      </c>
      <c r="O80" s="72">
        <v>50</v>
      </c>
      <c r="P80" s="78"/>
      <c r="Q80" s="123">
        <f t="shared" si="34"/>
        <v>50</v>
      </c>
      <c r="R80" s="123">
        <v>50</v>
      </c>
      <c r="S80" s="123"/>
      <c r="T80" s="73">
        <f t="shared" si="33"/>
        <v>50</v>
      </c>
      <c r="U80" s="72"/>
      <c r="V80" s="72">
        <v>50</v>
      </c>
      <c r="W80" s="1012" t="s">
        <v>1518</v>
      </c>
      <c r="X80" s="80" t="s">
        <v>1582</v>
      </c>
      <c r="Y80" s="72">
        <v>1</v>
      </c>
      <c r="Z80" s="657"/>
      <c r="AA80" s="990"/>
      <c r="AB80" s="811"/>
      <c r="AC80" s="551"/>
      <c r="AD80" s="551"/>
      <c r="AE80" s="551"/>
      <c r="AG80" s="57"/>
      <c r="AH80" s="57"/>
      <c r="AI80" s="57"/>
      <c r="AJ80" s="57"/>
      <c r="AK80" s="57"/>
      <c r="AL80" s="57"/>
    </row>
    <row r="81" spans="1:38" s="54" customFormat="1" ht="51" hidden="1">
      <c r="A81" s="190" t="s">
        <v>182</v>
      </c>
      <c r="B81" s="287" t="s">
        <v>896</v>
      </c>
      <c r="C81" s="19" t="s">
        <v>173</v>
      </c>
      <c r="D81" s="19" t="s">
        <v>913</v>
      </c>
      <c r="E81" s="44" t="s">
        <v>163</v>
      </c>
      <c r="F81" s="1012"/>
      <c r="G81" s="72">
        <v>8242</v>
      </c>
      <c r="H81" s="72">
        <v>8242</v>
      </c>
      <c r="I81" s="72"/>
      <c r="J81" s="72"/>
      <c r="K81" s="72">
        <v>8212</v>
      </c>
      <c r="L81" s="72">
        <v>8212</v>
      </c>
      <c r="M81" s="72"/>
      <c r="N81" s="72">
        <v>200</v>
      </c>
      <c r="O81" s="72">
        <v>200</v>
      </c>
      <c r="P81" s="78"/>
      <c r="Q81" s="123">
        <f t="shared" si="34"/>
        <v>200</v>
      </c>
      <c r="R81" s="123">
        <v>200</v>
      </c>
      <c r="S81" s="123"/>
      <c r="T81" s="73">
        <f t="shared" si="33"/>
        <v>200</v>
      </c>
      <c r="U81" s="72"/>
      <c r="V81" s="72">
        <v>200</v>
      </c>
      <c r="W81" s="1012" t="s">
        <v>1551</v>
      </c>
      <c r="X81" s="80" t="s">
        <v>1104</v>
      </c>
      <c r="Y81" s="72">
        <v>1</v>
      </c>
      <c r="Z81" s="657"/>
      <c r="AA81" s="990"/>
      <c r="AB81" s="811"/>
      <c r="AC81" s="551"/>
      <c r="AD81" s="551"/>
      <c r="AE81" s="551"/>
      <c r="AG81" s="57"/>
      <c r="AH81" s="57"/>
      <c r="AI81" s="57"/>
      <c r="AJ81" s="57"/>
      <c r="AK81" s="57"/>
      <c r="AL81" s="57"/>
    </row>
    <row r="82" spans="1:38" s="54" customFormat="1" ht="38.25" hidden="1">
      <c r="A82" s="190" t="s">
        <v>187</v>
      </c>
      <c r="B82" s="288" t="s">
        <v>902</v>
      </c>
      <c r="C82" s="19" t="s">
        <v>112</v>
      </c>
      <c r="D82" s="19"/>
      <c r="E82" s="70" t="s">
        <v>163</v>
      </c>
      <c r="F82" s="706"/>
      <c r="G82" s="72">
        <v>6640</v>
      </c>
      <c r="H82" s="72">
        <v>6640</v>
      </c>
      <c r="I82" s="72"/>
      <c r="J82" s="72"/>
      <c r="K82" s="72">
        <v>6640</v>
      </c>
      <c r="L82" s="72">
        <v>6640</v>
      </c>
      <c r="M82" s="72"/>
      <c r="N82" s="72">
        <v>200</v>
      </c>
      <c r="O82" s="72">
        <v>200</v>
      </c>
      <c r="P82" s="78"/>
      <c r="Q82" s="123">
        <f t="shared" si="34"/>
        <v>200</v>
      </c>
      <c r="R82" s="123">
        <v>200</v>
      </c>
      <c r="S82" s="123"/>
      <c r="T82" s="73">
        <f t="shared" si="33"/>
        <v>200</v>
      </c>
      <c r="U82" s="72"/>
      <c r="V82" s="72">
        <v>200</v>
      </c>
      <c r="W82" s="1012" t="s">
        <v>1551</v>
      </c>
      <c r="X82" s="80" t="s">
        <v>1107</v>
      </c>
      <c r="Y82" s="72">
        <v>1</v>
      </c>
      <c r="Z82" s="657"/>
      <c r="AA82" s="990"/>
      <c r="AB82" s="811"/>
      <c r="AC82" s="551"/>
      <c r="AD82" s="551"/>
      <c r="AE82" s="551"/>
      <c r="AG82" s="57"/>
      <c r="AH82" s="57"/>
      <c r="AI82" s="57"/>
      <c r="AJ82" s="57"/>
      <c r="AK82" s="57"/>
      <c r="AL82" s="57"/>
    </row>
    <row r="83" spans="1:38" s="54" customFormat="1" ht="75" hidden="1">
      <c r="A83" s="190" t="s">
        <v>191</v>
      </c>
      <c r="B83" s="288" t="s">
        <v>903</v>
      </c>
      <c r="C83" s="19" t="s">
        <v>260</v>
      </c>
      <c r="D83" s="19" t="s">
        <v>904</v>
      </c>
      <c r="E83" s="70" t="s">
        <v>163</v>
      </c>
      <c r="F83" s="706"/>
      <c r="G83" s="72">
        <v>5806</v>
      </c>
      <c r="H83" s="72">
        <v>5806</v>
      </c>
      <c r="I83" s="72"/>
      <c r="J83" s="72"/>
      <c r="K83" s="72">
        <v>5806</v>
      </c>
      <c r="L83" s="72">
        <v>5806</v>
      </c>
      <c r="M83" s="72"/>
      <c r="N83" s="72">
        <v>150</v>
      </c>
      <c r="O83" s="72">
        <v>150</v>
      </c>
      <c r="P83" s="78"/>
      <c r="Q83" s="123">
        <f t="shared" si="34"/>
        <v>150</v>
      </c>
      <c r="R83" s="123">
        <v>150</v>
      </c>
      <c r="S83" s="123"/>
      <c r="T83" s="73">
        <f t="shared" si="33"/>
        <v>150</v>
      </c>
      <c r="U83" s="72"/>
      <c r="V83" s="72">
        <v>150</v>
      </c>
      <c r="W83" s="1012" t="s">
        <v>1551</v>
      </c>
      <c r="X83" s="80" t="s">
        <v>1108</v>
      </c>
      <c r="Y83" s="72">
        <v>1</v>
      </c>
      <c r="Z83" s="657"/>
      <c r="AA83" s="990"/>
      <c r="AB83" s="811"/>
      <c r="AC83" s="551"/>
      <c r="AD83" s="551"/>
      <c r="AE83" s="551"/>
      <c r="AG83" s="57"/>
      <c r="AH83" s="57"/>
      <c r="AI83" s="57"/>
      <c r="AJ83" s="57"/>
      <c r="AK83" s="57"/>
      <c r="AL83" s="57"/>
    </row>
    <row r="84" spans="1:38" s="54" customFormat="1" ht="51" hidden="1">
      <c r="A84" s="190" t="s">
        <v>195</v>
      </c>
      <c r="B84" s="288" t="s">
        <v>908</v>
      </c>
      <c r="C84" s="19" t="s">
        <v>71</v>
      </c>
      <c r="D84" s="19" t="s">
        <v>909</v>
      </c>
      <c r="E84" s="70" t="s">
        <v>154</v>
      </c>
      <c r="F84" s="706"/>
      <c r="G84" s="72">
        <v>5839</v>
      </c>
      <c r="H84" s="72">
        <v>5839</v>
      </c>
      <c r="I84" s="72"/>
      <c r="J84" s="72"/>
      <c r="K84" s="72">
        <v>5839</v>
      </c>
      <c r="L84" s="72">
        <v>5839</v>
      </c>
      <c r="M84" s="72"/>
      <c r="N84" s="72">
        <v>150</v>
      </c>
      <c r="O84" s="72">
        <v>150</v>
      </c>
      <c r="P84" s="78"/>
      <c r="Q84" s="123">
        <f t="shared" si="34"/>
        <v>150</v>
      </c>
      <c r="R84" s="123">
        <v>150</v>
      </c>
      <c r="S84" s="123"/>
      <c r="T84" s="73">
        <f t="shared" si="33"/>
        <v>150</v>
      </c>
      <c r="U84" s="72"/>
      <c r="V84" s="72">
        <v>150</v>
      </c>
      <c r="W84" s="1012" t="s">
        <v>1516</v>
      </c>
      <c r="X84" s="80" t="s">
        <v>1110</v>
      </c>
      <c r="Y84" s="72">
        <v>1</v>
      </c>
      <c r="Z84" s="657"/>
      <c r="AA84" s="990"/>
      <c r="AB84" s="811"/>
      <c r="AC84" s="551"/>
      <c r="AD84" s="551"/>
      <c r="AE84" s="551"/>
      <c r="AG84" s="57"/>
      <c r="AH84" s="57"/>
      <c r="AI84" s="57"/>
      <c r="AJ84" s="57"/>
      <c r="AK84" s="57"/>
      <c r="AL84" s="57"/>
    </row>
    <row r="85" spans="1:38" s="54" customFormat="1" ht="51" hidden="1">
      <c r="A85" s="190" t="s">
        <v>590</v>
      </c>
      <c r="B85" s="288" t="s">
        <v>910</v>
      </c>
      <c r="C85" s="19" t="s">
        <v>71</v>
      </c>
      <c r="D85" s="19" t="s">
        <v>911</v>
      </c>
      <c r="E85" s="70" t="s">
        <v>154</v>
      </c>
      <c r="F85" s="706"/>
      <c r="G85" s="72">
        <v>6838</v>
      </c>
      <c r="H85" s="72">
        <v>6838</v>
      </c>
      <c r="I85" s="72"/>
      <c r="J85" s="72"/>
      <c r="K85" s="72">
        <v>6838</v>
      </c>
      <c r="L85" s="72">
        <v>6838</v>
      </c>
      <c r="M85" s="72"/>
      <c r="N85" s="72">
        <v>200</v>
      </c>
      <c r="O85" s="72">
        <v>200</v>
      </c>
      <c r="P85" s="78"/>
      <c r="Q85" s="123">
        <f t="shared" si="34"/>
        <v>200</v>
      </c>
      <c r="R85" s="123">
        <v>200</v>
      </c>
      <c r="S85" s="123"/>
      <c r="T85" s="73">
        <f t="shared" si="33"/>
        <v>200</v>
      </c>
      <c r="U85" s="72"/>
      <c r="V85" s="72">
        <v>200</v>
      </c>
      <c r="W85" s="1012" t="s">
        <v>1516</v>
      </c>
      <c r="X85" s="80" t="s">
        <v>1110</v>
      </c>
      <c r="Y85" s="72">
        <v>1</v>
      </c>
      <c r="Z85" s="657"/>
      <c r="AA85" s="990"/>
      <c r="AB85" s="811"/>
      <c r="AC85" s="551"/>
      <c r="AD85" s="551"/>
      <c r="AE85" s="551"/>
      <c r="AG85" s="57"/>
      <c r="AH85" s="57"/>
      <c r="AI85" s="57"/>
      <c r="AJ85" s="57"/>
      <c r="AK85" s="57"/>
      <c r="AL85" s="57"/>
    </row>
    <row r="86" spans="1:38" s="54" customFormat="1" hidden="1">
      <c r="A86" s="190" t="s">
        <v>591</v>
      </c>
      <c r="B86" s="287" t="s">
        <v>897</v>
      </c>
      <c r="C86" s="19" t="s">
        <v>60</v>
      </c>
      <c r="D86" s="635"/>
      <c r="E86" s="44"/>
      <c r="F86" s="1012"/>
      <c r="G86" s="72">
        <v>6000</v>
      </c>
      <c r="H86" s="72">
        <v>6000</v>
      </c>
      <c r="I86" s="72"/>
      <c r="J86" s="72"/>
      <c r="K86" s="72">
        <v>8568</v>
      </c>
      <c r="L86" s="72">
        <v>8565</v>
      </c>
      <c r="M86" s="72"/>
      <c r="N86" s="72">
        <v>100</v>
      </c>
      <c r="O86" s="72">
        <v>100</v>
      </c>
      <c r="P86" s="78"/>
      <c r="Q86" s="123">
        <f t="shared" si="34"/>
        <v>100</v>
      </c>
      <c r="R86" s="123">
        <v>100</v>
      </c>
      <c r="S86" s="123"/>
      <c r="T86" s="73">
        <f t="shared" si="33"/>
        <v>100</v>
      </c>
      <c r="U86" s="72"/>
      <c r="V86" s="72">
        <v>100</v>
      </c>
      <c r="W86" s="513" t="s">
        <v>1517</v>
      </c>
      <c r="X86" s="80" t="s">
        <v>1582</v>
      </c>
      <c r="Y86" s="72">
        <v>1</v>
      </c>
      <c r="Z86" s="657"/>
      <c r="AA86" s="990"/>
      <c r="AB86" s="811"/>
      <c r="AC86" s="551"/>
      <c r="AD86" s="551"/>
      <c r="AE86" s="551"/>
      <c r="AG86" s="57"/>
      <c r="AH86" s="57"/>
      <c r="AI86" s="57"/>
      <c r="AJ86" s="57"/>
      <c r="AK86" s="57"/>
      <c r="AL86" s="57"/>
    </row>
    <row r="87" spans="1:38" s="54" customFormat="1" ht="51" hidden="1">
      <c r="A87" s="190" t="s">
        <v>916</v>
      </c>
      <c r="B87" s="288" t="s">
        <v>912</v>
      </c>
      <c r="C87" s="19" t="s">
        <v>60</v>
      </c>
      <c r="D87" s="19" t="s">
        <v>913</v>
      </c>
      <c r="E87" s="70" t="s">
        <v>154</v>
      </c>
      <c r="F87" s="706"/>
      <c r="G87" s="72">
        <v>8286</v>
      </c>
      <c r="H87" s="72">
        <v>8286</v>
      </c>
      <c r="I87" s="72"/>
      <c r="J87" s="72"/>
      <c r="K87" s="72">
        <v>8286</v>
      </c>
      <c r="L87" s="72">
        <v>8286</v>
      </c>
      <c r="M87" s="72"/>
      <c r="N87" s="72">
        <v>200</v>
      </c>
      <c r="O87" s="72">
        <v>200</v>
      </c>
      <c r="P87" s="78"/>
      <c r="Q87" s="123">
        <f t="shared" si="34"/>
        <v>200</v>
      </c>
      <c r="R87" s="123">
        <v>200</v>
      </c>
      <c r="S87" s="123"/>
      <c r="T87" s="73">
        <f t="shared" si="33"/>
        <v>200</v>
      </c>
      <c r="U87" s="72"/>
      <c r="V87" s="72">
        <v>200</v>
      </c>
      <c r="W87" s="513" t="s">
        <v>1517</v>
      </c>
      <c r="X87" s="80" t="s">
        <v>1111</v>
      </c>
      <c r="Y87" s="72">
        <v>1</v>
      </c>
      <c r="Z87" s="657"/>
      <c r="AA87" s="990"/>
      <c r="AB87" s="811"/>
      <c r="AC87" s="551"/>
      <c r="AD87" s="551"/>
      <c r="AE87" s="551"/>
      <c r="AG87" s="57"/>
      <c r="AH87" s="57"/>
      <c r="AI87" s="57"/>
      <c r="AJ87" s="57"/>
      <c r="AK87" s="57"/>
      <c r="AL87" s="57"/>
    </row>
    <row r="88" spans="1:38" s="266" customFormat="1" hidden="1">
      <c r="A88" s="11" t="s">
        <v>499</v>
      </c>
      <c r="B88" s="65" t="s">
        <v>31</v>
      </c>
      <c r="C88" s="13"/>
      <c r="D88" s="13"/>
      <c r="E88" s="14"/>
      <c r="F88" s="89"/>
      <c r="G88" s="15">
        <f t="shared" ref="G88:V88" si="35">SUM(G89,G98,G105)</f>
        <v>1326033</v>
      </c>
      <c r="H88" s="15">
        <f t="shared" si="35"/>
        <v>873355</v>
      </c>
      <c r="I88" s="15">
        <f t="shared" si="35"/>
        <v>431762</v>
      </c>
      <c r="J88" s="15">
        <f t="shared" si="35"/>
        <v>264928</v>
      </c>
      <c r="K88" s="15">
        <f t="shared" si="35"/>
        <v>948557.72000000009</v>
      </c>
      <c r="L88" s="15">
        <f t="shared" si="35"/>
        <v>679206.7</v>
      </c>
      <c r="M88" s="15">
        <f t="shared" si="35"/>
        <v>0</v>
      </c>
      <c r="N88" s="15">
        <f t="shared" si="35"/>
        <v>579635</v>
      </c>
      <c r="O88" s="15">
        <f t="shared" si="35"/>
        <v>259332</v>
      </c>
      <c r="P88" s="15">
        <f t="shared" si="35"/>
        <v>0</v>
      </c>
      <c r="Q88" s="846">
        <f t="shared" si="35"/>
        <v>197419</v>
      </c>
      <c r="R88" s="846">
        <f t="shared" si="35"/>
        <v>15800</v>
      </c>
      <c r="S88" s="846">
        <f t="shared" si="35"/>
        <v>181619</v>
      </c>
      <c r="T88" s="15">
        <f t="shared" si="35"/>
        <v>197419</v>
      </c>
      <c r="U88" s="15">
        <f t="shared" si="35"/>
        <v>0</v>
      </c>
      <c r="V88" s="15">
        <f t="shared" si="35"/>
        <v>197419</v>
      </c>
      <c r="W88" s="89"/>
      <c r="X88" s="89"/>
      <c r="Y88" s="15">
        <f>SUM(Y89,Y98,Y105)</f>
        <v>40</v>
      </c>
      <c r="Z88" s="657"/>
      <c r="AA88" s="990"/>
      <c r="AB88" s="811"/>
      <c r="AC88" s="551"/>
      <c r="AD88" s="551"/>
      <c r="AE88" s="551"/>
      <c r="AG88" s="265"/>
      <c r="AH88" s="265"/>
      <c r="AI88" s="265"/>
      <c r="AJ88" s="265"/>
      <c r="AK88" s="265"/>
      <c r="AL88" s="265"/>
    </row>
    <row r="89" spans="1:38" s="54" customFormat="1" hidden="1">
      <c r="A89" s="11" t="s">
        <v>78</v>
      </c>
      <c r="B89" s="65" t="s">
        <v>79</v>
      </c>
      <c r="C89" s="19"/>
      <c r="D89" s="19"/>
      <c r="E89" s="70"/>
      <c r="F89" s="80"/>
      <c r="G89" s="15">
        <f t="shared" ref="G89:V89" si="36">SUM(G90:G97)</f>
        <v>480921</v>
      </c>
      <c r="H89" s="15">
        <f t="shared" si="36"/>
        <v>352833</v>
      </c>
      <c r="I89" s="15">
        <f t="shared" si="36"/>
        <v>365760</v>
      </c>
      <c r="J89" s="15">
        <f t="shared" si="36"/>
        <v>237926</v>
      </c>
      <c r="K89" s="15">
        <f t="shared" si="36"/>
        <v>171020</v>
      </c>
      <c r="L89" s="15">
        <f t="shared" si="36"/>
        <v>171020</v>
      </c>
      <c r="M89" s="15">
        <f t="shared" si="36"/>
        <v>0</v>
      </c>
      <c r="N89" s="15">
        <f t="shared" si="36"/>
        <v>40300</v>
      </c>
      <c r="O89" s="15">
        <f t="shared" si="36"/>
        <v>40300</v>
      </c>
      <c r="P89" s="15">
        <f t="shared" si="36"/>
        <v>0</v>
      </c>
      <c r="Q89" s="846">
        <f t="shared" si="36"/>
        <v>39400</v>
      </c>
      <c r="R89" s="846">
        <f t="shared" si="36"/>
        <v>0</v>
      </c>
      <c r="S89" s="846">
        <f t="shared" si="36"/>
        <v>39400</v>
      </c>
      <c r="T89" s="15">
        <f t="shared" si="36"/>
        <v>39400</v>
      </c>
      <c r="U89" s="15">
        <f t="shared" si="36"/>
        <v>0</v>
      </c>
      <c r="V89" s="15">
        <f t="shared" si="36"/>
        <v>39400</v>
      </c>
      <c r="W89" s="89"/>
      <c r="X89" s="89"/>
      <c r="Y89" s="15">
        <f>SUM(Y90:Y97)</f>
        <v>8</v>
      </c>
      <c r="Z89" s="657"/>
      <c r="AA89" s="990"/>
      <c r="AB89" s="811"/>
      <c r="AC89" s="551"/>
      <c r="AD89" s="551"/>
      <c r="AE89" s="551"/>
      <c r="AG89" s="57"/>
      <c r="AH89" s="57"/>
      <c r="AI89" s="57"/>
      <c r="AJ89" s="57"/>
      <c r="AK89" s="57"/>
      <c r="AL89" s="57"/>
    </row>
    <row r="90" spans="1:38" s="54" customFormat="1" ht="25.5" hidden="1">
      <c r="A90" s="97" t="s">
        <v>27</v>
      </c>
      <c r="B90" s="289" t="s">
        <v>952</v>
      </c>
      <c r="C90" s="19" t="s">
        <v>43</v>
      </c>
      <c r="D90" s="19" t="s">
        <v>953</v>
      </c>
      <c r="E90" s="70" t="s">
        <v>82</v>
      </c>
      <c r="F90" s="100" t="s">
        <v>954</v>
      </c>
      <c r="G90" s="22">
        <v>375073</v>
      </c>
      <c r="H90" s="22">
        <f>+G90-108435</f>
        <v>266638</v>
      </c>
      <c r="I90" s="22">
        <f>271207+33161</f>
        <v>304368</v>
      </c>
      <c r="J90" s="22">
        <f>162773+33161</f>
        <v>195934</v>
      </c>
      <c r="K90" s="22">
        <v>103865</v>
      </c>
      <c r="L90" s="22">
        <f>H90-162773</f>
        <v>103865</v>
      </c>
      <c r="M90" s="22">
        <v>0</v>
      </c>
      <c r="N90" s="22">
        <v>16000</v>
      </c>
      <c r="O90" s="22">
        <v>16000</v>
      </c>
      <c r="P90" s="78"/>
      <c r="Q90" s="828">
        <f t="shared" ref="Q90:Q97" si="37">SUM(R90:S90)</f>
        <v>16000</v>
      </c>
      <c r="R90" s="853"/>
      <c r="S90" s="853">
        <v>16000</v>
      </c>
      <c r="T90" s="73">
        <f t="shared" ref="T90:T97" si="38">SUM(U90:V90)</f>
        <v>16000</v>
      </c>
      <c r="U90" s="22"/>
      <c r="V90" s="22">
        <v>16000</v>
      </c>
      <c r="W90" s="1012" t="s">
        <v>1550</v>
      </c>
      <c r="X90" s="24" t="s">
        <v>1677</v>
      </c>
      <c r="Y90" s="22">
        <v>1</v>
      </c>
      <c r="Z90" s="657"/>
      <c r="AA90" s="990"/>
      <c r="AB90" s="811"/>
      <c r="AC90" s="551"/>
      <c r="AD90" s="551"/>
      <c r="AE90" s="551"/>
      <c r="AG90" s="57"/>
      <c r="AH90" s="57"/>
      <c r="AI90" s="57"/>
      <c r="AJ90" s="57"/>
      <c r="AK90" s="57"/>
      <c r="AL90" s="57"/>
    </row>
    <row r="91" spans="1:38" s="54" customFormat="1" ht="30" hidden="1">
      <c r="A91" s="97" t="s">
        <v>41</v>
      </c>
      <c r="B91" s="289" t="s">
        <v>955</v>
      </c>
      <c r="C91" s="19" t="s">
        <v>29</v>
      </c>
      <c r="D91" s="19" t="s">
        <v>929</v>
      </c>
      <c r="E91" s="70" t="s">
        <v>30</v>
      </c>
      <c r="F91" s="100" t="s">
        <v>956</v>
      </c>
      <c r="G91" s="22">
        <v>35299</v>
      </c>
      <c r="H91" s="22">
        <v>35299</v>
      </c>
      <c r="I91" s="22">
        <v>25000</v>
      </c>
      <c r="J91" s="22">
        <v>25000</v>
      </c>
      <c r="K91" s="22">
        <v>35299</v>
      </c>
      <c r="L91" s="22">
        <v>35299</v>
      </c>
      <c r="M91" s="22"/>
      <c r="N91" s="22">
        <v>10300</v>
      </c>
      <c r="O91" s="22">
        <v>10300</v>
      </c>
      <c r="P91" s="78"/>
      <c r="Q91" s="828">
        <f t="shared" si="37"/>
        <v>10000</v>
      </c>
      <c r="R91" s="853"/>
      <c r="S91" s="853">
        <v>10000</v>
      </c>
      <c r="T91" s="73">
        <f t="shared" si="38"/>
        <v>10000</v>
      </c>
      <c r="U91" s="22"/>
      <c r="V91" s="22">
        <v>10000</v>
      </c>
      <c r="W91" s="1012" t="s">
        <v>1550</v>
      </c>
      <c r="X91" s="24" t="s">
        <v>1677</v>
      </c>
      <c r="Y91" s="22">
        <v>1</v>
      </c>
      <c r="Z91" s="657"/>
      <c r="AA91" s="990"/>
      <c r="AB91" s="811"/>
      <c r="AC91" s="551"/>
      <c r="AD91" s="551"/>
      <c r="AE91" s="551"/>
      <c r="AG91" s="57"/>
      <c r="AH91" s="57"/>
      <c r="AI91" s="57"/>
      <c r="AJ91" s="57"/>
      <c r="AK91" s="57"/>
      <c r="AL91" s="57"/>
    </row>
    <row r="92" spans="1:38" s="54" customFormat="1" ht="30" hidden="1">
      <c r="A92" s="97" t="s">
        <v>58</v>
      </c>
      <c r="B92" s="289" t="s">
        <v>957</v>
      </c>
      <c r="C92" s="19" t="s">
        <v>143</v>
      </c>
      <c r="D92" s="19" t="s">
        <v>958</v>
      </c>
      <c r="E92" s="44" t="s">
        <v>411</v>
      </c>
      <c r="F92" s="100" t="s">
        <v>959</v>
      </c>
      <c r="G92" s="22">
        <v>43690</v>
      </c>
      <c r="H92" s="22">
        <v>24037</v>
      </c>
      <c r="I92" s="77">
        <f>99+1795+19400</f>
        <v>21294</v>
      </c>
      <c r="J92" s="77">
        <f>99+1795</f>
        <v>1894</v>
      </c>
      <c r="K92" s="22">
        <v>5595</v>
      </c>
      <c r="L92" s="22">
        <f>1795+3800</f>
        <v>5595</v>
      </c>
      <c r="M92" s="22"/>
      <c r="N92" s="22">
        <v>3800</v>
      </c>
      <c r="O92" s="22">
        <v>3800</v>
      </c>
      <c r="P92" s="78"/>
      <c r="Q92" s="853">
        <f t="shared" si="37"/>
        <v>3800</v>
      </c>
      <c r="R92" s="853"/>
      <c r="S92" s="853">
        <v>3800</v>
      </c>
      <c r="T92" s="73">
        <f t="shared" si="38"/>
        <v>3800</v>
      </c>
      <c r="U92" s="22"/>
      <c r="V92" s="22">
        <v>3800</v>
      </c>
      <c r="W92" s="1012" t="s">
        <v>1550</v>
      </c>
      <c r="X92" s="24" t="s">
        <v>1677</v>
      </c>
      <c r="Y92" s="22">
        <v>1</v>
      </c>
      <c r="Z92" s="657"/>
      <c r="AA92" s="990"/>
      <c r="AB92" s="811"/>
      <c r="AC92" s="551"/>
      <c r="AD92" s="551"/>
      <c r="AE92" s="551"/>
      <c r="AG92" s="57"/>
      <c r="AH92" s="57"/>
      <c r="AI92" s="57"/>
      <c r="AJ92" s="57"/>
      <c r="AK92" s="57"/>
      <c r="AL92" s="57"/>
    </row>
    <row r="93" spans="1:38" s="54" customFormat="1" ht="30" hidden="1">
      <c r="A93" s="97" t="s">
        <v>64</v>
      </c>
      <c r="B93" s="289" t="s">
        <v>960</v>
      </c>
      <c r="C93" s="19" t="s">
        <v>85</v>
      </c>
      <c r="D93" s="19" t="s">
        <v>961</v>
      </c>
      <c r="E93" s="70" t="s">
        <v>30</v>
      </c>
      <c r="F93" s="100" t="s">
        <v>962</v>
      </c>
      <c r="G93" s="22">
        <v>5337</v>
      </c>
      <c r="H93" s="22">
        <v>5337</v>
      </c>
      <c r="I93" s="22">
        <v>3604</v>
      </c>
      <c r="J93" s="22">
        <v>3604</v>
      </c>
      <c r="K93" s="22">
        <f>5337-104</f>
        <v>5233</v>
      </c>
      <c r="L93" s="22">
        <f>H93-104</f>
        <v>5233</v>
      </c>
      <c r="M93" s="22"/>
      <c r="N93" s="22">
        <v>1200</v>
      </c>
      <c r="O93" s="22">
        <v>1200</v>
      </c>
      <c r="P93" s="78"/>
      <c r="Q93" s="853">
        <f t="shared" si="37"/>
        <v>1200</v>
      </c>
      <c r="R93" s="853"/>
      <c r="S93" s="853">
        <v>1200</v>
      </c>
      <c r="T93" s="73">
        <f t="shared" si="38"/>
        <v>1200</v>
      </c>
      <c r="U93" s="22"/>
      <c r="V93" s="22">
        <v>1200</v>
      </c>
      <c r="W93" s="691" t="s">
        <v>1525</v>
      </c>
      <c r="X93" s="24"/>
      <c r="Y93" s="22">
        <v>1</v>
      </c>
      <c r="Z93" s="657"/>
      <c r="AA93" s="990"/>
      <c r="AB93" s="811"/>
      <c r="AC93" s="551"/>
      <c r="AD93" s="551"/>
      <c r="AE93" s="551"/>
      <c r="AG93" s="57"/>
      <c r="AH93" s="57"/>
      <c r="AI93" s="57"/>
      <c r="AJ93" s="57"/>
      <c r="AK93" s="57"/>
      <c r="AL93" s="57"/>
    </row>
    <row r="94" spans="1:38" s="54" customFormat="1" ht="45" hidden="1">
      <c r="A94" s="97" t="s">
        <v>69</v>
      </c>
      <c r="B94" s="68" t="s">
        <v>963</v>
      </c>
      <c r="C94" s="19" t="s">
        <v>260</v>
      </c>
      <c r="D94" s="19" t="s">
        <v>964</v>
      </c>
      <c r="E94" s="70" t="s">
        <v>30</v>
      </c>
      <c r="F94" s="80" t="s">
        <v>965</v>
      </c>
      <c r="G94" s="23">
        <v>4830</v>
      </c>
      <c r="H94" s="23">
        <v>4830</v>
      </c>
      <c r="I94" s="23">
        <v>3000</v>
      </c>
      <c r="J94" s="23">
        <v>3000</v>
      </c>
      <c r="K94" s="23">
        <v>4830</v>
      </c>
      <c r="L94" s="23">
        <v>4830</v>
      </c>
      <c r="M94" s="23"/>
      <c r="N94" s="23">
        <v>2100</v>
      </c>
      <c r="O94" s="22">
        <v>2100</v>
      </c>
      <c r="P94" s="78"/>
      <c r="Q94" s="853">
        <f t="shared" si="37"/>
        <v>1500</v>
      </c>
      <c r="R94" s="860"/>
      <c r="S94" s="853">
        <v>1500</v>
      </c>
      <c r="T94" s="73">
        <f t="shared" si="38"/>
        <v>1500</v>
      </c>
      <c r="U94" s="23"/>
      <c r="V94" s="22">
        <v>1500</v>
      </c>
      <c r="W94" s="691" t="s">
        <v>1552</v>
      </c>
      <c r="X94" s="24"/>
      <c r="Y94" s="22">
        <v>1</v>
      </c>
      <c r="Z94" s="657"/>
      <c r="AA94" s="990"/>
      <c r="AB94" s="811"/>
      <c r="AC94" s="551"/>
      <c r="AD94" s="551"/>
      <c r="AE94" s="551"/>
      <c r="AG94" s="57"/>
      <c r="AH94" s="57"/>
      <c r="AI94" s="57"/>
      <c r="AJ94" s="57"/>
      <c r="AK94" s="57"/>
      <c r="AL94" s="57"/>
    </row>
    <row r="95" spans="1:38" s="54" customFormat="1" ht="30" hidden="1">
      <c r="A95" s="97" t="s">
        <v>74</v>
      </c>
      <c r="B95" s="68" t="s">
        <v>966</v>
      </c>
      <c r="C95" s="19" t="s">
        <v>60</v>
      </c>
      <c r="D95" s="19" t="s">
        <v>967</v>
      </c>
      <c r="E95" s="70" t="s">
        <v>30</v>
      </c>
      <c r="F95" s="80" t="s">
        <v>968</v>
      </c>
      <c r="G95" s="23">
        <v>5696</v>
      </c>
      <c r="H95" s="23">
        <v>5696</v>
      </c>
      <c r="I95" s="23">
        <v>3173</v>
      </c>
      <c r="J95" s="23">
        <v>3173</v>
      </c>
      <c r="K95" s="23">
        <v>5523</v>
      </c>
      <c r="L95" s="23">
        <f>H95-173</f>
        <v>5523</v>
      </c>
      <c r="M95" s="23"/>
      <c r="N95" s="23">
        <v>2200</v>
      </c>
      <c r="O95" s="23">
        <v>2200</v>
      </c>
      <c r="P95" s="78"/>
      <c r="Q95" s="860">
        <f t="shared" si="37"/>
        <v>2200</v>
      </c>
      <c r="R95" s="860"/>
      <c r="S95" s="853">
        <v>2200</v>
      </c>
      <c r="T95" s="73">
        <f t="shared" si="38"/>
        <v>2200</v>
      </c>
      <c r="U95" s="23"/>
      <c r="V95" s="22">
        <v>2200</v>
      </c>
      <c r="W95" s="513" t="s">
        <v>1517</v>
      </c>
      <c r="X95" s="24"/>
      <c r="Y95" s="22">
        <v>1</v>
      </c>
      <c r="Z95" s="657"/>
      <c r="AA95" s="990"/>
      <c r="AB95" s="811"/>
      <c r="AC95" s="551"/>
      <c r="AD95" s="551"/>
      <c r="AE95" s="551"/>
      <c r="AG95" s="57"/>
      <c r="AH95" s="57"/>
      <c r="AI95" s="57"/>
      <c r="AJ95" s="57"/>
      <c r="AK95" s="57"/>
      <c r="AL95" s="57"/>
    </row>
    <row r="96" spans="1:38" s="54" customFormat="1" ht="30" hidden="1">
      <c r="A96" s="97" t="s">
        <v>141</v>
      </c>
      <c r="B96" s="68" t="s">
        <v>969</v>
      </c>
      <c r="C96" s="19" t="s">
        <v>60</v>
      </c>
      <c r="D96" s="19" t="s">
        <v>967</v>
      </c>
      <c r="E96" s="70" t="s">
        <v>30</v>
      </c>
      <c r="F96" s="80" t="s">
        <v>970</v>
      </c>
      <c r="G96" s="23">
        <v>5620</v>
      </c>
      <c r="H96" s="23">
        <v>5620</v>
      </c>
      <c r="I96" s="23">
        <v>3121</v>
      </c>
      <c r="J96" s="23">
        <v>3121</v>
      </c>
      <c r="K96" s="23">
        <v>5499</v>
      </c>
      <c r="L96" s="23">
        <f>H96-121</f>
        <v>5499</v>
      </c>
      <c r="M96" s="23"/>
      <c r="N96" s="23">
        <v>2200</v>
      </c>
      <c r="O96" s="23">
        <v>2200</v>
      </c>
      <c r="P96" s="78"/>
      <c r="Q96" s="860">
        <f t="shared" si="37"/>
        <v>2200</v>
      </c>
      <c r="R96" s="860"/>
      <c r="S96" s="853">
        <v>2200</v>
      </c>
      <c r="T96" s="73">
        <f t="shared" si="38"/>
        <v>2200</v>
      </c>
      <c r="U96" s="23"/>
      <c r="V96" s="22">
        <v>2200</v>
      </c>
      <c r="W96" s="513" t="s">
        <v>1517</v>
      </c>
      <c r="X96" s="24"/>
      <c r="Y96" s="22">
        <v>1</v>
      </c>
      <c r="Z96" s="657"/>
      <c r="AA96" s="990"/>
      <c r="AB96" s="811"/>
      <c r="AC96" s="551"/>
      <c r="AD96" s="551"/>
      <c r="AE96" s="551"/>
      <c r="AG96" s="57"/>
      <c r="AH96" s="57"/>
      <c r="AI96" s="57"/>
      <c r="AJ96" s="57"/>
      <c r="AK96" s="57"/>
      <c r="AL96" s="57"/>
    </row>
    <row r="97" spans="1:38" s="54" customFormat="1" ht="25.5" hidden="1">
      <c r="A97" s="97" t="s">
        <v>146</v>
      </c>
      <c r="B97" s="68" t="s">
        <v>971</v>
      </c>
      <c r="C97" s="19" t="s">
        <v>173</v>
      </c>
      <c r="D97" s="19" t="s">
        <v>972</v>
      </c>
      <c r="E97" s="70" t="s">
        <v>30</v>
      </c>
      <c r="F97" s="80" t="s">
        <v>973</v>
      </c>
      <c r="G97" s="23">
        <v>5376</v>
      </c>
      <c r="H97" s="23">
        <v>5376</v>
      </c>
      <c r="I97" s="23">
        <v>2200</v>
      </c>
      <c r="J97" s="23">
        <v>2200</v>
      </c>
      <c r="K97" s="23">
        <f>5376-200</f>
        <v>5176</v>
      </c>
      <c r="L97" s="23">
        <f>H97-200</f>
        <v>5176</v>
      </c>
      <c r="M97" s="23"/>
      <c r="N97" s="23">
        <v>2500</v>
      </c>
      <c r="O97" s="23">
        <v>2500</v>
      </c>
      <c r="P97" s="78"/>
      <c r="Q97" s="860">
        <f t="shared" si="37"/>
        <v>2500</v>
      </c>
      <c r="R97" s="860"/>
      <c r="S97" s="853">
        <v>2500</v>
      </c>
      <c r="T97" s="73">
        <f t="shared" si="38"/>
        <v>2500</v>
      </c>
      <c r="U97" s="23"/>
      <c r="V97" s="22">
        <v>2500</v>
      </c>
      <c r="W97" s="691" t="s">
        <v>1551</v>
      </c>
      <c r="X97" s="24"/>
      <c r="Y97" s="22">
        <v>1</v>
      </c>
      <c r="Z97" s="657"/>
      <c r="AA97" s="990"/>
      <c r="AB97" s="811"/>
      <c r="AC97" s="551"/>
      <c r="AD97" s="551"/>
      <c r="AE97" s="551"/>
      <c r="AG97" s="57"/>
      <c r="AH97" s="57"/>
      <c r="AI97" s="57"/>
      <c r="AJ97" s="57"/>
      <c r="AK97" s="57"/>
      <c r="AL97" s="57"/>
    </row>
    <row r="98" spans="1:38" s="54" customFormat="1" ht="28.5" hidden="1">
      <c r="A98" s="11" t="s">
        <v>116</v>
      </c>
      <c r="B98" s="65" t="s">
        <v>117</v>
      </c>
      <c r="C98" s="19"/>
      <c r="D98" s="19"/>
      <c r="E98" s="70"/>
      <c r="F98" s="80"/>
      <c r="G98" s="15">
        <f t="shared" ref="G98:V98" si="39">SUM(G99:G104)</f>
        <v>543158</v>
      </c>
      <c r="H98" s="15">
        <f t="shared" si="39"/>
        <v>285016</v>
      </c>
      <c r="I98" s="15">
        <f t="shared" si="39"/>
        <v>61533</v>
      </c>
      <c r="J98" s="15">
        <f t="shared" si="39"/>
        <v>22533</v>
      </c>
      <c r="K98" s="15">
        <f t="shared" si="39"/>
        <v>485395.82</v>
      </c>
      <c r="L98" s="15">
        <f t="shared" si="39"/>
        <v>276300.79999999999</v>
      </c>
      <c r="M98" s="15">
        <f t="shared" si="39"/>
        <v>0</v>
      </c>
      <c r="N98" s="15">
        <f t="shared" si="39"/>
        <v>366014</v>
      </c>
      <c r="O98" s="15">
        <f t="shared" si="39"/>
        <v>107872</v>
      </c>
      <c r="P98" s="15">
        <f t="shared" si="39"/>
        <v>0</v>
      </c>
      <c r="Q98" s="15">
        <f t="shared" si="39"/>
        <v>68000</v>
      </c>
      <c r="R98" s="15">
        <f t="shared" si="39"/>
        <v>0</v>
      </c>
      <c r="S98" s="15">
        <f t="shared" si="39"/>
        <v>68000</v>
      </c>
      <c r="T98" s="15">
        <f t="shared" si="39"/>
        <v>68000</v>
      </c>
      <c r="U98" s="15">
        <f t="shared" si="39"/>
        <v>0</v>
      </c>
      <c r="V98" s="15">
        <f t="shared" si="39"/>
        <v>68000</v>
      </c>
      <c r="W98" s="89"/>
      <c r="X98" s="89"/>
      <c r="Y98" s="15">
        <f>SUM(Y99:Y104)</f>
        <v>6</v>
      </c>
      <c r="Z98" s="657"/>
      <c r="AA98" s="990"/>
      <c r="AB98" s="811"/>
      <c r="AC98" s="551"/>
      <c r="AD98" s="551"/>
      <c r="AE98" s="551"/>
      <c r="AG98" s="57"/>
      <c r="AH98" s="57"/>
      <c r="AI98" s="57"/>
      <c r="AJ98" s="57"/>
      <c r="AK98" s="57"/>
      <c r="AL98" s="57"/>
    </row>
    <row r="99" spans="1:38" s="656" customFormat="1" ht="51" hidden="1">
      <c r="A99" s="650" t="s">
        <v>27</v>
      </c>
      <c r="B99" s="68" t="s">
        <v>980</v>
      </c>
      <c r="C99" s="644" t="s">
        <v>43</v>
      </c>
      <c r="D99" s="644" t="s">
        <v>929</v>
      </c>
      <c r="E99" s="886" t="s">
        <v>30</v>
      </c>
      <c r="F99" s="80" t="s">
        <v>1592</v>
      </c>
      <c r="G99" s="651">
        <v>323714</v>
      </c>
      <c r="H99" s="651">
        <v>65572</v>
      </c>
      <c r="I99" s="651">
        <f>39000+J99</f>
        <v>41000</v>
      </c>
      <c r="J99" s="651">
        <v>2000</v>
      </c>
      <c r="K99" s="651">
        <v>267784.82</v>
      </c>
      <c r="L99" s="651">
        <v>58689.8</v>
      </c>
      <c r="M99" s="652"/>
      <c r="N99" s="653">
        <v>321714</v>
      </c>
      <c r="O99" s="653">
        <v>63572</v>
      </c>
      <c r="P99" s="654"/>
      <c r="Q99" s="860">
        <f t="shared" ref="Q99:Q104" si="40">SUM(R99:S99)</f>
        <v>30000</v>
      </c>
      <c r="R99" s="860"/>
      <c r="S99" s="860">
        <v>30000</v>
      </c>
      <c r="T99" s="73">
        <f t="shared" ref="T99:T104" si="41">SUM(U99:V99)</f>
        <v>30000</v>
      </c>
      <c r="U99" s="651"/>
      <c r="V99" s="651">
        <v>30000</v>
      </c>
      <c r="W99" s="80" t="s">
        <v>1553</v>
      </c>
      <c r="X99" s="24"/>
      <c r="Y99" s="651">
        <v>1</v>
      </c>
      <c r="Z99" s="657"/>
      <c r="AA99" s="991"/>
      <c r="AB99" s="982"/>
      <c r="AC99" s="655"/>
      <c r="AD99" s="655"/>
      <c r="AE99" s="655"/>
    </row>
    <row r="100" spans="1:38" s="54" customFormat="1" ht="45" hidden="1">
      <c r="A100" s="650" t="s">
        <v>41</v>
      </c>
      <c r="B100" s="282" t="s">
        <v>974</v>
      </c>
      <c r="C100" s="19" t="s">
        <v>29</v>
      </c>
      <c r="D100" s="19" t="s">
        <v>975</v>
      </c>
      <c r="E100" s="70" t="s">
        <v>30</v>
      </c>
      <c r="F100" s="80" t="s">
        <v>976</v>
      </c>
      <c r="G100" s="23">
        <v>58957</v>
      </c>
      <c r="H100" s="23">
        <v>58957</v>
      </c>
      <c r="I100" s="23">
        <v>10308</v>
      </c>
      <c r="J100" s="23">
        <f>10000+308</f>
        <v>10308</v>
      </c>
      <c r="K100" s="23">
        <v>58649</v>
      </c>
      <c r="L100" s="23">
        <f>H100-308</f>
        <v>58649</v>
      </c>
      <c r="M100" s="23"/>
      <c r="N100" s="23">
        <v>15000</v>
      </c>
      <c r="O100" s="23">
        <v>15000</v>
      </c>
      <c r="P100" s="78"/>
      <c r="Q100" s="828">
        <f t="shared" si="40"/>
        <v>13000</v>
      </c>
      <c r="R100" s="860"/>
      <c r="S100" s="860">
        <v>13000</v>
      </c>
      <c r="T100" s="73">
        <f t="shared" si="41"/>
        <v>13000</v>
      </c>
      <c r="U100" s="23"/>
      <c r="V100" s="23">
        <v>13000</v>
      </c>
      <c r="W100" s="1012" t="s">
        <v>1550</v>
      </c>
      <c r="X100" s="513"/>
      <c r="Y100" s="23">
        <v>1</v>
      </c>
      <c r="Z100" s="657"/>
      <c r="AA100" s="990"/>
      <c r="AB100" s="811"/>
      <c r="AC100" s="551"/>
      <c r="AD100" s="551"/>
      <c r="AE100" s="551"/>
      <c r="AG100" s="57"/>
      <c r="AH100" s="57"/>
      <c r="AI100" s="57"/>
      <c r="AJ100" s="57"/>
      <c r="AK100" s="57"/>
      <c r="AL100" s="57"/>
    </row>
    <row r="101" spans="1:38" s="54" customFormat="1" ht="38.25" hidden="1">
      <c r="A101" s="650" t="s">
        <v>58</v>
      </c>
      <c r="B101" s="282" t="s">
        <v>977</v>
      </c>
      <c r="C101" s="19" t="s">
        <v>29</v>
      </c>
      <c r="D101" s="19" t="s">
        <v>978</v>
      </c>
      <c r="E101" s="70" t="s">
        <v>30</v>
      </c>
      <c r="F101" s="80" t="s">
        <v>979</v>
      </c>
      <c r="G101" s="23">
        <v>116675</v>
      </c>
      <c r="H101" s="23">
        <v>116675</v>
      </c>
      <c r="I101" s="23">
        <f>837+2000</f>
        <v>2837</v>
      </c>
      <c r="J101" s="23">
        <v>2837</v>
      </c>
      <c r="K101" s="23">
        <f>116675-837</f>
        <v>115838</v>
      </c>
      <c r="L101" s="23">
        <f>H101-837</f>
        <v>115838</v>
      </c>
      <c r="M101" s="23"/>
      <c r="N101" s="23">
        <v>18000</v>
      </c>
      <c r="O101" s="23">
        <v>18000</v>
      </c>
      <c r="P101" s="78"/>
      <c r="Q101" s="828">
        <f t="shared" si="40"/>
        <v>15000</v>
      </c>
      <c r="R101" s="860"/>
      <c r="S101" s="860">
        <v>15000</v>
      </c>
      <c r="T101" s="73">
        <f t="shared" si="41"/>
        <v>15000</v>
      </c>
      <c r="U101" s="23"/>
      <c r="V101" s="23">
        <v>15000</v>
      </c>
      <c r="W101" s="1012" t="s">
        <v>1550</v>
      </c>
      <c r="X101" s="513"/>
      <c r="Y101" s="23">
        <v>1</v>
      </c>
      <c r="Z101" s="657"/>
      <c r="AA101" s="990"/>
      <c r="AB101" s="811"/>
      <c r="AC101" s="551"/>
      <c r="AD101" s="551"/>
      <c r="AE101" s="551"/>
      <c r="AG101" s="57"/>
      <c r="AH101" s="57"/>
      <c r="AI101" s="57"/>
      <c r="AJ101" s="57"/>
      <c r="AK101" s="57"/>
      <c r="AL101" s="57"/>
    </row>
    <row r="102" spans="1:38" s="54" customFormat="1" ht="45" hidden="1">
      <c r="A102" s="650" t="s">
        <v>64</v>
      </c>
      <c r="B102" s="68" t="s">
        <v>981</v>
      </c>
      <c r="C102" s="19" t="s">
        <v>260</v>
      </c>
      <c r="D102" s="19" t="s">
        <v>982</v>
      </c>
      <c r="E102" s="70" t="s">
        <v>30</v>
      </c>
      <c r="F102" s="80" t="s">
        <v>983</v>
      </c>
      <c r="G102" s="23">
        <v>22500</v>
      </c>
      <c r="H102" s="23">
        <v>22500</v>
      </c>
      <c r="I102" s="23">
        <v>700</v>
      </c>
      <c r="J102" s="23">
        <v>700</v>
      </c>
      <c r="K102" s="23">
        <f>22500-200</f>
        <v>22300</v>
      </c>
      <c r="L102" s="23">
        <v>22300</v>
      </c>
      <c r="M102" s="23"/>
      <c r="N102" s="23">
        <v>5000</v>
      </c>
      <c r="O102" s="23">
        <v>5000</v>
      </c>
      <c r="P102" s="78"/>
      <c r="Q102" s="828">
        <f t="shared" si="40"/>
        <v>4000</v>
      </c>
      <c r="R102" s="860"/>
      <c r="S102" s="860">
        <v>4000</v>
      </c>
      <c r="T102" s="73">
        <f t="shared" si="41"/>
        <v>4000</v>
      </c>
      <c r="U102" s="23"/>
      <c r="V102" s="23">
        <v>4000</v>
      </c>
      <c r="W102" s="80" t="s">
        <v>1552</v>
      </c>
      <c r="X102" s="24"/>
      <c r="Y102" s="23">
        <v>1</v>
      </c>
      <c r="Z102" s="657"/>
      <c r="AA102" s="990"/>
      <c r="AB102" s="811"/>
      <c r="AC102" s="551"/>
      <c r="AD102" s="551"/>
      <c r="AE102" s="551"/>
      <c r="AG102" s="57"/>
      <c r="AH102" s="57"/>
      <c r="AI102" s="57"/>
      <c r="AJ102" s="57"/>
      <c r="AK102" s="57"/>
      <c r="AL102" s="57"/>
    </row>
    <row r="103" spans="1:38" s="54" customFormat="1" ht="75" hidden="1">
      <c r="A103" s="650" t="s">
        <v>69</v>
      </c>
      <c r="B103" s="68" t="s">
        <v>984</v>
      </c>
      <c r="C103" s="19" t="s">
        <v>60</v>
      </c>
      <c r="D103" s="19" t="s">
        <v>985</v>
      </c>
      <c r="E103" s="70" t="s">
        <v>30</v>
      </c>
      <c r="F103" s="80" t="s">
        <v>986</v>
      </c>
      <c r="G103" s="23">
        <v>11952</v>
      </c>
      <c r="H103" s="23">
        <v>11952</v>
      </c>
      <c r="I103" s="23">
        <v>3588</v>
      </c>
      <c r="J103" s="23">
        <f>288+3300</f>
        <v>3588</v>
      </c>
      <c r="K103" s="23">
        <v>11664</v>
      </c>
      <c r="L103" s="23">
        <f>H103-288</f>
        <v>11664</v>
      </c>
      <c r="M103" s="23"/>
      <c r="N103" s="23">
        <v>3300</v>
      </c>
      <c r="O103" s="23">
        <v>3300</v>
      </c>
      <c r="P103" s="78"/>
      <c r="Q103" s="828">
        <f t="shared" si="40"/>
        <v>3000</v>
      </c>
      <c r="R103" s="860"/>
      <c r="S103" s="860">
        <v>3000</v>
      </c>
      <c r="T103" s="73">
        <f t="shared" si="41"/>
        <v>3000</v>
      </c>
      <c r="U103" s="23"/>
      <c r="V103" s="23">
        <v>3000</v>
      </c>
      <c r="W103" s="513" t="s">
        <v>1517</v>
      </c>
      <c r="X103" s="24"/>
      <c r="Y103" s="23">
        <v>1</v>
      </c>
      <c r="Z103" s="657"/>
      <c r="AA103" s="990"/>
      <c r="AB103" s="811"/>
      <c r="AC103" s="551"/>
      <c r="AD103" s="551"/>
      <c r="AE103" s="551"/>
      <c r="AG103" s="57"/>
      <c r="AH103" s="57"/>
      <c r="AI103" s="57"/>
      <c r="AJ103" s="57"/>
      <c r="AK103" s="57"/>
      <c r="AL103" s="57"/>
    </row>
    <row r="104" spans="1:38" s="54" customFormat="1" ht="60" hidden="1">
      <c r="A104" s="650" t="s">
        <v>74</v>
      </c>
      <c r="B104" s="68" t="s">
        <v>987</v>
      </c>
      <c r="C104" s="19" t="s">
        <v>173</v>
      </c>
      <c r="D104" s="19" t="s">
        <v>148</v>
      </c>
      <c r="E104" s="70" t="s">
        <v>30</v>
      </c>
      <c r="F104" s="80" t="s">
        <v>988</v>
      </c>
      <c r="G104" s="23">
        <v>9360</v>
      </c>
      <c r="H104" s="23">
        <v>9360</v>
      </c>
      <c r="I104" s="23">
        <v>3100</v>
      </c>
      <c r="J104" s="23">
        <f>2900+200</f>
        <v>3100</v>
      </c>
      <c r="K104" s="23">
        <v>9160</v>
      </c>
      <c r="L104" s="23">
        <f>H104-200</f>
        <v>9160</v>
      </c>
      <c r="M104" s="23"/>
      <c r="N104" s="23">
        <v>3000</v>
      </c>
      <c r="O104" s="23">
        <v>3000</v>
      </c>
      <c r="P104" s="78"/>
      <c r="Q104" s="860">
        <f t="shared" si="40"/>
        <v>3000</v>
      </c>
      <c r="R104" s="860"/>
      <c r="S104" s="860">
        <v>3000</v>
      </c>
      <c r="T104" s="73">
        <f t="shared" si="41"/>
        <v>3000</v>
      </c>
      <c r="U104" s="23"/>
      <c r="V104" s="23">
        <v>3000</v>
      </c>
      <c r="W104" s="80" t="s">
        <v>1551</v>
      </c>
      <c r="X104" s="24"/>
      <c r="Y104" s="23">
        <v>1</v>
      </c>
      <c r="Z104" s="657"/>
      <c r="AA104" s="990"/>
      <c r="AB104" s="811"/>
      <c r="AC104" s="551"/>
      <c r="AD104" s="551"/>
      <c r="AE104" s="551"/>
      <c r="AG104" s="57"/>
      <c r="AH104" s="57"/>
      <c r="AI104" s="57"/>
      <c r="AJ104" s="57"/>
      <c r="AK104" s="57"/>
      <c r="AL104" s="57"/>
    </row>
    <row r="105" spans="1:38" s="54" customFormat="1" hidden="1">
      <c r="A105" s="11" t="s">
        <v>150</v>
      </c>
      <c r="B105" s="65" t="s">
        <v>151</v>
      </c>
      <c r="C105" s="19"/>
      <c r="D105" s="19"/>
      <c r="E105" s="70"/>
      <c r="F105" s="80"/>
      <c r="G105" s="15">
        <f t="shared" ref="G105:V105" si="42">SUM(G106:G131)</f>
        <v>301954</v>
      </c>
      <c r="H105" s="15">
        <f t="shared" si="42"/>
        <v>235506</v>
      </c>
      <c r="I105" s="15">
        <f t="shared" si="42"/>
        <v>4469</v>
      </c>
      <c r="J105" s="15">
        <f t="shared" si="42"/>
        <v>4469</v>
      </c>
      <c r="K105" s="15">
        <f t="shared" si="42"/>
        <v>292141.90000000002</v>
      </c>
      <c r="L105" s="15">
        <f t="shared" si="42"/>
        <v>231885.9</v>
      </c>
      <c r="M105" s="15">
        <f t="shared" si="42"/>
        <v>0</v>
      </c>
      <c r="N105" s="15">
        <f t="shared" si="42"/>
        <v>173321</v>
      </c>
      <c r="O105" s="15">
        <f t="shared" si="42"/>
        <v>111160</v>
      </c>
      <c r="P105" s="15">
        <f t="shared" si="42"/>
        <v>0</v>
      </c>
      <c r="Q105" s="846">
        <f t="shared" si="42"/>
        <v>90019</v>
      </c>
      <c r="R105" s="846">
        <f t="shared" si="42"/>
        <v>15800</v>
      </c>
      <c r="S105" s="846">
        <f t="shared" si="42"/>
        <v>74219</v>
      </c>
      <c r="T105" s="15">
        <f t="shared" si="42"/>
        <v>90019</v>
      </c>
      <c r="U105" s="15">
        <f t="shared" si="42"/>
        <v>0</v>
      </c>
      <c r="V105" s="15">
        <f t="shared" si="42"/>
        <v>90019</v>
      </c>
      <c r="W105" s="89"/>
      <c r="X105" s="89"/>
      <c r="Y105" s="15">
        <f>SUM(Y106:Y131)</f>
        <v>26</v>
      </c>
      <c r="Z105" s="657"/>
      <c r="AA105" s="990"/>
      <c r="AB105" s="811"/>
      <c r="AC105" s="551"/>
      <c r="AD105" s="551"/>
      <c r="AE105" s="551"/>
      <c r="AG105" s="57"/>
      <c r="AH105" s="57"/>
      <c r="AI105" s="57"/>
      <c r="AJ105" s="57"/>
      <c r="AK105" s="57"/>
      <c r="AL105" s="57"/>
    </row>
    <row r="106" spans="1:38" s="270" customFormat="1" ht="30" hidden="1">
      <c r="A106" s="97" t="s">
        <v>27</v>
      </c>
      <c r="B106" s="68" t="s">
        <v>991</v>
      </c>
      <c r="C106" s="19" t="s">
        <v>85</v>
      </c>
      <c r="D106" s="19" t="s">
        <v>929</v>
      </c>
      <c r="E106" s="70" t="s">
        <v>235</v>
      </c>
      <c r="F106" s="80" t="s">
        <v>992</v>
      </c>
      <c r="G106" s="23">
        <v>86471</v>
      </c>
      <c r="H106" s="23">
        <v>19631</v>
      </c>
      <c r="I106" s="21"/>
      <c r="J106" s="21"/>
      <c r="K106" s="23">
        <v>77823.899999999994</v>
      </c>
      <c r="L106" s="23">
        <v>17667.900000000001</v>
      </c>
      <c r="M106" s="588"/>
      <c r="N106" s="634">
        <v>84023</v>
      </c>
      <c r="O106" s="634">
        <v>21988</v>
      </c>
      <c r="P106" s="585"/>
      <c r="Q106" s="828">
        <f t="shared" ref="Q106:Q130" si="43">SUM(R106:S106)</f>
        <v>17600</v>
      </c>
      <c r="R106" s="860"/>
      <c r="S106" s="860">
        <v>17600</v>
      </c>
      <c r="T106" s="73">
        <f t="shared" ref="T106:T131" si="44">SUM(U106:V106)</f>
        <v>17600</v>
      </c>
      <c r="U106" s="23"/>
      <c r="V106" s="23">
        <v>17600</v>
      </c>
      <c r="W106" s="80" t="s">
        <v>1591</v>
      </c>
      <c r="X106" s="24" t="s">
        <v>1679</v>
      </c>
      <c r="Y106" s="23">
        <v>1</v>
      </c>
      <c r="Z106" s="657"/>
      <c r="AA106" s="991"/>
      <c r="AB106" s="970"/>
      <c r="AC106" s="550"/>
      <c r="AD106" s="550"/>
      <c r="AE106" s="550"/>
    </row>
    <row r="107" spans="1:38" s="54" customFormat="1" ht="30" hidden="1">
      <c r="A107" s="97" t="s">
        <v>41</v>
      </c>
      <c r="B107" s="68" t="s">
        <v>989</v>
      </c>
      <c r="C107" s="19" t="s">
        <v>85</v>
      </c>
      <c r="D107" s="19" t="s">
        <v>1678</v>
      </c>
      <c r="E107" s="70" t="s">
        <v>163</v>
      </c>
      <c r="F107" s="80" t="s">
        <v>990</v>
      </c>
      <c r="G107" s="23">
        <v>70715</v>
      </c>
      <c r="H107" s="23">
        <v>70715</v>
      </c>
      <c r="I107" s="23">
        <f>1319+75</f>
        <v>1394</v>
      </c>
      <c r="J107" s="23">
        <v>1394</v>
      </c>
      <c r="K107" s="23">
        <v>69396</v>
      </c>
      <c r="L107" s="23">
        <f>H107-1319</f>
        <v>69396</v>
      </c>
      <c r="M107" s="23"/>
      <c r="N107" s="23">
        <v>17000</v>
      </c>
      <c r="O107" s="23">
        <v>17000</v>
      </c>
      <c r="P107" s="78"/>
      <c r="Q107" s="828">
        <f t="shared" si="43"/>
        <v>10000</v>
      </c>
      <c r="R107" s="860"/>
      <c r="S107" s="860">
        <v>10000</v>
      </c>
      <c r="T107" s="73">
        <f t="shared" si="44"/>
        <v>10000</v>
      </c>
      <c r="U107" s="23"/>
      <c r="V107" s="23">
        <v>10000</v>
      </c>
      <c r="W107" s="1012" t="s">
        <v>1550</v>
      </c>
      <c r="X107" s="24"/>
      <c r="Y107" s="23">
        <v>1</v>
      </c>
      <c r="Z107" s="657"/>
      <c r="AA107" s="990"/>
      <c r="AB107" s="811"/>
      <c r="AC107" s="551"/>
      <c r="AD107" s="551"/>
      <c r="AE107" s="551"/>
      <c r="AG107" s="57"/>
      <c r="AH107" s="57"/>
      <c r="AI107" s="57"/>
      <c r="AJ107" s="57"/>
      <c r="AK107" s="57"/>
      <c r="AL107" s="57"/>
    </row>
    <row r="108" spans="1:38" s="54" customFormat="1" ht="60" hidden="1">
      <c r="A108" s="97" t="s">
        <v>58</v>
      </c>
      <c r="B108" s="68" t="s">
        <v>993</v>
      </c>
      <c r="C108" s="19" t="s">
        <v>29</v>
      </c>
      <c r="D108" s="19" t="s">
        <v>1680</v>
      </c>
      <c r="E108" s="70" t="s">
        <v>163</v>
      </c>
      <c r="F108" s="80" t="s">
        <v>994</v>
      </c>
      <c r="G108" s="23">
        <v>17837</v>
      </c>
      <c r="H108" s="23">
        <v>17837</v>
      </c>
      <c r="I108" s="23">
        <v>327</v>
      </c>
      <c r="J108" s="23">
        <f>241+86</f>
        <v>327</v>
      </c>
      <c r="K108" s="23">
        <v>17596</v>
      </c>
      <c r="L108" s="23">
        <f>H108-241</f>
        <v>17596</v>
      </c>
      <c r="M108" s="23"/>
      <c r="N108" s="23">
        <v>6000</v>
      </c>
      <c r="O108" s="23">
        <v>6000</v>
      </c>
      <c r="P108" s="78"/>
      <c r="Q108" s="828">
        <f t="shared" si="43"/>
        <v>4000</v>
      </c>
      <c r="R108" s="860"/>
      <c r="S108" s="860">
        <v>4000</v>
      </c>
      <c r="T108" s="73">
        <f t="shared" si="44"/>
        <v>4000</v>
      </c>
      <c r="U108" s="23"/>
      <c r="V108" s="23">
        <v>4000</v>
      </c>
      <c r="W108" s="1012" t="s">
        <v>1550</v>
      </c>
      <c r="X108" s="24"/>
      <c r="Y108" s="23">
        <v>1</v>
      </c>
      <c r="Z108" s="657"/>
      <c r="AA108" s="990"/>
      <c r="AB108" s="811"/>
      <c r="AC108" s="551"/>
      <c r="AD108" s="551"/>
      <c r="AE108" s="551"/>
      <c r="AG108" s="57"/>
      <c r="AH108" s="57"/>
      <c r="AI108" s="57"/>
      <c r="AJ108" s="57"/>
      <c r="AK108" s="57"/>
      <c r="AL108" s="57"/>
    </row>
    <row r="109" spans="1:38" s="54" customFormat="1" ht="30" hidden="1">
      <c r="A109" s="97" t="s">
        <v>64</v>
      </c>
      <c r="B109" s="93" t="s">
        <v>995</v>
      </c>
      <c r="C109" s="19" t="s">
        <v>29</v>
      </c>
      <c r="D109" s="19" t="s">
        <v>1681</v>
      </c>
      <c r="E109" s="44" t="s">
        <v>166</v>
      </c>
      <c r="F109" s="80" t="s">
        <v>996</v>
      </c>
      <c r="G109" s="72">
        <v>13689</v>
      </c>
      <c r="H109" s="72">
        <v>13689</v>
      </c>
      <c r="I109" s="72"/>
      <c r="J109" s="72"/>
      <c r="K109" s="72">
        <v>13689</v>
      </c>
      <c r="L109" s="72">
        <v>13689</v>
      </c>
      <c r="M109" s="72"/>
      <c r="N109" s="72">
        <v>13000</v>
      </c>
      <c r="O109" s="23">
        <v>13000</v>
      </c>
      <c r="P109" s="78"/>
      <c r="Q109" s="828">
        <f t="shared" si="43"/>
        <v>12000</v>
      </c>
      <c r="R109" s="123"/>
      <c r="S109" s="123">
        <v>12000</v>
      </c>
      <c r="T109" s="73">
        <f t="shared" si="44"/>
        <v>12000</v>
      </c>
      <c r="U109" s="72"/>
      <c r="V109" s="72">
        <v>12000</v>
      </c>
      <c r="W109" s="1012" t="s">
        <v>1550</v>
      </c>
      <c r="X109" s="80"/>
      <c r="Y109" s="72">
        <v>1</v>
      </c>
      <c r="Z109" s="657"/>
      <c r="AA109" s="990"/>
      <c r="AB109" s="811"/>
      <c r="AC109" s="551"/>
      <c r="AD109" s="551"/>
      <c r="AE109" s="551"/>
      <c r="AG109" s="57"/>
      <c r="AH109" s="57"/>
      <c r="AI109" s="57"/>
      <c r="AJ109" s="57"/>
      <c r="AK109" s="57"/>
      <c r="AL109" s="57"/>
    </row>
    <row r="110" spans="1:38" s="54" customFormat="1" ht="30" hidden="1">
      <c r="A110" s="97" t="s">
        <v>69</v>
      </c>
      <c r="B110" s="289" t="s">
        <v>997</v>
      </c>
      <c r="C110" s="19" t="s">
        <v>260</v>
      </c>
      <c r="D110" s="19" t="s">
        <v>1682</v>
      </c>
      <c r="E110" s="70" t="s">
        <v>154</v>
      </c>
      <c r="F110" s="80" t="s">
        <v>998</v>
      </c>
      <c r="G110" s="22">
        <v>993</v>
      </c>
      <c r="H110" s="22">
        <v>993</v>
      </c>
      <c r="I110" s="22">
        <v>40</v>
      </c>
      <c r="J110" s="22">
        <v>40</v>
      </c>
      <c r="K110" s="22">
        <v>993</v>
      </c>
      <c r="L110" s="22">
        <v>993</v>
      </c>
      <c r="M110" s="22"/>
      <c r="N110" s="22">
        <v>953</v>
      </c>
      <c r="O110" s="23">
        <v>953</v>
      </c>
      <c r="P110" s="78"/>
      <c r="Q110" s="828">
        <f t="shared" si="43"/>
        <v>900</v>
      </c>
      <c r="R110" s="853"/>
      <c r="S110" s="853">
        <v>900</v>
      </c>
      <c r="T110" s="73">
        <f t="shared" si="44"/>
        <v>900</v>
      </c>
      <c r="U110" s="22"/>
      <c r="V110" s="22">
        <v>900</v>
      </c>
      <c r="W110" s="1012" t="s">
        <v>1550</v>
      </c>
      <c r="X110" s="24"/>
      <c r="Y110" s="22">
        <v>1</v>
      </c>
      <c r="Z110" s="657"/>
      <c r="AA110" s="990"/>
      <c r="AB110" s="811"/>
      <c r="AC110" s="551"/>
      <c r="AD110" s="551"/>
      <c r="AE110" s="551"/>
      <c r="AG110" s="57"/>
      <c r="AH110" s="57"/>
      <c r="AI110" s="57"/>
      <c r="AJ110" s="57"/>
      <c r="AK110" s="57"/>
      <c r="AL110" s="57"/>
    </row>
    <row r="111" spans="1:38" s="54" customFormat="1" ht="30" hidden="1">
      <c r="A111" s="97" t="s">
        <v>74</v>
      </c>
      <c r="B111" s="282" t="s">
        <v>999</v>
      </c>
      <c r="C111" s="19" t="s">
        <v>29</v>
      </c>
      <c r="D111" s="19" t="s">
        <v>1000</v>
      </c>
      <c r="E111" s="70" t="s">
        <v>489</v>
      </c>
      <c r="F111" s="80" t="s">
        <v>1001</v>
      </c>
      <c r="G111" s="23">
        <v>19973</v>
      </c>
      <c r="H111" s="23">
        <v>19973</v>
      </c>
      <c r="I111" s="23">
        <v>220</v>
      </c>
      <c r="J111" s="23">
        <v>220</v>
      </c>
      <c r="K111" s="23">
        <v>19973</v>
      </c>
      <c r="L111" s="23">
        <v>19973</v>
      </c>
      <c r="M111" s="23"/>
      <c r="N111" s="23">
        <v>9000</v>
      </c>
      <c r="O111" s="23">
        <v>9000</v>
      </c>
      <c r="P111" s="78"/>
      <c r="Q111" s="828">
        <f t="shared" si="43"/>
        <v>7000</v>
      </c>
      <c r="R111" s="860"/>
      <c r="S111" s="860">
        <v>7000</v>
      </c>
      <c r="T111" s="73">
        <f t="shared" si="44"/>
        <v>7000</v>
      </c>
      <c r="U111" s="23"/>
      <c r="V111" s="23">
        <v>7000</v>
      </c>
      <c r="W111" s="80" t="s">
        <v>1543</v>
      </c>
      <c r="X111" s="24"/>
      <c r="Y111" s="23">
        <v>1</v>
      </c>
      <c r="Z111" s="657"/>
      <c r="AA111" s="990"/>
      <c r="AB111" s="811"/>
      <c r="AC111" s="551"/>
      <c r="AD111" s="551"/>
      <c r="AE111" s="551"/>
      <c r="AG111" s="57"/>
      <c r="AH111" s="57"/>
      <c r="AI111" s="57"/>
      <c r="AJ111" s="57"/>
      <c r="AK111" s="57"/>
      <c r="AL111" s="57"/>
    </row>
    <row r="112" spans="1:38" s="54" customFormat="1" ht="38.25" hidden="1">
      <c r="A112" s="97" t="s">
        <v>141</v>
      </c>
      <c r="B112" s="68" t="s">
        <v>1002</v>
      </c>
      <c r="C112" s="19" t="s">
        <v>85</v>
      </c>
      <c r="D112" s="19" t="s">
        <v>1003</v>
      </c>
      <c r="E112" s="44" t="s">
        <v>321</v>
      </c>
      <c r="F112" s="80" t="s">
        <v>1510</v>
      </c>
      <c r="G112" s="23">
        <v>526</v>
      </c>
      <c r="H112" s="23">
        <f>526-126</f>
        <v>400</v>
      </c>
      <c r="I112" s="23">
        <v>75</v>
      </c>
      <c r="J112" s="23">
        <v>75</v>
      </c>
      <c r="K112" s="23">
        <v>616</v>
      </c>
      <c r="L112" s="23">
        <v>616</v>
      </c>
      <c r="M112" s="23"/>
      <c r="N112" s="23">
        <v>414</v>
      </c>
      <c r="O112" s="23">
        <v>288</v>
      </c>
      <c r="P112" s="78"/>
      <c r="Q112" s="860">
        <f t="shared" si="43"/>
        <v>288</v>
      </c>
      <c r="R112" s="860"/>
      <c r="S112" s="860">
        <v>288</v>
      </c>
      <c r="T112" s="73">
        <f t="shared" si="44"/>
        <v>288</v>
      </c>
      <c r="U112" s="23"/>
      <c r="V112" s="23">
        <v>288</v>
      </c>
      <c r="W112" s="1012" t="s">
        <v>1554</v>
      </c>
      <c r="X112" s="24"/>
      <c r="Y112" s="23">
        <v>1</v>
      </c>
      <c r="Z112" s="657"/>
      <c r="AA112" s="990"/>
      <c r="AB112" s="811"/>
      <c r="AC112" s="551"/>
      <c r="AD112" s="551"/>
      <c r="AE112" s="551"/>
      <c r="AG112" s="57"/>
      <c r="AH112" s="57"/>
      <c r="AI112" s="57"/>
      <c r="AJ112" s="57"/>
      <c r="AK112" s="57"/>
      <c r="AL112" s="57"/>
    </row>
    <row r="113" spans="1:38" s="54" customFormat="1" ht="25.5" hidden="1">
      <c r="A113" s="97" t="s">
        <v>146</v>
      </c>
      <c r="B113" s="68" t="s">
        <v>1004</v>
      </c>
      <c r="C113" s="19" t="s">
        <v>85</v>
      </c>
      <c r="D113" s="19" t="s">
        <v>1005</v>
      </c>
      <c r="E113" s="70" t="s">
        <v>154</v>
      </c>
      <c r="F113" s="80" t="s">
        <v>1006</v>
      </c>
      <c r="G113" s="23">
        <v>4639</v>
      </c>
      <c r="H113" s="23">
        <v>4639</v>
      </c>
      <c r="I113" s="23">
        <v>240</v>
      </c>
      <c r="J113" s="23">
        <v>240</v>
      </c>
      <c r="K113" s="23">
        <v>4639</v>
      </c>
      <c r="L113" s="23">
        <v>4639</v>
      </c>
      <c r="M113" s="23"/>
      <c r="N113" s="23">
        <v>2000</v>
      </c>
      <c r="O113" s="23">
        <v>2000</v>
      </c>
      <c r="P113" s="78"/>
      <c r="Q113" s="860">
        <f t="shared" si="43"/>
        <v>2000</v>
      </c>
      <c r="R113" s="860"/>
      <c r="S113" s="860">
        <v>2000</v>
      </c>
      <c r="T113" s="73">
        <f t="shared" si="44"/>
        <v>2000</v>
      </c>
      <c r="U113" s="23"/>
      <c r="V113" s="23">
        <v>2000</v>
      </c>
      <c r="W113" s="80" t="s">
        <v>1525</v>
      </c>
      <c r="X113" s="24"/>
      <c r="Y113" s="23">
        <v>1</v>
      </c>
      <c r="Z113" s="657"/>
      <c r="AA113" s="990"/>
      <c r="AB113" s="811"/>
      <c r="AC113" s="551"/>
      <c r="AD113" s="551"/>
      <c r="AE113" s="551"/>
      <c r="AG113" s="57"/>
      <c r="AH113" s="57"/>
      <c r="AI113" s="57"/>
      <c r="AJ113" s="57"/>
      <c r="AK113" s="57"/>
      <c r="AL113" s="57"/>
    </row>
    <row r="114" spans="1:38" s="54" customFormat="1" ht="25.5" hidden="1">
      <c r="A114" s="97" t="s">
        <v>179</v>
      </c>
      <c r="B114" s="288" t="s">
        <v>1007</v>
      </c>
      <c r="C114" s="19" t="s">
        <v>85</v>
      </c>
      <c r="D114" s="19" t="s">
        <v>1683</v>
      </c>
      <c r="E114" s="70" t="s">
        <v>355</v>
      </c>
      <c r="F114" s="80" t="s">
        <v>1008</v>
      </c>
      <c r="G114" s="23">
        <v>5496</v>
      </c>
      <c r="H114" s="23">
        <v>5496</v>
      </c>
      <c r="I114" s="72">
        <v>100</v>
      </c>
      <c r="J114" s="72">
        <v>100</v>
      </c>
      <c r="K114" s="72">
        <v>5496</v>
      </c>
      <c r="L114" s="72">
        <v>5496</v>
      </c>
      <c r="M114" s="72"/>
      <c r="N114" s="72">
        <v>2000</v>
      </c>
      <c r="O114" s="23">
        <v>2000</v>
      </c>
      <c r="P114" s="78"/>
      <c r="Q114" s="860">
        <f t="shared" si="43"/>
        <v>2000</v>
      </c>
      <c r="R114" s="123">
        <v>2000</v>
      </c>
      <c r="S114" s="123"/>
      <c r="T114" s="73">
        <f t="shared" si="44"/>
        <v>2000</v>
      </c>
      <c r="U114" s="72"/>
      <c r="V114" s="72">
        <v>2000</v>
      </c>
      <c r="W114" s="80" t="s">
        <v>1525</v>
      </c>
      <c r="X114" s="1012"/>
      <c r="Y114" s="72">
        <v>1</v>
      </c>
      <c r="Z114" s="657"/>
      <c r="AA114" s="990"/>
      <c r="AB114" s="811"/>
      <c r="AC114" s="551"/>
      <c r="AD114" s="551"/>
      <c r="AE114" s="551"/>
      <c r="AG114" s="57"/>
      <c r="AH114" s="57"/>
      <c r="AI114" s="57"/>
      <c r="AJ114" s="57"/>
      <c r="AK114" s="57"/>
      <c r="AL114" s="57"/>
    </row>
    <row r="115" spans="1:38" s="54" customFormat="1" ht="30" hidden="1">
      <c r="A115" s="97" t="s">
        <v>182</v>
      </c>
      <c r="B115" s="68" t="s">
        <v>1009</v>
      </c>
      <c r="C115" s="19" t="s">
        <v>112</v>
      </c>
      <c r="D115" s="19" t="s">
        <v>1010</v>
      </c>
      <c r="E115" s="70" t="s">
        <v>154</v>
      </c>
      <c r="F115" s="80" t="s">
        <v>1011</v>
      </c>
      <c r="G115" s="23">
        <v>5901</v>
      </c>
      <c r="H115" s="23">
        <v>5901</v>
      </c>
      <c r="I115" s="23">
        <f>+J115</f>
        <v>100</v>
      </c>
      <c r="J115" s="23">
        <v>100</v>
      </c>
      <c r="K115" s="23">
        <v>5901</v>
      </c>
      <c r="L115" s="23">
        <v>5901</v>
      </c>
      <c r="M115" s="23"/>
      <c r="N115" s="23">
        <v>2000</v>
      </c>
      <c r="O115" s="23">
        <v>2000</v>
      </c>
      <c r="P115" s="78"/>
      <c r="Q115" s="860">
        <f t="shared" si="43"/>
        <v>2000</v>
      </c>
      <c r="R115" s="860"/>
      <c r="S115" s="860">
        <v>2000</v>
      </c>
      <c r="T115" s="73">
        <f t="shared" si="44"/>
        <v>2000</v>
      </c>
      <c r="U115" s="23"/>
      <c r="V115" s="23">
        <v>2000</v>
      </c>
      <c r="W115" s="80" t="s">
        <v>1529</v>
      </c>
      <c r="X115" s="80"/>
      <c r="Y115" s="23">
        <v>1</v>
      </c>
      <c r="Z115" s="657"/>
      <c r="AA115" s="990"/>
      <c r="AB115" s="811"/>
      <c r="AC115" s="551"/>
      <c r="AD115" s="551"/>
      <c r="AE115" s="551"/>
      <c r="AG115" s="57"/>
      <c r="AH115" s="57"/>
      <c r="AI115" s="57"/>
      <c r="AJ115" s="57"/>
      <c r="AK115" s="57"/>
      <c r="AL115" s="57"/>
    </row>
    <row r="116" spans="1:38" s="54" customFormat="1" ht="45" hidden="1">
      <c r="A116" s="97" t="s">
        <v>187</v>
      </c>
      <c r="B116" s="68" t="s">
        <v>1012</v>
      </c>
      <c r="C116" s="19" t="s">
        <v>112</v>
      </c>
      <c r="D116" s="19" t="s">
        <v>1013</v>
      </c>
      <c r="E116" s="70" t="s">
        <v>489</v>
      </c>
      <c r="F116" s="80" t="s">
        <v>1014</v>
      </c>
      <c r="G116" s="23">
        <v>4936</v>
      </c>
      <c r="H116" s="23">
        <v>4936</v>
      </c>
      <c r="I116" s="23">
        <v>100</v>
      </c>
      <c r="J116" s="23">
        <v>100</v>
      </c>
      <c r="K116" s="23">
        <f>G116</f>
        <v>4936</v>
      </c>
      <c r="L116" s="23">
        <f>G116</f>
        <v>4936</v>
      </c>
      <c r="M116" s="23"/>
      <c r="N116" s="23">
        <v>2000</v>
      </c>
      <c r="O116" s="23">
        <v>2000</v>
      </c>
      <c r="P116" s="78"/>
      <c r="Q116" s="860">
        <f t="shared" si="43"/>
        <v>2000</v>
      </c>
      <c r="R116" s="860">
        <v>2000</v>
      </c>
      <c r="S116" s="860"/>
      <c r="T116" s="73">
        <f t="shared" si="44"/>
        <v>2000</v>
      </c>
      <c r="U116" s="23"/>
      <c r="V116" s="23">
        <v>2000</v>
      </c>
      <c r="W116" s="80" t="s">
        <v>1529</v>
      </c>
      <c r="X116" s="24"/>
      <c r="Y116" s="23">
        <v>1</v>
      </c>
      <c r="Z116" s="657"/>
      <c r="AA116" s="990"/>
      <c r="AB116" s="811"/>
      <c r="AC116" s="551"/>
      <c r="AD116" s="551"/>
      <c r="AE116" s="551"/>
      <c r="AG116" s="57"/>
      <c r="AH116" s="57"/>
      <c r="AI116" s="57"/>
      <c r="AJ116" s="57"/>
      <c r="AK116" s="57"/>
      <c r="AL116" s="57"/>
    </row>
    <row r="117" spans="1:38" s="54" customFormat="1" ht="25.5" hidden="1">
      <c r="A117" s="97" t="s">
        <v>191</v>
      </c>
      <c r="B117" s="288" t="s">
        <v>1015</v>
      </c>
      <c r="C117" s="19" t="s">
        <v>143</v>
      </c>
      <c r="D117" s="19" t="s">
        <v>1016</v>
      </c>
      <c r="E117" s="70" t="s">
        <v>163</v>
      </c>
      <c r="F117" s="80" t="s">
        <v>1017</v>
      </c>
      <c r="G117" s="72">
        <v>4332</v>
      </c>
      <c r="H117" s="72">
        <v>4332</v>
      </c>
      <c r="I117" s="72"/>
      <c r="J117" s="72"/>
      <c r="K117" s="72">
        <v>4126</v>
      </c>
      <c r="L117" s="72">
        <f>4332-206</f>
        <v>4126</v>
      </c>
      <c r="M117" s="72"/>
      <c r="N117" s="72">
        <v>2000</v>
      </c>
      <c r="O117" s="72">
        <v>2000</v>
      </c>
      <c r="P117" s="78"/>
      <c r="Q117" s="123">
        <f t="shared" si="43"/>
        <v>2000</v>
      </c>
      <c r="R117" s="123">
        <v>2000</v>
      </c>
      <c r="S117" s="123"/>
      <c r="T117" s="73">
        <f t="shared" si="44"/>
        <v>2000</v>
      </c>
      <c r="U117" s="72"/>
      <c r="V117" s="72">
        <v>2000</v>
      </c>
      <c r="W117" s="1012" t="s">
        <v>1518</v>
      </c>
      <c r="X117" s="80"/>
      <c r="Y117" s="72">
        <v>1</v>
      </c>
      <c r="Z117" s="657"/>
      <c r="AA117" s="990"/>
      <c r="AB117" s="811"/>
      <c r="AC117" s="551"/>
      <c r="AD117" s="551"/>
      <c r="AE117" s="551"/>
      <c r="AG117" s="57"/>
      <c r="AH117" s="57"/>
      <c r="AI117" s="57"/>
      <c r="AJ117" s="57"/>
      <c r="AK117" s="57"/>
      <c r="AL117" s="57"/>
    </row>
    <row r="118" spans="1:38" s="54" customFormat="1" ht="25.5" hidden="1">
      <c r="A118" s="97" t="s">
        <v>195</v>
      </c>
      <c r="B118" s="288" t="s">
        <v>1018</v>
      </c>
      <c r="C118" s="19" t="s">
        <v>143</v>
      </c>
      <c r="D118" s="19" t="s">
        <v>1019</v>
      </c>
      <c r="E118" s="70" t="s">
        <v>154</v>
      </c>
      <c r="F118" s="80" t="s">
        <v>1020</v>
      </c>
      <c r="G118" s="72">
        <v>2253</v>
      </c>
      <c r="H118" s="72">
        <v>2253</v>
      </c>
      <c r="I118" s="72"/>
      <c r="J118" s="72"/>
      <c r="K118" s="72">
        <v>2146</v>
      </c>
      <c r="L118" s="72">
        <f>2253-107</f>
        <v>2146</v>
      </c>
      <c r="M118" s="72"/>
      <c r="N118" s="72">
        <v>2000</v>
      </c>
      <c r="O118" s="72">
        <v>2000</v>
      </c>
      <c r="P118" s="78"/>
      <c r="Q118" s="123">
        <f t="shared" si="43"/>
        <v>2000</v>
      </c>
      <c r="R118" s="123">
        <v>2000</v>
      </c>
      <c r="S118" s="123"/>
      <c r="T118" s="73">
        <f t="shared" si="44"/>
        <v>2000</v>
      </c>
      <c r="U118" s="72"/>
      <c r="V118" s="72">
        <v>2000</v>
      </c>
      <c r="W118" s="1012" t="s">
        <v>1518</v>
      </c>
      <c r="X118" s="80"/>
      <c r="Y118" s="72">
        <v>1</v>
      </c>
      <c r="Z118" s="657"/>
      <c r="AA118" s="990"/>
      <c r="AB118" s="811"/>
      <c r="AC118" s="551"/>
      <c r="AD118" s="551"/>
      <c r="AE118" s="551"/>
      <c r="AG118" s="57"/>
      <c r="AH118" s="57"/>
      <c r="AI118" s="57"/>
      <c r="AJ118" s="57"/>
      <c r="AK118" s="57"/>
      <c r="AL118" s="57"/>
    </row>
    <row r="119" spans="1:38" s="54" customFormat="1" ht="30" hidden="1">
      <c r="A119" s="97" t="s">
        <v>590</v>
      </c>
      <c r="B119" s="68" t="s">
        <v>1021</v>
      </c>
      <c r="C119" s="19" t="s">
        <v>71</v>
      </c>
      <c r="D119" s="19" t="s">
        <v>1022</v>
      </c>
      <c r="E119" s="70" t="s">
        <v>154</v>
      </c>
      <c r="F119" s="80" t="s">
        <v>1023</v>
      </c>
      <c r="G119" s="23">
        <v>5450</v>
      </c>
      <c r="H119" s="23">
        <v>5450</v>
      </c>
      <c r="I119" s="23">
        <f t="shared" ref="I119:I130" si="45">+J119</f>
        <v>240</v>
      </c>
      <c r="J119" s="23">
        <v>240</v>
      </c>
      <c r="K119" s="23">
        <v>5450</v>
      </c>
      <c r="L119" s="23">
        <v>5450</v>
      </c>
      <c r="M119" s="23"/>
      <c r="N119" s="23">
        <v>2000</v>
      </c>
      <c r="O119" s="23">
        <v>2000</v>
      </c>
      <c r="P119" s="78"/>
      <c r="Q119" s="860">
        <f t="shared" si="43"/>
        <v>2000</v>
      </c>
      <c r="R119" s="860"/>
      <c r="S119" s="860">
        <v>2000</v>
      </c>
      <c r="T119" s="73">
        <f t="shared" si="44"/>
        <v>2000</v>
      </c>
      <c r="U119" s="23"/>
      <c r="V119" s="23">
        <v>2000</v>
      </c>
      <c r="W119" s="80" t="s">
        <v>1516</v>
      </c>
      <c r="X119" s="80"/>
      <c r="Y119" s="23">
        <v>1</v>
      </c>
      <c r="Z119" s="657"/>
      <c r="AA119" s="990"/>
      <c r="AB119" s="811"/>
      <c r="AC119" s="551"/>
      <c r="AD119" s="551"/>
      <c r="AE119" s="551"/>
      <c r="AG119" s="57"/>
      <c r="AH119" s="57"/>
      <c r="AI119" s="57"/>
      <c r="AJ119" s="57"/>
      <c r="AK119" s="57"/>
      <c r="AL119" s="57"/>
    </row>
    <row r="120" spans="1:38" s="54" customFormat="1" ht="30" hidden="1">
      <c r="A120" s="97" t="s">
        <v>591</v>
      </c>
      <c r="B120" s="68" t="s">
        <v>1024</v>
      </c>
      <c r="C120" s="19" t="s">
        <v>66</v>
      </c>
      <c r="D120" s="19" t="s">
        <v>1025</v>
      </c>
      <c r="E120" s="70" t="s">
        <v>154</v>
      </c>
      <c r="F120" s="80" t="s">
        <v>1026</v>
      </c>
      <c r="G120" s="23">
        <v>6705</v>
      </c>
      <c r="H120" s="23">
        <v>6705</v>
      </c>
      <c r="I120" s="23">
        <f t="shared" si="45"/>
        <v>200</v>
      </c>
      <c r="J120" s="23">
        <v>200</v>
      </c>
      <c r="K120" s="23">
        <v>6705</v>
      </c>
      <c r="L120" s="23">
        <v>6705</v>
      </c>
      <c r="M120" s="23"/>
      <c r="N120" s="23">
        <v>2000</v>
      </c>
      <c r="O120" s="23">
        <v>2000</v>
      </c>
      <c r="P120" s="78"/>
      <c r="Q120" s="860">
        <f t="shared" si="43"/>
        <v>2000</v>
      </c>
      <c r="R120" s="860"/>
      <c r="S120" s="860">
        <v>2000</v>
      </c>
      <c r="T120" s="73">
        <f t="shared" si="44"/>
        <v>2000</v>
      </c>
      <c r="U120" s="23"/>
      <c r="V120" s="23">
        <v>2000</v>
      </c>
      <c r="W120" s="80" t="s">
        <v>1526</v>
      </c>
      <c r="X120" s="24"/>
      <c r="Y120" s="23">
        <v>1</v>
      </c>
      <c r="Z120" s="657"/>
      <c r="AA120" s="990"/>
      <c r="AB120" s="811"/>
      <c r="AC120" s="551"/>
      <c r="AD120" s="551"/>
      <c r="AE120" s="551"/>
      <c r="AG120" s="57"/>
      <c r="AH120" s="57"/>
      <c r="AI120" s="57"/>
      <c r="AJ120" s="57"/>
      <c r="AK120" s="57"/>
      <c r="AL120" s="57"/>
    </row>
    <row r="121" spans="1:38" s="54" customFormat="1" ht="45" hidden="1">
      <c r="A121" s="97" t="s">
        <v>916</v>
      </c>
      <c r="B121" s="68" t="s">
        <v>1027</v>
      </c>
      <c r="C121" s="19" t="s">
        <v>260</v>
      </c>
      <c r="D121" s="19" t="s">
        <v>1684</v>
      </c>
      <c r="E121" s="70" t="s">
        <v>154</v>
      </c>
      <c r="F121" s="80" t="s">
        <v>1029</v>
      </c>
      <c r="G121" s="23">
        <v>6197</v>
      </c>
      <c r="H121" s="23">
        <v>6197</v>
      </c>
      <c r="I121" s="23">
        <f t="shared" si="45"/>
        <v>230</v>
      </c>
      <c r="J121" s="23">
        <v>230</v>
      </c>
      <c r="K121" s="23">
        <v>6197</v>
      </c>
      <c r="L121" s="23">
        <v>6197</v>
      </c>
      <c r="M121" s="23"/>
      <c r="N121" s="23">
        <v>2000</v>
      </c>
      <c r="O121" s="23">
        <v>2000</v>
      </c>
      <c r="P121" s="78"/>
      <c r="Q121" s="860">
        <f t="shared" si="43"/>
        <v>2000</v>
      </c>
      <c r="R121" s="860"/>
      <c r="S121" s="860">
        <v>2000</v>
      </c>
      <c r="T121" s="73">
        <f t="shared" si="44"/>
        <v>2000</v>
      </c>
      <c r="U121" s="23"/>
      <c r="V121" s="23">
        <v>2000</v>
      </c>
      <c r="W121" s="80" t="s">
        <v>1552</v>
      </c>
      <c r="X121" s="80"/>
      <c r="Y121" s="23">
        <v>1</v>
      </c>
      <c r="Z121" s="657"/>
      <c r="AA121" s="990"/>
      <c r="AB121" s="811"/>
      <c r="AC121" s="551"/>
      <c r="AD121" s="551"/>
      <c r="AE121" s="551"/>
      <c r="AG121" s="57"/>
      <c r="AH121" s="57"/>
      <c r="AI121" s="57"/>
      <c r="AJ121" s="57"/>
      <c r="AK121" s="57"/>
      <c r="AL121" s="57"/>
    </row>
    <row r="122" spans="1:38" s="54" customFormat="1" ht="25.5" hidden="1">
      <c r="A122" s="97" t="s">
        <v>919</v>
      </c>
      <c r="B122" s="68" t="s">
        <v>1030</v>
      </c>
      <c r="C122" s="19" t="s">
        <v>260</v>
      </c>
      <c r="D122" s="19" t="s">
        <v>1685</v>
      </c>
      <c r="E122" s="70" t="s">
        <v>154</v>
      </c>
      <c r="F122" s="80" t="s">
        <v>1031</v>
      </c>
      <c r="G122" s="23">
        <v>4369</v>
      </c>
      <c r="H122" s="23">
        <v>4369</v>
      </c>
      <c r="I122" s="23">
        <f t="shared" si="45"/>
        <v>180</v>
      </c>
      <c r="J122" s="23">
        <v>180</v>
      </c>
      <c r="K122" s="23">
        <v>4369</v>
      </c>
      <c r="L122" s="23">
        <v>4369</v>
      </c>
      <c r="M122" s="23"/>
      <c r="N122" s="23">
        <v>2000</v>
      </c>
      <c r="O122" s="23">
        <v>2000</v>
      </c>
      <c r="P122" s="78"/>
      <c r="Q122" s="860">
        <f t="shared" si="43"/>
        <v>2000</v>
      </c>
      <c r="R122" s="860"/>
      <c r="S122" s="860">
        <v>2000</v>
      </c>
      <c r="T122" s="73">
        <f t="shared" si="44"/>
        <v>2000</v>
      </c>
      <c r="U122" s="23"/>
      <c r="V122" s="23">
        <v>2000</v>
      </c>
      <c r="W122" s="80" t="s">
        <v>1552</v>
      </c>
      <c r="X122" s="80"/>
      <c r="Y122" s="23">
        <v>1</v>
      </c>
      <c r="Z122" s="657"/>
      <c r="AA122" s="990"/>
      <c r="AB122" s="811"/>
      <c r="AC122" s="551"/>
      <c r="AD122" s="551"/>
      <c r="AE122" s="551"/>
      <c r="AG122" s="57"/>
      <c r="AH122" s="57"/>
      <c r="AI122" s="57"/>
      <c r="AJ122" s="57"/>
      <c r="AK122" s="57"/>
      <c r="AL122" s="57"/>
    </row>
    <row r="123" spans="1:38" s="54" customFormat="1" ht="25.5" hidden="1">
      <c r="A123" s="97" t="s">
        <v>671</v>
      </c>
      <c r="B123" s="68" t="s">
        <v>1032</v>
      </c>
      <c r="C123" s="19" t="s">
        <v>260</v>
      </c>
      <c r="D123" s="19" t="s">
        <v>1686</v>
      </c>
      <c r="E123" s="70" t="s">
        <v>154</v>
      </c>
      <c r="F123" s="80" t="s">
        <v>1033</v>
      </c>
      <c r="G123" s="23">
        <v>5639</v>
      </c>
      <c r="H123" s="23">
        <v>5539</v>
      </c>
      <c r="I123" s="23">
        <f t="shared" si="45"/>
        <v>100</v>
      </c>
      <c r="J123" s="23">
        <v>100</v>
      </c>
      <c r="K123" s="23">
        <v>5639</v>
      </c>
      <c r="L123" s="23">
        <v>5539</v>
      </c>
      <c r="M123" s="23"/>
      <c r="N123" s="23">
        <v>5000</v>
      </c>
      <c r="O123" s="23">
        <v>5000</v>
      </c>
      <c r="P123" s="78"/>
      <c r="Q123" s="828">
        <f t="shared" si="43"/>
        <v>2800</v>
      </c>
      <c r="R123" s="860"/>
      <c r="S123" s="860">
        <v>2800</v>
      </c>
      <c r="T123" s="73">
        <f t="shared" si="44"/>
        <v>2800</v>
      </c>
      <c r="U123" s="23"/>
      <c r="V123" s="23">
        <v>2800</v>
      </c>
      <c r="W123" s="80" t="s">
        <v>1552</v>
      </c>
      <c r="X123" s="24"/>
      <c r="Y123" s="23">
        <v>1</v>
      </c>
      <c r="Z123" s="657"/>
      <c r="AA123" s="990"/>
      <c r="AB123" s="811"/>
      <c r="AC123" s="551"/>
      <c r="AD123" s="551"/>
      <c r="AE123" s="551"/>
      <c r="AG123" s="57"/>
      <c r="AH123" s="57"/>
      <c r="AI123" s="57"/>
      <c r="AJ123" s="57"/>
      <c r="AK123" s="57"/>
      <c r="AL123" s="57"/>
    </row>
    <row r="124" spans="1:38" s="54" customFormat="1" ht="25.5" hidden="1">
      <c r="A124" s="97" t="s">
        <v>1041</v>
      </c>
      <c r="B124" s="68" t="s">
        <v>1034</v>
      </c>
      <c r="C124" s="19" t="s">
        <v>260</v>
      </c>
      <c r="D124" s="19" t="s">
        <v>1687</v>
      </c>
      <c r="E124" s="70" t="s">
        <v>154</v>
      </c>
      <c r="F124" s="80" t="s">
        <v>1035</v>
      </c>
      <c r="G124" s="23">
        <v>6961</v>
      </c>
      <c r="H124" s="23">
        <v>6961</v>
      </c>
      <c r="I124" s="23">
        <f t="shared" si="45"/>
        <v>100</v>
      </c>
      <c r="J124" s="23">
        <v>100</v>
      </c>
      <c r="K124" s="23">
        <v>6961</v>
      </c>
      <c r="L124" s="23">
        <v>6961</v>
      </c>
      <c r="M124" s="23"/>
      <c r="N124" s="23">
        <v>5000</v>
      </c>
      <c r="O124" s="23">
        <v>5000</v>
      </c>
      <c r="P124" s="78"/>
      <c r="Q124" s="828">
        <f t="shared" si="43"/>
        <v>3000</v>
      </c>
      <c r="R124" s="860"/>
      <c r="S124" s="860">
        <v>3000</v>
      </c>
      <c r="T124" s="73">
        <f t="shared" si="44"/>
        <v>3000</v>
      </c>
      <c r="U124" s="23"/>
      <c r="V124" s="23">
        <v>3000</v>
      </c>
      <c r="W124" s="80" t="s">
        <v>1552</v>
      </c>
      <c r="X124" s="24"/>
      <c r="Y124" s="23">
        <v>1</v>
      </c>
      <c r="Z124" s="657"/>
      <c r="AA124" s="990"/>
      <c r="AB124" s="811"/>
      <c r="AC124" s="551"/>
      <c r="AD124" s="551"/>
      <c r="AE124" s="551"/>
      <c r="AG124" s="57"/>
      <c r="AH124" s="57"/>
      <c r="AI124" s="57"/>
      <c r="AJ124" s="57"/>
      <c r="AK124" s="57"/>
      <c r="AL124" s="57"/>
    </row>
    <row r="125" spans="1:38" s="54" customFormat="1" ht="45" hidden="1">
      <c r="A125" s="97" t="s">
        <v>1044</v>
      </c>
      <c r="B125" s="68" t="s">
        <v>1036</v>
      </c>
      <c r="C125" s="19" t="s">
        <v>29</v>
      </c>
      <c r="D125" s="19" t="s">
        <v>1688</v>
      </c>
      <c r="E125" s="70" t="s">
        <v>154</v>
      </c>
      <c r="F125" s="80" t="s">
        <v>1689</v>
      </c>
      <c r="G125" s="23">
        <v>5670</v>
      </c>
      <c r="H125" s="23">
        <v>5670</v>
      </c>
      <c r="I125" s="23">
        <f t="shared" si="45"/>
        <v>273</v>
      </c>
      <c r="J125" s="23">
        <v>273</v>
      </c>
      <c r="K125" s="23">
        <v>5670</v>
      </c>
      <c r="L125" s="23">
        <v>5670</v>
      </c>
      <c r="M125" s="23"/>
      <c r="N125" s="23">
        <v>2000</v>
      </c>
      <c r="O125" s="23">
        <v>2000</v>
      </c>
      <c r="P125" s="78"/>
      <c r="Q125" s="828">
        <f t="shared" si="43"/>
        <v>2000</v>
      </c>
      <c r="R125" s="860"/>
      <c r="S125" s="860">
        <v>2000</v>
      </c>
      <c r="T125" s="73">
        <f t="shared" si="44"/>
        <v>2000</v>
      </c>
      <c r="U125" s="23"/>
      <c r="V125" s="23">
        <v>2000</v>
      </c>
      <c r="W125" s="80" t="s">
        <v>1527</v>
      </c>
      <c r="X125" s="24"/>
      <c r="Y125" s="23">
        <v>1</v>
      </c>
      <c r="Z125" s="657"/>
      <c r="AA125" s="990"/>
      <c r="AB125" s="811"/>
      <c r="AC125" s="551"/>
      <c r="AD125" s="551"/>
      <c r="AE125" s="551"/>
      <c r="AG125" s="57"/>
      <c r="AH125" s="57"/>
      <c r="AI125" s="57"/>
      <c r="AJ125" s="57"/>
      <c r="AK125" s="57"/>
      <c r="AL125" s="57"/>
    </row>
    <row r="126" spans="1:38" s="54" customFormat="1" ht="25.5" hidden="1">
      <c r="A126" s="97" t="s">
        <v>1189</v>
      </c>
      <c r="B126" s="68" t="s">
        <v>1037</v>
      </c>
      <c r="C126" s="19" t="s">
        <v>173</v>
      </c>
      <c r="D126" s="19" t="s">
        <v>1690</v>
      </c>
      <c r="E126" s="70" t="s">
        <v>166</v>
      </c>
      <c r="F126" s="80" t="s">
        <v>1038</v>
      </c>
      <c r="G126" s="23">
        <v>5237</v>
      </c>
      <c r="H126" s="23">
        <v>5237</v>
      </c>
      <c r="I126" s="23">
        <f t="shared" si="45"/>
        <v>150</v>
      </c>
      <c r="J126" s="23">
        <v>150</v>
      </c>
      <c r="K126" s="23">
        <v>5237</v>
      </c>
      <c r="L126" s="23">
        <v>5237</v>
      </c>
      <c r="M126" s="23"/>
      <c r="N126" s="23">
        <v>3000</v>
      </c>
      <c r="O126" s="23">
        <v>3000</v>
      </c>
      <c r="P126" s="78"/>
      <c r="Q126" s="828">
        <f t="shared" si="43"/>
        <v>2500</v>
      </c>
      <c r="R126" s="860"/>
      <c r="S126" s="860">
        <v>2500</v>
      </c>
      <c r="T126" s="73">
        <f t="shared" si="44"/>
        <v>2500</v>
      </c>
      <c r="U126" s="23"/>
      <c r="V126" s="23">
        <v>2500</v>
      </c>
      <c r="W126" s="80" t="s">
        <v>1551</v>
      </c>
      <c r="X126" s="24"/>
      <c r="Y126" s="23">
        <v>1</v>
      </c>
      <c r="Z126" s="657"/>
      <c r="AA126" s="990"/>
      <c r="AB126" s="811"/>
      <c r="AC126" s="551"/>
      <c r="AD126" s="551"/>
      <c r="AE126" s="551"/>
      <c r="AG126" s="57"/>
      <c r="AH126" s="57"/>
      <c r="AI126" s="57"/>
      <c r="AJ126" s="57"/>
      <c r="AK126" s="57"/>
      <c r="AL126" s="57"/>
    </row>
    <row r="127" spans="1:38" s="54" customFormat="1" ht="25.5" hidden="1">
      <c r="A127" s="97" t="s">
        <v>1194</v>
      </c>
      <c r="B127" s="68" t="s">
        <v>1039</v>
      </c>
      <c r="C127" s="19" t="s">
        <v>5</v>
      </c>
      <c r="D127" s="19" t="s">
        <v>1691</v>
      </c>
      <c r="E127" s="70" t="s">
        <v>154</v>
      </c>
      <c r="F127" s="80" t="s">
        <v>1040</v>
      </c>
      <c r="G127" s="23">
        <v>4927</v>
      </c>
      <c r="H127" s="23">
        <v>4927</v>
      </c>
      <c r="I127" s="23">
        <f t="shared" si="45"/>
        <v>100</v>
      </c>
      <c r="J127" s="23">
        <v>100</v>
      </c>
      <c r="K127" s="23">
        <v>4927</v>
      </c>
      <c r="L127" s="23">
        <v>4927</v>
      </c>
      <c r="M127" s="23"/>
      <c r="N127" s="23">
        <v>2000</v>
      </c>
      <c r="O127" s="23">
        <v>2000</v>
      </c>
      <c r="P127" s="78"/>
      <c r="Q127" s="123">
        <f t="shared" si="43"/>
        <v>2000</v>
      </c>
      <c r="R127" s="860">
        <v>2000</v>
      </c>
      <c r="S127" s="860"/>
      <c r="T127" s="73">
        <f t="shared" si="44"/>
        <v>2000</v>
      </c>
      <c r="U127" s="23"/>
      <c r="V127" s="23">
        <v>2000</v>
      </c>
      <c r="W127" s="80" t="s">
        <v>1521</v>
      </c>
      <c r="X127" s="80"/>
      <c r="Y127" s="23">
        <v>1</v>
      </c>
      <c r="Z127" s="657"/>
      <c r="AA127" s="990"/>
      <c r="AB127" s="811"/>
      <c r="AC127" s="551"/>
      <c r="AD127" s="551"/>
      <c r="AE127" s="551"/>
      <c r="AG127" s="57"/>
      <c r="AH127" s="57"/>
      <c r="AI127" s="57"/>
      <c r="AJ127" s="57"/>
      <c r="AK127" s="57"/>
      <c r="AL127" s="57"/>
    </row>
    <row r="128" spans="1:38" s="54" customFormat="1" ht="25.5" hidden="1">
      <c r="A128" s="97" t="s">
        <v>1195</v>
      </c>
      <c r="B128" s="68" t="s">
        <v>1042</v>
      </c>
      <c r="C128" s="19" t="s">
        <v>5</v>
      </c>
      <c r="D128" s="19" t="s">
        <v>1692</v>
      </c>
      <c r="E128" s="70" t="s">
        <v>154</v>
      </c>
      <c r="F128" s="80" t="s">
        <v>1043</v>
      </c>
      <c r="G128" s="23">
        <v>4648</v>
      </c>
      <c r="H128" s="23">
        <v>4648</v>
      </c>
      <c r="I128" s="23">
        <f t="shared" si="45"/>
        <v>100</v>
      </c>
      <c r="J128" s="23">
        <v>100</v>
      </c>
      <c r="K128" s="23">
        <v>4648</v>
      </c>
      <c r="L128" s="23">
        <v>4648</v>
      </c>
      <c r="M128" s="23"/>
      <c r="N128" s="23">
        <v>2000</v>
      </c>
      <c r="O128" s="23">
        <v>2000</v>
      </c>
      <c r="P128" s="78"/>
      <c r="Q128" s="123">
        <f t="shared" si="43"/>
        <v>2000</v>
      </c>
      <c r="R128" s="860">
        <v>2000</v>
      </c>
      <c r="S128" s="860"/>
      <c r="T128" s="73">
        <f t="shared" si="44"/>
        <v>2000</v>
      </c>
      <c r="U128" s="23"/>
      <c r="V128" s="23">
        <v>2000</v>
      </c>
      <c r="W128" s="80" t="s">
        <v>1521</v>
      </c>
      <c r="X128" s="80"/>
      <c r="Y128" s="23">
        <v>1</v>
      </c>
      <c r="Z128" s="657"/>
      <c r="AA128" s="990"/>
      <c r="AB128" s="811"/>
      <c r="AC128" s="551"/>
      <c r="AD128" s="551"/>
      <c r="AE128" s="551"/>
      <c r="AG128" s="57"/>
      <c r="AH128" s="57"/>
      <c r="AI128" s="57"/>
      <c r="AJ128" s="57"/>
      <c r="AK128" s="57"/>
      <c r="AL128" s="57"/>
    </row>
    <row r="129" spans="1:38" s="54" customFormat="1" ht="30" hidden="1">
      <c r="A129" s="97" t="s">
        <v>1497</v>
      </c>
      <c r="B129" s="68" t="s">
        <v>1045</v>
      </c>
      <c r="C129" s="19" t="s">
        <v>5</v>
      </c>
      <c r="D129" s="19" t="s">
        <v>1693</v>
      </c>
      <c r="E129" s="70" t="s">
        <v>154</v>
      </c>
      <c r="F129" s="80" t="s">
        <v>1046</v>
      </c>
      <c r="G129" s="23">
        <v>1912</v>
      </c>
      <c r="H129" s="23">
        <v>1912</v>
      </c>
      <c r="I129" s="23">
        <f t="shared" si="45"/>
        <v>100</v>
      </c>
      <c r="J129" s="23">
        <v>100</v>
      </c>
      <c r="K129" s="23">
        <v>1912</v>
      </c>
      <c r="L129" s="23">
        <v>1912</v>
      </c>
      <c r="M129" s="23"/>
      <c r="N129" s="23">
        <v>1800</v>
      </c>
      <c r="O129" s="23">
        <v>1800</v>
      </c>
      <c r="P129" s="78"/>
      <c r="Q129" s="123">
        <f t="shared" si="43"/>
        <v>1800</v>
      </c>
      <c r="R129" s="860">
        <v>1800</v>
      </c>
      <c r="S129" s="860"/>
      <c r="T129" s="73">
        <f t="shared" si="44"/>
        <v>1800</v>
      </c>
      <c r="U129" s="23"/>
      <c r="V129" s="23">
        <v>1800</v>
      </c>
      <c r="W129" s="80" t="s">
        <v>1521</v>
      </c>
      <c r="X129" s="80"/>
      <c r="Y129" s="23">
        <v>1</v>
      </c>
      <c r="Z129" s="657"/>
      <c r="AA129" s="990"/>
      <c r="AB129" s="811"/>
      <c r="AC129" s="551"/>
      <c r="AD129" s="551"/>
      <c r="AE129" s="551"/>
      <c r="AG129" s="57"/>
      <c r="AH129" s="57"/>
      <c r="AI129" s="57"/>
      <c r="AJ129" s="57"/>
      <c r="AK129" s="57"/>
      <c r="AL129" s="57"/>
    </row>
    <row r="130" spans="1:38" s="54" customFormat="1" ht="25.5" hidden="1">
      <c r="A130" s="97" t="s">
        <v>1498</v>
      </c>
      <c r="B130" s="68" t="s">
        <v>914</v>
      </c>
      <c r="C130" s="19" t="s">
        <v>60</v>
      </c>
      <c r="D130" s="19" t="s">
        <v>915</v>
      </c>
      <c r="E130" s="70" t="s">
        <v>154</v>
      </c>
      <c r="F130" s="80" t="s">
        <v>1511</v>
      </c>
      <c r="G130" s="23">
        <v>6478</v>
      </c>
      <c r="H130" s="23">
        <v>6478</v>
      </c>
      <c r="I130" s="23">
        <f t="shared" si="45"/>
        <v>100</v>
      </c>
      <c r="J130" s="23">
        <v>100</v>
      </c>
      <c r="K130" s="23">
        <v>6478</v>
      </c>
      <c r="L130" s="23">
        <v>6478</v>
      </c>
      <c r="M130" s="23"/>
      <c r="N130" s="23">
        <v>2000</v>
      </c>
      <c r="O130" s="72">
        <v>2000</v>
      </c>
      <c r="P130" s="78"/>
      <c r="Q130" s="123">
        <f t="shared" si="43"/>
        <v>2000</v>
      </c>
      <c r="R130" s="860">
        <v>2000</v>
      </c>
      <c r="S130" s="860"/>
      <c r="T130" s="73">
        <f t="shared" si="44"/>
        <v>2000</v>
      </c>
      <c r="U130" s="23"/>
      <c r="V130" s="23">
        <v>2000</v>
      </c>
      <c r="W130" s="513" t="s">
        <v>1517</v>
      </c>
      <c r="X130" s="80"/>
      <c r="Y130" s="23">
        <v>1</v>
      </c>
      <c r="Z130" s="657"/>
      <c r="AA130" s="990"/>
      <c r="AB130" s="811"/>
      <c r="AC130" s="551"/>
      <c r="AD130" s="551"/>
      <c r="AE130" s="551"/>
      <c r="AG130" s="57"/>
      <c r="AH130" s="57"/>
      <c r="AI130" s="57"/>
      <c r="AJ130" s="57"/>
      <c r="AK130" s="57"/>
      <c r="AL130" s="57"/>
    </row>
    <row r="131" spans="1:38" s="54" customFormat="1" ht="51" hidden="1">
      <c r="A131" s="97" t="s">
        <v>1512</v>
      </c>
      <c r="B131" s="68" t="s">
        <v>1188</v>
      </c>
      <c r="C131" s="19" t="s">
        <v>648</v>
      </c>
      <c r="D131" s="19"/>
      <c r="E131" s="70" t="s">
        <v>313</v>
      </c>
      <c r="F131" s="80"/>
      <c r="G131" s="23"/>
      <c r="H131" s="23">
        <v>618</v>
      </c>
      <c r="I131" s="23"/>
      <c r="J131" s="23"/>
      <c r="K131" s="23">
        <v>618</v>
      </c>
      <c r="L131" s="23">
        <v>618</v>
      </c>
      <c r="M131" s="23"/>
      <c r="N131" s="72">
        <v>131</v>
      </c>
      <c r="O131" s="23">
        <v>131</v>
      </c>
      <c r="P131" s="23"/>
      <c r="Q131" s="123">
        <v>131</v>
      </c>
      <c r="R131" s="860"/>
      <c r="S131" s="860">
        <v>131</v>
      </c>
      <c r="T131" s="73">
        <f t="shared" si="44"/>
        <v>131</v>
      </c>
      <c r="U131" s="23"/>
      <c r="V131" s="23">
        <v>131</v>
      </c>
      <c r="W131" s="80" t="s">
        <v>1550</v>
      </c>
      <c r="X131" s="80" t="s">
        <v>1196</v>
      </c>
      <c r="Y131" s="23">
        <v>1</v>
      </c>
      <c r="Z131" s="657"/>
      <c r="AA131" s="990"/>
      <c r="AB131" s="811"/>
      <c r="AC131" s="551"/>
      <c r="AD131" s="551"/>
      <c r="AE131" s="551"/>
      <c r="AG131" s="57"/>
      <c r="AH131" s="57"/>
      <c r="AI131" s="57"/>
      <c r="AJ131" s="57"/>
      <c r="AK131" s="57"/>
      <c r="AL131" s="57"/>
    </row>
    <row r="132" spans="1:38" s="623" customFormat="1" ht="23.25" customHeight="1">
      <c r="A132" s="630" t="s">
        <v>806</v>
      </c>
      <c r="B132" s="618" t="s">
        <v>1148</v>
      </c>
      <c r="C132" s="625"/>
      <c r="D132" s="625"/>
      <c r="E132" s="626"/>
      <c r="F132" s="690"/>
      <c r="G132" s="636">
        <f t="shared" ref="G132:U132" si="46">SUM(G133)</f>
        <v>132911</v>
      </c>
      <c r="H132" s="636">
        <f t="shared" si="46"/>
        <v>65851.600000000006</v>
      </c>
      <c r="I132" s="636">
        <f t="shared" si="46"/>
        <v>22152</v>
      </c>
      <c r="J132" s="636">
        <f t="shared" si="46"/>
        <v>20472</v>
      </c>
      <c r="K132" s="636">
        <f t="shared" si="46"/>
        <v>126405.4</v>
      </c>
      <c r="L132" s="636">
        <f t="shared" si="46"/>
        <v>62324.6</v>
      </c>
      <c r="M132" s="636">
        <f t="shared" si="46"/>
        <v>0</v>
      </c>
      <c r="N132" s="636">
        <f t="shared" si="46"/>
        <v>75607.3</v>
      </c>
      <c r="O132" s="636">
        <f t="shared" si="46"/>
        <v>29113</v>
      </c>
      <c r="P132" s="636">
        <f t="shared" si="46"/>
        <v>0</v>
      </c>
      <c r="Q132" s="636">
        <f t="shared" si="46"/>
        <v>27165</v>
      </c>
      <c r="R132" s="636">
        <f t="shared" si="46"/>
        <v>0</v>
      </c>
      <c r="S132" s="636">
        <f t="shared" si="46"/>
        <v>27165</v>
      </c>
      <c r="T132" s="636">
        <f t="shared" si="46"/>
        <v>33465</v>
      </c>
      <c r="U132" s="636">
        <f t="shared" si="46"/>
        <v>0</v>
      </c>
      <c r="V132" s="636">
        <f>SUM(V133)</f>
        <v>33465</v>
      </c>
      <c r="W132" s="690"/>
      <c r="X132" s="690"/>
      <c r="Y132" s="636">
        <f>SUM(Y133)</f>
        <v>7</v>
      </c>
      <c r="Z132" s="659"/>
      <c r="AA132" s="998"/>
      <c r="AB132" s="983"/>
      <c r="AC132" s="637"/>
      <c r="AD132" s="637"/>
      <c r="AE132" s="637"/>
      <c r="AF132" s="638"/>
      <c r="AG132" s="637"/>
      <c r="AH132" s="637"/>
      <c r="AI132" s="637"/>
      <c r="AJ132" s="637"/>
      <c r="AK132" s="637"/>
      <c r="AL132" s="637"/>
    </row>
    <row r="133" spans="1:38" s="266" customFormat="1">
      <c r="A133" s="82" t="s">
        <v>499</v>
      </c>
      <c r="B133" s="197" t="s">
        <v>31</v>
      </c>
      <c r="C133" s="635"/>
      <c r="D133" s="635"/>
      <c r="E133" s="44"/>
      <c r="F133" s="1012"/>
      <c r="G133" s="45">
        <f t="shared" ref="G133:V133" si="47">SUM(G134,G136,G142)</f>
        <v>132911</v>
      </c>
      <c r="H133" s="45">
        <f t="shared" si="47"/>
        <v>65851.600000000006</v>
      </c>
      <c r="I133" s="45">
        <f t="shared" si="47"/>
        <v>22152</v>
      </c>
      <c r="J133" s="45">
        <f t="shared" si="47"/>
        <v>20472</v>
      </c>
      <c r="K133" s="45">
        <f t="shared" si="47"/>
        <v>126405.4</v>
      </c>
      <c r="L133" s="45">
        <f t="shared" si="47"/>
        <v>62324.6</v>
      </c>
      <c r="M133" s="45">
        <f t="shared" si="47"/>
        <v>0</v>
      </c>
      <c r="N133" s="45">
        <f t="shared" si="47"/>
        <v>75607.3</v>
      </c>
      <c r="O133" s="45">
        <f t="shared" si="47"/>
        <v>29113</v>
      </c>
      <c r="P133" s="45">
        <f t="shared" si="47"/>
        <v>0</v>
      </c>
      <c r="Q133" s="827">
        <f t="shared" si="47"/>
        <v>27165</v>
      </c>
      <c r="R133" s="827">
        <f t="shared" si="47"/>
        <v>0</v>
      </c>
      <c r="S133" s="827">
        <f t="shared" si="47"/>
        <v>27165</v>
      </c>
      <c r="T133" s="45">
        <f t="shared" si="47"/>
        <v>33465</v>
      </c>
      <c r="U133" s="45">
        <f t="shared" si="47"/>
        <v>0</v>
      </c>
      <c r="V133" s="45">
        <f t="shared" si="47"/>
        <v>33465</v>
      </c>
      <c r="W133" s="352"/>
      <c r="X133" s="352"/>
      <c r="Y133" s="45">
        <f>SUM(Y134,Y136,Y142)</f>
        <v>7</v>
      </c>
      <c r="Z133" s="657"/>
      <c r="AA133" s="990"/>
      <c r="AB133" s="811"/>
      <c r="AC133" s="551"/>
      <c r="AD133" s="551"/>
      <c r="AE133" s="551"/>
      <c r="AG133" s="265"/>
      <c r="AH133" s="265"/>
      <c r="AI133" s="265"/>
      <c r="AJ133" s="265"/>
      <c r="AK133" s="265"/>
      <c r="AL133" s="265"/>
    </row>
    <row r="134" spans="1:38" s="54" customFormat="1" ht="28.5">
      <c r="A134" s="158" t="s">
        <v>32</v>
      </c>
      <c r="B134" s="159" t="s">
        <v>33</v>
      </c>
      <c r="C134" s="160"/>
      <c r="D134" s="160"/>
      <c r="E134" s="161"/>
      <c r="F134" s="699"/>
      <c r="G134" s="90">
        <f t="shared" ref="G134:V134" si="48">G135</f>
        <v>17604</v>
      </c>
      <c r="H134" s="90">
        <f t="shared" si="48"/>
        <v>6223</v>
      </c>
      <c r="I134" s="90">
        <f t="shared" si="48"/>
        <v>4692</v>
      </c>
      <c r="J134" s="90">
        <f t="shared" si="48"/>
        <v>3972</v>
      </c>
      <c r="K134" s="90">
        <f t="shared" si="48"/>
        <v>12912</v>
      </c>
      <c r="L134" s="90">
        <f t="shared" si="48"/>
        <v>2251</v>
      </c>
      <c r="M134" s="90">
        <f t="shared" si="48"/>
        <v>0</v>
      </c>
      <c r="N134" s="90">
        <f t="shared" si="48"/>
        <v>12900</v>
      </c>
      <c r="O134" s="90">
        <f t="shared" si="48"/>
        <v>2250</v>
      </c>
      <c r="P134" s="90">
        <f t="shared" si="48"/>
        <v>0</v>
      </c>
      <c r="Q134" s="829">
        <f t="shared" si="48"/>
        <v>2250</v>
      </c>
      <c r="R134" s="829">
        <f t="shared" si="48"/>
        <v>0</v>
      </c>
      <c r="S134" s="829">
        <f t="shared" si="48"/>
        <v>2250</v>
      </c>
      <c r="T134" s="90">
        <f t="shared" si="48"/>
        <v>2250</v>
      </c>
      <c r="U134" s="90">
        <f t="shared" si="48"/>
        <v>0</v>
      </c>
      <c r="V134" s="90">
        <f t="shared" si="48"/>
        <v>2250</v>
      </c>
      <c r="W134" s="699"/>
      <c r="X134" s="699"/>
      <c r="Y134" s="90">
        <f>Y135</f>
        <v>1</v>
      </c>
      <c r="Z134" s="657"/>
      <c r="AA134" s="990"/>
      <c r="AB134" s="811"/>
      <c r="AC134" s="551"/>
      <c r="AD134" s="551"/>
      <c r="AE134" s="551"/>
      <c r="AG134" s="57"/>
      <c r="AH134" s="57"/>
      <c r="AI134" s="57"/>
      <c r="AJ134" s="57"/>
      <c r="AK134" s="57"/>
      <c r="AL134" s="57"/>
    </row>
    <row r="135" spans="1:38" s="54" customFormat="1" ht="30">
      <c r="A135" s="97" t="s">
        <v>27</v>
      </c>
      <c r="B135" s="68" t="s">
        <v>596</v>
      </c>
      <c r="C135" s="101" t="s">
        <v>112</v>
      </c>
      <c r="D135" s="19" t="s">
        <v>597</v>
      </c>
      <c r="E135" s="70" t="s">
        <v>114</v>
      </c>
      <c r="F135" s="80" t="s">
        <v>598</v>
      </c>
      <c r="G135" s="23">
        <v>17604</v>
      </c>
      <c r="H135" s="23">
        <v>6223</v>
      </c>
      <c r="I135" s="175">
        <f>J135+720</f>
        <v>4692</v>
      </c>
      <c r="J135" s="23">
        <f>3972</f>
        <v>3972</v>
      </c>
      <c r="K135" s="175">
        <f>G135-I135</f>
        <v>12912</v>
      </c>
      <c r="L135" s="175">
        <f>H135-J135</f>
        <v>2251</v>
      </c>
      <c r="M135" s="23"/>
      <c r="N135" s="175">
        <v>12900</v>
      </c>
      <c r="O135" s="175">
        <v>2250</v>
      </c>
      <c r="P135" s="78"/>
      <c r="Q135" s="861">
        <f>SUM(R135:S135)</f>
        <v>2250</v>
      </c>
      <c r="R135" s="861"/>
      <c r="S135" s="861">
        <v>2250</v>
      </c>
      <c r="T135" s="73">
        <f>SUM(U135:V135)</f>
        <v>2250</v>
      </c>
      <c r="U135" s="175"/>
      <c r="V135" s="175">
        <v>2250</v>
      </c>
      <c r="W135" s="100" t="s">
        <v>1529</v>
      </c>
      <c r="X135" s="24"/>
      <c r="Y135" s="175">
        <v>1</v>
      </c>
      <c r="Z135" s="657"/>
      <c r="AA135" s="996">
        <f>V135</f>
        <v>2250</v>
      </c>
      <c r="AB135" s="811"/>
      <c r="AC135" s="551"/>
      <c r="AD135" s="551"/>
      <c r="AE135" s="551"/>
      <c r="AG135" s="57"/>
      <c r="AH135" s="57"/>
      <c r="AI135" s="57"/>
      <c r="AJ135" s="57"/>
      <c r="AK135" s="57"/>
      <c r="AL135" s="57"/>
    </row>
    <row r="136" spans="1:38" s="54" customFormat="1" ht="28.5" customHeight="1">
      <c r="A136" s="64" t="s">
        <v>78</v>
      </c>
      <c r="B136" s="197" t="s">
        <v>611</v>
      </c>
      <c r="C136" s="301"/>
      <c r="D136" s="19"/>
      <c r="E136" s="95"/>
      <c r="F136" s="80"/>
      <c r="G136" s="199">
        <f t="shared" ref="G136:V136" si="49">SUM(G137:G141)</f>
        <v>52189</v>
      </c>
      <c r="H136" s="199">
        <f t="shared" si="49"/>
        <v>26741</v>
      </c>
      <c r="I136" s="199">
        <f t="shared" si="49"/>
        <v>17460</v>
      </c>
      <c r="J136" s="199">
        <f t="shared" si="49"/>
        <v>16500</v>
      </c>
      <c r="K136" s="199">
        <f t="shared" si="49"/>
        <v>51412.3</v>
      </c>
      <c r="L136" s="199">
        <f t="shared" si="49"/>
        <v>26741</v>
      </c>
      <c r="M136" s="199">
        <f t="shared" si="49"/>
        <v>0</v>
      </c>
      <c r="N136" s="199">
        <f t="shared" si="49"/>
        <v>34912.300000000003</v>
      </c>
      <c r="O136" s="199">
        <f t="shared" si="49"/>
        <v>10241</v>
      </c>
      <c r="P136" s="199">
        <f t="shared" si="49"/>
        <v>0</v>
      </c>
      <c r="Q136" s="854">
        <f t="shared" si="49"/>
        <v>8800</v>
      </c>
      <c r="R136" s="854">
        <f t="shared" si="49"/>
        <v>0</v>
      </c>
      <c r="S136" s="854">
        <f t="shared" si="49"/>
        <v>8800</v>
      </c>
      <c r="T136" s="199">
        <f t="shared" si="49"/>
        <v>8800</v>
      </c>
      <c r="U136" s="199">
        <f t="shared" si="49"/>
        <v>0</v>
      </c>
      <c r="V136" s="199">
        <f t="shared" si="49"/>
        <v>8800</v>
      </c>
      <c r="W136" s="732"/>
      <c r="X136" s="732"/>
      <c r="Y136" s="199">
        <f>SUM(Y137:Y141)</f>
        <v>5</v>
      </c>
      <c r="Z136" s="657"/>
      <c r="AA136" s="990"/>
      <c r="AB136" s="811"/>
      <c r="AC136" s="551"/>
      <c r="AD136" s="551"/>
      <c r="AE136" s="551"/>
      <c r="AG136" s="57"/>
      <c r="AH136" s="57"/>
      <c r="AI136" s="57"/>
      <c r="AJ136" s="57"/>
      <c r="AK136" s="57"/>
      <c r="AL136" s="57"/>
    </row>
    <row r="137" spans="1:38" s="54" customFormat="1" ht="30">
      <c r="A137" s="97" t="s">
        <v>41</v>
      </c>
      <c r="B137" s="68" t="s">
        <v>629</v>
      </c>
      <c r="C137" s="101" t="s">
        <v>66</v>
      </c>
      <c r="D137" s="19" t="s">
        <v>630</v>
      </c>
      <c r="E137" s="70" t="s">
        <v>30</v>
      </c>
      <c r="F137" s="80" t="s">
        <v>631</v>
      </c>
      <c r="G137" s="23">
        <v>12384</v>
      </c>
      <c r="H137" s="23">
        <v>5840</v>
      </c>
      <c r="I137" s="175">
        <v>4000</v>
      </c>
      <c r="J137" s="175">
        <v>4000</v>
      </c>
      <c r="K137" s="23">
        <v>12384</v>
      </c>
      <c r="L137" s="23">
        <v>5840</v>
      </c>
      <c r="M137" s="23"/>
      <c r="N137" s="175">
        <v>8384</v>
      </c>
      <c r="O137" s="175">
        <v>1840</v>
      </c>
      <c r="P137" s="78"/>
      <c r="Q137" s="861">
        <f t="shared" ref="Q137:Q141" si="50">SUM(R137:S137)</f>
        <v>1500</v>
      </c>
      <c r="R137" s="861"/>
      <c r="S137" s="861">
        <v>1500</v>
      </c>
      <c r="T137" s="73">
        <f t="shared" ref="T137:T141" si="51">SUM(U137:V137)</f>
        <v>1500</v>
      </c>
      <c r="U137" s="175"/>
      <c r="V137" s="175">
        <v>1500</v>
      </c>
      <c r="W137" s="100" t="s">
        <v>1526</v>
      </c>
      <c r="X137" s="24"/>
      <c r="Y137" s="175">
        <v>1</v>
      </c>
      <c r="Z137" s="657"/>
      <c r="AA137" s="996">
        <f>V137</f>
        <v>1500</v>
      </c>
      <c r="AB137" s="811"/>
      <c r="AC137" s="551"/>
      <c r="AD137" s="551"/>
      <c r="AE137" s="551"/>
      <c r="AG137" s="57"/>
      <c r="AH137" s="57"/>
      <c r="AI137" s="57"/>
      <c r="AJ137" s="57"/>
      <c r="AK137" s="57"/>
      <c r="AL137" s="57"/>
    </row>
    <row r="138" spans="1:38" s="54" customFormat="1" ht="75">
      <c r="A138" s="97" t="s">
        <v>58</v>
      </c>
      <c r="B138" s="68" t="s">
        <v>615</v>
      </c>
      <c r="C138" s="101" t="s">
        <v>5</v>
      </c>
      <c r="D138" s="19" t="s">
        <v>616</v>
      </c>
      <c r="E138" s="70" t="s">
        <v>30</v>
      </c>
      <c r="F138" s="80" t="s">
        <v>617</v>
      </c>
      <c r="G138" s="23">
        <v>11179</v>
      </c>
      <c r="H138" s="23">
        <v>5368</v>
      </c>
      <c r="I138" s="175">
        <v>3000</v>
      </c>
      <c r="J138" s="23">
        <v>3000</v>
      </c>
      <c r="K138" s="23">
        <v>11179</v>
      </c>
      <c r="L138" s="23">
        <v>5368</v>
      </c>
      <c r="M138" s="23"/>
      <c r="N138" s="175">
        <v>8179</v>
      </c>
      <c r="O138" s="175">
        <v>2368</v>
      </c>
      <c r="P138" s="78"/>
      <c r="Q138" s="828">
        <f t="shared" si="50"/>
        <v>2000</v>
      </c>
      <c r="R138" s="861"/>
      <c r="S138" s="861">
        <v>2000</v>
      </c>
      <c r="T138" s="73">
        <f t="shared" si="51"/>
        <v>2000</v>
      </c>
      <c r="U138" s="175"/>
      <c r="V138" s="175">
        <v>2000</v>
      </c>
      <c r="W138" s="100" t="s">
        <v>1521</v>
      </c>
      <c r="X138" s="24"/>
      <c r="Y138" s="175">
        <v>1</v>
      </c>
      <c r="Z138" s="657"/>
      <c r="AA138" s="996">
        <f>V138</f>
        <v>2000</v>
      </c>
      <c r="AB138" s="811"/>
      <c r="AC138" s="551"/>
      <c r="AD138" s="551"/>
      <c r="AE138" s="551"/>
      <c r="AG138" s="57"/>
      <c r="AH138" s="57"/>
      <c r="AI138" s="57"/>
      <c r="AJ138" s="57"/>
      <c r="AK138" s="57"/>
      <c r="AL138" s="57"/>
    </row>
    <row r="139" spans="1:38" s="54" customFormat="1" ht="75">
      <c r="A139" s="97" t="s">
        <v>64</v>
      </c>
      <c r="B139" s="68" t="s">
        <v>620</v>
      </c>
      <c r="C139" s="101" t="s">
        <v>71</v>
      </c>
      <c r="D139" s="19" t="s">
        <v>616</v>
      </c>
      <c r="E139" s="70" t="s">
        <v>30</v>
      </c>
      <c r="F139" s="80" t="s">
        <v>621</v>
      </c>
      <c r="G139" s="23">
        <v>11197</v>
      </c>
      <c r="H139" s="23">
        <v>5363</v>
      </c>
      <c r="I139" s="175">
        <f>+J139</f>
        <v>3000</v>
      </c>
      <c r="J139" s="175">
        <v>3000</v>
      </c>
      <c r="K139" s="23">
        <v>11197</v>
      </c>
      <c r="L139" s="23">
        <v>5363</v>
      </c>
      <c r="M139" s="23"/>
      <c r="N139" s="175">
        <v>8197</v>
      </c>
      <c r="O139" s="175">
        <v>2363</v>
      </c>
      <c r="P139" s="78"/>
      <c r="Q139" s="828">
        <f t="shared" si="50"/>
        <v>2000</v>
      </c>
      <c r="R139" s="861"/>
      <c r="S139" s="861">
        <v>2000</v>
      </c>
      <c r="T139" s="73">
        <f t="shared" si="51"/>
        <v>2000</v>
      </c>
      <c r="U139" s="175"/>
      <c r="V139" s="175">
        <v>2000</v>
      </c>
      <c r="W139" s="100" t="s">
        <v>1516</v>
      </c>
      <c r="X139" s="24"/>
      <c r="Y139" s="175">
        <v>1</v>
      </c>
      <c r="Z139" s="657"/>
      <c r="AA139" s="996">
        <f>V139</f>
        <v>2000</v>
      </c>
      <c r="AB139" s="811"/>
      <c r="AC139" s="551"/>
      <c r="AD139" s="551"/>
      <c r="AE139" s="551"/>
      <c r="AG139" s="57"/>
      <c r="AH139" s="57"/>
      <c r="AI139" s="57"/>
      <c r="AJ139" s="57"/>
      <c r="AK139" s="57"/>
      <c r="AL139" s="57"/>
    </row>
    <row r="140" spans="1:38" s="54" customFormat="1" ht="75">
      <c r="A140" s="97" t="s">
        <v>69</v>
      </c>
      <c r="B140" s="68" t="s">
        <v>622</v>
      </c>
      <c r="C140" s="101" t="s">
        <v>143</v>
      </c>
      <c r="D140" s="19" t="s">
        <v>616</v>
      </c>
      <c r="E140" s="70" t="s">
        <v>30</v>
      </c>
      <c r="F140" s="80" t="s">
        <v>623</v>
      </c>
      <c r="G140" s="23">
        <v>7767</v>
      </c>
      <c r="H140" s="23">
        <v>5812</v>
      </c>
      <c r="I140" s="175">
        <f>+J140</f>
        <v>3500</v>
      </c>
      <c r="J140" s="175">
        <v>3500</v>
      </c>
      <c r="K140" s="23">
        <f>G140-G140*10%</f>
        <v>6990.3</v>
      </c>
      <c r="L140" s="23">
        <v>5812</v>
      </c>
      <c r="M140" s="23"/>
      <c r="N140" s="175">
        <v>3490.3</v>
      </c>
      <c r="O140" s="175">
        <v>2312</v>
      </c>
      <c r="P140" s="78"/>
      <c r="Q140" s="828">
        <f t="shared" si="50"/>
        <v>2000</v>
      </c>
      <c r="R140" s="861"/>
      <c r="S140" s="861">
        <v>2000</v>
      </c>
      <c r="T140" s="73">
        <f t="shared" si="51"/>
        <v>2000</v>
      </c>
      <c r="U140" s="175"/>
      <c r="V140" s="175">
        <v>2000</v>
      </c>
      <c r="W140" s="100" t="s">
        <v>1518</v>
      </c>
      <c r="X140" s="24"/>
      <c r="Y140" s="175">
        <v>1</v>
      </c>
      <c r="Z140" s="657"/>
      <c r="AA140" s="996">
        <f>V140</f>
        <v>2000</v>
      </c>
      <c r="AB140" s="811"/>
      <c r="AC140" s="551"/>
      <c r="AD140" s="551"/>
      <c r="AE140" s="551"/>
      <c r="AG140" s="57"/>
      <c r="AH140" s="57"/>
      <c r="AI140" s="57"/>
      <c r="AJ140" s="57"/>
      <c r="AK140" s="57"/>
      <c r="AL140" s="57"/>
    </row>
    <row r="141" spans="1:38" s="54" customFormat="1" ht="60">
      <c r="A141" s="97" t="s">
        <v>74</v>
      </c>
      <c r="B141" s="68" t="s">
        <v>627</v>
      </c>
      <c r="C141" s="101" t="s">
        <v>260</v>
      </c>
      <c r="D141" s="19" t="s">
        <v>606</v>
      </c>
      <c r="E141" s="70" t="s">
        <v>30</v>
      </c>
      <c r="F141" s="80" t="s">
        <v>628</v>
      </c>
      <c r="G141" s="23">
        <v>9662</v>
      </c>
      <c r="H141" s="23">
        <v>4358</v>
      </c>
      <c r="I141" s="175">
        <v>3960</v>
      </c>
      <c r="J141" s="23">
        <v>3000</v>
      </c>
      <c r="K141" s="23">
        <v>9662</v>
      </c>
      <c r="L141" s="23">
        <v>4358</v>
      </c>
      <c r="M141" s="23"/>
      <c r="N141" s="175">
        <v>6662</v>
      </c>
      <c r="O141" s="175">
        <v>1358</v>
      </c>
      <c r="P141" s="78"/>
      <c r="Q141" s="861">
        <f t="shared" si="50"/>
        <v>1300</v>
      </c>
      <c r="R141" s="861"/>
      <c r="S141" s="861">
        <v>1300</v>
      </c>
      <c r="T141" s="73">
        <f t="shared" si="51"/>
        <v>1300</v>
      </c>
      <c r="U141" s="175"/>
      <c r="V141" s="175">
        <v>1300</v>
      </c>
      <c r="W141" s="100" t="s">
        <v>1552</v>
      </c>
      <c r="X141" s="24"/>
      <c r="Y141" s="175">
        <v>1</v>
      </c>
      <c r="Z141" s="657"/>
      <c r="AA141" s="996">
        <f>V141</f>
        <v>1300</v>
      </c>
      <c r="AB141" s="811"/>
      <c r="AC141" s="551"/>
      <c r="AD141" s="551"/>
      <c r="AE141" s="551"/>
      <c r="AG141" s="57"/>
      <c r="AH141" s="57"/>
      <c r="AI141" s="57"/>
      <c r="AJ141" s="57"/>
      <c r="AK141" s="57"/>
      <c r="AL141" s="57"/>
    </row>
    <row r="142" spans="1:38" s="54" customFormat="1">
      <c r="A142" s="64" t="s">
        <v>150</v>
      </c>
      <c r="B142" s="197" t="s">
        <v>632</v>
      </c>
      <c r="C142" s="301"/>
      <c r="D142" s="19"/>
      <c r="E142" s="95"/>
      <c r="F142" s="80"/>
      <c r="G142" s="199">
        <f t="shared" ref="G142:V142" si="52">SUM(G143:G143)</f>
        <v>63118</v>
      </c>
      <c r="H142" s="199">
        <f t="shared" si="52"/>
        <v>32887.599999999999</v>
      </c>
      <c r="I142" s="199">
        <f t="shared" si="52"/>
        <v>0</v>
      </c>
      <c r="J142" s="199">
        <f t="shared" si="52"/>
        <v>0</v>
      </c>
      <c r="K142" s="199">
        <f t="shared" si="52"/>
        <v>62081.1</v>
      </c>
      <c r="L142" s="199">
        <f t="shared" si="52"/>
        <v>33332.6</v>
      </c>
      <c r="M142" s="199">
        <f t="shared" si="52"/>
        <v>0</v>
      </c>
      <c r="N142" s="199">
        <f t="shared" si="52"/>
        <v>27795</v>
      </c>
      <c r="O142" s="199">
        <f t="shared" si="52"/>
        <v>16622</v>
      </c>
      <c r="P142" s="199">
        <f t="shared" si="52"/>
        <v>0</v>
      </c>
      <c r="Q142" s="199">
        <f t="shared" si="52"/>
        <v>16115</v>
      </c>
      <c r="R142" s="199">
        <f t="shared" si="52"/>
        <v>0</v>
      </c>
      <c r="S142" s="199">
        <f t="shared" si="52"/>
        <v>16115</v>
      </c>
      <c r="T142" s="199">
        <f t="shared" si="52"/>
        <v>22415</v>
      </c>
      <c r="U142" s="199">
        <f t="shared" si="52"/>
        <v>0</v>
      </c>
      <c r="V142" s="199">
        <f t="shared" si="52"/>
        <v>22415</v>
      </c>
      <c r="W142" s="199"/>
      <c r="X142" s="199"/>
      <c r="Y142" s="199">
        <f>SUM(Y143:Y152)</f>
        <v>1</v>
      </c>
      <c r="Z142" s="657"/>
      <c r="AA142" s="990"/>
      <c r="AB142" s="811"/>
      <c r="AC142" s="551"/>
      <c r="AD142" s="551"/>
      <c r="AE142" s="551"/>
      <c r="AG142" s="57"/>
      <c r="AH142" s="57"/>
      <c r="AI142" s="57"/>
      <c r="AJ142" s="57"/>
      <c r="AK142" s="57"/>
      <c r="AL142" s="57"/>
    </row>
    <row r="143" spans="1:38" s="54" customFormat="1" ht="30">
      <c r="A143" s="97" t="s">
        <v>146</v>
      </c>
      <c r="B143" s="93" t="s">
        <v>1720</v>
      </c>
      <c r="C143" s="19"/>
      <c r="D143" s="635"/>
      <c r="E143" s="44"/>
      <c r="F143" s="706"/>
      <c r="G143" s="72">
        <f t="shared" ref="G143:V143" si="53">SUM(G144:G152)</f>
        <v>63118</v>
      </c>
      <c r="H143" s="72">
        <f t="shared" si="53"/>
        <v>32887.599999999999</v>
      </c>
      <c r="I143" s="72">
        <f t="shared" si="53"/>
        <v>0</v>
      </c>
      <c r="J143" s="72">
        <f t="shared" si="53"/>
        <v>0</v>
      </c>
      <c r="K143" s="72">
        <f t="shared" si="53"/>
        <v>62081.1</v>
      </c>
      <c r="L143" s="72">
        <f t="shared" si="53"/>
        <v>33332.6</v>
      </c>
      <c r="M143" s="72">
        <f t="shared" si="53"/>
        <v>0</v>
      </c>
      <c r="N143" s="72">
        <f t="shared" si="53"/>
        <v>27795</v>
      </c>
      <c r="O143" s="72">
        <f t="shared" si="53"/>
        <v>16622</v>
      </c>
      <c r="P143" s="72">
        <f t="shared" si="53"/>
        <v>0</v>
      </c>
      <c r="Q143" s="72">
        <f t="shared" si="53"/>
        <v>16115</v>
      </c>
      <c r="R143" s="72">
        <f t="shared" si="53"/>
        <v>0</v>
      </c>
      <c r="S143" s="72">
        <f t="shared" si="53"/>
        <v>16115</v>
      </c>
      <c r="T143" s="73">
        <f t="shared" si="53"/>
        <v>22415</v>
      </c>
      <c r="U143" s="1137">
        <f t="shared" si="53"/>
        <v>0</v>
      </c>
      <c r="V143" s="72">
        <f t="shared" si="53"/>
        <v>22415</v>
      </c>
      <c r="W143" s="72"/>
      <c r="X143" s="72"/>
      <c r="Y143" s="72">
        <v>1</v>
      </c>
      <c r="Z143" s="657"/>
      <c r="AA143" s="990">
        <f>V143</f>
        <v>22415</v>
      </c>
      <c r="AB143" s="811"/>
      <c r="AC143" s="551"/>
      <c r="AD143" s="551"/>
      <c r="AE143" s="551"/>
      <c r="AG143" s="57"/>
      <c r="AH143" s="57"/>
      <c r="AI143" s="57"/>
      <c r="AJ143" s="57"/>
      <c r="AK143" s="57"/>
      <c r="AL143" s="57"/>
    </row>
    <row r="144" spans="1:38" s="54" customFormat="1" ht="30">
      <c r="A144" s="961" t="s">
        <v>27</v>
      </c>
      <c r="B144" s="68" t="s">
        <v>654</v>
      </c>
      <c r="C144" s="101" t="s">
        <v>5</v>
      </c>
      <c r="D144" s="19" t="s">
        <v>655</v>
      </c>
      <c r="E144" s="70" t="s">
        <v>355</v>
      </c>
      <c r="F144" s="80" t="s">
        <v>656</v>
      </c>
      <c r="G144" s="23">
        <v>6840</v>
      </c>
      <c r="H144" s="23">
        <v>3086</v>
      </c>
      <c r="I144" s="175">
        <v>0</v>
      </c>
      <c r="J144" s="23">
        <v>0</v>
      </c>
      <c r="K144" s="23">
        <v>6840</v>
      </c>
      <c r="L144" s="23">
        <v>3086</v>
      </c>
      <c r="M144" s="23"/>
      <c r="N144" s="175">
        <v>4000</v>
      </c>
      <c r="O144" s="175">
        <v>2000</v>
      </c>
      <c r="P144" s="78"/>
      <c r="Q144" s="861">
        <f t="shared" ref="Q144:Q152" si="54">SUM(R144:S144)</f>
        <v>2000</v>
      </c>
      <c r="R144" s="861"/>
      <c r="S144" s="861">
        <v>2000</v>
      </c>
      <c r="T144" s="73">
        <f t="shared" ref="T144:T152" si="55">SUM(U144:V144)</f>
        <v>2500</v>
      </c>
      <c r="U144" s="1137"/>
      <c r="V144" s="72">
        <v>2500</v>
      </c>
      <c r="W144" s="100" t="s">
        <v>1521</v>
      </c>
      <c r="X144" s="24"/>
      <c r="Y144" s="175"/>
      <c r="Z144" s="657" t="s">
        <v>178</v>
      </c>
      <c r="AA144" s="990"/>
      <c r="AB144" s="811"/>
      <c r="AC144" s="551"/>
      <c r="AD144" s="551"/>
      <c r="AE144" s="551"/>
      <c r="AG144" s="57"/>
      <c r="AH144" s="57"/>
      <c r="AI144" s="57"/>
      <c r="AJ144" s="57"/>
      <c r="AK144" s="57"/>
      <c r="AL144" s="57"/>
    </row>
    <row r="145" spans="1:45" s="54" customFormat="1" ht="75">
      <c r="A145" s="961" t="s">
        <v>41</v>
      </c>
      <c r="B145" s="68" t="s">
        <v>660</v>
      </c>
      <c r="C145" s="101" t="s">
        <v>112</v>
      </c>
      <c r="D145" s="19" t="s">
        <v>661</v>
      </c>
      <c r="E145" s="70" t="s">
        <v>120</v>
      </c>
      <c r="F145" s="80" t="s">
        <v>662</v>
      </c>
      <c r="G145" s="23">
        <v>16080</v>
      </c>
      <c r="H145" s="23">
        <v>7747</v>
      </c>
      <c r="I145" s="175"/>
      <c r="J145" s="23"/>
      <c r="K145" s="23">
        <f>G145</f>
        <v>16080</v>
      </c>
      <c r="L145" s="23">
        <f>H145</f>
        <v>7747</v>
      </c>
      <c r="M145" s="23"/>
      <c r="N145" s="175">
        <v>5600</v>
      </c>
      <c r="O145" s="175">
        <v>3000</v>
      </c>
      <c r="P145" s="78"/>
      <c r="Q145" s="861">
        <f t="shared" si="54"/>
        <v>3000</v>
      </c>
      <c r="R145" s="861"/>
      <c r="S145" s="861">
        <v>3000</v>
      </c>
      <c r="T145" s="73">
        <f t="shared" si="55"/>
        <v>4500</v>
      </c>
      <c r="U145" s="1137"/>
      <c r="V145" s="72">
        <v>4500</v>
      </c>
      <c r="W145" s="100" t="s">
        <v>1529</v>
      </c>
      <c r="X145" s="24"/>
      <c r="Y145" s="175"/>
      <c r="Z145" s="657" t="s">
        <v>178</v>
      </c>
      <c r="AA145" s="990"/>
      <c r="AB145" s="811"/>
      <c r="AC145" s="551"/>
      <c r="AD145" s="551"/>
      <c r="AE145" s="551"/>
      <c r="AG145" s="57"/>
      <c r="AH145" s="57"/>
      <c r="AI145" s="57"/>
      <c r="AJ145" s="57"/>
      <c r="AK145" s="57"/>
      <c r="AL145" s="57"/>
    </row>
    <row r="146" spans="1:45" s="54" customFormat="1" ht="30">
      <c r="A146" s="961" t="s">
        <v>58</v>
      </c>
      <c r="B146" s="68" t="s">
        <v>663</v>
      </c>
      <c r="C146" s="101" t="s">
        <v>260</v>
      </c>
      <c r="D146" s="19" t="s">
        <v>664</v>
      </c>
      <c r="E146" s="70" t="s">
        <v>120</v>
      </c>
      <c r="F146" s="80"/>
      <c r="G146" s="23">
        <v>11166</v>
      </c>
      <c r="H146" s="23">
        <f>+G146*0.6</f>
        <v>6699.5999999999995</v>
      </c>
      <c r="I146" s="175"/>
      <c r="J146" s="23"/>
      <c r="K146" s="23">
        <v>11166</v>
      </c>
      <c r="L146" s="23">
        <f>+K146*0.6</f>
        <v>6699.5999999999995</v>
      </c>
      <c r="M146" s="23"/>
      <c r="N146" s="175">
        <v>4000</v>
      </c>
      <c r="O146" s="175">
        <v>2000</v>
      </c>
      <c r="P146" s="78"/>
      <c r="Q146" s="861">
        <f t="shared" si="54"/>
        <v>2000</v>
      </c>
      <c r="R146" s="861"/>
      <c r="S146" s="861">
        <v>2000</v>
      </c>
      <c r="T146" s="73">
        <f t="shared" si="55"/>
        <v>4000</v>
      </c>
      <c r="U146" s="1137"/>
      <c r="V146" s="72">
        <v>4000</v>
      </c>
      <c r="W146" s="100" t="s">
        <v>1552</v>
      </c>
      <c r="X146" s="24"/>
      <c r="Y146" s="175"/>
      <c r="Z146" s="657" t="s">
        <v>178</v>
      </c>
      <c r="AA146" s="990"/>
      <c r="AB146" s="811"/>
      <c r="AC146" s="551"/>
      <c r="AD146" s="551"/>
      <c r="AE146" s="551"/>
      <c r="AG146" s="2"/>
      <c r="AH146" s="2"/>
      <c r="AI146" s="2"/>
      <c r="AJ146" s="2"/>
      <c r="AK146" s="2"/>
      <c r="AL146" s="2"/>
    </row>
    <row r="147" spans="1:45" s="933" customFormat="1" ht="56.25" customHeight="1">
      <c r="A147" s="961" t="s">
        <v>64</v>
      </c>
      <c r="B147" s="68" t="s">
        <v>1715</v>
      </c>
      <c r="C147" s="919" t="s">
        <v>143</v>
      </c>
      <c r="D147" s="299" t="s">
        <v>1716</v>
      </c>
      <c r="E147" s="920" t="s">
        <v>30</v>
      </c>
      <c r="F147" s="100" t="s">
        <v>1717</v>
      </c>
      <c r="G147" s="365">
        <v>7325</v>
      </c>
      <c r="H147" s="365">
        <v>3729</v>
      </c>
      <c r="I147" s="365"/>
      <c r="J147" s="104"/>
      <c r="K147" s="104">
        <f>G147-349</f>
        <v>6976</v>
      </c>
      <c r="L147" s="365">
        <v>3729</v>
      </c>
      <c r="M147" s="104"/>
      <c r="N147" s="104">
        <v>2000</v>
      </c>
      <c r="O147" s="365">
        <v>2000</v>
      </c>
      <c r="P147" s="104"/>
      <c r="Q147" s="861">
        <f t="shared" si="54"/>
        <v>2000</v>
      </c>
      <c r="R147" s="861"/>
      <c r="S147" s="861">
        <v>2000</v>
      </c>
      <c r="T147" s="73">
        <f t="shared" si="55"/>
        <v>2500</v>
      </c>
      <c r="U147" s="1137"/>
      <c r="V147" s="72">
        <v>2500</v>
      </c>
      <c r="W147" s="100" t="s">
        <v>1518</v>
      </c>
      <c r="X147" s="921"/>
      <c r="Y147" s="175"/>
      <c r="Z147" s="657" t="s">
        <v>1738</v>
      </c>
      <c r="AA147" s="999"/>
      <c r="AB147" s="984"/>
      <c r="AC147" s="922"/>
      <c r="AD147" s="923"/>
      <c r="AE147" s="924"/>
      <c r="AF147" s="925"/>
      <c r="AG147" s="924"/>
      <c r="AH147" s="924"/>
      <c r="AI147" s="926"/>
      <c r="AJ147" s="927"/>
      <c r="AK147" s="927"/>
      <c r="AL147" s="928"/>
      <c r="AM147" s="927"/>
      <c r="AN147" s="927"/>
      <c r="AO147" s="928"/>
      <c r="AP147" s="929"/>
      <c r="AQ147" s="930"/>
      <c r="AR147" s="931"/>
      <c r="AS147" s="932"/>
    </row>
    <row r="148" spans="1:45" s="54" customFormat="1" ht="90">
      <c r="A148" s="961" t="s">
        <v>69</v>
      </c>
      <c r="B148" s="68" t="s">
        <v>665</v>
      </c>
      <c r="C148" s="101" t="s">
        <v>85</v>
      </c>
      <c r="D148" s="19" t="s">
        <v>666</v>
      </c>
      <c r="E148" s="70" t="s">
        <v>30</v>
      </c>
      <c r="F148" s="80"/>
      <c r="G148" s="23">
        <v>999</v>
      </c>
      <c r="H148" s="23">
        <v>834</v>
      </c>
      <c r="I148" s="175"/>
      <c r="J148" s="23"/>
      <c r="K148" s="23">
        <v>999</v>
      </c>
      <c r="L148" s="23">
        <v>834</v>
      </c>
      <c r="M148" s="23"/>
      <c r="N148" s="175">
        <v>999</v>
      </c>
      <c r="O148" s="175">
        <v>834</v>
      </c>
      <c r="P148" s="78"/>
      <c r="Q148" s="861">
        <f t="shared" si="54"/>
        <v>827</v>
      </c>
      <c r="R148" s="861"/>
      <c r="S148" s="861">
        <v>827</v>
      </c>
      <c r="T148" s="73">
        <f t="shared" si="55"/>
        <v>827</v>
      </c>
      <c r="U148" s="1137"/>
      <c r="V148" s="72">
        <v>827</v>
      </c>
      <c r="W148" s="100" t="s">
        <v>1525</v>
      </c>
      <c r="X148" s="24" t="s">
        <v>1082</v>
      </c>
      <c r="Y148" s="175"/>
      <c r="Z148" s="657" t="s">
        <v>178</v>
      </c>
      <c r="AA148" s="990"/>
      <c r="AB148" s="811"/>
      <c r="AC148" s="551"/>
      <c r="AD148" s="551"/>
      <c r="AE148" s="551"/>
      <c r="AG148" s="2"/>
      <c r="AH148" s="2"/>
      <c r="AI148" s="2"/>
      <c r="AJ148" s="2"/>
      <c r="AK148" s="2"/>
      <c r="AL148" s="2"/>
    </row>
    <row r="149" spans="1:45" s="54" customFormat="1" ht="30">
      <c r="A149" s="961" t="s">
        <v>74</v>
      </c>
      <c r="B149" s="68" t="s">
        <v>667</v>
      </c>
      <c r="C149" s="101" t="s">
        <v>71</v>
      </c>
      <c r="D149" s="19" t="s">
        <v>668</v>
      </c>
      <c r="E149" s="70" t="s">
        <v>30</v>
      </c>
      <c r="F149" s="80" t="s">
        <v>669</v>
      </c>
      <c r="G149" s="23">
        <v>6879</v>
      </c>
      <c r="H149" s="23">
        <v>3355</v>
      </c>
      <c r="I149" s="175"/>
      <c r="J149" s="23"/>
      <c r="K149" s="23">
        <f>G149-G149*10%</f>
        <v>6191.1</v>
      </c>
      <c r="L149" s="23">
        <v>3800</v>
      </c>
      <c r="M149" s="23"/>
      <c r="N149" s="175">
        <v>6215</v>
      </c>
      <c r="O149" s="175">
        <v>3355</v>
      </c>
      <c r="P149" s="78"/>
      <c r="Q149" s="861">
        <f t="shared" si="54"/>
        <v>3000</v>
      </c>
      <c r="R149" s="861"/>
      <c r="S149" s="861">
        <v>3000</v>
      </c>
      <c r="T149" s="73">
        <f t="shared" si="55"/>
        <v>3000</v>
      </c>
      <c r="U149" s="1137"/>
      <c r="V149" s="72">
        <v>3000</v>
      </c>
      <c r="W149" s="100" t="s">
        <v>1516</v>
      </c>
      <c r="X149" s="80"/>
      <c r="Y149" s="175"/>
      <c r="Z149" s="657" t="s">
        <v>178</v>
      </c>
      <c r="AA149" s="990"/>
      <c r="AB149" s="811"/>
      <c r="AC149" s="551"/>
      <c r="AD149" s="551"/>
      <c r="AE149" s="551"/>
      <c r="AG149" s="2"/>
      <c r="AH149" s="2"/>
      <c r="AI149" s="2"/>
      <c r="AJ149" s="2"/>
      <c r="AK149" s="2"/>
      <c r="AL149" s="2"/>
    </row>
    <row r="150" spans="1:45" s="54" customFormat="1" ht="38.25">
      <c r="A150" s="961" t="s">
        <v>141</v>
      </c>
      <c r="B150" s="68" t="s">
        <v>670</v>
      </c>
      <c r="C150" s="101" t="s">
        <v>60</v>
      </c>
      <c r="D150" s="19"/>
      <c r="E150" s="70" t="s">
        <v>30</v>
      </c>
      <c r="F150" s="80"/>
      <c r="G150" s="23">
        <v>1000</v>
      </c>
      <c r="H150" s="23">
        <v>900</v>
      </c>
      <c r="I150" s="175"/>
      <c r="J150" s="23"/>
      <c r="K150" s="23">
        <v>1000</v>
      </c>
      <c r="L150" s="23">
        <v>900</v>
      </c>
      <c r="M150" s="23"/>
      <c r="N150" s="175">
        <v>1000</v>
      </c>
      <c r="O150" s="175">
        <v>900</v>
      </c>
      <c r="P150" s="78"/>
      <c r="Q150" s="861">
        <f t="shared" si="54"/>
        <v>800</v>
      </c>
      <c r="R150" s="861"/>
      <c r="S150" s="861">
        <v>800</v>
      </c>
      <c r="T150" s="73">
        <f t="shared" si="55"/>
        <v>800</v>
      </c>
      <c r="U150" s="1137"/>
      <c r="V150" s="72">
        <v>800</v>
      </c>
      <c r="W150" s="513" t="s">
        <v>1517</v>
      </c>
      <c r="X150" s="24" t="s">
        <v>1083</v>
      </c>
      <c r="Y150" s="175"/>
      <c r="Z150" s="657" t="s">
        <v>178</v>
      </c>
      <c r="AA150" s="990"/>
      <c r="AB150" s="811"/>
      <c r="AC150" s="551"/>
      <c r="AD150" s="551"/>
      <c r="AE150" s="551"/>
      <c r="AG150" s="2"/>
      <c r="AH150" s="2"/>
      <c r="AI150" s="2"/>
      <c r="AJ150" s="2"/>
      <c r="AK150" s="2"/>
      <c r="AL150" s="2"/>
    </row>
    <row r="151" spans="1:45" s="54" customFormat="1" ht="30">
      <c r="A151" s="961" t="s">
        <v>146</v>
      </c>
      <c r="B151" s="68" t="s">
        <v>657</v>
      </c>
      <c r="C151" s="101" t="s">
        <v>66</v>
      </c>
      <c r="D151" s="19" t="s">
        <v>658</v>
      </c>
      <c r="E151" s="70" t="s">
        <v>120</v>
      </c>
      <c r="F151" s="80" t="s">
        <v>659</v>
      </c>
      <c r="G151" s="23">
        <v>11848</v>
      </c>
      <c r="H151" s="23">
        <v>5704</v>
      </c>
      <c r="I151" s="175"/>
      <c r="J151" s="23"/>
      <c r="K151" s="23">
        <v>11848</v>
      </c>
      <c r="L151" s="23">
        <v>5704</v>
      </c>
      <c r="M151" s="23"/>
      <c r="N151" s="175">
        <v>3000</v>
      </c>
      <c r="O151" s="175">
        <v>1700</v>
      </c>
      <c r="P151" s="78"/>
      <c r="Q151" s="861">
        <f t="shared" si="54"/>
        <v>1700</v>
      </c>
      <c r="R151" s="861"/>
      <c r="S151" s="861">
        <v>1700</v>
      </c>
      <c r="T151" s="73">
        <f t="shared" si="55"/>
        <v>3500</v>
      </c>
      <c r="U151" s="1137"/>
      <c r="V151" s="72">
        <v>3500</v>
      </c>
      <c r="W151" s="100" t="s">
        <v>1526</v>
      </c>
      <c r="X151" s="24"/>
      <c r="Y151" s="175"/>
      <c r="Z151" s="657" t="s">
        <v>178</v>
      </c>
      <c r="AA151" s="990"/>
      <c r="AB151" s="811"/>
      <c r="AC151" s="551"/>
      <c r="AD151" s="551"/>
      <c r="AE151" s="551"/>
      <c r="AG151" s="2"/>
      <c r="AH151" s="2"/>
      <c r="AI151" s="2"/>
      <c r="AJ151" s="2"/>
      <c r="AK151" s="2"/>
      <c r="AL151" s="2"/>
    </row>
    <row r="152" spans="1:45" s="54" customFormat="1" ht="30">
      <c r="A152" s="961" t="s">
        <v>179</v>
      </c>
      <c r="B152" s="68" t="s">
        <v>672</v>
      </c>
      <c r="C152" s="101" t="s">
        <v>66</v>
      </c>
      <c r="D152" s="19"/>
      <c r="E152" s="70" t="s">
        <v>30</v>
      </c>
      <c r="F152" s="80"/>
      <c r="G152" s="23">
        <v>981</v>
      </c>
      <c r="H152" s="23">
        <v>833</v>
      </c>
      <c r="I152" s="175"/>
      <c r="J152" s="23"/>
      <c r="K152" s="23">
        <v>981</v>
      </c>
      <c r="L152" s="23">
        <v>833</v>
      </c>
      <c r="M152" s="23"/>
      <c r="N152" s="175">
        <v>981</v>
      </c>
      <c r="O152" s="175">
        <v>833</v>
      </c>
      <c r="P152" s="78"/>
      <c r="Q152" s="861">
        <f t="shared" si="54"/>
        <v>788</v>
      </c>
      <c r="R152" s="861"/>
      <c r="S152" s="861">
        <v>788</v>
      </c>
      <c r="T152" s="73">
        <f t="shared" si="55"/>
        <v>788</v>
      </c>
      <c r="U152" s="1137"/>
      <c r="V152" s="72">
        <v>788</v>
      </c>
      <c r="W152" s="100" t="s">
        <v>1526</v>
      </c>
      <c r="X152" s="24"/>
      <c r="Y152" s="175"/>
      <c r="Z152" s="657" t="s">
        <v>178</v>
      </c>
      <c r="AA152" s="990"/>
      <c r="AB152" s="811"/>
      <c r="AC152" s="551"/>
      <c r="AD152" s="551"/>
      <c r="AE152" s="551"/>
      <c r="AG152" s="2"/>
      <c r="AH152" s="2"/>
      <c r="AI152" s="2"/>
      <c r="AJ152" s="2"/>
      <c r="AK152" s="2"/>
      <c r="AL152" s="2"/>
    </row>
    <row r="153" spans="1:45" s="633" customFormat="1" ht="25.5" customHeight="1">
      <c r="A153" s="630" t="s">
        <v>1047</v>
      </c>
      <c r="B153" s="618" t="s">
        <v>1150</v>
      </c>
      <c r="C153" s="625"/>
      <c r="D153" s="625"/>
      <c r="E153" s="626"/>
      <c r="F153" s="690"/>
      <c r="G153" s="636">
        <f t="shared" ref="G153:U153" si="56">SUM(G154)</f>
        <v>6541</v>
      </c>
      <c r="H153" s="636">
        <f t="shared" si="56"/>
        <v>5791</v>
      </c>
      <c r="I153" s="636">
        <f t="shared" si="56"/>
        <v>997</v>
      </c>
      <c r="J153" s="636">
        <f t="shared" si="56"/>
        <v>1920</v>
      </c>
      <c r="K153" s="636">
        <f t="shared" si="56"/>
        <v>5573</v>
      </c>
      <c r="L153" s="636">
        <f t="shared" si="56"/>
        <v>3893</v>
      </c>
      <c r="M153" s="636">
        <f t="shared" si="56"/>
        <v>0</v>
      </c>
      <c r="N153" s="636">
        <f t="shared" si="56"/>
        <v>6591</v>
      </c>
      <c r="O153" s="636">
        <f t="shared" si="56"/>
        <v>5791</v>
      </c>
      <c r="P153" s="636">
        <f t="shared" si="56"/>
        <v>0</v>
      </c>
      <c r="Q153" s="636">
        <f t="shared" si="56"/>
        <v>5650</v>
      </c>
      <c r="R153" s="636">
        <f t="shared" si="56"/>
        <v>5650</v>
      </c>
      <c r="S153" s="636">
        <f t="shared" si="56"/>
        <v>0</v>
      </c>
      <c r="T153" s="636">
        <f t="shared" si="56"/>
        <v>5650</v>
      </c>
      <c r="U153" s="636">
        <f t="shared" si="56"/>
        <v>0</v>
      </c>
      <c r="V153" s="636">
        <f>SUM(V154)</f>
        <v>5650</v>
      </c>
      <c r="W153" s="690"/>
      <c r="X153" s="690"/>
      <c r="Y153" s="636">
        <f>SUM(Y154)</f>
        <v>1</v>
      </c>
      <c r="Z153" s="662"/>
      <c r="AA153" s="990"/>
      <c r="AB153" s="811"/>
      <c r="AC153" s="628"/>
      <c r="AD153" s="628"/>
      <c r="AE153" s="628"/>
      <c r="AG153" s="629"/>
      <c r="AH153" s="629"/>
      <c r="AI153" s="629"/>
      <c r="AJ153" s="629"/>
      <c r="AK153" s="629"/>
      <c r="AL153" s="629"/>
    </row>
    <row r="154" spans="1:45" s="266" customFormat="1">
      <c r="A154" s="11" t="s">
        <v>499</v>
      </c>
      <c r="B154" s="65" t="s">
        <v>31</v>
      </c>
      <c r="C154" s="13"/>
      <c r="D154" s="13"/>
      <c r="E154" s="14"/>
      <c r="F154" s="89"/>
      <c r="G154" s="15">
        <f t="shared" ref="G154:U154" si="57">SUM(G155)</f>
        <v>6541</v>
      </c>
      <c r="H154" s="15">
        <f t="shared" si="57"/>
        <v>5791</v>
      </c>
      <c r="I154" s="15">
        <f t="shared" si="57"/>
        <v>997</v>
      </c>
      <c r="J154" s="15">
        <f t="shared" si="57"/>
        <v>1920</v>
      </c>
      <c r="K154" s="15">
        <f t="shared" si="57"/>
        <v>5573</v>
      </c>
      <c r="L154" s="15">
        <f t="shared" si="57"/>
        <v>3893</v>
      </c>
      <c r="M154" s="15">
        <f t="shared" si="57"/>
        <v>0</v>
      </c>
      <c r="N154" s="15">
        <f t="shared" si="57"/>
        <v>6591</v>
      </c>
      <c r="O154" s="15">
        <f t="shared" si="57"/>
        <v>5791</v>
      </c>
      <c r="P154" s="15">
        <f t="shared" si="57"/>
        <v>0</v>
      </c>
      <c r="Q154" s="15">
        <f t="shared" si="57"/>
        <v>5650</v>
      </c>
      <c r="R154" s="15">
        <f t="shared" si="57"/>
        <v>5650</v>
      </c>
      <c r="S154" s="15">
        <f t="shared" si="57"/>
        <v>0</v>
      </c>
      <c r="T154" s="15">
        <f t="shared" si="57"/>
        <v>5650</v>
      </c>
      <c r="U154" s="15">
        <f t="shared" si="57"/>
        <v>0</v>
      </c>
      <c r="V154" s="15">
        <f>SUM(V155)</f>
        <v>5650</v>
      </c>
      <c r="W154" s="89"/>
      <c r="X154" s="89"/>
      <c r="Y154" s="15">
        <f>SUM(Y155)</f>
        <v>1</v>
      </c>
      <c r="Z154" s="657"/>
      <c r="AA154" s="990"/>
      <c r="AB154" s="811"/>
      <c r="AC154" s="551"/>
      <c r="AD154" s="551"/>
      <c r="AE154" s="551"/>
      <c r="AG154" s="265"/>
      <c r="AH154" s="265"/>
      <c r="AI154" s="265"/>
      <c r="AJ154" s="265"/>
      <c r="AK154" s="265"/>
      <c r="AL154" s="265"/>
    </row>
    <row r="155" spans="1:45" s="54" customFormat="1">
      <c r="A155" s="11" t="s">
        <v>150</v>
      </c>
      <c r="B155" s="65" t="s">
        <v>151</v>
      </c>
      <c r="C155" s="13"/>
      <c r="D155" s="13"/>
      <c r="E155" s="14"/>
      <c r="F155" s="89"/>
      <c r="G155" s="15">
        <f t="shared" ref="G155:S155" si="58">G156</f>
        <v>6541</v>
      </c>
      <c r="H155" s="15">
        <f t="shared" si="58"/>
        <v>5791</v>
      </c>
      <c r="I155" s="15">
        <f t="shared" si="58"/>
        <v>997</v>
      </c>
      <c r="J155" s="15">
        <f t="shared" si="58"/>
        <v>1920</v>
      </c>
      <c r="K155" s="15">
        <f t="shared" si="58"/>
        <v>5573</v>
      </c>
      <c r="L155" s="15">
        <f t="shared" si="58"/>
        <v>3893</v>
      </c>
      <c r="M155" s="15">
        <f t="shared" si="58"/>
        <v>0</v>
      </c>
      <c r="N155" s="15">
        <f t="shared" si="58"/>
        <v>6591</v>
      </c>
      <c r="O155" s="15">
        <f t="shared" si="58"/>
        <v>5791</v>
      </c>
      <c r="P155" s="15">
        <f t="shared" si="58"/>
        <v>0</v>
      </c>
      <c r="Q155" s="15">
        <f t="shared" si="58"/>
        <v>5650</v>
      </c>
      <c r="R155" s="15">
        <f t="shared" si="58"/>
        <v>5650</v>
      </c>
      <c r="S155" s="15">
        <f t="shared" si="58"/>
        <v>0</v>
      </c>
      <c r="T155" s="15">
        <f>T156</f>
        <v>5650</v>
      </c>
      <c r="U155" s="15">
        <f t="shared" ref="U155:V155" si="59">U156</f>
        <v>0</v>
      </c>
      <c r="V155" s="15">
        <f t="shared" si="59"/>
        <v>5650</v>
      </c>
      <c r="W155" s="89"/>
      <c r="X155" s="89"/>
      <c r="Y155" s="15">
        <f>Y156</f>
        <v>1</v>
      </c>
      <c r="Z155" s="657"/>
      <c r="AA155" s="990"/>
      <c r="AB155" s="811"/>
      <c r="AC155" s="551"/>
      <c r="AD155" s="551"/>
      <c r="AE155" s="551"/>
      <c r="AG155" s="57"/>
      <c r="AH155" s="57"/>
      <c r="AI155" s="57"/>
      <c r="AJ155" s="57"/>
      <c r="AK155" s="57"/>
      <c r="AL155" s="57"/>
    </row>
    <row r="156" spans="1:45" s="51" customFormat="1" ht="31.5" customHeight="1">
      <c r="A156" s="610">
        <v>9</v>
      </c>
      <c r="B156" s="968" t="s">
        <v>1721</v>
      </c>
      <c r="C156" s="611"/>
      <c r="D156" s="612"/>
      <c r="E156" s="887"/>
      <c r="F156" s="708"/>
      <c r="G156" s="613">
        <f t="shared" ref="G156:S156" si="60">SUM(G157,G159,G161,G166,G169)</f>
        <v>6541</v>
      </c>
      <c r="H156" s="613">
        <f t="shared" si="60"/>
        <v>5791</v>
      </c>
      <c r="I156" s="613">
        <f t="shared" si="60"/>
        <v>997</v>
      </c>
      <c r="J156" s="613">
        <f t="shared" si="60"/>
        <v>1920</v>
      </c>
      <c r="K156" s="613">
        <f t="shared" si="60"/>
        <v>5573</v>
      </c>
      <c r="L156" s="613">
        <f t="shared" si="60"/>
        <v>3893</v>
      </c>
      <c r="M156" s="613">
        <f t="shared" si="60"/>
        <v>0</v>
      </c>
      <c r="N156" s="613">
        <f t="shared" si="60"/>
        <v>6591</v>
      </c>
      <c r="O156" s="613">
        <f t="shared" si="60"/>
        <v>5791</v>
      </c>
      <c r="P156" s="613">
        <f t="shared" si="60"/>
        <v>0</v>
      </c>
      <c r="Q156" s="613">
        <f t="shared" si="60"/>
        <v>5650</v>
      </c>
      <c r="R156" s="613">
        <f t="shared" si="60"/>
        <v>5650</v>
      </c>
      <c r="S156" s="613">
        <f t="shared" si="60"/>
        <v>0</v>
      </c>
      <c r="T156" s="613">
        <f>SUM(T157,T159,T161,T166,T169)</f>
        <v>5650</v>
      </c>
      <c r="U156" s="613">
        <f t="shared" ref="U156:V156" si="61">SUM(U157,U159,U161,U166,U169)</f>
        <v>0</v>
      </c>
      <c r="V156" s="613">
        <f t="shared" si="61"/>
        <v>5650</v>
      </c>
      <c r="W156" s="613"/>
      <c r="X156" s="613"/>
      <c r="Y156" s="613">
        <v>1</v>
      </c>
      <c r="Z156" s="660"/>
      <c r="AA156" s="990">
        <f>V156</f>
        <v>5650</v>
      </c>
      <c r="AB156" s="976"/>
      <c r="AC156" s="552"/>
      <c r="AD156" s="552"/>
      <c r="AE156" s="552"/>
    </row>
    <row r="157" spans="1:45" s="203" customFormat="1" ht="26.1" customHeight="1">
      <c r="A157" s="615"/>
      <c r="B157" s="616" t="s">
        <v>557</v>
      </c>
      <c r="C157" s="298"/>
      <c r="D157" s="304"/>
      <c r="E157" s="888"/>
      <c r="F157" s="709"/>
      <c r="G157" s="614">
        <f t="shared" ref="G157:T157" si="62">SUM(G158:G158)</f>
        <v>896</v>
      </c>
      <c r="H157" s="614">
        <f t="shared" si="62"/>
        <v>896</v>
      </c>
      <c r="I157" s="614">
        <f t="shared" si="62"/>
        <v>0</v>
      </c>
      <c r="J157" s="614">
        <f t="shared" si="62"/>
        <v>0</v>
      </c>
      <c r="K157" s="614">
        <f t="shared" si="62"/>
        <v>896</v>
      </c>
      <c r="L157" s="614">
        <f t="shared" si="62"/>
        <v>896</v>
      </c>
      <c r="M157" s="614">
        <f t="shared" si="62"/>
        <v>0</v>
      </c>
      <c r="N157" s="614">
        <f t="shared" si="62"/>
        <v>896</v>
      </c>
      <c r="O157" s="614">
        <f t="shared" si="62"/>
        <v>896</v>
      </c>
      <c r="P157" s="614">
        <f t="shared" si="62"/>
        <v>0</v>
      </c>
      <c r="Q157" s="864">
        <f t="shared" si="62"/>
        <v>850</v>
      </c>
      <c r="R157" s="864">
        <f t="shared" si="62"/>
        <v>850</v>
      </c>
      <c r="S157" s="864">
        <f t="shared" si="62"/>
        <v>0</v>
      </c>
      <c r="T157" s="614">
        <f t="shared" si="62"/>
        <v>850</v>
      </c>
      <c r="U157" s="614"/>
      <c r="V157" s="614">
        <f>SUM(V158:V158)</f>
        <v>850</v>
      </c>
      <c r="W157" s="739" t="s">
        <v>1527</v>
      </c>
      <c r="X157" s="178"/>
      <c r="Y157" s="614"/>
      <c r="Z157" s="660"/>
      <c r="AA157" s="991"/>
      <c r="AB157" s="987"/>
      <c r="AC157" s="556"/>
      <c r="AD157" s="556"/>
      <c r="AE157" s="556"/>
    </row>
    <row r="158" spans="1:45" ht="32.25" customHeight="1">
      <c r="A158" s="966">
        <v>1</v>
      </c>
      <c r="B158" s="587" t="s">
        <v>558</v>
      </c>
      <c r="C158" s="299"/>
      <c r="D158" s="233" t="s">
        <v>1652</v>
      </c>
      <c r="E158" s="312" t="s">
        <v>321</v>
      </c>
      <c r="F158" s="70" t="s">
        <v>1653</v>
      </c>
      <c r="G158" s="176">
        <v>896</v>
      </c>
      <c r="H158" s="176">
        <v>896</v>
      </c>
      <c r="I158" s="207"/>
      <c r="J158" s="207"/>
      <c r="K158" s="176">
        <v>896</v>
      </c>
      <c r="L158" s="176">
        <v>896</v>
      </c>
      <c r="M158" s="207"/>
      <c r="N158" s="176">
        <v>896</v>
      </c>
      <c r="O158" s="176">
        <v>896</v>
      </c>
      <c r="P158" s="104"/>
      <c r="Q158" s="831">
        <f>SUM(R158:S158)</f>
        <v>850</v>
      </c>
      <c r="R158" s="831">
        <v>850</v>
      </c>
      <c r="S158" s="865"/>
      <c r="T158" s="104">
        <f>SUM(U158:V158)</f>
        <v>850</v>
      </c>
      <c r="U158" s="104"/>
      <c r="V158" s="104">
        <v>850</v>
      </c>
      <c r="W158" s="513"/>
      <c r="X158" s="24"/>
      <c r="Y158" s="104"/>
    </row>
    <row r="159" spans="1:45" s="203" customFormat="1" ht="26.1" customHeight="1">
      <c r="A159" s="967"/>
      <c r="B159" s="616" t="s">
        <v>561</v>
      </c>
      <c r="C159" s="298"/>
      <c r="D159" s="304"/>
      <c r="E159" s="888"/>
      <c r="F159" s="709"/>
      <c r="G159" s="614">
        <f t="shared" ref="G159:T159" si="63">G160</f>
        <v>997</v>
      </c>
      <c r="H159" s="614">
        <f t="shared" si="63"/>
        <v>997</v>
      </c>
      <c r="I159" s="614">
        <f t="shared" si="63"/>
        <v>997</v>
      </c>
      <c r="J159" s="614">
        <f t="shared" si="63"/>
        <v>997</v>
      </c>
      <c r="K159" s="614">
        <f t="shared" si="63"/>
        <v>997</v>
      </c>
      <c r="L159" s="614">
        <f t="shared" si="63"/>
        <v>997</v>
      </c>
      <c r="M159" s="614">
        <f t="shared" si="63"/>
        <v>0</v>
      </c>
      <c r="N159" s="614">
        <f t="shared" si="63"/>
        <v>997</v>
      </c>
      <c r="O159" s="614">
        <f t="shared" si="63"/>
        <v>997</v>
      </c>
      <c r="P159" s="614">
        <f t="shared" si="63"/>
        <v>0</v>
      </c>
      <c r="Q159" s="864">
        <f t="shared" si="63"/>
        <v>950</v>
      </c>
      <c r="R159" s="864">
        <f t="shared" si="63"/>
        <v>950</v>
      </c>
      <c r="S159" s="864">
        <f t="shared" si="63"/>
        <v>0</v>
      </c>
      <c r="T159" s="614">
        <f t="shared" si="63"/>
        <v>950</v>
      </c>
      <c r="U159" s="614"/>
      <c r="V159" s="614">
        <f>V160</f>
        <v>950</v>
      </c>
      <c r="W159" s="739" t="s">
        <v>1525</v>
      </c>
      <c r="X159" s="178"/>
      <c r="Y159" s="614"/>
      <c r="Z159" s="660"/>
      <c r="AA159" s="991"/>
      <c r="AB159" s="987"/>
      <c r="AC159" s="556"/>
      <c r="AD159" s="556"/>
      <c r="AE159" s="556"/>
    </row>
    <row r="160" spans="1:45" ht="32.25" customHeight="1">
      <c r="A160" s="966">
        <v>1</v>
      </c>
      <c r="B160" s="587" t="s">
        <v>562</v>
      </c>
      <c r="C160" s="299" t="s">
        <v>85</v>
      </c>
      <c r="D160" s="233" t="s">
        <v>563</v>
      </c>
      <c r="E160" s="312" t="s">
        <v>321</v>
      </c>
      <c r="F160" s="70" t="s">
        <v>1654</v>
      </c>
      <c r="G160" s="176">
        <v>997</v>
      </c>
      <c r="H160" s="176">
        <v>997</v>
      </c>
      <c r="I160" s="176">
        <v>997</v>
      </c>
      <c r="J160" s="176">
        <v>997</v>
      </c>
      <c r="K160" s="176">
        <v>997</v>
      </c>
      <c r="L160" s="176">
        <v>997</v>
      </c>
      <c r="M160" s="207"/>
      <c r="N160" s="176">
        <v>997</v>
      </c>
      <c r="O160" s="176">
        <v>997</v>
      </c>
      <c r="P160" s="104"/>
      <c r="Q160" s="831">
        <f>SUM(R160:S160)</f>
        <v>950</v>
      </c>
      <c r="R160" s="831">
        <v>950</v>
      </c>
      <c r="S160" s="865"/>
      <c r="T160" s="73">
        <f>SUM(U160:V160)</f>
        <v>950</v>
      </c>
      <c r="U160" s="104"/>
      <c r="V160" s="104">
        <v>950</v>
      </c>
      <c r="W160" s="513"/>
      <c r="X160" s="24"/>
      <c r="Y160" s="104"/>
    </row>
    <row r="161" spans="1:31" s="203" customFormat="1" ht="26.1" customHeight="1">
      <c r="A161" s="967"/>
      <c r="B161" s="616" t="s">
        <v>564</v>
      </c>
      <c r="C161" s="298"/>
      <c r="D161" s="304"/>
      <c r="E161" s="888"/>
      <c r="F161" s="709"/>
      <c r="G161" s="614">
        <f t="shared" ref="G161:T161" si="64">SUM(G162:G165)</f>
        <v>1000</v>
      </c>
      <c r="H161" s="614">
        <f t="shared" si="64"/>
        <v>1000</v>
      </c>
      <c r="I161" s="614">
        <f t="shared" si="64"/>
        <v>0</v>
      </c>
      <c r="J161" s="614">
        <f t="shared" si="64"/>
        <v>0</v>
      </c>
      <c r="K161" s="614">
        <f t="shared" si="64"/>
        <v>1000</v>
      </c>
      <c r="L161" s="614">
        <f t="shared" si="64"/>
        <v>1000</v>
      </c>
      <c r="M161" s="614">
        <f t="shared" si="64"/>
        <v>0</v>
      </c>
      <c r="N161" s="614">
        <f t="shared" si="64"/>
        <v>1000</v>
      </c>
      <c r="O161" s="614">
        <f t="shared" si="64"/>
        <v>1000</v>
      </c>
      <c r="P161" s="614">
        <f t="shared" si="64"/>
        <v>0</v>
      </c>
      <c r="Q161" s="864">
        <f t="shared" si="64"/>
        <v>1000</v>
      </c>
      <c r="R161" s="864">
        <f t="shared" si="64"/>
        <v>1000</v>
      </c>
      <c r="S161" s="864">
        <f t="shared" si="64"/>
        <v>0</v>
      </c>
      <c r="T161" s="614">
        <f t="shared" si="64"/>
        <v>1000</v>
      </c>
      <c r="U161" s="614"/>
      <c r="V161" s="614">
        <f>SUM(V162:V165)</f>
        <v>1000</v>
      </c>
      <c r="W161" s="739" t="s">
        <v>1516</v>
      </c>
      <c r="X161" s="178"/>
      <c r="Y161" s="614"/>
      <c r="Z161" s="660"/>
      <c r="AA161" s="991"/>
      <c r="AB161" s="987"/>
      <c r="AC161" s="556"/>
      <c r="AD161" s="556"/>
      <c r="AE161" s="556"/>
    </row>
    <row r="162" spans="1:31" ht="26.1" customHeight="1">
      <c r="A162" s="966">
        <v>1</v>
      </c>
      <c r="B162" s="587" t="s">
        <v>565</v>
      </c>
      <c r="C162" s="299"/>
      <c r="D162" s="233"/>
      <c r="E162" s="312" t="s">
        <v>321</v>
      </c>
      <c r="F162" s="70" t="s">
        <v>1655</v>
      </c>
      <c r="G162" s="176">
        <v>185</v>
      </c>
      <c r="H162" s="176">
        <v>185</v>
      </c>
      <c r="I162" s="207"/>
      <c r="J162" s="207"/>
      <c r="K162" s="176">
        <v>185</v>
      </c>
      <c r="L162" s="176">
        <v>185</v>
      </c>
      <c r="M162" s="207"/>
      <c r="N162" s="176">
        <v>185</v>
      </c>
      <c r="O162" s="176">
        <v>185</v>
      </c>
      <c r="P162" s="104"/>
      <c r="Q162" s="848">
        <v>185</v>
      </c>
      <c r="R162" s="848">
        <v>185</v>
      </c>
      <c r="S162" s="865"/>
      <c r="T162" s="176">
        <v>185</v>
      </c>
      <c r="U162" s="176"/>
      <c r="V162" s="176">
        <v>185</v>
      </c>
      <c r="W162" s="513"/>
      <c r="X162" s="24"/>
      <c r="Y162" s="104"/>
    </row>
    <row r="163" spans="1:31" ht="46.5" customHeight="1">
      <c r="A163" s="966">
        <v>2</v>
      </c>
      <c r="B163" s="587" t="s">
        <v>566</v>
      </c>
      <c r="C163" s="299"/>
      <c r="D163" s="233" t="s">
        <v>567</v>
      </c>
      <c r="E163" s="312" t="s">
        <v>321</v>
      </c>
      <c r="F163" s="70" t="s">
        <v>1656</v>
      </c>
      <c r="G163" s="176">
        <v>175</v>
      </c>
      <c r="H163" s="176">
        <v>175</v>
      </c>
      <c r="I163" s="207"/>
      <c r="J163" s="207"/>
      <c r="K163" s="176">
        <v>175</v>
      </c>
      <c r="L163" s="176">
        <v>175</v>
      </c>
      <c r="M163" s="207"/>
      <c r="N163" s="176">
        <v>175</v>
      </c>
      <c r="O163" s="176">
        <v>175</v>
      </c>
      <c r="P163" s="104"/>
      <c r="Q163" s="848">
        <v>175</v>
      </c>
      <c r="R163" s="848">
        <v>175</v>
      </c>
      <c r="S163" s="865"/>
      <c r="T163" s="176">
        <v>175</v>
      </c>
      <c r="U163" s="176"/>
      <c r="V163" s="176">
        <v>175</v>
      </c>
      <c r="W163" s="513"/>
      <c r="X163" s="24"/>
      <c r="Y163" s="104"/>
    </row>
    <row r="164" spans="1:31" ht="36" customHeight="1">
      <c r="A164" s="966">
        <v>3</v>
      </c>
      <c r="B164" s="587" t="s">
        <v>568</v>
      </c>
      <c r="C164" s="299"/>
      <c r="D164" s="233"/>
      <c r="E164" s="312">
        <v>2017</v>
      </c>
      <c r="F164" s="70" t="s">
        <v>1657</v>
      </c>
      <c r="G164" s="176">
        <v>246</v>
      </c>
      <c r="H164" s="176">
        <v>246</v>
      </c>
      <c r="I164" s="207"/>
      <c r="J164" s="207"/>
      <c r="K164" s="176">
        <v>246</v>
      </c>
      <c r="L164" s="176">
        <v>246</v>
      </c>
      <c r="M164" s="207"/>
      <c r="N164" s="176">
        <v>246</v>
      </c>
      <c r="O164" s="176">
        <v>246</v>
      </c>
      <c r="P164" s="104"/>
      <c r="Q164" s="848">
        <v>246</v>
      </c>
      <c r="R164" s="848">
        <v>246</v>
      </c>
      <c r="S164" s="865"/>
      <c r="T164" s="176">
        <v>246</v>
      </c>
      <c r="U164" s="176"/>
      <c r="V164" s="176">
        <v>246</v>
      </c>
      <c r="W164" s="513"/>
      <c r="X164" s="24"/>
      <c r="Y164" s="104"/>
    </row>
    <row r="165" spans="1:31" ht="45" customHeight="1">
      <c r="A165" s="966">
        <v>4</v>
      </c>
      <c r="B165" s="587" t="s">
        <v>569</v>
      </c>
      <c r="C165" s="299"/>
      <c r="D165" s="233"/>
      <c r="E165" s="312">
        <v>2017</v>
      </c>
      <c r="F165" s="70" t="s">
        <v>1658</v>
      </c>
      <c r="G165" s="176">
        <v>394</v>
      </c>
      <c r="H165" s="176">
        <v>394</v>
      </c>
      <c r="I165" s="207"/>
      <c r="J165" s="207"/>
      <c r="K165" s="176">
        <v>394</v>
      </c>
      <c r="L165" s="176">
        <v>394</v>
      </c>
      <c r="M165" s="207"/>
      <c r="N165" s="176">
        <v>394</v>
      </c>
      <c r="O165" s="176">
        <v>394</v>
      </c>
      <c r="P165" s="104"/>
      <c r="Q165" s="848">
        <v>394</v>
      </c>
      <c r="R165" s="848">
        <v>394</v>
      </c>
      <c r="S165" s="865"/>
      <c r="T165" s="176">
        <v>394</v>
      </c>
      <c r="U165" s="176"/>
      <c r="V165" s="176">
        <v>394</v>
      </c>
      <c r="W165" s="513"/>
      <c r="X165" s="24"/>
      <c r="Y165" s="104"/>
    </row>
    <row r="166" spans="1:31" s="203" customFormat="1" ht="26.1" customHeight="1">
      <c r="A166" s="967"/>
      <c r="B166" s="616" t="s">
        <v>570</v>
      </c>
      <c r="C166" s="298"/>
      <c r="D166" s="304"/>
      <c r="E166" s="888"/>
      <c r="F166" s="709"/>
      <c r="G166" s="614">
        <f t="shared" ref="G166:T166" si="65">SUM(G167:G168)</f>
        <v>1898</v>
      </c>
      <c r="H166" s="614">
        <f t="shared" si="65"/>
        <v>1898</v>
      </c>
      <c r="I166" s="614">
        <f t="shared" si="65"/>
        <v>0</v>
      </c>
      <c r="J166" s="614">
        <f t="shared" si="65"/>
        <v>923</v>
      </c>
      <c r="K166" s="614">
        <f t="shared" si="65"/>
        <v>923</v>
      </c>
      <c r="L166" s="614">
        <f t="shared" si="65"/>
        <v>0</v>
      </c>
      <c r="M166" s="614">
        <f t="shared" si="65"/>
        <v>0</v>
      </c>
      <c r="N166" s="614">
        <f t="shared" si="65"/>
        <v>1898</v>
      </c>
      <c r="O166" s="614">
        <f t="shared" si="65"/>
        <v>1898</v>
      </c>
      <c r="P166" s="614">
        <f t="shared" si="65"/>
        <v>0</v>
      </c>
      <c r="Q166" s="864">
        <f t="shared" si="65"/>
        <v>1850</v>
      </c>
      <c r="R166" s="864">
        <f t="shared" si="65"/>
        <v>1850</v>
      </c>
      <c r="S166" s="864">
        <f t="shared" si="65"/>
        <v>0</v>
      </c>
      <c r="T166" s="614">
        <f t="shared" si="65"/>
        <v>1850</v>
      </c>
      <c r="U166" s="614"/>
      <c r="V166" s="614">
        <f>SUM(V167:V168)</f>
        <v>1850</v>
      </c>
      <c r="W166" s="739" t="s">
        <v>1551</v>
      </c>
      <c r="X166" s="178"/>
      <c r="Y166" s="614"/>
      <c r="Z166" s="660"/>
      <c r="AA166" s="991"/>
      <c r="AB166" s="987"/>
      <c r="AC166" s="556"/>
      <c r="AD166" s="556"/>
      <c r="AE166" s="556"/>
    </row>
    <row r="167" spans="1:31" ht="45">
      <c r="A167" s="966">
        <v>1</v>
      </c>
      <c r="B167" s="587" t="s">
        <v>571</v>
      </c>
      <c r="C167" s="299"/>
      <c r="D167" s="233" t="s">
        <v>572</v>
      </c>
      <c r="E167" s="312" t="s">
        <v>321</v>
      </c>
      <c r="F167" s="70" t="s">
        <v>1668</v>
      </c>
      <c r="G167" s="176">
        <v>975</v>
      </c>
      <c r="H167" s="176">
        <v>975</v>
      </c>
      <c r="I167" s="207"/>
      <c r="J167" s="207"/>
      <c r="K167" s="176"/>
      <c r="L167" s="176"/>
      <c r="M167" s="207"/>
      <c r="N167" s="176">
        <v>975</v>
      </c>
      <c r="O167" s="176">
        <v>975</v>
      </c>
      <c r="P167" s="104"/>
      <c r="Q167" s="848">
        <v>950</v>
      </c>
      <c r="R167" s="848">
        <v>950</v>
      </c>
      <c r="S167" s="865"/>
      <c r="T167" s="176">
        <f>SUM(U167:V167)</f>
        <v>950</v>
      </c>
      <c r="U167" s="176"/>
      <c r="V167" s="176">
        <v>950</v>
      </c>
      <c r="W167" s="513" t="s">
        <v>1551</v>
      </c>
      <c r="X167" s="24"/>
      <c r="Y167" s="104"/>
    </row>
    <row r="168" spans="1:31" ht="45">
      <c r="A168" s="966">
        <v>2</v>
      </c>
      <c r="B168" s="587" t="s">
        <v>573</v>
      </c>
      <c r="C168" s="299"/>
      <c r="D168" s="233" t="s">
        <v>1659</v>
      </c>
      <c r="E168" s="312" t="s">
        <v>321</v>
      </c>
      <c r="F168" s="24" t="s">
        <v>1660</v>
      </c>
      <c r="G168" s="176">
        <v>923</v>
      </c>
      <c r="H168" s="176">
        <v>923</v>
      </c>
      <c r="I168" s="207"/>
      <c r="J168" s="176">
        <v>923</v>
      </c>
      <c r="K168" s="176">
        <v>923</v>
      </c>
      <c r="L168" s="176"/>
      <c r="M168" s="207"/>
      <c r="N168" s="176">
        <v>923</v>
      </c>
      <c r="O168" s="176">
        <v>923</v>
      </c>
      <c r="P168" s="104"/>
      <c r="Q168" s="831">
        <v>900</v>
      </c>
      <c r="R168" s="831">
        <v>900</v>
      </c>
      <c r="S168" s="865"/>
      <c r="T168" s="104">
        <v>900</v>
      </c>
      <c r="U168" s="104"/>
      <c r="V168" s="104">
        <v>900</v>
      </c>
      <c r="W168" s="739" t="s">
        <v>1551</v>
      </c>
      <c r="X168" s="24"/>
      <c r="Y168" s="104"/>
      <c r="Z168" s="714"/>
    </row>
    <row r="169" spans="1:31" s="203" customFormat="1" ht="26.1" customHeight="1">
      <c r="A169" s="967"/>
      <c r="B169" s="616" t="s">
        <v>586</v>
      </c>
      <c r="C169" s="298"/>
      <c r="D169" s="304"/>
      <c r="E169" s="888"/>
      <c r="F169" s="709"/>
      <c r="G169" s="614">
        <f t="shared" ref="G169:T169" si="66">SUM(G170:G170)</f>
        <v>1750</v>
      </c>
      <c r="H169" s="614">
        <f t="shared" si="66"/>
        <v>1000</v>
      </c>
      <c r="I169" s="614">
        <f t="shared" si="66"/>
        <v>0</v>
      </c>
      <c r="J169" s="614">
        <f t="shared" si="66"/>
        <v>0</v>
      </c>
      <c r="K169" s="614">
        <f t="shared" si="66"/>
        <v>1757</v>
      </c>
      <c r="L169" s="614">
        <f t="shared" si="66"/>
        <v>1000</v>
      </c>
      <c r="M169" s="614">
        <f t="shared" si="66"/>
        <v>0</v>
      </c>
      <c r="N169" s="614">
        <f t="shared" si="66"/>
        <v>1800</v>
      </c>
      <c r="O169" s="614">
        <f t="shared" si="66"/>
        <v>1000</v>
      </c>
      <c r="P169" s="614">
        <f t="shared" si="66"/>
        <v>0</v>
      </c>
      <c r="Q169" s="864">
        <f t="shared" si="66"/>
        <v>1000</v>
      </c>
      <c r="R169" s="864">
        <f t="shared" si="66"/>
        <v>1000</v>
      </c>
      <c r="S169" s="864">
        <f t="shared" si="66"/>
        <v>0</v>
      </c>
      <c r="T169" s="614">
        <f t="shared" si="66"/>
        <v>1000</v>
      </c>
      <c r="U169" s="614"/>
      <c r="V169" s="614">
        <f>SUM(V170:V170)</f>
        <v>1000</v>
      </c>
      <c r="W169" s="739" t="s">
        <v>1529</v>
      </c>
      <c r="X169" s="178"/>
      <c r="Y169" s="614"/>
      <c r="Z169" s="660"/>
      <c r="AA169" s="991"/>
      <c r="AB169" s="987"/>
      <c r="AC169" s="556"/>
      <c r="AD169" s="556"/>
      <c r="AE169" s="556"/>
    </row>
    <row r="170" spans="1:31" ht="33.75" customHeight="1">
      <c r="A170" s="966">
        <v>1</v>
      </c>
      <c r="B170" s="587" t="s">
        <v>587</v>
      </c>
      <c r="C170" s="299"/>
      <c r="D170" s="233" t="s">
        <v>588</v>
      </c>
      <c r="E170" s="312" t="s">
        <v>321</v>
      </c>
      <c r="F170" s="70" t="s">
        <v>1663</v>
      </c>
      <c r="G170" s="176">
        <v>1750</v>
      </c>
      <c r="H170" s="176">
        <v>1000</v>
      </c>
      <c r="I170" s="207"/>
      <c r="J170" s="207"/>
      <c r="K170" s="176">
        <v>1757</v>
      </c>
      <c r="L170" s="176">
        <v>1000</v>
      </c>
      <c r="M170" s="207"/>
      <c r="N170" s="104">
        <v>1800</v>
      </c>
      <c r="O170" s="104">
        <v>1000</v>
      </c>
      <c r="P170" s="104"/>
      <c r="Q170" s="831">
        <v>1000</v>
      </c>
      <c r="R170" s="831">
        <v>1000</v>
      </c>
      <c r="S170" s="865"/>
      <c r="T170" s="73">
        <f>SUM(U170:V170)</f>
        <v>1000</v>
      </c>
      <c r="U170" s="104"/>
      <c r="V170" s="104">
        <v>1000</v>
      </c>
      <c r="W170" s="513"/>
      <c r="X170" s="24"/>
      <c r="Y170" s="104"/>
    </row>
    <row r="171" spans="1:31" s="640" customFormat="1" ht="34.5" customHeight="1">
      <c r="A171" s="630" t="s">
        <v>1119</v>
      </c>
      <c r="B171" s="618" t="s">
        <v>1137</v>
      </c>
      <c r="C171" s="625"/>
      <c r="D171" s="625"/>
      <c r="E171" s="626"/>
      <c r="F171" s="690"/>
      <c r="G171" s="636">
        <f t="shared" ref="G171:S171" si="67">G172</f>
        <v>48610</v>
      </c>
      <c r="H171" s="636">
        <f t="shared" si="67"/>
        <v>32080</v>
      </c>
      <c r="I171" s="636">
        <f t="shared" si="67"/>
        <v>3000</v>
      </c>
      <c r="J171" s="636">
        <f t="shared" si="67"/>
        <v>3000</v>
      </c>
      <c r="K171" s="636">
        <f t="shared" si="67"/>
        <v>48822</v>
      </c>
      <c r="L171" s="636">
        <f t="shared" si="67"/>
        <v>31241</v>
      </c>
      <c r="M171" s="636">
        <f t="shared" si="67"/>
        <v>0</v>
      </c>
      <c r="N171" s="636">
        <f t="shared" si="67"/>
        <v>31671</v>
      </c>
      <c r="O171" s="636">
        <f t="shared" si="67"/>
        <v>25483</v>
      </c>
      <c r="P171" s="636">
        <f t="shared" si="67"/>
        <v>0</v>
      </c>
      <c r="Q171" s="636">
        <f t="shared" si="67"/>
        <v>18617</v>
      </c>
      <c r="R171" s="636">
        <f t="shared" si="67"/>
        <v>18617</v>
      </c>
      <c r="S171" s="636">
        <f t="shared" si="67"/>
        <v>0</v>
      </c>
      <c r="T171" s="636">
        <f>T172</f>
        <v>17770</v>
      </c>
      <c r="U171" s="636">
        <f t="shared" ref="U171:V171" si="68">U172</f>
        <v>0</v>
      </c>
      <c r="V171" s="636">
        <f t="shared" si="68"/>
        <v>17770</v>
      </c>
      <c r="W171" s="690"/>
      <c r="X171" s="690"/>
      <c r="Y171" s="636">
        <f>Y172</f>
        <v>6</v>
      </c>
      <c r="Z171" s="659"/>
      <c r="AA171" s="996"/>
      <c r="AB171" s="988"/>
      <c r="AC171" s="639"/>
      <c r="AD171" s="639"/>
      <c r="AE171" s="639"/>
    </row>
    <row r="172" spans="1:31" s="267" customFormat="1" ht="19.5" customHeight="1">
      <c r="A172" s="11" t="s">
        <v>499</v>
      </c>
      <c r="B172" s="586" t="s">
        <v>31</v>
      </c>
      <c r="C172" s="13"/>
      <c r="D172" s="13"/>
      <c r="E172" s="14"/>
      <c r="F172" s="89"/>
      <c r="G172" s="15">
        <f t="shared" ref="G172:S172" si="69">SUM(G173,G175)</f>
        <v>48610</v>
      </c>
      <c r="H172" s="15">
        <f t="shared" si="69"/>
        <v>32080</v>
      </c>
      <c r="I172" s="15">
        <f t="shared" si="69"/>
        <v>3000</v>
      </c>
      <c r="J172" s="15">
        <f t="shared" si="69"/>
        <v>3000</v>
      </c>
      <c r="K172" s="15">
        <f t="shared" si="69"/>
        <v>48822</v>
      </c>
      <c r="L172" s="15">
        <f t="shared" si="69"/>
        <v>31241</v>
      </c>
      <c r="M172" s="15">
        <f t="shared" si="69"/>
        <v>0</v>
      </c>
      <c r="N172" s="15">
        <f t="shared" si="69"/>
        <v>31671</v>
      </c>
      <c r="O172" s="15">
        <f t="shared" si="69"/>
        <v>25483</v>
      </c>
      <c r="P172" s="15">
        <f t="shared" si="69"/>
        <v>0</v>
      </c>
      <c r="Q172" s="15">
        <f t="shared" si="69"/>
        <v>18617</v>
      </c>
      <c r="R172" s="15">
        <f t="shared" si="69"/>
        <v>18617</v>
      </c>
      <c r="S172" s="15">
        <f t="shared" si="69"/>
        <v>0</v>
      </c>
      <c r="T172" s="15">
        <f>SUM(T173,T175)</f>
        <v>17770</v>
      </c>
      <c r="U172" s="15">
        <f t="shared" ref="U172:V172" si="70">SUM(U173,U175)</f>
        <v>0</v>
      </c>
      <c r="V172" s="15">
        <f t="shared" si="70"/>
        <v>17770</v>
      </c>
      <c r="W172" s="89"/>
      <c r="X172" s="89"/>
      <c r="Y172" s="15">
        <f>SUM(Y173,Y175)</f>
        <v>6</v>
      </c>
      <c r="Z172" s="660"/>
      <c r="AA172" s="996"/>
      <c r="AB172" s="988"/>
      <c r="AC172" s="558"/>
      <c r="AD172" s="558"/>
      <c r="AE172" s="558"/>
    </row>
    <row r="173" spans="1:31" s="16" customFormat="1" ht="15.75">
      <c r="A173" s="11" t="s">
        <v>78</v>
      </c>
      <c r="B173" s="65" t="s">
        <v>79</v>
      </c>
      <c r="C173" s="13"/>
      <c r="D173" s="13"/>
      <c r="E173" s="14"/>
      <c r="F173" s="89"/>
      <c r="G173" s="33">
        <f t="shared" ref="G173:V173" si="71">SUM(G174:G174)</f>
        <v>10805</v>
      </c>
      <c r="H173" s="33">
        <f t="shared" si="71"/>
        <v>5847</v>
      </c>
      <c r="I173" s="33">
        <f t="shared" si="71"/>
        <v>3000</v>
      </c>
      <c r="J173" s="33">
        <f t="shared" si="71"/>
        <v>3000</v>
      </c>
      <c r="K173" s="33">
        <f t="shared" si="71"/>
        <v>10805</v>
      </c>
      <c r="L173" s="33">
        <f t="shared" si="71"/>
        <v>5847</v>
      </c>
      <c r="M173" s="33">
        <f t="shared" si="71"/>
        <v>0</v>
      </c>
      <c r="N173" s="33">
        <f t="shared" si="71"/>
        <v>5932</v>
      </c>
      <c r="O173" s="33">
        <f t="shared" si="71"/>
        <v>5752</v>
      </c>
      <c r="P173" s="33">
        <f t="shared" si="71"/>
        <v>0</v>
      </c>
      <c r="Q173" s="841">
        <f t="shared" si="71"/>
        <v>2847</v>
      </c>
      <c r="R173" s="841">
        <f t="shared" si="71"/>
        <v>2847</v>
      </c>
      <c r="S173" s="841">
        <f t="shared" si="71"/>
        <v>0</v>
      </c>
      <c r="T173" s="33">
        <f t="shared" si="71"/>
        <v>2000</v>
      </c>
      <c r="U173" s="33">
        <f t="shared" si="71"/>
        <v>0</v>
      </c>
      <c r="V173" s="33">
        <f t="shared" si="71"/>
        <v>2000</v>
      </c>
      <c r="W173" s="699"/>
      <c r="X173" s="699"/>
      <c r="Y173" s="15">
        <f>SUM(Y174:Y174)</f>
        <v>1</v>
      </c>
      <c r="Z173" s="660"/>
      <c r="AA173" s="996"/>
      <c r="AB173" s="988"/>
      <c r="AC173" s="558"/>
      <c r="AD173" s="558"/>
      <c r="AE173" s="558"/>
    </row>
    <row r="174" spans="1:31" s="25" customFormat="1" ht="25.5">
      <c r="A174" s="17" t="s">
        <v>146</v>
      </c>
      <c r="B174" s="292" t="s">
        <v>108</v>
      </c>
      <c r="C174" s="19" t="s">
        <v>71</v>
      </c>
      <c r="D174" s="32" t="s">
        <v>109</v>
      </c>
      <c r="E174" s="20" t="s">
        <v>30</v>
      </c>
      <c r="F174" s="80" t="s">
        <v>110</v>
      </c>
      <c r="G174" s="21">
        <v>10805</v>
      </c>
      <c r="H174" s="21">
        <v>5847</v>
      </c>
      <c r="I174" s="38">
        <f>J174</f>
        <v>3000</v>
      </c>
      <c r="J174" s="38">
        <v>3000</v>
      </c>
      <c r="K174" s="22">
        <v>10805</v>
      </c>
      <c r="L174" s="22">
        <v>5847</v>
      </c>
      <c r="M174" s="22"/>
      <c r="N174" s="22">
        <v>5932</v>
      </c>
      <c r="O174" s="22">
        <v>5752</v>
      </c>
      <c r="P174" s="22"/>
      <c r="Q174" s="833">
        <f t="shared" ref="Q174" si="72">SUM(R174:S174)</f>
        <v>2847</v>
      </c>
      <c r="R174" s="853">
        <v>2847</v>
      </c>
      <c r="S174" s="853"/>
      <c r="T174" s="73">
        <f t="shared" ref="T174" si="73">SUM(U174:V174)</f>
        <v>2000</v>
      </c>
      <c r="U174" s="22"/>
      <c r="V174" s="22">
        <v>2000</v>
      </c>
      <c r="W174" s="691" t="s">
        <v>1516</v>
      </c>
      <c r="X174" s="24" t="s">
        <v>171</v>
      </c>
      <c r="Y174" s="22">
        <v>1</v>
      </c>
      <c r="Z174" s="657"/>
      <c r="AA174" s="996">
        <f>V174</f>
        <v>2000</v>
      </c>
      <c r="AB174" s="978"/>
      <c r="AC174" s="553"/>
      <c r="AD174" s="553"/>
      <c r="AE174" s="553"/>
    </row>
    <row r="175" spans="1:31" s="5" customFormat="1" ht="25.5" customHeight="1">
      <c r="A175" s="11" t="s">
        <v>150</v>
      </c>
      <c r="B175" s="65" t="s">
        <v>151</v>
      </c>
      <c r="C175" s="635"/>
      <c r="D175" s="635"/>
      <c r="E175" s="44"/>
      <c r="F175" s="1012"/>
      <c r="G175" s="45">
        <f t="shared" ref="G175:V175" si="74">SUM(G176:G180)</f>
        <v>37805</v>
      </c>
      <c r="H175" s="45">
        <f t="shared" si="74"/>
        <v>26233</v>
      </c>
      <c r="I175" s="45">
        <f t="shared" si="74"/>
        <v>0</v>
      </c>
      <c r="J175" s="45">
        <f t="shared" si="74"/>
        <v>0</v>
      </c>
      <c r="K175" s="45">
        <f t="shared" si="74"/>
        <v>38017</v>
      </c>
      <c r="L175" s="45">
        <f t="shared" si="74"/>
        <v>25394</v>
      </c>
      <c r="M175" s="45">
        <f t="shared" si="74"/>
        <v>0</v>
      </c>
      <c r="N175" s="45">
        <f t="shared" si="74"/>
        <v>25739</v>
      </c>
      <c r="O175" s="45">
        <f t="shared" si="74"/>
        <v>19731</v>
      </c>
      <c r="P175" s="45">
        <f t="shared" si="74"/>
        <v>0</v>
      </c>
      <c r="Q175" s="827">
        <f t="shared" si="74"/>
        <v>15770</v>
      </c>
      <c r="R175" s="827">
        <f t="shared" si="74"/>
        <v>15770</v>
      </c>
      <c r="S175" s="827">
        <f t="shared" si="74"/>
        <v>0</v>
      </c>
      <c r="T175" s="45">
        <f t="shared" si="74"/>
        <v>15770</v>
      </c>
      <c r="U175" s="45">
        <f t="shared" si="74"/>
        <v>0</v>
      </c>
      <c r="V175" s="45">
        <f t="shared" si="74"/>
        <v>15770</v>
      </c>
      <c r="W175" s="352"/>
      <c r="X175" s="352"/>
      <c r="Y175" s="45">
        <f>SUM(Y176:Y180)</f>
        <v>5</v>
      </c>
      <c r="Z175" s="657"/>
      <c r="AA175" s="975"/>
      <c r="AB175" s="875"/>
    </row>
    <row r="176" spans="1:31" s="25" customFormat="1" ht="25.5">
      <c r="A176" s="17" t="s">
        <v>74</v>
      </c>
      <c r="B176" s="291" t="s">
        <v>172</v>
      </c>
      <c r="C176" s="18" t="s">
        <v>173</v>
      </c>
      <c r="D176" s="19" t="s">
        <v>174</v>
      </c>
      <c r="E176" s="20" t="s">
        <v>154</v>
      </c>
      <c r="F176" s="80" t="s">
        <v>175</v>
      </c>
      <c r="G176" s="21">
        <v>12931</v>
      </c>
      <c r="H176" s="22">
        <v>8557</v>
      </c>
      <c r="I176" s="42">
        <v>0</v>
      </c>
      <c r="J176" s="42">
        <v>0</v>
      </c>
      <c r="K176" s="22">
        <v>12931</v>
      </c>
      <c r="L176" s="22">
        <v>8557</v>
      </c>
      <c r="M176" s="23"/>
      <c r="N176" s="21">
        <v>4000</v>
      </c>
      <c r="O176" s="22">
        <v>3000</v>
      </c>
      <c r="P176" s="23"/>
      <c r="Q176" s="833">
        <f t="shared" ref="Q176:Q180" si="75">SUM(R176:S176)</f>
        <v>3000</v>
      </c>
      <c r="R176" s="853">
        <v>3000</v>
      </c>
      <c r="S176" s="853"/>
      <c r="T176" s="73">
        <f t="shared" ref="T176:T180" si="76">SUM(U176:V176)</f>
        <v>3000</v>
      </c>
      <c r="U176" s="22"/>
      <c r="V176" s="22">
        <v>3000</v>
      </c>
      <c r="W176" s="691" t="s">
        <v>1551</v>
      </c>
      <c r="X176" s="24" t="s">
        <v>171</v>
      </c>
      <c r="Y176" s="22">
        <v>1</v>
      </c>
      <c r="Z176" s="657"/>
      <c r="AA176" s="996">
        <f t="shared" ref="AA176:AA180" si="77">V176</f>
        <v>3000</v>
      </c>
      <c r="AB176" s="978"/>
      <c r="AC176" s="553"/>
      <c r="AD176" s="553"/>
      <c r="AE176" s="553"/>
    </row>
    <row r="177" spans="1:31" s="25" customFormat="1" ht="25.5">
      <c r="A177" s="17" t="s">
        <v>141</v>
      </c>
      <c r="B177" s="291" t="s">
        <v>180</v>
      </c>
      <c r="C177" s="18" t="s">
        <v>66</v>
      </c>
      <c r="D177" s="19" t="s">
        <v>160</v>
      </c>
      <c r="E177" s="20" t="s">
        <v>30</v>
      </c>
      <c r="F177" s="80" t="s">
        <v>1667</v>
      </c>
      <c r="G177" s="21">
        <v>5380</v>
      </c>
      <c r="H177" s="22">
        <v>3919</v>
      </c>
      <c r="I177" s="42">
        <v>0</v>
      </c>
      <c r="J177" s="42">
        <v>0</v>
      </c>
      <c r="K177" s="22">
        <v>5592</v>
      </c>
      <c r="L177" s="22">
        <v>3080</v>
      </c>
      <c r="M177" s="23"/>
      <c r="N177" s="21">
        <f>+O177</f>
        <v>3000</v>
      </c>
      <c r="O177" s="22">
        <v>3000</v>
      </c>
      <c r="P177" s="23"/>
      <c r="Q177" s="833">
        <f t="shared" si="75"/>
        <v>3000</v>
      </c>
      <c r="R177" s="853">
        <v>3000</v>
      </c>
      <c r="S177" s="853"/>
      <c r="T177" s="73">
        <f t="shared" si="76"/>
        <v>3000</v>
      </c>
      <c r="U177" s="22"/>
      <c r="V177" s="22">
        <v>3000</v>
      </c>
      <c r="W177" s="691" t="s">
        <v>1526</v>
      </c>
      <c r="X177" s="24" t="s">
        <v>178</v>
      </c>
      <c r="Y177" s="22">
        <v>1</v>
      </c>
      <c r="Z177" s="657"/>
      <c r="AA177" s="996">
        <f t="shared" si="77"/>
        <v>3000</v>
      </c>
      <c r="AB177" s="978"/>
      <c r="AC177" s="553"/>
      <c r="AD177" s="553"/>
      <c r="AE177" s="553"/>
    </row>
    <row r="178" spans="1:31" s="25" customFormat="1" ht="25.5">
      <c r="A178" s="17" t="s">
        <v>146</v>
      </c>
      <c r="B178" s="291" t="s">
        <v>183</v>
      </c>
      <c r="C178" s="18" t="s">
        <v>71</v>
      </c>
      <c r="D178" s="19" t="s">
        <v>184</v>
      </c>
      <c r="E178" s="20" t="s">
        <v>166</v>
      </c>
      <c r="F178" s="80" t="s">
        <v>185</v>
      </c>
      <c r="G178" s="21">
        <v>3892</v>
      </c>
      <c r="H178" s="22">
        <v>2770</v>
      </c>
      <c r="I178" s="42">
        <v>0</v>
      </c>
      <c r="J178" s="42">
        <v>0</v>
      </c>
      <c r="K178" s="22">
        <v>3892</v>
      </c>
      <c r="L178" s="22">
        <v>2770</v>
      </c>
      <c r="M178" s="23"/>
      <c r="N178" s="21">
        <v>3261</v>
      </c>
      <c r="O178" s="22">
        <v>2770</v>
      </c>
      <c r="P178" s="23"/>
      <c r="Q178" s="833">
        <f t="shared" si="75"/>
        <v>2770</v>
      </c>
      <c r="R178" s="853">
        <v>2770</v>
      </c>
      <c r="S178" s="853"/>
      <c r="T178" s="73">
        <f t="shared" si="76"/>
        <v>2770</v>
      </c>
      <c r="U178" s="22"/>
      <c r="V178" s="22">
        <v>2770</v>
      </c>
      <c r="W178" s="691" t="s">
        <v>1516</v>
      </c>
      <c r="X178" s="24" t="s">
        <v>186</v>
      </c>
      <c r="Y178" s="22">
        <v>1</v>
      </c>
      <c r="Z178" s="657"/>
      <c r="AA178" s="996">
        <f t="shared" si="77"/>
        <v>2770</v>
      </c>
      <c r="AB178" s="978"/>
      <c r="AC178" s="553"/>
      <c r="AD178" s="553"/>
      <c r="AE178" s="553"/>
    </row>
    <row r="179" spans="1:31" s="25" customFormat="1" ht="25.5">
      <c r="A179" s="17" t="s">
        <v>179</v>
      </c>
      <c r="B179" s="291" t="s">
        <v>176</v>
      </c>
      <c r="C179" s="18" t="s">
        <v>60</v>
      </c>
      <c r="D179" s="19" t="s">
        <v>174</v>
      </c>
      <c r="E179" s="20" t="s">
        <v>154</v>
      </c>
      <c r="F179" s="80" t="s">
        <v>177</v>
      </c>
      <c r="G179" s="21">
        <v>10677</v>
      </c>
      <c r="H179" s="22">
        <v>7747</v>
      </c>
      <c r="I179" s="42">
        <v>0</v>
      </c>
      <c r="J179" s="42">
        <v>0</v>
      </c>
      <c r="K179" s="22">
        <v>10677</v>
      </c>
      <c r="L179" s="22">
        <v>7747</v>
      </c>
      <c r="M179" s="23"/>
      <c r="N179" s="21">
        <v>8747</v>
      </c>
      <c r="O179" s="22">
        <v>7747</v>
      </c>
      <c r="P179" s="23"/>
      <c r="Q179" s="833">
        <f t="shared" si="75"/>
        <v>4000</v>
      </c>
      <c r="R179" s="853">
        <v>4000</v>
      </c>
      <c r="S179" s="853"/>
      <c r="T179" s="73">
        <f t="shared" si="76"/>
        <v>4000</v>
      </c>
      <c r="U179" s="22"/>
      <c r="V179" s="22">
        <v>4000</v>
      </c>
      <c r="W179" s="513" t="s">
        <v>1517</v>
      </c>
      <c r="X179" s="24" t="s">
        <v>178</v>
      </c>
      <c r="Y179" s="22">
        <v>1</v>
      </c>
      <c r="Z179" s="657"/>
      <c r="AA179" s="996">
        <f t="shared" si="77"/>
        <v>4000</v>
      </c>
      <c r="AB179" s="978"/>
      <c r="AC179" s="553"/>
      <c r="AD179" s="553"/>
      <c r="AE179" s="553"/>
    </row>
    <row r="180" spans="1:31" s="25" customFormat="1" ht="60">
      <c r="A180" s="17" t="s">
        <v>187</v>
      </c>
      <c r="B180" s="291" t="s">
        <v>168</v>
      </c>
      <c r="C180" s="18" t="s">
        <v>5</v>
      </c>
      <c r="D180" s="19" t="s">
        <v>169</v>
      </c>
      <c r="E180" s="20" t="s">
        <v>154</v>
      </c>
      <c r="F180" s="80" t="s">
        <v>1599</v>
      </c>
      <c r="G180" s="21">
        <v>4925</v>
      </c>
      <c r="H180" s="22">
        <v>3240</v>
      </c>
      <c r="I180" s="42">
        <v>0</v>
      </c>
      <c r="J180" s="42">
        <v>0</v>
      </c>
      <c r="K180" s="22">
        <v>4925</v>
      </c>
      <c r="L180" s="22">
        <v>3240</v>
      </c>
      <c r="M180" s="23"/>
      <c r="N180" s="21">
        <v>6731</v>
      </c>
      <c r="O180" s="22">
        <v>3214</v>
      </c>
      <c r="P180" s="23"/>
      <c r="Q180" s="833">
        <f t="shared" si="75"/>
        <v>3000</v>
      </c>
      <c r="R180" s="853">
        <v>3000</v>
      </c>
      <c r="S180" s="853"/>
      <c r="T180" s="73">
        <f t="shared" si="76"/>
        <v>3000</v>
      </c>
      <c r="U180" s="22"/>
      <c r="V180" s="22">
        <v>3000</v>
      </c>
      <c r="W180" s="513" t="s">
        <v>1521</v>
      </c>
      <c r="X180" s="24" t="s">
        <v>171</v>
      </c>
      <c r="Y180" s="22">
        <v>1</v>
      </c>
      <c r="Z180" s="657"/>
      <c r="AA180" s="996">
        <f t="shared" si="77"/>
        <v>3000</v>
      </c>
      <c r="AB180" s="978"/>
      <c r="AC180" s="553"/>
      <c r="AD180" s="553"/>
      <c r="AE180" s="553"/>
    </row>
    <row r="181" spans="1:31" s="16" customFormat="1" ht="15.75">
      <c r="A181" s="46"/>
      <c r="B181" s="293"/>
      <c r="C181" s="48"/>
      <c r="D181" s="48"/>
      <c r="E181" s="48"/>
      <c r="F181" s="50"/>
      <c r="G181" s="49"/>
      <c r="H181" s="49"/>
      <c r="I181" s="49"/>
      <c r="J181" s="49"/>
      <c r="K181" s="49"/>
      <c r="L181" s="49"/>
      <c r="M181" s="49"/>
      <c r="N181" s="49"/>
      <c r="O181" s="49"/>
      <c r="P181" s="49"/>
      <c r="Q181" s="873"/>
      <c r="R181" s="873"/>
      <c r="S181" s="873"/>
      <c r="T181" s="49"/>
      <c r="U181" s="49"/>
      <c r="V181" s="49"/>
      <c r="W181" s="50"/>
      <c r="X181" s="50"/>
      <c r="Y181" s="49"/>
      <c r="Z181" s="660"/>
      <c r="AA181" s="996"/>
      <c r="AB181" s="988"/>
      <c r="AC181" s="558"/>
      <c r="AD181" s="558"/>
      <c r="AE181" s="558"/>
    </row>
  </sheetData>
  <autoFilter ref="A11:X181"/>
  <mergeCells count="41">
    <mergeCell ref="A6:A10"/>
    <mergeCell ref="B6:B10"/>
    <mergeCell ref="C6:C10"/>
    <mergeCell ref="D6:D10"/>
    <mergeCell ref="E6:E10"/>
    <mergeCell ref="A1:X1"/>
    <mergeCell ref="A2:X2"/>
    <mergeCell ref="A3:X3"/>
    <mergeCell ref="A4:X4"/>
    <mergeCell ref="A5:X5"/>
    <mergeCell ref="W6:W10"/>
    <mergeCell ref="X6:X10"/>
    <mergeCell ref="Y6:Y10"/>
    <mergeCell ref="F7:F10"/>
    <mergeCell ref="G7:H7"/>
    <mergeCell ref="G8:G10"/>
    <mergeCell ref="H8:H10"/>
    <mergeCell ref="K8:K10"/>
    <mergeCell ref="L8:M8"/>
    <mergeCell ref="N8:N10"/>
    <mergeCell ref="F6:H6"/>
    <mergeCell ref="I6:J8"/>
    <mergeCell ref="K6:M7"/>
    <mergeCell ref="N6:P7"/>
    <mergeCell ref="Q6:S7"/>
    <mergeCell ref="T6:V7"/>
    <mergeCell ref="V9:V10"/>
    <mergeCell ref="U8:V8"/>
    <mergeCell ref="I9:I10"/>
    <mergeCell ref="J9:J10"/>
    <mergeCell ref="L9:L10"/>
    <mergeCell ref="M9:M10"/>
    <mergeCell ref="O9:O10"/>
    <mergeCell ref="P9:P10"/>
    <mergeCell ref="R9:R10"/>
    <mergeCell ref="S9:S10"/>
    <mergeCell ref="U9:U10"/>
    <mergeCell ref="O8:P8"/>
    <mergeCell ref="Q8:Q10"/>
    <mergeCell ref="R8:S8"/>
    <mergeCell ref="T8:T10"/>
  </mergeCells>
  <printOptions horizontalCentered="1"/>
  <pageMargins left="0" right="0" top="0.25" bottom="0.25" header="0.196850393700787" footer="0.196850393700787"/>
  <pageSetup paperSize="9" scale="65" fitToHeight="0" orientation="landscape" useFirstPageNumber="1" r:id="rId1"/>
  <headerFooter>
    <oddFooter>&amp;R&amp;12&amp;P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L148"/>
  <sheetViews>
    <sheetView topLeftCell="A145" workbookViewId="0">
      <selection activeCell="B148" sqref="B148"/>
    </sheetView>
  </sheetViews>
  <sheetFormatPr defaultRowHeight="15"/>
  <cols>
    <col min="2" max="2" width="48.5703125" customWidth="1"/>
    <col min="6" max="6" width="14" customWidth="1"/>
  </cols>
  <sheetData>
    <row r="2" spans="1:27" s="561" customFormat="1" ht="15.75" customHeight="1">
      <c r="A2" s="1223" t="s">
        <v>5</v>
      </c>
      <c r="B2" s="1223" t="s">
        <v>6</v>
      </c>
      <c r="C2" s="1223" t="s">
        <v>7</v>
      </c>
      <c r="D2" s="1223" t="s">
        <v>8</v>
      </c>
      <c r="E2" s="1224" t="s">
        <v>9</v>
      </c>
      <c r="F2" s="1220" t="s">
        <v>10</v>
      </c>
      <c r="G2" s="1220"/>
      <c r="H2" s="1220"/>
      <c r="I2" s="1220" t="s">
        <v>12</v>
      </c>
      <c r="J2" s="1220"/>
      <c r="K2" s="1223" t="s">
        <v>13</v>
      </c>
      <c r="L2" s="1223"/>
      <c r="M2" s="1223"/>
      <c r="N2" s="1220" t="s">
        <v>14</v>
      </c>
      <c r="O2" s="1220"/>
      <c r="P2" s="1220"/>
      <c r="Q2" s="1220" t="s">
        <v>202</v>
      </c>
      <c r="R2" s="1220"/>
      <c r="S2" s="1220"/>
      <c r="T2" s="1220" t="s">
        <v>1487</v>
      </c>
      <c r="U2" s="1220" t="s">
        <v>15</v>
      </c>
      <c r="V2" s="549"/>
      <c r="W2" s="549"/>
      <c r="X2" s="549"/>
      <c r="Y2" s="549"/>
      <c r="Z2" s="549"/>
      <c r="AA2" s="549"/>
    </row>
    <row r="3" spans="1:27" s="561" customFormat="1" ht="24.75" customHeight="1">
      <c r="A3" s="1223"/>
      <c r="B3" s="1223"/>
      <c r="C3" s="1223"/>
      <c r="D3" s="1223"/>
      <c r="E3" s="1224"/>
      <c r="F3" s="1220" t="s">
        <v>16</v>
      </c>
      <c r="G3" s="1220" t="s">
        <v>17</v>
      </c>
      <c r="H3" s="1220"/>
      <c r="I3" s="1220"/>
      <c r="J3" s="1220"/>
      <c r="K3" s="1223"/>
      <c r="L3" s="1223"/>
      <c r="M3" s="1223"/>
      <c r="N3" s="1220"/>
      <c r="O3" s="1220"/>
      <c r="P3" s="1220"/>
      <c r="Q3" s="1220"/>
      <c r="R3" s="1220"/>
      <c r="S3" s="1220"/>
      <c r="T3" s="1220"/>
      <c r="U3" s="1220"/>
      <c r="V3" s="549"/>
      <c r="W3" s="549"/>
      <c r="X3" s="549"/>
      <c r="Y3" s="549"/>
      <c r="Z3" s="549"/>
      <c r="AA3" s="549"/>
    </row>
    <row r="4" spans="1:27" s="561" customFormat="1" ht="15.75">
      <c r="A4" s="1223"/>
      <c r="B4" s="1223"/>
      <c r="C4" s="1223"/>
      <c r="D4" s="1223"/>
      <c r="E4" s="1224"/>
      <c r="F4" s="1220"/>
      <c r="G4" s="1220" t="s">
        <v>20</v>
      </c>
      <c r="H4" s="1220" t="s">
        <v>21</v>
      </c>
      <c r="I4" s="1220"/>
      <c r="J4" s="1220"/>
      <c r="K4" s="1220" t="s">
        <v>20</v>
      </c>
      <c r="L4" s="1220" t="s">
        <v>21</v>
      </c>
      <c r="M4" s="1220"/>
      <c r="N4" s="1220" t="s">
        <v>20</v>
      </c>
      <c r="O4" s="1220" t="s">
        <v>21</v>
      </c>
      <c r="P4" s="1220"/>
      <c r="Q4" s="1220" t="s">
        <v>22</v>
      </c>
      <c r="R4" s="1220" t="s">
        <v>199</v>
      </c>
      <c r="S4" s="1220"/>
      <c r="T4" s="1220"/>
      <c r="U4" s="1220"/>
      <c r="V4" s="549"/>
      <c r="W4" s="549"/>
      <c r="X4" s="549"/>
      <c r="Y4" s="549"/>
      <c r="Z4" s="549"/>
      <c r="AA4" s="549"/>
    </row>
    <row r="5" spans="1:27" s="561" customFormat="1" ht="24.75" customHeight="1">
      <c r="A5" s="1223"/>
      <c r="B5" s="1223"/>
      <c r="C5" s="1223"/>
      <c r="D5" s="1223"/>
      <c r="E5" s="1224"/>
      <c r="F5" s="1220"/>
      <c r="G5" s="1220"/>
      <c r="H5" s="1221"/>
      <c r="I5" s="1220" t="s">
        <v>20</v>
      </c>
      <c r="J5" s="1220" t="s">
        <v>21</v>
      </c>
      <c r="K5" s="1220"/>
      <c r="L5" s="1220" t="s">
        <v>22</v>
      </c>
      <c r="M5" s="1230" t="s">
        <v>1482</v>
      </c>
      <c r="N5" s="1220"/>
      <c r="O5" s="1220" t="s">
        <v>22</v>
      </c>
      <c r="P5" s="1230" t="s">
        <v>1482</v>
      </c>
      <c r="Q5" s="1220"/>
      <c r="R5" s="1220" t="s">
        <v>200</v>
      </c>
      <c r="S5" s="1220" t="s">
        <v>201</v>
      </c>
      <c r="T5" s="1220"/>
      <c r="U5" s="1220"/>
      <c r="V5" s="549"/>
      <c r="W5" s="549"/>
      <c r="X5" s="549"/>
      <c r="Y5" s="549"/>
      <c r="Z5" s="549"/>
      <c r="AA5" s="549"/>
    </row>
    <row r="6" spans="1:27" s="561" customFormat="1" ht="30" customHeight="1">
      <c r="A6" s="1223"/>
      <c r="B6" s="1223"/>
      <c r="C6" s="1223"/>
      <c r="D6" s="1223"/>
      <c r="E6" s="1224"/>
      <c r="F6" s="1220"/>
      <c r="G6" s="1220"/>
      <c r="H6" s="1221"/>
      <c r="I6" s="1220"/>
      <c r="J6" s="1220"/>
      <c r="K6" s="1220"/>
      <c r="L6" s="1220"/>
      <c r="M6" s="1230"/>
      <c r="N6" s="1220"/>
      <c r="O6" s="1220"/>
      <c r="P6" s="1230"/>
      <c r="Q6" s="1220"/>
      <c r="R6" s="1220"/>
      <c r="S6" s="1220"/>
      <c r="T6" s="1220"/>
      <c r="U6" s="1220"/>
      <c r="V6" s="549"/>
      <c r="W6" s="549"/>
      <c r="X6" s="549"/>
      <c r="Y6" s="549"/>
      <c r="Z6" s="549"/>
      <c r="AA6" s="549"/>
    </row>
    <row r="7" spans="1:27" s="318" customFormat="1">
      <c r="A7" s="4">
        <v>1</v>
      </c>
      <c r="B7" s="4">
        <v>2</v>
      </c>
      <c r="C7" s="4">
        <v>3</v>
      </c>
      <c r="D7" s="4">
        <v>4</v>
      </c>
      <c r="E7" s="306">
        <v>5</v>
      </c>
      <c r="F7" s="4">
        <v>6</v>
      </c>
      <c r="G7" s="4">
        <v>7</v>
      </c>
      <c r="H7" s="4">
        <v>8</v>
      </c>
      <c r="I7" s="4">
        <v>15</v>
      </c>
      <c r="J7" s="4">
        <v>16</v>
      </c>
      <c r="K7" s="4">
        <v>17</v>
      </c>
      <c r="L7" s="4">
        <v>18</v>
      </c>
      <c r="M7" s="4">
        <v>19</v>
      </c>
      <c r="N7" s="4">
        <v>20</v>
      </c>
      <c r="O7" s="4">
        <v>21</v>
      </c>
      <c r="P7" s="4">
        <v>22</v>
      </c>
      <c r="Q7" s="4">
        <v>23</v>
      </c>
      <c r="R7" s="4">
        <v>24</v>
      </c>
      <c r="S7" s="4">
        <v>25</v>
      </c>
      <c r="T7" s="4">
        <v>26</v>
      </c>
      <c r="U7" s="4">
        <v>27</v>
      </c>
    </row>
    <row r="9" spans="1:27" s="2" customFormat="1" ht="30">
      <c r="A9" s="78">
        <v>3</v>
      </c>
      <c r="B9" s="79" t="s">
        <v>208</v>
      </c>
      <c r="C9" s="19" t="s">
        <v>209</v>
      </c>
      <c r="D9" s="19" t="s">
        <v>210</v>
      </c>
      <c r="E9" s="70" t="s">
        <v>120</v>
      </c>
      <c r="F9" s="19"/>
      <c r="G9" s="76">
        <v>63238</v>
      </c>
      <c r="H9" s="72">
        <v>36847</v>
      </c>
      <c r="I9" s="21"/>
      <c r="J9" s="21"/>
      <c r="K9" s="21">
        <v>62587</v>
      </c>
      <c r="L9" s="21">
        <v>26870</v>
      </c>
      <c r="M9" s="21"/>
      <c r="N9" s="81">
        <v>12288</v>
      </c>
      <c r="O9" s="81">
        <v>5231</v>
      </c>
      <c r="P9" s="81"/>
      <c r="Q9" s="81"/>
      <c r="R9" s="81"/>
      <c r="S9" s="81"/>
      <c r="T9" s="81"/>
      <c r="U9" s="70"/>
      <c r="V9" s="551"/>
      <c r="W9" s="551"/>
      <c r="X9" s="551"/>
      <c r="Y9" s="551"/>
      <c r="Z9" s="551"/>
      <c r="AA9" s="551"/>
    </row>
    <row r="10" spans="1:27" s="51" customFormat="1" ht="180">
      <c r="A10" s="92" t="s">
        <v>27</v>
      </c>
      <c r="B10" s="93" t="s">
        <v>211</v>
      </c>
      <c r="C10" s="94" t="s">
        <v>60</v>
      </c>
      <c r="D10" s="19"/>
      <c r="E10" s="95"/>
      <c r="F10" s="19" t="s">
        <v>212</v>
      </c>
      <c r="G10" s="96">
        <v>48571</v>
      </c>
      <c r="H10" s="96">
        <v>48571</v>
      </c>
      <c r="I10" s="21"/>
      <c r="J10" s="21"/>
      <c r="K10" s="23">
        <f>+L10</f>
        <v>6389</v>
      </c>
      <c r="L10" s="23">
        <v>6389</v>
      </c>
      <c r="M10" s="21"/>
      <c r="N10" s="81"/>
      <c r="O10" s="81"/>
      <c r="P10" s="81"/>
      <c r="Q10" s="81"/>
      <c r="R10" s="81"/>
      <c r="S10" s="81"/>
      <c r="T10" s="81"/>
      <c r="U10" s="70"/>
      <c r="V10" s="552"/>
      <c r="W10" s="552"/>
      <c r="X10" s="552"/>
      <c r="Y10" s="552"/>
      <c r="Z10" s="552"/>
      <c r="AA10" s="552"/>
    </row>
    <row r="11" spans="1:27" s="51" customFormat="1" ht="90">
      <c r="A11" s="97" t="s">
        <v>41</v>
      </c>
      <c r="B11" s="93" t="s">
        <v>213</v>
      </c>
      <c r="C11" s="94" t="s">
        <v>5</v>
      </c>
      <c r="D11" s="19" t="s">
        <v>214</v>
      </c>
      <c r="E11" s="95" t="s">
        <v>56</v>
      </c>
      <c r="F11" s="19" t="s">
        <v>215</v>
      </c>
      <c r="G11" s="96">
        <v>119251</v>
      </c>
      <c r="H11" s="96">
        <v>44251</v>
      </c>
      <c r="I11" s="21">
        <v>113761</v>
      </c>
      <c r="J11" s="21">
        <v>47954</v>
      </c>
      <c r="K11" s="23">
        <f>807+341</f>
        <v>1148</v>
      </c>
      <c r="L11" s="23">
        <v>341</v>
      </c>
      <c r="M11" s="21"/>
      <c r="N11" s="81"/>
      <c r="O11" s="81"/>
      <c r="P11" s="81"/>
      <c r="Q11" s="81"/>
      <c r="R11" s="81"/>
      <c r="S11" s="81"/>
      <c r="T11" s="81"/>
      <c r="U11" s="70"/>
      <c r="V11" s="552"/>
      <c r="W11" s="552"/>
      <c r="X11" s="552"/>
      <c r="Y11" s="552"/>
      <c r="Z11" s="552"/>
      <c r="AA11" s="552"/>
    </row>
    <row r="12" spans="1:27" s="51" customFormat="1" ht="45">
      <c r="A12" s="92" t="s">
        <v>58</v>
      </c>
      <c r="B12" s="68" t="s">
        <v>216</v>
      </c>
      <c r="C12" s="94" t="s">
        <v>217</v>
      </c>
      <c r="D12" s="233" t="s">
        <v>218</v>
      </c>
      <c r="E12" s="95" t="s">
        <v>219</v>
      </c>
      <c r="F12" s="101" t="s">
        <v>220</v>
      </c>
      <c r="G12" s="77">
        <v>33535</v>
      </c>
      <c r="H12" s="96">
        <v>33535</v>
      </c>
      <c r="I12" s="21">
        <v>13535</v>
      </c>
      <c r="J12" s="21">
        <v>5931</v>
      </c>
      <c r="K12" s="23">
        <v>1500</v>
      </c>
      <c r="L12" s="23">
        <v>1500</v>
      </c>
      <c r="M12" s="21"/>
      <c r="N12" s="81"/>
      <c r="O12" s="81"/>
      <c r="P12" s="81"/>
      <c r="Q12" s="81"/>
      <c r="R12" s="81"/>
      <c r="S12" s="81"/>
      <c r="T12" s="81"/>
      <c r="U12" s="70"/>
      <c r="V12" s="552"/>
      <c r="W12" s="552"/>
      <c r="X12" s="552"/>
      <c r="Y12" s="552"/>
      <c r="Z12" s="552"/>
      <c r="AA12" s="552"/>
    </row>
    <row r="13" spans="1:27" s="51" customFormat="1" ht="45">
      <c r="A13" s="97" t="s">
        <v>64</v>
      </c>
      <c r="B13" s="68" t="s">
        <v>221</v>
      </c>
      <c r="C13" s="94" t="s">
        <v>222</v>
      </c>
      <c r="D13" s="233" t="s">
        <v>223</v>
      </c>
      <c r="E13" s="95" t="s">
        <v>219</v>
      </c>
      <c r="F13" s="101" t="s">
        <v>224</v>
      </c>
      <c r="G13" s="77">
        <v>64164</v>
      </c>
      <c r="H13" s="96">
        <v>32082</v>
      </c>
      <c r="I13" s="21">
        <v>16263</v>
      </c>
      <c r="J13" s="21">
        <v>8541</v>
      </c>
      <c r="K13" s="23">
        <v>4153</v>
      </c>
      <c r="L13" s="23">
        <v>4153</v>
      </c>
      <c r="M13" s="21"/>
      <c r="N13" s="81"/>
      <c r="O13" s="81"/>
      <c r="P13" s="81"/>
      <c r="Q13" s="81"/>
      <c r="R13" s="81"/>
      <c r="S13" s="81"/>
      <c r="T13" s="81"/>
      <c r="U13" s="70"/>
      <c r="V13" s="552"/>
      <c r="W13" s="552"/>
      <c r="X13" s="552"/>
      <c r="Y13" s="552"/>
      <c r="Z13" s="552"/>
      <c r="AA13" s="552"/>
    </row>
    <row r="14" spans="1:27" s="51" customFormat="1" ht="33.75" customHeight="1">
      <c r="A14" s="92" t="s">
        <v>69</v>
      </c>
      <c r="B14" s="93" t="s">
        <v>225</v>
      </c>
      <c r="C14" s="94" t="s">
        <v>5</v>
      </c>
      <c r="D14" s="19"/>
      <c r="E14" s="95" t="s">
        <v>30</v>
      </c>
      <c r="F14" s="19" t="s">
        <v>226</v>
      </c>
      <c r="G14" s="96">
        <v>6200</v>
      </c>
      <c r="H14" s="96">
        <v>2908</v>
      </c>
      <c r="I14" s="23">
        <f>+J14</f>
        <v>2908</v>
      </c>
      <c r="J14" s="23">
        <v>2908</v>
      </c>
      <c r="K14" s="77">
        <v>2908</v>
      </c>
      <c r="L14" s="77">
        <v>2908</v>
      </c>
      <c r="M14" s="21"/>
      <c r="N14" s="81"/>
      <c r="O14" s="81"/>
      <c r="P14" s="81"/>
      <c r="Q14" s="81"/>
      <c r="R14" s="81"/>
      <c r="S14" s="81"/>
      <c r="T14" s="81"/>
      <c r="U14" s="70"/>
      <c r="V14" s="552"/>
      <c r="W14" s="552"/>
      <c r="X14" s="552"/>
      <c r="Y14" s="552"/>
      <c r="Z14" s="552"/>
      <c r="AA14" s="552"/>
    </row>
    <row r="15" spans="1:27" s="51" customFormat="1" ht="45">
      <c r="A15" s="97" t="s">
        <v>74</v>
      </c>
      <c r="B15" s="93" t="s">
        <v>227</v>
      </c>
      <c r="C15" s="94" t="s">
        <v>66</v>
      </c>
      <c r="D15" s="19" t="s">
        <v>228</v>
      </c>
      <c r="E15" s="95" t="s">
        <v>30</v>
      </c>
      <c r="F15" s="19" t="s">
        <v>229</v>
      </c>
      <c r="G15" s="96">
        <v>3473</v>
      </c>
      <c r="H15" s="96">
        <v>3473</v>
      </c>
      <c r="I15" s="21">
        <v>3353</v>
      </c>
      <c r="J15" s="21">
        <v>3353</v>
      </c>
      <c r="K15" s="21">
        <v>3353</v>
      </c>
      <c r="L15" s="21">
        <v>3353</v>
      </c>
      <c r="M15" s="21"/>
      <c r="N15" s="81"/>
      <c r="O15" s="81"/>
      <c r="P15" s="81"/>
      <c r="Q15" s="81"/>
      <c r="R15" s="81"/>
      <c r="S15" s="81"/>
      <c r="T15" s="81"/>
      <c r="U15" s="70"/>
      <c r="V15" s="552"/>
      <c r="W15" s="552"/>
      <c r="X15" s="552"/>
      <c r="Y15" s="552"/>
      <c r="Z15" s="552"/>
      <c r="AA15" s="552"/>
    </row>
    <row r="16" spans="1:27" s="2" customFormat="1" ht="35.25" customHeight="1">
      <c r="A16" s="97" t="s">
        <v>27</v>
      </c>
      <c r="B16" s="93" t="s">
        <v>247</v>
      </c>
      <c r="C16" s="101" t="s">
        <v>60</v>
      </c>
      <c r="D16" s="101" t="s">
        <v>248</v>
      </c>
      <c r="E16" s="95" t="s">
        <v>82</v>
      </c>
      <c r="F16" s="101" t="s">
        <v>249</v>
      </c>
      <c r="G16" s="104">
        <v>36064</v>
      </c>
      <c r="H16" s="104">
        <v>36064</v>
      </c>
      <c r="I16" s="23">
        <v>17178</v>
      </c>
      <c r="J16" s="23">
        <v>17178</v>
      </c>
      <c r="K16" s="23">
        <v>19000</v>
      </c>
      <c r="L16" s="23">
        <v>19000</v>
      </c>
      <c r="M16" s="23"/>
      <c r="N16" s="105">
        <v>11000</v>
      </c>
      <c r="O16" s="105">
        <v>11000</v>
      </c>
      <c r="P16" s="105"/>
      <c r="Q16" s="105"/>
      <c r="R16" s="105"/>
      <c r="S16" s="105"/>
      <c r="T16" s="105"/>
      <c r="U16" s="19"/>
      <c r="V16" s="551"/>
      <c r="W16" s="551"/>
      <c r="X16" s="551"/>
      <c r="Y16" s="551"/>
      <c r="Z16" s="551"/>
      <c r="AA16" s="551"/>
    </row>
    <row r="17" spans="1:30" s="2" customFormat="1" ht="35.25" customHeight="1">
      <c r="A17" s="97" t="s">
        <v>64</v>
      </c>
      <c r="B17" s="93" t="s">
        <v>256</v>
      </c>
      <c r="C17" s="94" t="s">
        <v>112</v>
      </c>
      <c r="D17" s="19" t="s">
        <v>257</v>
      </c>
      <c r="E17" s="95" t="s">
        <v>30</v>
      </c>
      <c r="F17" s="19" t="s">
        <v>258</v>
      </c>
      <c r="G17" s="96">
        <v>6663</v>
      </c>
      <c r="H17" s="96">
        <v>3776</v>
      </c>
      <c r="I17" s="23">
        <v>500</v>
      </c>
      <c r="J17" s="23">
        <v>500</v>
      </c>
      <c r="K17" s="21">
        <v>6663</v>
      </c>
      <c r="L17" s="21">
        <v>3776</v>
      </c>
      <c r="M17" s="21"/>
      <c r="N17" s="81">
        <v>6170</v>
      </c>
      <c r="O17" s="81">
        <v>4164</v>
      </c>
      <c r="P17" s="81"/>
      <c r="Q17" s="81"/>
      <c r="R17" s="81"/>
      <c r="S17" s="81"/>
      <c r="T17" s="81"/>
      <c r="U17" s="70"/>
      <c r="V17" s="551"/>
      <c r="W17" s="551"/>
      <c r="X17" s="551"/>
      <c r="Y17" s="551"/>
      <c r="Z17" s="551"/>
      <c r="AA17" s="551"/>
    </row>
    <row r="18" spans="1:30" s="2" customFormat="1" ht="35.25" customHeight="1">
      <c r="A18" s="97" t="s">
        <v>69</v>
      </c>
      <c r="B18" s="93" t="s">
        <v>259</v>
      </c>
      <c r="C18" s="94" t="s">
        <v>260</v>
      </c>
      <c r="D18" s="19" t="s">
        <v>261</v>
      </c>
      <c r="E18" s="95" t="s">
        <v>30</v>
      </c>
      <c r="F18" s="19" t="s">
        <v>262</v>
      </c>
      <c r="G18" s="96">
        <v>4639</v>
      </c>
      <c r="H18" s="96">
        <v>2385</v>
      </c>
      <c r="I18" s="23">
        <v>1500</v>
      </c>
      <c r="J18" s="23">
        <v>1500</v>
      </c>
      <c r="K18" s="21">
        <v>4639</v>
      </c>
      <c r="L18" s="21">
        <v>2385</v>
      </c>
      <c r="M18" s="21"/>
      <c r="N18" s="106">
        <v>2639</v>
      </c>
      <c r="O18" s="106"/>
      <c r="P18" s="106"/>
      <c r="Q18" s="106"/>
      <c r="R18" s="106"/>
      <c r="S18" s="81"/>
      <c r="T18" s="81"/>
      <c r="U18" s="70"/>
      <c r="V18" s="551"/>
      <c r="W18" s="551"/>
      <c r="X18" s="551"/>
      <c r="Y18" s="551"/>
      <c r="Z18" s="551"/>
      <c r="AA18" s="551"/>
    </row>
    <row r="19" spans="1:30" s="117" customFormat="1" ht="50.25" customHeight="1">
      <c r="A19" s="109">
        <v>2</v>
      </c>
      <c r="B19" s="110" t="s">
        <v>266</v>
      </c>
      <c r="C19" s="111" t="s">
        <v>43</v>
      </c>
      <c r="D19" s="112" t="s">
        <v>267</v>
      </c>
      <c r="E19" s="113" t="s">
        <v>120</v>
      </c>
      <c r="F19" s="313" t="s">
        <v>268</v>
      </c>
      <c r="G19" s="114">
        <v>1145000</v>
      </c>
      <c r="H19" s="114">
        <v>248000</v>
      </c>
      <c r="I19" s="115"/>
      <c r="J19" s="115"/>
      <c r="K19" s="114">
        <v>1145000</v>
      </c>
      <c r="L19" s="114">
        <v>248000</v>
      </c>
      <c r="M19" s="115"/>
      <c r="N19" s="116">
        <v>105000</v>
      </c>
      <c r="O19" s="116">
        <v>5000</v>
      </c>
      <c r="P19" s="116"/>
      <c r="Q19" s="116"/>
      <c r="R19" s="116"/>
      <c r="S19" s="116"/>
      <c r="T19" s="116"/>
      <c r="U19" s="575"/>
      <c r="V19" s="554"/>
      <c r="W19" s="554"/>
      <c r="X19" s="554"/>
      <c r="Y19" s="554"/>
      <c r="Z19" s="554"/>
      <c r="AA19" s="554"/>
    </row>
    <row r="20" spans="1:30" s="2" customFormat="1" ht="49.5" customHeight="1">
      <c r="A20" s="67">
        <v>3</v>
      </c>
      <c r="B20" s="118" t="s">
        <v>269</v>
      </c>
      <c r="C20" s="41" t="s">
        <v>5</v>
      </c>
      <c r="D20" s="119" t="s">
        <v>270</v>
      </c>
      <c r="E20" s="120" t="s">
        <v>120</v>
      </c>
      <c r="F20" s="119" t="s">
        <v>271</v>
      </c>
      <c r="G20" s="72">
        <v>347012</v>
      </c>
      <c r="H20" s="72">
        <v>58000</v>
      </c>
      <c r="I20" s="21"/>
      <c r="J20" s="21"/>
      <c r="K20" s="21">
        <v>312226</v>
      </c>
      <c r="L20" s="21">
        <v>247426</v>
      </c>
      <c r="M20" s="21"/>
      <c r="N20" s="81">
        <v>40000</v>
      </c>
      <c r="O20" s="81">
        <v>10000</v>
      </c>
      <c r="P20" s="81"/>
      <c r="Q20" s="81"/>
      <c r="R20" s="81"/>
      <c r="S20" s="81"/>
      <c r="T20" s="81"/>
      <c r="U20" s="70"/>
      <c r="V20" s="551"/>
      <c r="W20" s="551"/>
      <c r="X20" s="551"/>
      <c r="Y20" s="551"/>
      <c r="Z20" s="551"/>
      <c r="AA20" s="551"/>
    </row>
    <row r="21" spans="1:30" s="681" customFormat="1" ht="180">
      <c r="A21" s="671">
        <v>3</v>
      </c>
      <c r="B21" s="672" t="s">
        <v>277</v>
      </c>
      <c r="C21" s="673" t="s">
        <v>278</v>
      </c>
      <c r="D21" s="673" t="s">
        <v>279</v>
      </c>
      <c r="E21" s="669" t="s">
        <v>280</v>
      </c>
      <c r="F21" s="689"/>
      <c r="G21" s="674">
        <v>31171</v>
      </c>
      <c r="H21" s="675">
        <v>20000</v>
      </c>
      <c r="I21" s="676"/>
      <c r="J21" s="676"/>
      <c r="K21" s="676">
        <v>31171</v>
      </c>
      <c r="L21" s="676">
        <v>20000</v>
      </c>
      <c r="M21" s="676"/>
      <c r="N21" s="677"/>
      <c r="O21" s="677"/>
      <c r="P21" s="677"/>
      <c r="Q21" s="677">
        <v>5000</v>
      </c>
      <c r="R21" s="677">
        <v>5000</v>
      </c>
      <c r="S21" s="677"/>
      <c r="T21" s="670">
        <f>SUM(U21:V21)</f>
        <v>5000</v>
      </c>
      <c r="U21" s="677"/>
      <c r="V21" s="677">
        <v>5000</v>
      </c>
      <c r="W21" s="677"/>
      <c r="X21" s="678"/>
      <c r="Y21" s="679" t="s">
        <v>1502</v>
      </c>
      <c r="Z21" s="680"/>
      <c r="AA21" s="680"/>
      <c r="AB21" s="680"/>
      <c r="AC21" s="680"/>
      <c r="AD21" s="680"/>
    </row>
    <row r="23" spans="1:30" s="2" customFormat="1" ht="28.5">
      <c r="A23" s="64" t="s">
        <v>32</v>
      </c>
      <c r="B23" s="65" t="s">
        <v>33</v>
      </c>
      <c r="C23" s="13"/>
      <c r="D23" s="13"/>
      <c r="E23" s="14"/>
      <c r="F23" s="13"/>
      <c r="G23" s="90">
        <f t="shared" ref="G23:S23" si="0">+G24+G35</f>
        <v>370650</v>
      </c>
      <c r="H23" s="90">
        <f t="shared" si="0"/>
        <v>344650</v>
      </c>
      <c r="I23" s="90">
        <f t="shared" si="0"/>
        <v>60167</v>
      </c>
      <c r="J23" s="90">
        <f t="shared" si="0"/>
        <v>34167</v>
      </c>
      <c r="K23" s="90">
        <f t="shared" si="0"/>
        <v>6660</v>
      </c>
      <c r="L23" s="90">
        <f t="shared" si="0"/>
        <v>6660</v>
      </c>
      <c r="M23" s="90">
        <f t="shared" si="0"/>
        <v>0</v>
      </c>
      <c r="N23" s="90">
        <f t="shared" si="0"/>
        <v>0</v>
      </c>
      <c r="O23" s="90">
        <f t="shared" si="0"/>
        <v>0</v>
      </c>
      <c r="P23" s="90">
        <f t="shared" si="0"/>
        <v>0</v>
      </c>
      <c r="Q23" s="90">
        <f t="shared" si="0"/>
        <v>0</v>
      </c>
      <c r="R23" s="90">
        <f t="shared" si="0"/>
        <v>0</v>
      </c>
      <c r="S23" s="90">
        <f t="shared" si="0"/>
        <v>0</v>
      </c>
      <c r="T23" s="90"/>
      <c r="U23" s="573"/>
      <c r="V23" s="551"/>
      <c r="W23" s="551"/>
      <c r="X23" s="551"/>
      <c r="Y23" s="551"/>
      <c r="Z23" s="551"/>
      <c r="AA23" s="551"/>
    </row>
    <row r="24" spans="1:30" s="2" customFormat="1" ht="18.75">
      <c r="A24" s="26" t="s">
        <v>34</v>
      </c>
      <c r="B24" s="88" t="s">
        <v>35</v>
      </c>
      <c r="C24" s="13"/>
      <c r="D24" s="13"/>
      <c r="E24" s="14"/>
      <c r="F24" s="13"/>
      <c r="G24" s="90">
        <f t="shared" ref="G24:S24" si="1">SUM(G25,G30,G34)</f>
        <v>369529</v>
      </c>
      <c r="H24" s="90">
        <f t="shared" si="1"/>
        <v>343529</v>
      </c>
      <c r="I24" s="90">
        <f t="shared" si="1"/>
        <v>59167</v>
      </c>
      <c r="J24" s="90">
        <f t="shared" si="1"/>
        <v>33167</v>
      </c>
      <c r="K24" s="90">
        <f t="shared" si="1"/>
        <v>5660</v>
      </c>
      <c r="L24" s="90">
        <f t="shared" si="1"/>
        <v>5660</v>
      </c>
      <c r="M24" s="90">
        <f t="shared" si="1"/>
        <v>0</v>
      </c>
      <c r="N24" s="90">
        <f t="shared" si="1"/>
        <v>0</v>
      </c>
      <c r="O24" s="90">
        <f t="shared" si="1"/>
        <v>0</v>
      </c>
      <c r="P24" s="90">
        <f t="shared" si="1"/>
        <v>0</v>
      </c>
      <c r="Q24" s="90">
        <f t="shared" si="1"/>
        <v>0</v>
      </c>
      <c r="R24" s="90">
        <f t="shared" si="1"/>
        <v>0</v>
      </c>
      <c r="S24" s="90">
        <f t="shared" si="1"/>
        <v>0</v>
      </c>
      <c r="T24" s="90"/>
      <c r="U24" s="573"/>
      <c r="V24" s="551"/>
      <c r="W24" s="551"/>
      <c r="X24" s="551"/>
      <c r="Y24" s="551"/>
      <c r="Z24" s="551"/>
      <c r="AA24" s="551"/>
    </row>
    <row r="25" spans="1:30" s="2" customFormat="1" ht="18.75">
      <c r="A25" s="97" t="s">
        <v>27</v>
      </c>
      <c r="B25" s="68" t="s">
        <v>282</v>
      </c>
      <c r="C25" s="128"/>
      <c r="D25" s="19"/>
      <c r="E25" s="129"/>
      <c r="F25" s="128"/>
      <c r="G25" s="22">
        <f t="shared" ref="G25:S25" si="2">SUM(G26:G29)</f>
        <v>290283</v>
      </c>
      <c r="H25" s="22">
        <f t="shared" si="2"/>
        <v>290283</v>
      </c>
      <c r="I25" s="22">
        <f t="shared" si="2"/>
        <v>669</v>
      </c>
      <c r="J25" s="22">
        <f t="shared" si="2"/>
        <v>669</v>
      </c>
      <c r="K25" s="22">
        <f t="shared" si="2"/>
        <v>0</v>
      </c>
      <c r="L25" s="22">
        <f t="shared" si="2"/>
        <v>0</v>
      </c>
      <c r="M25" s="22">
        <f t="shared" si="2"/>
        <v>0</v>
      </c>
      <c r="N25" s="22">
        <f t="shared" si="2"/>
        <v>0</v>
      </c>
      <c r="O25" s="22">
        <f t="shared" si="2"/>
        <v>0</v>
      </c>
      <c r="P25" s="22">
        <f t="shared" si="2"/>
        <v>0</v>
      </c>
      <c r="Q25" s="22">
        <f t="shared" si="2"/>
        <v>0</v>
      </c>
      <c r="R25" s="22">
        <f t="shared" si="2"/>
        <v>0</v>
      </c>
      <c r="S25" s="22">
        <f t="shared" si="2"/>
        <v>0</v>
      </c>
      <c r="T25" s="22"/>
      <c r="U25" s="576"/>
      <c r="V25" s="551"/>
      <c r="W25" s="551"/>
      <c r="X25" s="551"/>
      <c r="Y25" s="551"/>
      <c r="Z25" s="551"/>
      <c r="AA25" s="551"/>
    </row>
    <row r="26" spans="1:30" s="2" customFormat="1" ht="30">
      <c r="A26" s="130"/>
      <c r="B26" s="131" t="s">
        <v>283</v>
      </c>
      <c r="C26" s="128" t="s">
        <v>112</v>
      </c>
      <c r="D26" s="19"/>
      <c r="E26" s="129">
        <v>2014</v>
      </c>
      <c r="F26" s="128"/>
      <c r="G26" s="22">
        <v>290283</v>
      </c>
      <c r="H26" s="22">
        <v>290283</v>
      </c>
      <c r="I26" s="22">
        <v>657</v>
      </c>
      <c r="J26" s="22">
        <v>657</v>
      </c>
      <c r="K26" s="90"/>
      <c r="L26" s="90"/>
      <c r="M26" s="90"/>
      <c r="N26" s="91"/>
      <c r="O26" s="91"/>
      <c r="P26" s="91"/>
      <c r="Q26" s="91"/>
      <c r="R26" s="91"/>
      <c r="S26" s="91"/>
      <c r="T26" s="91"/>
      <c r="U26" s="218"/>
      <c r="V26" s="551"/>
      <c r="W26" s="551"/>
      <c r="X26" s="551"/>
      <c r="Y26" s="551"/>
      <c r="Z26" s="551"/>
      <c r="AA26" s="551"/>
    </row>
    <row r="27" spans="1:30" s="2" customFormat="1" ht="18.75">
      <c r="A27" s="26"/>
      <c r="B27" s="131" t="s">
        <v>284</v>
      </c>
      <c r="C27" s="128"/>
      <c r="D27" s="19"/>
      <c r="E27" s="129"/>
      <c r="F27" s="128"/>
      <c r="G27" s="22"/>
      <c r="H27" s="90"/>
      <c r="I27" s="22">
        <v>10</v>
      </c>
      <c r="J27" s="22">
        <v>10</v>
      </c>
      <c r="K27" s="90"/>
      <c r="L27" s="90"/>
      <c r="M27" s="90"/>
      <c r="N27" s="91"/>
      <c r="O27" s="91"/>
      <c r="P27" s="91"/>
      <c r="Q27" s="91"/>
      <c r="R27" s="91"/>
      <c r="S27" s="91"/>
      <c r="T27" s="91"/>
      <c r="U27" s="218"/>
      <c r="V27" s="551"/>
      <c r="W27" s="551"/>
      <c r="X27" s="551"/>
      <c r="Y27" s="551"/>
      <c r="Z27" s="551"/>
      <c r="AA27" s="551"/>
    </row>
    <row r="28" spans="1:30" s="2" customFormat="1" ht="18.75">
      <c r="A28" s="26"/>
      <c r="B28" s="131" t="s">
        <v>285</v>
      </c>
      <c r="C28" s="128"/>
      <c r="D28" s="19"/>
      <c r="E28" s="129"/>
      <c r="F28" s="128"/>
      <c r="G28" s="22"/>
      <c r="H28" s="90"/>
      <c r="I28" s="22">
        <v>2</v>
      </c>
      <c r="J28" s="22">
        <v>2</v>
      </c>
      <c r="K28" s="90"/>
      <c r="L28" s="90"/>
      <c r="M28" s="90"/>
      <c r="N28" s="91"/>
      <c r="O28" s="91"/>
      <c r="P28" s="91"/>
      <c r="Q28" s="91"/>
      <c r="R28" s="91"/>
      <c r="S28" s="91"/>
      <c r="T28" s="91"/>
      <c r="U28" s="218"/>
      <c r="V28" s="551"/>
      <c r="W28" s="551"/>
      <c r="X28" s="551"/>
      <c r="Y28" s="551"/>
      <c r="Z28" s="551"/>
      <c r="AA28" s="551"/>
    </row>
    <row r="29" spans="1:30" s="2" customFormat="1" ht="18.75">
      <c r="A29" s="26"/>
      <c r="B29" s="131" t="s">
        <v>286</v>
      </c>
      <c r="C29" s="128"/>
      <c r="D29" s="19"/>
      <c r="E29" s="129"/>
      <c r="F29" s="128"/>
      <c r="G29" s="22"/>
      <c r="H29" s="90"/>
      <c r="I29" s="22"/>
      <c r="J29" s="22"/>
      <c r="K29" s="90"/>
      <c r="L29" s="90"/>
      <c r="M29" s="90"/>
      <c r="N29" s="91"/>
      <c r="O29" s="91"/>
      <c r="P29" s="91"/>
      <c r="Q29" s="91"/>
      <c r="R29" s="91"/>
      <c r="S29" s="91"/>
      <c r="T29" s="91"/>
      <c r="U29" s="218"/>
      <c r="V29" s="551"/>
      <c r="W29" s="551"/>
      <c r="X29" s="551"/>
      <c r="Y29" s="551"/>
      <c r="Z29" s="551"/>
      <c r="AA29" s="551"/>
    </row>
    <row r="30" spans="1:30" s="2" customFormat="1" ht="18.75">
      <c r="A30" s="97" t="s">
        <v>41</v>
      </c>
      <c r="B30" s="68" t="s">
        <v>287</v>
      </c>
      <c r="C30" s="128"/>
      <c r="D30" s="19"/>
      <c r="E30" s="129"/>
      <c r="F30" s="128"/>
      <c r="G30" s="22">
        <f t="shared" ref="G30:S30" si="3">SUM(G31:G33)</f>
        <v>0</v>
      </c>
      <c r="H30" s="22">
        <f t="shared" si="3"/>
        <v>0</v>
      </c>
      <c r="I30" s="22">
        <f t="shared" si="3"/>
        <v>125</v>
      </c>
      <c r="J30" s="22">
        <f t="shared" si="3"/>
        <v>125</v>
      </c>
      <c r="K30" s="22">
        <f t="shared" si="3"/>
        <v>0</v>
      </c>
      <c r="L30" s="22">
        <f t="shared" si="3"/>
        <v>0</v>
      </c>
      <c r="M30" s="22">
        <f t="shared" si="3"/>
        <v>0</v>
      </c>
      <c r="N30" s="22">
        <f t="shared" si="3"/>
        <v>0</v>
      </c>
      <c r="O30" s="22">
        <f t="shared" si="3"/>
        <v>0</v>
      </c>
      <c r="P30" s="22">
        <f t="shared" si="3"/>
        <v>0</v>
      </c>
      <c r="Q30" s="22">
        <f t="shared" si="3"/>
        <v>0</v>
      </c>
      <c r="R30" s="22">
        <f t="shared" si="3"/>
        <v>0</v>
      </c>
      <c r="S30" s="22">
        <f t="shared" si="3"/>
        <v>0</v>
      </c>
      <c r="T30" s="22"/>
      <c r="U30" s="576"/>
      <c r="V30" s="551"/>
      <c r="W30" s="551"/>
      <c r="X30" s="551"/>
      <c r="Y30" s="551"/>
      <c r="Z30" s="551"/>
      <c r="AA30" s="551"/>
    </row>
    <row r="31" spans="1:30" s="2" customFormat="1" ht="18.75">
      <c r="A31" s="26"/>
      <c r="B31" s="68" t="s">
        <v>288</v>
      </c>
      <c r="C31" s="128"/>
      <c r="D31" s="19"/>
      <c r="E31" s="129"/>
      <c r="F31" s="128"/>
      <c r="G31" s="22"/>
      <c r="H31" s="90"/>
      <c r="I31" s="22">
        <v>100</v>
      </c>
      <c r="J31" s="22">
        <v>100</v>
      </c>
      <c r="K31" s="90"/>
      <c r="L31" s="90"/>
      <c r="M31" s="90"/>
      <c r="N31" s="91"/>
      <c r="O31" s="91"/>
      <c r="P31" s="91"/>
      <c r="Q31" s="91"/>
      <c r="R31" s="91"/>
      <c r="S31" s="91"/>
      <c r="T31" s="91"/>
      <c r="U31" s="218"/>
      <c r="V31" s="551"/>
      <c r="W31" s="551"/>
      <c r="X31" s="551"/>
      <c r="Y31" s="551"/>
      <c r="Z31" s="551"/>
      <c r="AA31" s="551"/>
    </row>
    <row r="32" spans="1:30" s="2" customFormat="1" ht="18.75">
      <c r="A32" s="26"/>
      <c r="B32" s="68" t="s">
        <v>289</v>
      </c>
      <c r="C32" s="128"/>
      <c r="D32" s="19"/>
      <c r="E32" s="129"/>
      <c r="F32" s="128"/>
      <c r="G32" s="22"/>
      <c r="H32" s="22"/>
      <c r="I32" s="22">
        <v>22</v>
      </c>
      <c r="J32" s="22">
        <v>22</v>
      </c>
      <c r="K32" s="22"/>
      <c r="L32" s="22"/>
      <c r="M32" s="22"/>
      <c r="N32" s="133"/>
      <c r="O32" s="133"/>
      <c r="P32" s="133"/>
      <c r="Q32" s="133"/>
      <c r="R32" s="133"/>
      <c r="S32" s="133"/>
      <c r="T32" s="133"/>
      <c r="U32" s="216"/>
      <c r="V32" s="551"/>
      <c r="W32" s="551"/>
      <c r="X32" s="551"/>
      <c r="Y32" s="551"/>
      <c r="Z32" s="551"/>
      <c r="AA32" s="551"/>
    </row>
    <row r="33" spans="1:31" s="2" customFormat="1" ht="18.75">
      <c r="A33" s="26"/>
      <c r="B33" s="68" t="s">
        <v>290</v>
      </c>
      <c r="C33" s="128"/>
      <c r="D33" s="19"/>
      <c r="E33" s="129"/>
      <c r="F33" s="128"/>
      <c r="G33" s="22"/>
      <c r="H33" s="132"/>
      <c r="I33" s="132">
        <v>3</v>
      </c>
      <c r="J33" s="132">
        <v>3</v>
      </c>
      <c r="K33" s="132"/>
      <c r="L33" s="132"/>
      <c r="M33" s="132"/>
      <c r="N33" s="134"/>
      <c r="O33" s="134"/>
      <c r="P33" s="134"/>
      <c r="Q33" s="134"/>
      <c r="R33" s="134"/>
      <c r="S33" s="134"/>
      <c r="T33" s="134"/>
      <c r="U33" s="577"/>
      <c r="V33" s="551"/>
      <c r="W33" s="551"/>
      <c r="X33" s="551"/>
      <c r="Y33" s="551"/>
      <c r="Z33" s="551"/>
      <c r="AA33" s="551"/>
    </row>
    <row r="34" spans="1:31" s="2" customFormat="1" ht="45">
      <c r="A34" s="97" t="s">
        <v>58</v>
      </c>
      <c r="B34" s="93" t="s">
        <v>291</v>
      </c>
      <c r="C34" s="128" t="s">
        <v>112</v>
      </c>
      <c r="D34" s="19" t="s">
        <v>292</v>
      </c>
      <c r="E34" s="129">
        <v>2016</v>
      </c>
      <c r="F34" s="101" t="s">
        <v>293</v>
      </c>
      <c r="G34" s="22">
        <v>79246</v>
      </c>
      <c r="H34" s="22">
        <v>53246</v>
      </c>
      <c r="I34" s="22">
        <f>55905+68+2400</f>
        <v>58373</v>
      </c>
      <c r="J34" s="22">
        <f>29905+2400+68</f>
        <v>32373</v>
      </c>
      <c r="K34" s="22">
        <f>+L34</f>
        <v>5660</v>
      </c>
      <c r="L34" s="22">
        <v>5660</v>
      </c>
      <c r="M34" s="22"/>
      <c r="N34" s="133">
        <f>+O34</f>
        <v>0</v>
      </c>
      <c r="O34" s="133">
        <v>0</v>
      </c>
      <c r="P34" s="133"/>
      <c r="Q34" s="133">
        <f>+R34</f>
        <v>0</v>
      </c>
      <c r="R34" s="133">
        <v>0</v>
      </c>
      <c r="S34" s="133"/>
      <c r="T34" s="133"/>
      <c r="U34" s="216"/>
      <c r="V34" s="551"/>
      <c r="W34" s="551"/>
      <c r="X34" s="551"/>
      <c r="Y34" s="551"/>
      <c r="Z34" s="551"/>
      <c r="AA34" s="551"/>
    </row>
    <row r="35" spans="1:31" s="2" customFormat="1" ht="18.75">
      <c r="A35" s="26" t="s">
        <v>47</v>
      </c>
      <c r="B35" s="88" t="s">
        <v>48</v>
      </c>
      <c r="C35" s="135"/>
      <c r="D35" s="135"/>
      <c r="E35" s="136"/>
      <c r="F35" s="135"/>
      <c r="G35" s="108">
        <f t="shared" ref="G35:S35" si="4">+G36</f>
        <v>1121</v>
      </c>
      <c r="H35" s="108">
        <f t="shared" si="4"/>
        <v>1121</v>
      </c>
      <c r="I35" s="108">
        <f t="shared" si="4"/>
        <v>1000</v>
      </c>
      <c r="J35" s="108">
        <f t="shared" si="4"/>
        <v>1000</v>
      </c>
      <c r="K35" s="108">
        <f t="shared" si="4"/>
        <v>1000</v>
      </c>
      <c r="L35" s="108">
        <f t="shared" si="4"/>
        <v>1000</v>
      </c>
      <c r="M35" s="108">
        <f t="shared" si="4"/>
        <v>0</v>
      </c>
      <c r="N35" s="108">
        <f t="shared" si="4"/>
        <v>0</v>
      </c>
      <c r="O35" s="108">
        <f t="shared" si="4"/>
        <v>0</v>
      </c>
      <c r="P35" s="108">
        <f t="shared" si="4"/>
        <v>0</v>
      </c>
      <c r="Q35" s="108">
        <f t="shared" si="4"/>
        <v>0</v>
      </c>
      <c r="R35" s="108">
        <f t="shared" si="4"/>
        <v>0</v>
      </c>
      <c r="S35" s="108">
        <f t="shared" si="4"/>
        <v>0</v>
      </c>
      <c r="T35" s="108"/>
      <c r="U35" s="574"/>
      <c r="V35" s="551"/>
      <c r="W35" s="551"/>
      <c r="X35" s="551"/>
      <c r="Y35" s="551"/>
      <c r="Z35" s="551"/>
      <c r="AA35" s="551"/>
    </row>
    <row r="36" spans="1:31" s="2" customFormat="1" ht="45">
      <c r="A36" s="97" t="s">
        <v>27</v>
      </c>
      <c r="B36" s="93" t="s">
        <v>294</v>
      </c>
      <c r="C36" s="94" t="s">
        <v>112</v>
      </c>
      <c r="D36" s="101" t="s">
        <v>295</v>
      </c>
      <c r="E36" s="137" t="s">
        <v>114</v>
      </c>
      <c r="F36" s="101" t="s">
        <v>296</v>
      </c>
      <c r="G36" s="22">
        <v>1121</v>
      </c>
      <c r="H36" s="22">
        <v>1121</v>
      </c>
      <c r="I36" s="22">
        <f>+J36</f>
        <v>1000</v>
      </c>
      <c r="J36" s="22">
        <v>1000</v>
      </c>
      <c r="K36" s="22">
        <f>+L36</f>
        <v>1000</v>
      </c>
      <c r="L36" s="22">
        <v>1000</v>
      </c>
      <c r="M36" s="22"/>
      <c r="N36" s="133"/>
      <c r="O36" s="133"/>
      <c r="P36" s="133"/>
      <c r="Q36" s="133"/>
      <c r="R36" s="133"/>
      <c r="S36" s="133"/>
      <c r="T36" s="133"/>
      <c r="U36" s="216"/>
      <c r="V36" s="551"/>
      <c r="W36" s="551"/>
      <c r="X36" s="551"/>
      <c r="Y36" s="551"/>
      <c r="Z36" s="551"/>
      <c r="AA36" s="551"/>
    </row>
    <row r="37" spans="1:31" s="57" customFormat="1" ht="60">
      <c r="A37" s="812">
        <v>4</v>
      </c>
      <c r="B37" s="813" t="s">
        <v>311</v>
      </c>
      <c r="C37" s="814" t="s">
        <v>112</v>
      </c>
      <c r="D37" s="815" t="s">
        <v>312</v>
      </c>
      <c r="E37" s="816" t="s">
        <v>313</v>
      </c>
      <c r="F37" s="817" t="s">
        <v>1609</v>
      </c>
      <c r="G37" s="818">
        <v>142360</v>
      </c>
      <c r="H37" s="819">
        <v>142360</v>
      </c>
      <c r="I37" s="819"/>
      <c r="J37" s="819"/>
      <c r="K37" s="819">
        <v>142360</v>
      </c>
      <c r="L37" s="819">
        <v>142360</v>
      </c>
      <c r="M37" s="819"/>
      <c r="N37" s="820">
        <v>28000</v>
      </c>
      <c r="O37" s="820">
        <v>28000</v>
      </c>
      <c r="P37" s="820"/>
      <c r="Q37" s="843">
        <f>+R37</f>
        <v>0</v>
      </c>
      <c r="R37" s="843"/>
      <c r="S37" s="843"/>
      <c r="T37" s="805">
        <f>SUM(U37:V37)</f>
        <v>0</v>
      </c>
      <c r="U37" s="820"/>
      <c r="V37" s="820"/>
      <c r="W37" s="821" t="s">
        <v>1520</v>
      </c>
      <c r="X37" s="822"/>
      <c r="Y37" s="820"/>
      <c r="Z37" s="810" t="s">
        <v>1610</v>
      </c>
      <c r="AA37" s="811"/>
      <c r="AB37" s="811"/>
      <c r="AC37" s="811"/>
      <c r="AD37" s="811"/>
      <c r="AE37" s="811"/>
    </row>
    <row r="38" spans="1:31" s="57" customFormat="1" ht="30">
      <c r="A38" s="812">
        <v>5</v>
      </c>
      <c r="B38" s="813" t="s">
        <v>314</v>
      </c>
      <c r="C38" s="814" t="s">
        <v>5</v>
      </c>
      <c r="D38" s="815"/>
      <c r="E38" s="816" t="s">
        <v>120</v>
      </c>
      <c r="F38" s="823"/>
      <c r="G38" s="818">
        <v>190025</v>
      </c>
      <c r="H38" s="819">
        <v>20000</v>
      </c>
      <c r="I38" s="819"/>
      <c r="J38" s="819"/>
      <c r="K38" s="819">
        <v>190025</v>
      </c>
      <c r="L38" s="819">
        <v>20000</v>
      </c>
      <c r="M38" s="819"/>
      <c r="N38" s="820">
        <v>12000</v>
      </c>
      <c r="O38" s="820">
        <v>2000</v>
      </c>
      <c r="P38" s="820"/>
      <c r="Q38" s="843">
        <f>+R38</f>
        <v>0</v>
      </c>
      <c r="R38" s="843"/>
      <c r="S38" s="843"/>
      <c r="T38" s="805">
        <f>SUM(U38:V38)</f>
        <v>0</v>
      </c>
      <c r="U38" s="820"/>
      <c r="V38" s="820"/>
      <c r="W38" s="821" t="s">
        <v>1521</v>
      </c>
      <c r="X38" s="822"/>
      <c r="Y38" s="820"/>
      <c r="Z38" s="810" t="s">
        <v>1608</v>
      </c>
      <c r="AA38" s="811"/>
      <c r="AB38" s="811"/>
      <c r="AC38" s="811"/>
      <c r="AD38" s="811"/>
      <c r="AE38" s="811"/>
    </row>
    <row r="39" spans="1:31" s="57" customFormat="1" ht="18.75">
      <c r="A39" s="812"/>
      <c r="B39" s="813"/>
      <c r="C39" s="814"/>
      <c r="D39" s="815"/>
      <c r="E39" s="816"/>
      <c r="F39" s="823"/>
      <c r="G39" s="818"/>
      <c r="H39" s="819"/>
      <c r="I39" s="819"/>
      <c r="J39" s="819"/>
      <c r="K39" s="819"/>
      <c r="L39" s="819"/>
      <c r="M39" s="819"/>
      <c r="N39" s="820"/>
      <c r="O39" s="820"/>
      <c r="P39" s="820"/>
      <c r="Q39" s="843"/>
      <c r="R39" s="843"/>
      <c r="S39" s="843"/>
      <c r="T39" s="805"/>
      <c r="U39" s="820"/>
      <c r="V39" s="938"/>
      <c r="W39" s="939"/>
      <c r="X39" s="940"/>
      <c r="Y39" s="938"/>
      <c r="Z39" s="810"/>
      <c r="AA39" s="811"/>
      <c r="AB39" s="811"/>
      <c r="AC39" s="811"/>
      <c r="AD39" s="811"/>
      <c r="AE39" s="811"/>
    </row>
    <row r="40" spans="1:31" s="2" customFormat="1" ht="45">
      <c r="A40" s="78">
        <v>1</v>
      </c>
      <c r="B40" s="769" t="s">
        <v>316</v>
      </c>
      <c r="C40" s="770" t="s">
        <v>85</v>
      </c>
      <c r="D40" s="770" t="s">
        <v>44</v>
      </c>
      <c r="E40" s="771" t="s">
        <v>317</v>
      </c>
      <c r="F40" s="772" t="s">
        <v>318</v>
      </c>
      <c r="G40" s="773">
        <v>112189</v>
      </c>
      <c r="H40" s="773">
        <v>44036</v>
      </c>
      <c r="I40" s="774"/>
      <c r="J40" s="774"/>
      <c r="K40" s="774">
        <v>78153</v>
      </c>
      <c r="L40" s="774">
        <v>10000</v>
      </c>
      <c r="M40" s="774"/>
      <c r="N40" s="775">
        <v>100</v>
      </c>
      <c r="O40" s="775">
        <v>100</v>
      </c>
      <c r="P40" s="775"/>
      <c r="Q40" s="845">
        <f>+R40</f>
        <v>0</v>
      </c>
      <c r="R40" s="845"/>
      <c r="S40" s="845"/>
      <c r="T40" s="776">
        <f>SUM(U40:V40)</f>
        <v>0</v>
      </c>
      <c r="U40" s="775"/>
      <c r="V40" s="775"/>
      <c r="W40" s="777" t="s">
        <v>1520</v>
      </c>
      <c r="X40" s="728"/>
      <c r="Y40" s="133"/>
      <c r="Z40" s="657" t="s">
        <v>1611</v>
      </c>
      <c r="AA40" s="551"/>
      <c r="AB40" s="551"/>
      <c r="AC40" s="551"/>
      <c r="AD40" s="551"/>
      <c r="AE40" s="551"/>
    </row>
    <row r="41" spans="1:31" s="2" customFormat="1" ht="30">
      <c r="A41" s="78">
        <v>2</v>
      </c>
      <c r="B41" s="769" t="s">
        <v>319</v>
      </c>
      <c r="C41" s="770" t="s">
        <v>85</v>
      </c>
      <c r="D41" s="770" t="s">
        <v>320</v>
      </c>
      <c r="E41" s="778" t="s">
        <v>321</v>
      </c>
      <c r="F41" s="772"/>
      <c r="G41" s="773"/>
      <c r="H41" s="773"/>
      <c r="I41" s="774"/>
      <c r="J41" s="774"/>
      <c r="K41" s="774">
        <f>+L41</f>
        <v>450</v>
      </c>
      <c r="L41" s="774">
        <v>450</v>
      </c>
      <c r="M41" s="774"/>
      <c r="N41" s="775">
        <f>+O41</f>
        <v>450</v>
      </c>
      <c r="O41" s="775">
        <v>450</v>
      </c>
      <c r="P41" s="775"/>
      <c r="Q41" s="845">
        <f>+R41</f>
        <v>0</v>
      </c>
      <c r="R41" s="845"/>
      <c r="S41" s="845"/>
      <c r="T41" s="776">
        <f>SUM(U41:V41)</f>
        <v>0</v>
      </c>
      <c r="U41" s="775"/>
      <c r="V41" s="775"/>
      <c r="W41" s="777" t="s">
        <v>1520</v>
      </c>
      <c r="X41" s="1234" t="s">
        <v>1523</v>
      </c>
      <c r="Y41" s="133"/>
      <c r="Z41" s="657" t="s">
        <v>1608</v>
      </c>
      <c r="AA41" s="551"/>
      <c r="AB41" s="551"/>
      <c r="AC41" s="551"/>
      <c r="AD41" s="551"/>
      <c r="AE41" s="551"/>
    </row>
    <row r="42" spans="1:31" s="2" customFormat="1" ht="30">
      <c r="A42" s="78">
        <v>3</v>
      </c>
      <c r="B42" s="769" t="s">
        <v>323</v>
      </c>
      <c r="C42" s="770" t="s">
        <v>143</v>
      </c>
      <c r="D42" s="770" t="s">
        <v>320</v>
      </c>
      <c r="E42" s="778">
        <v>2017</v>
      </c>
      <c r="F42" s="772"/>
      <c r="G42" s="773"/>
      <c r="H42" s="773"/>
      <c r="I42" s="774"/>
      <c r="J42" s="774"/>
      <c r="K42" s="774">
        <f>+L42</f>
        <v>450</v>
      </c>
      <c r="L42" s="774">
        <v>450</v>
      </c>
      <c r="M42" s="774"/>
      <c r="N42" s="775">
        <f>+O42</f>
        <v>450</v>
      </c>
      <c r="O42" s="775">
        <v>450</v>
      </c>
      <c r="P42" s="775"/>
      <c r="Q42" s="845">
        <f>+R42</f>
        <v>0</v>
      </c>
      <c r="R42" s="845"/>
      <c r="S42" s="845"/>
      <c r="T42" s="776">
        <f>SUM(U42:V42)</f>
        <v>0</v>
      </c>
      <c r="U42" s="775"/>
      <c r="V42" s="775"/>
      <c r="W42" s="777" t="s">
        <v>1520</v>
      </c>
      <c r="X42" s="1234"/>
      <c r="Y42" s="133"/>
      <c r="Z42" s="657" t="s">
        <v>1608</v>
      </c>
      <c r="AA42" s="551"/>
      <c r="AB42" s="551"/>
      <c r="AC42" s="551"/>
      <c r="AD42" s="551"/>
      <c r="AE42" s="551"/>
    </row>
    <row r="43" spans="1:31" s="2" customFormat="1" ht="28.5">
      <c r="A43" s="64" t="s">
        <v>32</v>
      </c>
      <c r="B43" s="65" t="s">
        <v>33</v>
      </c>
      <c r="C43" s="19"/>
      <c r="D43" s="19"/>
      <c r="E43" s="70"/>
      <c r="F43" s="19"/>
      <c r="G43" s="90">
        <f t="shared" ref="G43:S43" si="5">+G44+G46</f>
        <v>20516</v>
      </c>
      <c r="H43" s="90">
        <f t="shared" si="5"/>
        <v>10888</v>
      </c>
      <c r="I43" s="90">
        <f t="shared" si="5"/>
        <v>20124</v>
      </c>
      <c r="J43" s="90">
        <f t="shared" si="5"/>
        <v>10496</v>
      </c>
      <c r="K43" s="90">
        <f t="shared" si="5"/>
        <v>6450</v>
      </c>
      <c r="L43" s="90">
        <f t="shared" si="5"/>
        <v>6450</v>
      </c>
      <c r="M43" s="90">
        <f t="shared" si="5"/>
        <v>0</v>
      </c>
      <c r="N43" s="90">
        <f t="shared" si="5"/>
        <v>0</v>
      </c>
      <c r="O43" s="90">
        <f t="shared" si="5"/>
        <v>0</v>
      </c>
      <c r="P43" s="90">
        <f t="shared" si="5"/>
        <v>0</v>
      </c>
      <c r="Q43" s="90">
        <f t="shared" si="5"/>
        <v>0</v>
      </c>
      <c r="R43" s="90">
        <f t="shared" si="5"/>
        <v>0</v>
      </c>
      <c r="S43" s="90">
        <f t="shared" si="5"/>
        <v>0</v>
      </c>
      <c r="T43" s="90"/>
      <c r="U43" s="573"/>
      <c r="V43" s="551"/>
      <c r="W43" s="551"/>
      <c r="X43" s="551"/>
      <c r="Y43" s="551"/>
      <c r="Z43" s="551"/>
      <c r="AA43" s="551"/>
    </row>
    <row r="44" spans="1:31" s="2" customFormat="1" ht="18.75">
      <c r="A44" s="26" t="s">
        <v>34</v>
      </c>
      <c r="B44" s="88" t="s">
        <v>35</v>
      </c>
      <c r="C44" s="19"/>
      <c r="D44" s="19"/>
      <c r="E44" s="70"/>
      <c r="F44" s="19"/>
      <c r="G44" s="22">
        <f t="shared" ref="G44:S44" si="6">+G45</f>
        <v>0</v>
      </c>
      <c r="H44" s="22">
        <f t="shared" si="6"/>
        <v>0</v>
      </c>
      <c r="I44" s="22">
        <f t="shared" si="6"/>
        <v>0</v>
      </c>
      <c r="J44" s="22">
        <f t="shared" si="6"/>
        <v>0</v>
      </c>
      <c r="K44" s="22">
        <f t="shared" si="6"/>
        <v>0</v>
      </c>
      <c r="L44" s="22">
        <f t="shared" si="6"/>
        <v>0</v>
      </c>
      <c r="M44" s="22">
        <f t="shared" si="6"/>
        <v>0</v>
      </c>
      <c r="N44" s="22">
        <f t="shared" si="6"/>
        <v>0</v>
      </c>
      <c r="O44" s="22">
        <f t="shared" si="6"/>
        <v>0</v>
      </c>
      <c r="P44" s="22">
        <f t="shared" si="6"/>
        <v>0</v>
      </c>
      <c r="Q44" s="22">
        <f t="shared" si="6"/>
        <v>0</v>
      </c>
      <c r="R44" s="22">
        <f t="shared" si="6"/>
        <v>0</v>
      </c>
      <c r="S44" s="22">
        <f t="shared" si="6"/>
        <v>0</v>
      </c>
      <c r="T44" s="22"/>
      <c r="U44" s="576"/>
      <c r="V44" s="551"/>
      <c r="W44" s="551"/>
      <c r="X44" s="551"/>
      <c r="Y44" s="551"/>
      <c r="Z44" s="551"/>
      <c r="AA44" s="551"/>
    </row>
    <row r="45" spans="1:31" s="2" customFormat="1" ht="18.75">
      <c r="A45" s="97" t="s">
        <v>27</v>
      </c>
      <c r="B45" s="68" t="s">
        <v>324</v>
      </c>
      <c r="C45" s="19"/>
      <c r="D45" s="19"/>
      <c r="E45" s="70"/>
      <c r="F45" s="19"/>
      <c r="G45" s="22"/>
      <c r="H45" s="22"/>
      <c r="I45" s="22"/>
      <c r="J45" s="22"/>
      <c r="K45" s="22"/>
      <c r="L45" s="22"/>
      <c r="M45" s="22"/>
      <c r="N45" s="133"/>
      <c r="O45" s="133"/>
      <c r="P45" s="133"/>
      <c r="Q45" s="133"/>
      <c r="R45" s="133"/>
      <c r="S45" s="133"/>
      <c r="T45" s="133"/>
      <c r="U45" s="216"/>
      <c r="V45" s="551"/>
      <c r="W45" s="551"/>
      <c r="X45" s="551"/>
      <c r="Y45" s="551"/>
      <c r="Z45" s="551"/>
      <c r="AA45" s="551"/>
    </row>
    <row r="46" spans="1:31" s="2" customFormat="1" ht="18.75">
      <c r="A46" s="26" t="s">
        <v>47</v>
      </c>
      <c r="B46" s="88" t="s">
        <v>48</v>
      </c>
      <c r="C46" s="19"/>
      <c r="D46" s="19"/>
      <c r="E46" s="70"/>
      <c r="F46" s="19"/>
      <c r="G46" s="90">
        <f t="shared" ref="G46:S46" si="7">G47</f>
        <v>20516</v>
      </c>
      <c r="H46" s="90">
        <f t="shared" si="7"/>
        <v>10888</v>
      </c>
      <c r="I46" s="90">
        <f t="shared" si="7"/>
        <v>20124</v>
      </c>
      <c r="J46" s="90">
        <f t="shared" si="7"/>
        <v>10496</v>
      </c>
      <c r="K46" s="90">
        <f t="shared" si="7"/>
        <v>6450</v>
      </c>
      <c r="L46" s="90">
        <f t="shared" si="7"/>
        <v>6450</v>
      </c>
      <c r="M46" s="90">
        <f t="shared" si="7"/>
        <v>0</v>
      </c>
      <c r="N46" s="90">
        <f t="shared" si="7"/>
        <v>0</v>
      </c>
      <c r="O46" s="90">
        <f t="shared" si="7"/>
        <v>0</v>
      </c>
      <c r="P46" s="90">
        <f t="shared" si="7"/>
        <v>0</v>
      </c>
      <c r="Q46" s="90">
        <f t="shared" si="7"/>
        <v>0</v>
      </c>
      <c r="R46" s="90">
        <f t="shared" si="7"/>
        <v>0</v>
      </c>
      <c r="S46" s="90">
        <f t="shared" si="7"/>
        <v>0</v>
      </c>
      <c r="T46" s="90"/>
      <c r="U46" s="573"/>
      <c r="V46" s="551"/>
      <c r="W46" s="551"/>
      <c r="X46" s="551"/>
      <c r="Y46" s="551"/>
      <c r="Z46" s="551"/>
      <c r="AA46" s="551"/>
    </row>
    <row r="47" spans="1:31" s="2" customFormat="1" ht="45">
      <c r="A47" s="78">
        <v>1</v>
      </c>
      <c r="B47" s="93" t="s">
        <v>325</v>
      </c>
      <c r="C47" s="94" t="s">
        <v>143</v>
      </c>
      <c r="D47" s="101" t="s">
        <v>326</v>
      </c>
      <c r="E47" s="137" t="s">
        <v>82</v>
      </c>
      <c r="F47" s="101" t="s">
        <v>327</v>
      </c>
      <c r="G47" s="22">
        <v>20516</v>
      </c>
      <c r="H47" s="22">
        <v>10888</v>
      </c>
      <c r="I47" s="22">
        <f>13674+6450</f>
        <v>20124</v>
      </c>
      <c r="J47" s="22">
        <f>4046+6450</f>
        <v>10496</v>
      </c>
      <c r="K47" s="22">
        <f>+L47</f>
        <v>6450</v>
      </c>
      <c r="L47" s="22">
        <v>6450</v>
      </c>
      <c r="M47" s="22"/>
      <c r="N47" s="133"/>
      <c r="O47" s="133"/>
      <c r="P47" s="133"/>
      <c r="Q47" s="133"/>
      <c r="R47" s="133"/>
      <c r="S47" s="133"/>
      <c r="T47" s="133"/>
      <c r="U47" s="216"/>
      <c r="V47" s="551"/>
      <c r="W47" s="551"/>
      <c r="X47" s="551"/>
      <c r="Y47" s="551"/>
      <c r="Z47" s="551"/>
      <c r="AA47" s="551"/>
    </row>
    <row r="48" spans="1:31" s="2" customFormat="1" ht="30">
      <c r="A48" s="97" t="s">
        <v>58</v>
      </c>
      <c r="B48" s="68" t="s">
        <v>347</v>
      </c>
      <c r="C48" s="19" t="s">
        <v>143</v>
      </c>
      <c r="D48" s="599" t="s">
        <v>348</v>
      </c>
      <c r="E48" s="599" t="s">
        <v>163</v>
      </c>
      <c r="F48" s="694" t="s">
        <v>349</v>
      </c>
      <c r="G48" s="177">
        <v>18952</v>
      </c>
      <c r="H48" s="177">
        <v>18952</v>
      </c>
      <c r="I48" s="22"/>
      <c r="J48" s="22"/>
      <c r="K48" s="177">
        <v>18952</v>
      </c>
      <c r="L48" s="177">
        <v>18952</v>
      </c>
      <c r="M48" s="22"/>
      <c r="N48" s="177"/>
      <c r="O48" s="177"/>
      <c r="P48" s="177"/>
      <c r="Q48" s="177"/>
      <c r="R48" s="177"/>
      <c r="S48" s="133"/>
      <c r="T48" s="177"/>
      <c r="U48" s="177"/>
      <c r="V48" s="133"/>
      <c r="W48" s="133"/>
      <c r="X48" s="642"/>
      <c r="Y48" s="657"/>
      <c r="Z48" s="551"/>
      <c r="AA48" s="551"/>
      <c r="AB48" s="551"/>
      <c r="AC48" s="551"/>
      <c r="AD48" s="551"/>
    </row>
    <row r="50" spans="1:27" s="124" customFormat="1" ht="41.25" customHeight="1">
      <c r="A50" s="155">
        <v>5</v>
      </c>
      <c r="B50" s="281" t="s">
        <v>362</v>
      </c>
      <c r="C50" s="295" t="s">
        <v>60</v>
      </c>
      <c r="D50" s="600"/>
      <c r="E50" s="601"/>
      <c r="F50" s="578"/>
      <c r="G50" s="602"/>
      <c r="H50" s="603"/>
      <c r="I50" s="156"/>
      <c r="J50" s="156"/>
      <c r="K50" s="603"/>
      <c r="L50" s="603"/>
      <c r="M50" s="156"/>
      <c r="N50" s="157">
        <v>200</v>
      </c>
      <c r="O50" s="157">
        <v>200</v>
      </c>
      <c r="P50" s="157"/>
      <c r="Q50" s="157"/>
      <c r="R50" s="157"/>
      <c r="S50" s="157"/>
      <c r="T50" s="157"/>
      <c r="U50" s="578"/>
      <c r="V50" s="551"/>
      <c r="W50" s="551"/>
      <c r="X50" s="551"/>
      <c r="Y50" s="551"/>
      <c r="Z50" s="551"/>
      <c r="AA50" s="551"/>
    </row>
    <row r="51" spans="1:27" s="2" customFormat="1" ht="41.25" customHeight="1">
      <c r="A51" s="158" t="s">
        <v>32</v>
      </c>
      <c r="B51" s="159" t="s">
        <v>33</v>
      </c>
      <c r="C51" s="160"/>
      <c r="D51" s="160"/>
      <c r="E51" s="161"/>
      <c r="F51" s="160"/>
      <c r="G51" s="90">
        <f t="shared" ref="G51:S51" si="8">SUM(G52,G54)</f>
        <v>401547</v>
      </c>
      <c r="H51" s="90">
        <f t="shared" si="8"/>
        <v>395420</v>
      </c>
      <c r="I51" s="90">
        <f t="shared" si="8"/>
        <v>317609</v>
      </c>
      <c r="J51" s="90">
        <f t="shared" si="8"/>
        <v>317609</v>
      </c>
      <c r="K51" s="90">
        <f t="shared" si="8"/>
        <v>45577</v>
      </c>
      <c r="L51" s="90">
        <f t="shared" si="8"/>
        <v>45577</v>
      </c>
      <c r="M51" s="90">
        <f t="shared" si="8"/>
        <v>0</v>
      </c>
      <c r="N51" s="90">
        <f t="shared" si="8"/>
        <v>4139</v>
      </c>
      <c r="O51" s="90">
        <f t="shared" si="8"/>
        <v>0</v>
      </c>
      <c r="P51" s="90">
        <f t="shared" si="8"/>
        <v>0</v>
      </c>
      <c r="Q51" s="90">
        <f t="shared" si="8"/>
        <v>0</v>
      </c>
      <c r="R51" s="90">
        <f t="shared" si="8"/>
        <v>0</v>
      </c>
      <c r="S51" s="90">
        <f t="shared" si="8"/>
        <v>0</v>
      </c>
      <c r="T51" s="90"/>
      <c r="U51" s="573"/>
      <c r="V51" s="551"/>
      <c r="W51" s="551"/>
      <c r="X51" s="551"/>
      <c r="Y51" s="551"/>
      <c r="Z51" s="551"/>
      <c r="AA51" s="551"/>
    </row>
    <row r="52" spans="1:27" s="2" customFormat="1" ht="26.1" customHeight="1">
      <c r="A52" s="26" t="s">
        <v>34</v>
      </c>
      <c r="B52" s="88" t="s">
        <v>35</v>
      </c>
      <c r="C52" s="160"/>
      <c r="D52" s="160"/>
      <c r="E52" s="161"/>
      <c r="F52" s="160"/>
      <c r="G52" s="90">
        <f t="shared" ref="G52:S52" si="9">G53</f>
        <v>336200</v>
      </c>
      <c r="H52" s="90">
        <f t="shared" si="9"/>
        <v>336200</v>
      </c>
      <c r="I52" s="90">
        <f t="shared" si="9"/>
        <v>267857</v>
      </c>
      <c r="J52" s="90">
        <f t="shared" si="9"/>
        <v>267857</v>
      </c>
      <c r="K52" s="90">
        <f t="shared" si="9"/>
        <v>10500</v>
      </c>
      <c r="L52" s="90">
        <f t="shared" si="9"/>
        <v>10500</v>
      </c>
      <c r="M52" s="90">
        <f t="shared" si="9"/>
        <v>0</v>
      </c>
      <c r="N52" s="90">
        <f t="shared" si="9"/>
        <v>0</v>
      </c>
      <c r="O52" s="90">
        <f t="shared" si="9"/>
        <v>0</v>
      </c>
      <c r="P52" s="90">
        <f t="shared" si="9"/>
        <v>0</v>
      </c>
      <c r="Q52" s="90">
        <f t="shared" si="9"/>
        <v>0</v>
      </c>
      <c r="R52" s="90">
        <f t="shared" si="9"/>
        <v>0</v>
      </c>
      <c r="S52" s="90">
        <f t="shared" si="9"/>
        <v>0</v>
      </c>
      <c r="T52" s="90"/>
      <c r="U52" s="573"/>
      <c r="V52" s="551"/>
      <c r="W52" s="551"/>
      <c r="X52" s="551"/>
      <c r="Y52" s="551"/>
      <c r="Z52" s="551"/>
      <c r="AA52" s="551"/>
    </row>
    <row r="53" spans="1:27" s="2" customFormat="1" ht="45">
      <c r="A53" s="97">
        <v>1</v>
      </c>
      <c r="B53" s="93" t="s">
        <v>363</v>
      </c>
      <c r="C53" s="152" t="s">
        <v>66</v>
      </c>
      <c r="D53" s="162" t="s">
        <v>364</v>
      </c>
      <c r="E53" s="163" t="s">
        <v>365</v>
      </c>
      <c r="F53" s="172" t="s">
        <v>366</v>
      </c>
      <c r="G53" s="164">
        <v>336200</v>
      </c>
      <c r="H53" s="164">
        <v>336200</v>
      </c>
      <c r="I53" s="164">
        <f>257357+10500</f>
        <v>267857</v>
      </c>
      <c r="J53" s="164">
        <f>257357+10500</f>
        <v>267857</v>
      </c>
      <c r="K53" s="164">
        <v>10500</v>
      </c>
      <c r="L53" s="164">
        <v>10500</v>
      </c>
      <c r="M53" s="164"/>
      <c r="N53" s="165"/>
      <c r="O53" s="165"/>
      <c r="P53" s="165"/>
      <c r="Q53" s="165"/>
      <c r="R53" s="165"/>
      <c r="S53" s="165"/>
      <c r="T53" s="165"/>
      <c r="U53" s="218"/>
      <c r="V53" s="551"/>
      <c r="W53" s="551"/>
      <c r="X53" s="551"/>
      <c r="Y53" s="551"/>
      <c r="Z53" s="551"/>
      <c r="AA53" s="551"/>
    </row>
    <row r="54" spans="1:27" s="2" customFormat="1" ht="26.1" customHeight="1">
      <c r="A54" s="26" t="s">
        <v>47</v>
      </c>
      <c r="B54" s="88" t="s">
        <v>48</v>
      </c>
      <c r="C54" s="160"/>
      <c r="D54" s="160"/>
      <c r="E54" s="161"/>
      <c r="F54" s="160"/>
      <c r="G54" s="90">
        <f t="shared" ref="G54:S54" si="10">SUM(G55:G61)</f>
        <v>65347</v>
      </c>
      <c r="H54" s="90">
        <f t="shared" si="10"/>
        <v>59220</v>
      </c>
      <c r="I54" s="90">
        <f t="shared" si="10"/>
        <v>49752</v>
      </c>
      <c r="J54" s="90">
        <f t="shared" si="10"/>
        <v>49752</v>
      </c>
      <c r="K54" s="90">
        <f t="shared" si="10"/>
        <v>35077</v>
      </c>
      <c r="L54" s="90">
        <f t="shared" si="10"/>
        <v>35077</v>
      </c>
      <c r="M54" s="90">
        <f t="shared" si="10"/>
        <v>0</v>
      </c>
      <c r="N54" s="90">
        <f t="shared" si="10"/>
        <v>4139</v>
      </c>
      <c r="O54" s="90">
        <f t="shared" si="10"/>
        <v>0</v>
      </c>
      <c r="P54" s="90">
        <f t="shared" si="10"/>
        <v>0</v>
      </c>
      <c r="Q54" s="90">
        <f t="shared" si="10"/>
        <v>0</v>
      </c>
      <c r="R54" s="90">
        <f t="shared" si="10"/>
        <v>0</v>
      </c>
      <c r="S54" s="90">
        <f t="shared" si="10"/>
        <v>0</v>
      </c>
      <c r="T54" s="90"/>
      <c r="U54" s="573"/>
      <c r="V54" s="551"/>
      <c r="W54" s="551"/>
      <c r="X54" s="551"/>
      <c r="Y54" s="551"/>
      <c r="Z54" s="551"/>
      <c r="AA54" s="551"/>
    </row>
    <row r="55" spans="1:27" s="2" customFormat="1" ht="26.1" customHeight="1">
      <c r="A55" s="97" t="s">
        <v>27</v>
      </c>
      <c r="B55" s="166" t="s">
        <v>367</v>
      </c>
      <c r="C55" s="167" t="s">
        <v>71</v>
      </c>
      <c r="D55" s="102" t="s">
        <v>368</v>
      </c>
      <c r="E55" s="168" t="s">
        <v>114</v>
      </c>
      <c r="F55" s="102" t="s">
        <v>369</v>
      </c>
      <c r="G55" s="169">
        <v>11408</v>
      </c>
      <c r="H55" s="169">
        <v>11408</v>
      </c>
      <c r="I55" s="23">
        <v>7246</v>
      </c>
      <c r="J55" s="23">
        <v>7246</v>
      </c>
      <c r="K55" s="169">
        <v>4000</v>
      </c>
      <c r="L55" s="169">
        <v>4000</v>
      </c>
      <c r="M55" s="23"/>
      <c r="N55" s="105"/>
      <c r="O55" s="105"/>
      <c r="P55" s="105"/>
      <c r="Q55" s="105"/>
      <c r="R55" s="105"/>
      <c r="S55" s="105"/>
      <c r="T55" s="105"/>
      <c r="U55" s="19"/>
      <c r="V55" s="551"/>
      <c r="W55" s="551"/>
      <c r="X55" s="551"/>
      <c r="Y55" s="551"/>
      <c r="Z55" s="551"/>
      <c r="AA55" s="551"/>
    </row>
    <row r="56" spans="1:27" s="2" customFormat="1" ht="26.1" customHeight="1">
      <c r="A56" s="97" t="s">
        <v>41</v>
      </c>
      <c r="B56" s="171" t="s">
        <v>370</v>
      </c>
      <c r="C56" s="172" t="s">
        <v>143</v>
      </c>
      <c r="D56" s="172" t="s">
        <v>371</v>
      </c>
      <c r="E56" s="163" t="s">
        <v>82</v>
      </c>
      <c r="F56" s="172" t="s">
        <v>372</v>
      </c>
      <c r="G56" s="173">
        <v>32687</v>
      </c>
      <c r="H56" s="173">
        <v>32687</v>
      </c>
      <c r="I56" s="23">
        <f>9429+20000</f>
        <v>29429</v>
      </c>
      <c r="J56" s="23">
        <f>9429+20000</f>
        <v>29429</v>
      </c>
      <c r="K56" s="173">
        <v>20000</v>
      </c>
      <c r="L56" s="173">
        <v>20000</v>
      </c>
      <c r="M56" s="23"/>
      <c r="N56" s="105">
        <v>4139</v>
      </c>
      <c r="O56" s="105"/>
      <c r="P56" s="105"/>
      <c r="Q56" s="105"/>
      <c r="R56" s="105"/>
      <c r="S56" s="105"/>
      <c r="T56" s="105"/>
      <c r="U56" s="19"/>
      <c r="V56" s="551"/>
      <c r="W56" s="551"/>
      <c r="X56" s="551"/>
      <c r="Y56" s="551"/>
      <c r="Z56" s="551"/>
      <c r="AA56" s="551"/>
    </row>
    <row r="57" spans="1:27" s="2" customFormat="1" ht="26.1" customHeight="1">
      <c r="A57" s="97" t="s">
        <v>58</v>
      </c>
      <c r="B57" s="174" t="s">
        <v>373</v>
      </c>
      <c r="C57" s="167" t="s">
        <v>66</v>
      </c>
      <c r="D57" s="172" t="s">
        <v>374</v>
      </c>
      <c r="E57" s="163" t="s">
        <v>114</v>
      </c>
      <c r="F57" s="172" t="s">
        <v>375</v>
      </c>
      <c r="G57" s="173">
        <v>7912</v>
      </c>
      <c r="H57" s="173">
        <v>3956</v>
      </c>
      <c r="I57" s="23">
        <v>3000</v>
      </c>
      <c r="J57" s="23">
        <v>3000</v>
      </c>
      <c r="K57" s="173">
        <v>1000</v>
      </c>
      <c r="L57" s="23">
        <v>1000</v>
      </c>
      <c r="M57" s="23"/>
      <c r="N57" s="105"/>
      <c r="O57" s="105"/>
      <c r="P57" s="105"/>
      <c r="Q57" s="105"/>
      <c r="R57" s="105"/>
      <c r="S57" s="105"/>
      <c r="T57" s="105"/>
      <c r="U57" s="19"/>
      <c r="V57" s="551"/>
      <c r="W57" s="551"/>
      <c r="X57" s="551"/>
      <c r="Y57" s="551"/>
      <c r="Z57" s="551"/>
      <c r="AA57" s="551"/>
    </row>
    <row r="58" spans="1:27" s="2" customFormat="1" ht="26.1" customHeight="1">
      <c r="A58" s="97" t="s">
        <v>64</v>
      </c>
      <c r="B58" s="151" t="s">
        <v>376</v>
      </c>
      <c r="C58" s="172" t="s">
        <v>66</v>
      </c>
      <c r="D58" s="172" t="s">
        <v>377</v>
      </c>
      <c r="E58" s="163" t="s">
        <v>82</v>
      </c>
      <c r="F58" s="172" t="s">
        <v>378</v>
      </c>
      <c r="G58" s="173">
        <v>6933</v>
      </c>
      <c r="H58" s="173">
        <v>6933</v>
      </c>
      <c r="I58" s="23">
        <v>6000</v>
      </c>
      <c r="J58" s="23">
        <v>6000</v>
      </c>
      <c r="K58" s="23">
        <v>6000</v>
      </c>
      <c r="L58" s="23">
        <v>6000</v>
      </c>
      <c r="M58" s="23"/>
      <c r="N58" s="105"/>
      <c r="O58" s="105"/>
      <c r="P58" s="105"/>
      <c r="Q58" s="105"/>
      <c r="R58" s="105"/>
      <c r="S58" s="105"/>
      <c r="T58" s="105"/>
      <c r="U58" s="19"/>
      <c r="V58" s="551"/>
      <c r="W58" s="551"/>
      <c r="X58" s="551"/>
      <c r="Y58" s="551"/>
      <c r="Z58" s="551"/>
      <c r="AA58" s="551"/>
    </row>
    <row r="59" spans="1:27" s="2" customFormat="1" ht="26.1" customHeight="1">
      <c r="A59" s="97" t="s">
        <v>69</v>
      </c>
      <c r="B59" s="171" t="s">
        <v>379</v>
      </c>
      <c r="C59" s="172" t="s">
        <v>66</v>
      </c>
      <c r="D59" s="172" t="s">
        <v>380</v>
      </c>
      <c r="E59" s="163" t="s">
        <v>114</v>
      </c>
      <c r="F59" s="172" t="s">
        <v>381</v>
      </c>
      <c r="G59" s="173">
        <v>4549</v>
      </c>
      <c r="H59" s="173">
        <v>2378</v>
      </c>
      <c r="I59" s="23">
        <v>2301</v>
      </c>
      <c r="J59" s="23">
        <v>2301</v>
      </c>
      <c r="K59" s="173">
        <v>2301</v>
      </c>
      <c r="L59" s="23">
        <v>2301</v>
      </c>
      <c r="M59" s="23"/>
      <c r="N59" s="105"/>
      <c r="O59" s="105"/>
      <c r="P59" s="105"/>
      <c r="Q59" s="105"/>
      <c r="R59" s="105"/>
      <c r="S59" s="105"/>
      <c r="T59" s="105"/>
      <c r="U59" s="19"/>
      <c r="V59" s="551"/>
      <c r="W59" s="551"/>
      <c r="X59" s="551"/>
      <c r="Y59" s="551"/>
      <c r="Z59" s="551"/>
      <c r="AA59" s="551"/>
    </row>
    <row r="60" spans="1:27" s="2" customFormat="1" ht="26.1" customHeight="1">
      <c r="A60" s="97" t="s">
        <v>74</v>
      </c>
      <c r="B60" s="151" t="s">
        <v>382</v>
      </c>
      <c r="C60" s="172" t="s">
        <v>60</v>
      </c>
      <c r="D60" s="172" t="s">
        <v>383</v>
      </c>
      <c r="E60" s="163" t="s">
        <v>166</v>
      </c>
      <c r="F60" s="172" t="s">
        <v>384</v>
      </c>
      <c r="G60" s="173">
        <v>1482</v>
      </c>
      <c r="H60" s="173">
        <v>1482</v>
      </c>
      <c r="I60" s="173">
        <v>1400</v>
      </c>
      <c r="J60" s="173">
        <v>1400</v>
      </c>
      <c r="K60" s="173">
        <v>1400</v>
      </c>
      <c r="L60" s="173">
        <v>1400</v>
      </c>
      <c r="M60" s="23"/>
      <c r="N60" s="105"/>
      <c r="O60" s="105"/>
      <c r="P60" s="105"/>
      <c r="Q60" s="105"/>
      <c r="R60" s="105"/>
      <c r="S60" s="105"/>
      <c r="T60" s="105"/>
      <c r="U60" s="19"/>
      <c r="V60" s="551"/>
      <c r="W60" s="551"/>
      <c r="X60" s="551"/>
      <c r="Y60" s="551"/>
      <c r="Z60" s="551"/>
      <c r="AA60" s="551"/>
    </row>
    <row r="61" spans="1:27" s="2" customFormat="1" ht="45">
      <c r="A61" s="67">
        <v>7</v>
      </c>
      <c r="B61" s="151" t="s">
        <v>385</v>
      </c>
      <c r="C61" s="172" t="s">
        <v>5</v>
      </c>
      <c r="D61" s="172" t="s">
        <v>386</v>
      </c>
      <c r="E61" s="163">
        <v>2016</v>
      </c>
      <c r="F61" s="152" t="s">
        <v>387</v>
      </c>
      <c r="G61" s="173">
        <v>376</v>
      </c>
      <c r="H61" s="173">
        <v>376</v>
      </c>
      <c r="I61" s="173">
        <v>376</v>
      </c>
      <c r="J61" s="173">
        <v>376</v>
      </c>
      <c r="K61" s="173">
        <v>376</v>
      </c>
      <c r="L61" s="173">
        <v>376</v>
      </c>
      <c r="M61" s="175"/>
      <c r="N61" s="176"/>
      <c r="O61" s="176"/>
      <c r="P61" s="176"/>
      <c r="Q61" s="176"/>
      <c r="R61" s="176"/>
      <c r="S61" s="177"/>
      <c r="T61" s="177"/>
      <c r="U61" s="579"/>
      <c r="V61" s="551"/>
      <c r="W61" s="551"/>
      <c r="X61" s="551"/>
      <c r="Y61" s="551"/>
      <c r="Z61" s="551"/>
      <c r="AA61" s="551"/>
    </row>
    <row r="62" spans="1:27" s="2" customFormat="1" ht="48" customHeight="1">
      <c r="A62" s="67">
        <v>3</v>
      </c>
      <c r="B62" s="183" t="s">
        <v>395</v>
      </c>
      <c r="C62" s="167" t="s">
        <v>29</v>
      </c>
      <c r="D62" s="162" t="s">
        <v>396</v>
      </c>
      <c r="E62" s="163" t="s">
        <v>94</v>
      </c>
      <c r="F62" s="172" t="s">
        <v>397</v>
      </c>
      <c r="G62" s="164">
        <v>114111</v>
      </c>
      <c r="H62" s="173">
        <v>106000</v>
      </c>
      <c r="I62" s="173">
        <v>100658</v>
      </c>
      <c r="J62" s="173">
        <v>100658</v>
      </c>
      <c r="K62" s="164">
        <v>114111</v>
      </c>
      <c r="L62" s="173">
        <v>100658</v>
      </c>
      <c r="M62" s="175"/>
      <c r="N62" s="176"/>
      <c r="O62" s="176"/>
      <c r="P62" s="176"/>
      <c r="Q62" s="176"/>
      <c r="R62" s="176"/>
      <c r="S62" s="177"/>
      <c r="T62" s="177"/>
      <c r="U62" s="579"/>
      <c r="V62" s="551"/>
      <c r="W62" s="551"/>
      <c r="X62" s="551"/>
      <c r="Y62" s="551"/>
      <c r="Z62" s="551"/>
      <c r="AA62" s="551"/>
    </row>
    <row r="63" spans="1:27" s="2" customFormat="1" ht="42.75" customHeight="1">
      <c r="A63" s="67">
        <v>7</v>
      </c>
      <c r="B63" s="184" t="s">
        <v>409</v>
      </c>
      <c r="C63" s="70" t="s">
        <v>85</v>
      </c>
      <c r="D63" s="185" t="s">
        <v>410</v>
      </c>
      <c r="E63" s="186" t="s">
        <v>411</v>
      </c>
      <c r="F63" s="314" t="s">
        <v>412</v>
      </c>
      <c r="G63" s="187">
        <v>112793</v>
      </c>
      <c r="H63" s="23">
        <v>43593</v>
      </c>
      <c r="I63" s="23">
        <v>85986</v>
      </c>
      <c r="J63" s="22">
        <v>30986</v>
      </c>
      <c r="K63" s="23">
        <v>47807</v>
      </c>
      <c r="L63" s="164">
        <v>8193</v>
      </c>
      <c r="M63" s="22"/>
      <c r="N63" s="105">
        <v>19398</v>
      </c>
      <c r="O63" s="165"/>
      <c r="P63" s="165"/>
      <c r="Q63" s="105"/>
      <c r="R63" s="165"/>
      <c r="S63" s="133"/>
      <c r="T63" s="133"/>
      <c r="U63" s="70"/>
      <c r="V63" s="551"/>
      <c r="W63" s="551"/>
      <c r="X63" s="551"/>
      <c r="Y63" s="551"/>
      <c r="Z63" s="551"/>
      <c r="AA63" s="551"/>
    </row>
    <row r="64" spans="1:27" s="2" customFormat="1" ht="45">
      <c r="A64" s="97" t="s">
        <v>27</v>
      </c>
      <c r="B64" s="68" t="s">
        <v>413</v>
      </c>
      <c r="C64" s="172" t="s">
        <v>85</v>
      </c>
      <c r="D64" s="172" t="s">
        <v>414</v>
      </c>
      <c r="E64" s="163" t="s">
        <v>30</v>
      </c>
      <c r="F64" s="172" t="s">
        <v>415</v>
      </c>
      <c r="G64" s="173">
        <v>6089</v>
      </c>
      <c r="H64" s="173">
        <v>5107</v>
      </c>
      <c r="I64" s="173">
        <v>5107</v>
      </c>
      <c r="J64" s="175">
        <v>5107</v>
      </c>
      <c r="K64" s="173">
        <v>6089</v>
      </c>
      <c r="L64" s="175">
        <v>5107</v>
      </c>
      <c r="M64" s="175"/>
      <c r="N64" s="176"/>
      <c r="O64" s="176"/>
      <c r="P64" s="176"/>
      <c r="Q64" s="176"/>
      <c r="R64" s="176"/>
      <c r="S64" s="177"/>
      <c r="T64" s="177"/>
      <c r="U64" s="579"/>
      <c r="V64" s="551"/>
      <c r="W64" s="551"/>
      <c r="X64" s="551"/>
      <c r="Y64" s="551"/>
      <c r="Z64" s="551"/>
      <c r="AA64" s="551"/>
    </row>
    <row r="65" spans="1:34" s="2" customFormat="1" ht="26.1" customHeight="1">
      <c r="A65" s="67">
        <v>3</v>
      </c>
      <c r="B65" s="93" t="s">
        <v>419</v>
      </c>
      <c r="C65" s="152" t="s">
        <v>66</v>
      </c>
      <c r="D65" s="162" t="s">
        <v>420</v>
      </c>
      <c r="E65" s="163" t="s">
        <v>30</v>
      </c>
      <c r="F65" s="172" t="s">
        <v>421</v>
      </c>
      <c r="G65" s="164">
        <v>3922</v>
      </c>
      <c r="H65" s="164">
        <v>3922</v>
      </c>
      <c r="I65" s="22">
        <v>3600</v>
      </c>
      <c r="J65" s="22">
        <v>3600</v>
      </c>
      <c r="K65" s="22">
        <v>3600</v>
      </c>
      <c r="L65" s="22">
        <v>3600</v>
      </c>
      <c r="M65" s="175"/>
      <c r="N65" s="176"/>
      <c r="O65" s="176"/>
      <c r="P65" s="176"/>
      <c r="Q65" s="176"/>
      <c r="R65" s="176"/>
      <c r="S65" s="177"/>
      <c r="T65" s="177"/>
      <c r="U65" s="579"/>
      <c r="V65" s="551"/>
      <c r="W65" s="551"/>
      <c r="X65" s="551"/>
      <c r="Y65" s="551"/>
      <c r="Z65" s="551"/>
      <c r="AA65" s="551"/>
    </row>
    <row r="66" spans="1:34" s="2" customFormat="1" ht="26.1" customHeight="1">
      <c r="A66" s="67">
        <v>4</v>
      </c>
      <c r="B66" s="93" t="s">
        <v>422</v>
      </c>
      <c r="C66" s="152" t="s">
        <v>66</v>
      </c>
      <c r="D66" s="162" t="s">
        <v>420</v>
      </c>
      <c r="E66" s="163" t="s">
        <v>30</v>
      </c>
      <c r="F66" s="172" t="s">
        <v>423</v>
      </c>
      <c r="G66" s="164">
        <v>4147</v>
      </c>
      <c r="H66" s="164">
        <v>4147</v>
      </c>
      <c r="I66" s="22">
        <v>3800</v>
      </c>
      <c r="J66" s="22">
        <v>3800</v>
      </c>
      <c r="K66" s="22">
        <v>3800</v>
      </c>
      <c r="L66" s="22">
        <v>3800</v>
      </c>
      <c r="M66" s="175"/>
      <c r="N66" s="176"/>
      <c r="O66" s="176"/>
      <c r="P66" s="176"/>
      <c r="Q66" s="176"/>
      <c r="R66" s="176"/>
      <c r="S66" s="177"/>
      <c r="T66" s="177"/>
      <c r="U66" s="579"/>
      <c r="V66" s="551"/>
      <c r="W66" s="551"/>
      <c r="X66" s="551"/>
      <c r="Y66" s="551"/>
      <c r="Z66" s="551"/>
      <c r="AA66" s="551"/>
    </row>
    <row r="67" spans="1:34" s="195" customFormat="1" ht="30">
      <c r="A67" s="150">
        <v>11</v>
      </c>
      <c r="B67" s="780" t="s">
        <v>491</v>
      </c>
      <c r="C67" s="112" t="s">
        <v>112</v>
      </c>
      <c r="D67" s="112" t="s">
        <v>492</v>
      </c>
      <c r="E67" s="881" t="s">
        <v>163</v>
      </c>
      <c r="F67" s="781"/>
      <c r="G67" s="782">
        <v>9660</v>
      </c>
      <c r="H67" s="114">
        <v>7551</v>
      </c>
      <c r="I67" s="114"/>
      <c r="J67" s="114"/>
      <c r="K67" s="782">
        <v>9660</v>
      </c>
      <c r="L67" s="114">
        <v>7551</v>
      </c>
      <c r="M67" s="114"/>
      <c r="N67" s="783">
        <v>5687</v>
      </c>
      <c r="O67" s="114">
        <v>4000</v>
      </c>
      <c r="P67" s="114"/>
      <c r="Q67" s="156"/>
      <c r="R67" s="156"/>
      <c r="S67" s="157"/>
      <c r="T67" s="768"/>
      <c r="U67" s="114"/>
      <c r="V67" s="114"/>
      <c r="W67" s="513" t="s">
        <v>1529</v>
      </c>
      <c r="X67" s="24"/>
      <c r="Y67" s="72"/>
      <c r="Z67" s="785" t="s">
        <v>1608</v>
      </c>
      <c r="AA67" s="553" t="s">
        <v>1621</v>
      </c>
      <c r="AB67" s="553"/>
      <c r="AC67" s="553"/>
      <c r="AD67" s="553"/>
      <c r="AE67" s="553"/>
    </row>
    <row r="68" spans="1:34" s="195" customFormat="1" ht="30">
      <c r="A68" s="150">
        <v>12</v>
      </c>
      <c r="B68" s="784" t="s">
        <v>496</v>
      </c>
      <c r="C68" s="112" t="s">
        <v>112</v>
      </c>
      <c r="D68" s="112" t="s">
        <v>497</v>
      </c>
      <c r="E68" s="881" t="s">
        <v>163</v>
      </c>
      <c r="F68" s="781"/>
      <c r="G68" s="782">
        <v>8664</v>
      </c>
      <c r="H68" s="114">
        <v>6861</v>
      </c>
      <c r="I68" s="114"/>
      <c r="J68" s="114"/>
      <c r="K68" s="782">
        <v>8664</v>
      </c>
      <c r="L68" s="114">
        <v>6861</v>
      </c>
      <c r="M68" s="114"/>
      <c r="N68" s="783">
        <v>5516</v>
      </c>
      <c r="O68" s="114">
        <v>4000</v>
      </c>
      <c r="P68" s="114"/>
      <c r="Q68" s="156"/>
      <c r="R68" s="156"/>
      <c r="S68" s="157"/>
      <c r="T68" s="768"/>
      <c r="U68" s="114"/>
      <c r="V68" s="114"/>
      <c r="W68" s="513" t="s">
        <v>1529</v>
      </c>
      <c r="X68" s="24"/>
      <c r="Y68" s="72"/>
      <c r="Z68" s="785" t="s">
        <v>1608</v>
      </c>
      <c r="AA68" s="553" t="s">
        <v>1621</v>
      </c>
      <c r="AB68" s="553"/>
      <c r="AC68" s="553"/>
      <c r="AD68" s="553"/>
      <c r="AE68" s="553"/>
    </row>
    <row r="70" spans="1:34" s="54" customFormat="1" ht="28.5">
      <c r="A70" s="158" t="s">
        <v>32</v>
      </c>
      <c r="B70" s="283" t="s">
        <v>33</v>
      </c>
      <c r="C70" s="218"/>
      <c r="D70" s="303"/>
      <c r="E70" s="309"/>
      <c r="F70" s="303"/>
      <c r="G70" s="219">
        <f t="shared" ref="G70:S70" si="11">G71</f>
        <v>17217</v>
      </c>
      <c r="H70" s="219">
        <f t="shared" si="11"/>
        <v>17217</v>
      </c>
      <c r="I70" s="219">
        <f t="shared" si="11"/>
        <v>15544</v>
      </c>
      <c r="J70" s="219">
        <f t="shared" si="11"/>
        <v>15544</v>
      </c>
      <c r="K70" s="219">
        <f t="shared" si="11"/>
        <v>4355</v>
      </c>
      <c r="L70" s="219">
        <f t="shared" si="11"/>
        <v>4355</v>
      </c>
      <c r="M70" s="219">
        <f t="shared" si="11"/>
        <v>0</v>
      </c>
      <c r="N70" s="219">
        <f t="shared" si="11"/>
        <v>0</v>
      </c>
      <c r="O70" s="219">
        <f t="shared" si="11"/>
        <v>0</v>
      </c>
      <c r="P70" s="219">
        <f t="shared" si="11"/>
        <v>0</v>
      </c>
      <c r="Q70" s="219">
        <f t="shared" si="11"/>
        <v>0</v>
      </c>
      <c r="R70" s="219">
        <f t="shared" si="11"/>
        <v>0</v>
      </c>
      <c r="S70" s="219">
        <f t="shared" si="11"/>
        <v>0</v>
      </c>
      <c r="T70" s="219"/>
      <c r="U70" s="582"/>
      <c r="V70" s="551"/>
      <c r="W70" s="551"/>
      <c r="X70" s="551"/>
      <c r="Y70" s="551"/>
      <c r="Z70" s="551"/>
      <c r="AA70" s="551"/>
      <c r="AC70" s="57"/>
      <c r="AD70" s="57"/>
      <c r="AE70" s="57"/>
      <c r="AF70" s="57"/>
      <c r="AG70" s="57"/>
      <c r="AH70" s="57"/>
    </row>
    <row r="71" spans="1:34" s="54" customFormat="1" ht="18.75">
      <c r="A71" s="272" t="s">
        <v>34</v>
      </c>
      <c r="B71" s="285" t="s">
        <v>48</v>
      </c>
      <c r="C71" s="220"/>
      <c r="D71" s="304"/>
      <c r="E71" s="310"/>
      <c r="F71" s="304"/>
      <c r="G71" s="221">
        <f t="shared" ref="G71:S71" si="12">SUM(G72:G75)</f>
        <v>17217</v>
      </c>
      <c r="H71" s="221">
        <f t="shared" si="12"/>
        <v>17217</v>
      </c>
      <c r="I71" s="221">
        <f t="shared" si="12"/>
        <v>15544</v>
      </c>
      <c r="J71" s="221">
        <f t="shared" si="12"/>
        <v>15544</v>
      </c>
      <c r="K71" s="221">
        <f t="shared" si="12"/>
        <v>4355</v>
      </c>
      <c r="L71" s="221">
        <f t="shared" si="12"/>
        <v>4355</v>
      </c>
      <c r="M71" s="221">
        <f t="shared" si="12"/>
        <v>0</v>
      </c>
      <c r="N71" s="221">
        <f t="shared" si="12"/>
        <v>0</v>
      </c>
      <c r="O71" s="221">
        <f t="shared" si="12"/>
        <v>0</v>
      </c>
      <c r="P71" s="221">
        <f t="shared" si="12"/>
        <v>0</v>
      </c>
      <c r="Q71" s="221">
        <f t="shared" si="12"/>
        <v>0</v>
      </c>
      <c r="R71" s="221">
        <f t="shared" si="12"/>
        <v>0</v>
      </c>
      <c r="S71" s="221">
        <f t="shared" si="12"/>
        <v>0</v>
      </c>
      <c r="T71" s="221"/>
      <c r="U71" s="583"/>
      <c r="V71" s="551"/>
      <c r="W71" s="551"/>
      <c r="X71" s="551"/>
      <c r="Y71" s="551"/>
      <c r="Z71" s="551"/>
      <c r="AA71" s="551"/>
      <c r="AC71" s="57"/>
      <c r="AD71" s="57"/>
      <c r="AE71" s="57"/>
      <c r="AF71" s="57"/>
      <c r="AG71" s="57"/>
      <c r="AH71" s="57"/>
    </row>
    <row r="72" spans="1:34" s="54" customFormat="1" ht="45">
      <c r="A72" s="215">
        <v>1</v>
      </c>
      <c r="B72" s="284" t="s">
        <v>766</v>
      </c>
      <c r="C72" s="216" t="s">
        <v>29</v>
      </c>
      <c r="D72" s="233"/>
      <c r="E72" s="308" t="s">
        <v>114</v>
      </c>
      <c r="F72" s="233" t="s">
        <v>767</v>
      </c>
      <c r="G72" s="217">
        <v>3074</v>
      </c>
      <c r="H72" s="217">
        <v>3074</v>
      </c>
      <c r="I72" s="217">
        <v>2820</v>
      </c>
      <c r="J72" s="217">
        <f>2760+60</f>
        <v>2820</v>
      </c>
      <c r="K72" s="217">
        <v>60</v>
      </c>
      <c r="L72" s="217">
        <v>60</v>
      </c>
      <c r="M72" s="217"/>
      <c r="N72" s="217"/>
      <c r="O72" s="217">
        <v>0</v>
      </c>
      <c r="P72" s="78"/>
      <c r="Q72" s="217">
        <f>SUM(R72:S72)</f>
        <v>0</v>
      </c>
      <c r="R72" s="217"/>
      <c r="S72" s="217"/>
      <c r="T72" s="217"/>
      <c r="U72" s="70"/>
      <c r="V72" s="551"/>
      <c r="W72" s="551"/>
      <c r="X72" s="551"/>
      <c r="Y72" s="551"/>
      <c r="Z72" s="551"/>
      <c r="AA72" s="551"/>
      <c r="AC72" s="57"/>
      <c r="AD72" s="57"/>
      <c r="AE72" s="57"/>
      <c r="AF72" s="57"/>
      <c r="AG72" s="57"/>
      <c r="AH72" s="57"/>
    </row>
    <row r="73" spans="1:34" s="54" customFormat="1" ht="45">
      <c r="A73" s="215">
        <v>2</v>
      </c>
      <c r="B73" s="284" t="s">
        <v>768</v>
      </c>
      <c r="C73" s="216" t="s">
        <v>29</v>
      </c>
      <c r="D73" s="233"/>
      <c r="E73" s="308" t="s">
        <v>114</v>
      </c>
      <c r="F73" s="233" t="s">
        <v>769</v>
      </c>
      <c r="G73" s="217">
        <v>2081</v>
      </c>
      <c r="H73" s="217">
        <v>2081</v>
      </c>
      <c r="I73" s="217">
        <v>1902</v>
      </c>
      <c r="J73" s="217">
        <f>1002+900</f>
        <v>1902</v>
      </c>
      <c r="K73" s="217">
        <v>900</v>
      </c>
      <c r="L73" s="217">
        <v>900</v>
      </c>
      <c r="M73" s="217"/>
      <c r="N73" s="217"/>
      <c r="O73" s="217">
        <v>0</v>
      </c>
      <c r="P73" s="78"/>
      <c r="Q73" s="217">
        <f>SUM(R73:S73)</f>
        <v>0</v>
      </c>
      <c r="R73" s="217"/>
      <c r="S73" s="217"/>
      <c r="T73" s="217"/>
      <c r="U73" s="70"/>
      <c r="V73" s="551"/>
      <c r="W73" s="551"/>
      <c r="X73" s="551"/>
      <c r="Y73" s="551"/>
      <c r="Z73" s="551"/>
      <c r="AA73" s="551"/>
      <c r="AC73" s="57"/>
      <c r="AD73" s="57"/>
      <c r="AE73" s="57"/>
      <c r="AF73" s="57"/>
      <c r="AG73" s="57"/>
      <c r="AH73" s="57"/>
    </row>
    <row r="74" spans="1:34" s="54" customFormat="1" ht="60">
      <c r="A74" s="215">
        <v>3</v>
      </c>
      <c r="B74" s="284" t="s">
        <v>770</v>
      </c>
      <c r="C74" s="216" t="s">
        <v>29</v>
      </c>
      <c r="D74" s="233" t="s">
        <v>771</v>
      </c>
      <c r="E74" s="308" t="s">
        <v>114</v>
      </c>
      <c r="F74" s="233" t="s">
        <v>772</v>
      </c>
      <c r="G74" s="217">
        <v>5974</v>
      </c>
      <c r="H74" s="217">
        <v>5974</v>
      </c>
      <c r="I74" s="217">
        <f>3086+2300</f>
        <v>5386</v>
      </c>
      <c r="J74" s="217">
        <f>3086+2300</f>
        <v>5386</v>
      </c>
      <c r="K74" s="217">
        <f>5974-3086</f>
        <v>2888</v>
      </c>
      <c r="L74" s="217">
        <v>2888</v>
      </c>
      <c r="M74" s="217"/>
      <c r="N74" s="217"/>
      <c r="O74" s="217">
        <v>0</v>
      </c>
      <c r="P74" s="78"/>
      <c r="Q74" s="217">
        <f>SUM(R74:S74)</f>
        <v>0</v>
      </c>
      <c r="R74" s="217"/>
      <c r="S74" s="217"/>
      <c r="T74" s="217"/>
      <c r="U74" s="70"/>
      <c r="V74" s="551"/>
      <c r="W74" s="551"/>
      <c r="X74" s="551"/>
      <c r="Y74" s="551"/>
      <c r="Z74" s="551"/>
      <c r="AA74" s="551"/>
      <c r="AC74" s="57"/>
      <c r="AD74" s="57"/>
      <c r="AE74" s="57"/>
      <c r="AF74" s="57"/>
      <c r="AG74" s="57"/>
      <c r="AH74" s="57"/>
    </row>
    <row r="75" spans="1:34" s="54" customFormat="1" ht="45">
      <c r="A75" s="215">
        <v>4</v>
      </c>
      <c r="B75" s="284" t="s">
        <v>773</v>
      </c>
      <c r="C75" s="216" t="s">
        <v>222</v>
      </c>
      <c r="D75" s="233"/>
      <c r="E75" s="308" t="s">
        <v>82</v>
      </c>
      <c r="F75" s="233" t="s">
        <v>774</v>
      </c>
      <c r="G75" s="217">
        <v>6088</v>
      </c>
      <c r="H75" s="217">
        <v>6088</v>
      </c>
      <c r="I75" s="217">
        <f>4929+507</f>
        <v>5436</v>
      </c>
      <c r="J75" s="217">
        <f>4929+507</f>
        <v>5436</v>
      </c>
      <c r="K75" s="217">
        <v>507</v>
      </c>
      <c r="L75" s="217">
        <v>507</v>
      </c>
      <c r="M75" s="217"/>
      <c r="N75" s="217"/>
      <c r="O75" s="217">
        <v>0</v>
      </c>
      <c r="P75" s="78"/>
      <c r="Q75" s="217">
        <f>SUM(R75:S75)</f>
        <v>0</v>
      </c>
      <c r="R75" s="217"/>
      <c r="S75" s="217"/>
      <c r="T75" s="217"/>
      <c r="U75" s="70"/>
      <c r="V75" s="551"/>
      <c r="W75" s="551"/>
      <c r="X75" s="551"/>
      <c r="Y75" s="551"/>
      <c r="Z75" s="551"/>
      <c r="AA75" s="551"/>
      <c r="AC75" s="57"/>
      <c r="AD75" s="57"/>
      <c r="AE75" s="57"/>
      <c r="AF75" s="57"/>
      <c r="AG75" s="57"/>
      <c r="AH75" s="57"/>
    </row>
    <row r="77" spans="1:34" s="54" customFormat="1" ht="18.75">
      <c r="A77" s="11" t="s">
        <v>34</v>
      </c>
      <c r="B77" s="88" t="s">
        <v>35</v>
      </c>
      <c r="C77" s="19"/>
      <c r="D77" s="19"/>
      <c r="E77" s="19"/>
      <c r="F77" s="19"/>
      <c r="G77" s="15">
        <f t="shared" ref="G77:S77" si="13">SUM(G78:G78)</f>
        <v>49891</v>
      </c>
      <c r="H77" s="15">
        <f t="shared" si="13"/>
        <v>49891</v>
      </c>
      <c r="I77" s="15">
        <f t="shared" si="13"/>
        <v>46401</v>
      </c>
      <c r="J77" s="15">
        <f t="shared" si="13"/>
        <v>46401</v>
      </c>
      <c r="K77" s="15">
        <f t="shared" si="13"/>
        <v>2210</v>
      </c>
      <c r="L77" s="15">
        <f t="shared" si="13"/>
        <v>2210</v>
      </c>
      <c r="M77" s="15">
        <f t="shared" si="13"/>
        <v>0</v>
      </c>
      <c r="N77" s="15">
        <f t="shared" si="13"/>
        <v>0</v>
      </c>
      <c r="O77" s="15">
        <f t="shared" si="13"/>
        <v>0</v>
      </c>
      <c r="P77" s="15">
        <f t="shared" si="13"/>
        <v>0</v>
      </c>
      <c r="Q77" s="15">
        <f t="shared" si="13"/>
        <v>0</v>
      </c>
      <c r="R77" s="15">
        <f t="shared" si="13"/>
        <v>0</v>
      </c>
      <c r="S77" s="15">
        <f t="shared" si="13"/>
        <v>0</v>
      </c>
      <c r="T77" s="15"/>
      <c r="U77" s="580"/>
      <c r="V77" s="551"/>
      <c r="W77" s="551"/>
      <c r="X77" s="551"/>
      <c r="Y77" s="551"/>
      <c r="Z77" s="551"/>
      <c r="AA77" s="551"/>
      <c r="AC77" s="57"/>
      <c r="AD77" s="57"/>
      <c r="AE77" s="57"/>
      <c r="AF77" s="57"/>
      <c r="AG77" s="57"/>
      <c r="AH77" s="57"/>
    </row>
    <row r="78" spans="1:34" s="54" customFormat="1" ht="45">
      <c r="A78" s="222">
        <v>1</v>
      </c>
      <c r="B78" s="68" t="s">
        <v>824</v>
      </c>
      <c r="C78" s="19" t="s">
        <v>29</v>
      </c>
      <c r="D78" s="19" t="s">
        <v>825</v>
      </c>
      <c r="E78" s="19" t="s">
        <v>82</v>
      </c>
      <c r="F78" s="101" t="s">
        <v>826</v>
      </c>
      <c r="G78" s="23">
        <v>49891</v>
      </c>
      <c r="H78" s="23">
        <v>49891</v>
      </c>
      <c r="I78" s="23">
        <f>J78</f>
        <v>46401</v>
      </c>
      <c r="J78" s="23">
        <f>44191+2210</f>
        <v>46401</v>
      </c>
      <c r="K78" s="23">
        <v>2210</v>
      </c>
      <c r="L78" s="23">
        <v>2210</v>
      </c>
      <c r="M78" s="23"/>
      <c r="N78" s="23"/>
      <c r="O78" s="23">
        <v>0</v>
      </c>
      <c r="P78" s="78"/>
      <c r="Q78" s="23">
        <f>SUM(R78:S78)</f>
        <v>0</v>
      </c>
      <c r="R78" s="23"/>
      <c r="S78" s="23"/>
      <c r="T78" s="23"/>
      <c r="U78" s="19"/>
      <c r="V78" s="551"/>
      <c r="W78" s="551"/>
      <c r="X78" s="551"/>
      <c r="Y78" s="551"/>
      <c r="Z78" s="551"/>
      <c r="AA78" s="551"/>
      <c r="AC78" s="57"/>
      <c r="AD78" s="57"/>
      <c r="AE78" s="57"/>
      <c r="AF78" s="57"/>
      <c r="AG78" s="57"/>
      <c r="AH78" s="57"/>
    </row>
    <row r="79" spans="1:34" s="54" customFormat="1" ht="18.75">
      <c r="A79" s="26" t="s">
        <v>47</v>
      </c>
      <c r="B79" s="88" t="s">
        <v>48</v>
      </c>
      <c r="C79" s="13"/>
      <c r="D79" s="13"/>
      <c r="E79" s="13"/>
      <c r="F79" s="13"/>
      <c r="G79" s="15">
        <f t="shared" ref="G79:S79" si="14">SUM(G80:G81)</f>
        <v>31362</v>
      </c>
      <c r="H79" s="15">
        <f t="shared" si="14"/>
        <v>31362</v>
      </c>
      <c r="I79" s="15">
        <f t="shared" si="14"/>
        <v>23471</v>
      </c>
      <c r="J79" s="15">
        <f t="shared" si="14"/>
        <v>23471</v>
      </c>
      <c r="K79" s="15">
        <f t="shared" si="14"/>
        <v>5000</v>
      </c>
      <c r="L79" s="15">
        <f t="shared" si="14"/>
        <v>5000</v>
      </c>
      <c r="M79" s="15">
        <f t="shared" si="14"/>
        <v>0</v>
      </c>
      <c r="N79" s="15">
        <f t="shared" si="14"/>
        <v>0</v>
      </c>
      <c r="O79" s="15">
        <f t="shared" si="14"/>
        <v>0</v>
      </c>
      <c r="P79" s="15">
        <f t="shared" si="14"/>
        <v>0</v>
      </c>
      <c r="Q79" s="15">
        <f t="shared" si="14"/>
        <v>0</v>
      </c>
      <c r="R79" s="15">
        <f t="shared" si="14"/>
        <v>0</v>
      </c>
      <c r="S79" s="15">
        <f t="shared" si="14"/>
        <v>0</v>
      </c>
      <c r="T79" s="15"/>
      <c r="U79" s="580"/>
      <c r="V79" s="551"/>
      <c r="W79" s="551"/>
      <c r="X79" s="551"/>
      <c r="Y79" s="551"/>
      <c r="Z79" s="551"/>
      <c r="AA79" s="551"/>
      <c r="AC79" s="57"/>
      <c r="AD79" s="57"/>
      <c r="AE79" s="57"/>
      <c r="AF79" s="57"/>
      <c r="AG79" s="57"/>
      <c r="AH79" s="57"/>
    </row>
    <row r="80" spans="1:34" s="54" customFormat="1" ht="45">
      <c r="A80" s="222">
        <v>1</v>
      </c>
      <c r="B80" s="68" t="s">
        <v>827</v>
      </c>
      <c r="C80" s="19" t="s">
        <v>260</v>
      </c>
      <c r="D80" s="19"/>
      <c r="E80" s="19" t="s">
        <v>82</v>
      </c>
      <c r="F80" s="101" t="s">
        <v>828</v>
      </c>
      <c r="G80" s="23">
        <v>31362</v>
      </c>
      <c r="H80" s="23">
        <v>31362</v>
      </c>
      <c r="I80" s="23">
        <f>J80</f>
        <v>23471</v>
      </c>
      <c r="J80" s="23">
        <f>18471+5000</f>
        <v>23471</v>
      </c>
      <c r="K80" s="23">
        <v>5000</v>
      </c>
      <c r="L80" s="23">
        <v>5000</v>
      </c>
      <c r="M80" s="23"/>
      <c r="N80" s="23"/>
      <c r="O80" s="23">
        <v>0</v>
      </c>
      <c r="P80" s="78"/>
      <c r="Q80" s="23">
        <f>SUM(R80:S80)</f>
        <v>0</v>
      </c>
      <c r="R80" s="23"/>
      <c r="S80" s="23"/>
      <c r="T80" s="23"/>
      <c r="U80" s="19"/>
      <c r="V80" s="551"/>
      <c r="W80" s="551"/>
      <c r="X80" s="551"/>
      <c r="Y80" s="551"/>
      <c r="Z80" s="551"/>
      <c r="AA80" s="551"/>
      <c r="AC80" s="57"/>
      <c r="AD80" s="57"/>
      <c r="AE80" s="57"/>
      <c r="AF80" s="57"/>
      <c r="AG80" s="57"/>
      <c r="AH80" s="57"/>
    </row>
    <row r="82" spans="1:34" s="54" customFormat="1" ht="28.5">
      <c r="A82" s="64" t="s">
        <v>32</v>
      </c>
      <c r="B82" s="65" t="s">
        <v>33</v>
      </c>
      <c r="C82" s="13"/>
      <c r="D82" s="13"/>
      <c r="E82" s="13"/>
      <c r="F82" s="13"/>
      <c r="G82" s="15">
        <f t="shared" ref="G82:S82" si="15">G83+G85+G88</f>
        <v>1478542.199</v>
      </c>
      <c r="H82" s="15">
        <f t="shared" si="15"/>
        <v>648774.19900000002</v>
      </c>
      <c r="I82" s="15">
        <f t="shared" si="15"/>
        <v>1460465</v>
      </c>
      <c r="J82" s="15">
        <f t="shared" si="15"/>
        <v>634382</v>
      </c>
      <c r="K82" s="15">
        <f t="shared" si="15"/>
        <v>270138.19900000002</v>
      </c>
      <c r="L82" s="15">
        <f t="shared" si="15"/>
        <v>101138.19899999999</v>
      </c>
      <c r="M82" s="15">
        <f t="shared" si="15"/>
        <v>0</v>
      </c>
      <c r="N82" s="15">
        <f t="shared" si="15"/>
        <v>0</v>
      </c>
      <c r="O82" s="15">
        <f t="shared" si="15"/>
        <v>0</v>
      </c>
      <c r="P82" s="15">
        <f t="shared" si="15"/>
        <v>0</v>
      </c>
      <c r="Q82" s="15">
        <f t="shared" si="15"/>
        <v>0</v>
      </c>
      <c r="R82" s="15">
        <f t="shared" si="15"/>
        <v>0</v>
      </c>
      <c r="S82" s="15">
        <f t="shared" si="15"/>
        <v>0</v>
      </c>
      <c r="T82" s="15"/>
      <c r="U82" s="580"/>
      <c r="V82" s="551"/>
      <c r="W82" s="551"/>
      <c r="X82" s="551"/>
      <c r="Y82" s="551"/>
      <c r="Z82" s="551"/>
      <c r="AA82" s="551"/>
      <c r="AC82" s="57"/>
      <c r="AD82" s="57"/>
      <c r="AE82" s="57"/>
      <c r="AF82" s="57"/>
      <c r="AG82" s="57"/>
      <c r="AH82" s="57"/>
    </row>
    <row r="83" spans="1:34" s="54" customFormat="1" ht="18.75">
      <c r="A83" s="26" t="s">
        <v>34</v>
      </c>
      <c r="B83" s="88" t="s">
        <v>849</v>
      </c>
      <c r="C83" s="13"/>
      <c r="D83" s="13"/>
      <c r="E83" s="13"/>
      <c r="F83" s="13"/>
      <c r="G83" s="30">
        <f t="shared" ref="G83:S83" si="16">+G84</f>
        <v>1306035</v>
      </c>
      <c r="H83" s="30">
        <f t="shared" si="16"/>
        <v>525288</v>
      </c>
      <c r="I83" s="30">
        <f t="shared" si="16"/>
        <v>1304064</v>
      </c>
      <c r="J83" s="30">
        <f t="shared" si="16"/>
        <v>525198</v>
      </c>
      <c r="K83" s="30">
        <f t="shared" si="16"/>
        <v>175585</v>
      </c>
      <c r="L83" s="30">
        <f t="shared" si="16"/>
        <v>6585</v>
      </c>
      <c r="M83" s="30">
        <f t="shared" si="16"/>
        <v>0</v>
      </c>
      <c r="N83" s="30">
        <f t="shared" si="16"/>
        <v>0</v>
      </c>
      <c r="O83" s="30">
        <f t="shared" si="16"/>
        <v>0</v>
      </c>
      <c r="P83" s="30">
        <f t="shared" si="16"/>
        <v>0</v>
      </c>
      <c r="Q83" s="30">
        <f t="shared" si="16"/>
        <v>0</v>
      </c>
      <c r="R83" s="30">
        <f t="shared" si="16"/>
        <v>0</v>
      </c>
      <c r="S83" s="30">
        <f t="shared" si="16"/>
        <v>0</v>
      </c>
      <c r="T83" s="30"/>
      <c r="U83" s="581"/>
      <c r="V83" s="551"/>
      <c r="W83" s="551"/>
      <c r="X83" s="551"/>
      <c r="Y83" s="551"/>
      <c r="Z83" s="551"/>
      <c r="AA83" s="551"/>
      <c r="AC83" s="57"/>
      <c r="AD83" s="57"/>
      <c r="AE83" s="57"/>
      <c r="AF83" s="57"/>
      <c r="AG83" s="57"/>
      <c r="AH83" s="57"/>
    </row>
    <row r="84" spans="1:34" s="54" customFormat="1" ht="90">
      <c r="A84" s="97" t="s">
        <v>27</v>
      </c>
      <c r="B84" s="68" t="s">
        <v>924</v>
      </c>
      <c r="C84" s="101" t="s">
        <v>925</v>
      </c>
      <c r="D84" s="101" t="s">
        <v>926</v>
      </c>
      <c r="E84" s="101" t="s">
        <v>365</v>
      </c>
      <c r="F84" s="19" t="s">
        <v>927</v>
      </c>
      <c r="G84" s="22">
        <v>1306035</v>
      </c>
      <c r="H84" s="22">
        <f>G84-780747</f>
        <v>525288</v>
      </c>
      <c r="I84" s="22">
        <f>1128479+169000+6585</f>
        <v>1304064</v>
      </c>
      <c r="J84" s="22">
        <f>518613+6585</f>
        <v>525198</v>
      </c>
      <c r="K84" s="22">
        <f>169000+6585</f>
        <v>175585</v>
      </c>
      <c r="L84" s="22">
        <v>6585</v>
      </c>
      <c r="M84" s="22">
        <v>0</v>
      </c>
      <c r="N84" s="22"/>
      <c r="O84" s="22">
        <v>0</v>
      </c>
      <c r="P84" s="78"/>
      <c r="Q84" s="22">
        <f>SUM(R84:S84)</f>
        <v>0</v>
      </c>
      <c r="R84" s="22"/>
      <c r="S84" s="22"/>
      <c r="T84" s="22"/>
      <c r="U84" s="216"/>
      <c r="V84" s="551"/>
      <c r="W84" s="551"/>
      <c r="X84" s="551"/>
      <c r="Y84" s="551"/>
      <c r="Z84" s="551"/>
      <c r="AA84" s="551"/>
      <c r="AC84" s="57"/>
      <c r="AD84" s="57"/>
      <c r="AE84" s="57"/>
      <c r="AF84" s="57"/>
      <c r="AG84" s="57"/>
      <c r="AH84" s="57"/>
    </row>
    <row r="85" spans="1:34" s="54" customFormat="1" ht="18.75">
      <c r="A85" s="26" t="s">
        <v>47</v>
      </c>
      <c r="B85" s="88" t="s">
        <v>35</v>
      </c>
      <c r="C85" s="28"/>
      <c r="D85" s="28"/>
      <c r="E85" s="28"/>
      <c r="F85" s="28"/>
      <c r="G85" s="30">
        <f t="shared" ref="G85:S85" si="17">SUM(G86:G87)</f>
        <v>134013</v>
      </c>
      <c r="H85" s="30">
        <f t="shared" si="17"/>
        <v>84992</v>
      </c>
      <c r="I85" s="30">
        <f t="shared" si="17"/>
        <v>122483</v>
      </c>
      <c r="J85" s="30">
        <f t="shared" si="17"/>
        <v>75266</v>
      </c>
      <c r="K85" s="30">
        <f t="shared" si="17"/>
        <v>73979</v>
      </c>
      <c r="L85" s="30">
        <f t="shared" si="17"/>
        <v>73979</v>
      </c>
      <c r="M85" s="30">
        <f t="shared" si="17"/>
        <v>0</v>
      </c>
      <c r="N85" s="30">
        <f t="shared" si="17"/>
        <v>0</v>
      </c>
      <c r="O85" s="30">
        <f t="shared" si="17"/>
        <v>0</v>
      </c>
      <c r="P85" s="30">
        <f t="shared" si="17"/>
        <v>0</v>
      </c>
      <c r="Q85" s="30">
        <f t="shared" si="17"/>
        <v>0</v>
      </c>
      <c r="R85" s="30">
        <f t="shared" si="17"/>
        <v>0</v>
      </c>
      <c r="S85" s="30">
        <f t="shared" si="17"/>
        <v>0</v>
      </c>
      <c r="T85" s="30"/>
      <c r="U85" s="581"/>
      <c r="V85" s="551"/>
      <c r="W85" s="551"/>
      <c r="X85" s="551"/>
      <c r="Y85" s="551"/>
      <c r="Z85" s="551"/>
      <c r="AA85" s="551"/>
      <c r="AC85" s="57"/>
      <c r="AD85" s="57"/>
      <c r="AE85" s="57"/>
      <c r="AF85" s="57"/>
      <c r="AG85" s="57"/>
      <c r="AH85" s="57"/>
    </row>
    <row r="86" spans="1:34" s="54" customFormat="1" ht="45">
      <c r="A86" s="97" t="s">
        <v>27</v>
      </c>
      <c r="B86" s="289" t="s">
        <v>928</v>
      </c>
      <c r="C86" s="19" t="s">
        <v>29</v>
      </c>
      <c r="D86" s="19" t="s">
        <v>929</v>
      </c>
      <c r="E86" s="19" t="s">
        <v>30</v>
      </c>
      <c r="F86" s="101" t="s">
        <v>930</v>
      </c>
      <c r="G86" s="22">
        <v>72612</v>
      </c>
      <c r="H86" s="22">
        <v>72612</v>
      </c>
      <c r="I86" s="22">
        <v>66150</v>
      </c>
      <c r="J86" s="22">
        <v>66150</v>
      </c>
      <c r="K86" s="22">
        <v>72612</v>
      </c>
      <c r="L86" s="22">
        <v>72612</v>
      </c>
      <c r="M86" s="22"/>
      <c r="N86" s="22"/>
      <c r="O86" s="22">
        <v>0</v>
      </c>
      <c r="P86" s="78"/>
      <c r="Q86" s="22">
        <f>SUM(R86:S86)</f>
        <v>0</v>
      </c>
      <c r="R86" s="22"/>
      <c r="S86" s="22"/>
      <c r="T86" s="22"/>
      <c r="U86" s="70"/>
      <c r="V86" s="551"/>
      <c r="W86" s="551"/>
      <c r="X86" s="551"/>
      <c r="Y86" s="551"/>
      <c r="Z86" s="551"/>
      <c r="AA86" s="551"/>
      <c r="AC86" s="57"/>
      <c r="AD86" s="57"/>
      <c r="AE86" s="57"/>
      <c r="AF86" s="57"/>
      <c r="AG86" s="57"/>
      <c r="AH86" s="57"/>
    </row>
    <row r="87" spans="1:34" s="54" customFormat="1" ht="45">
      <c r="A87" s="97" t="s">
        <v>41</v>
      </c>
      <c r="B87" s="289" t="s">
        <v>931</v>
      </c>
      <c r="C87" s="19" t="s">
        <v>260</v>
      </c>
      <c r="D87" s="19" t="s">
        <v>918</v>
      </c>
      <c r="E87" s="635" t="s">
        <v>932</v>
      </c>
      <c r="F87" s="101" t="s">
        <v>933</v>
      </c>
      <c r="G87" s="22">
        <v>61401</v>
      </c>
      <c r="H87" s="22">
        <f>+G87-49021</f>
        <v>12380</v>
      </c>
      <c r="I87" s="22">
        <f>54966+1367</f>
        <v>56333</v>
      </c>
      <c r="J87" s="22">
        <f>7749+1367</f>
        <v>9116</v>
      </c>
      <c r="K87" s="22">
        <v>1367</v>
      </c>
      <c r="L87" s="22">
        <v>1367</v>
      </c>
      <c r="M87" s="22">
        <v>0</v>
      </c>
      <c r="N87" s="22">
        <v>0</v>
      </c>
      <c r="O87" s="22">
        <v>0</v>
      </c>
      <c r="P87" s="78"/>
      <c r="Q87" s="22">
        <f>SUM(R87:S87)</f>
        <v>0</v>
      </c>
      <c r="R87" s="22"/>
      <c r="S87" s="22"/>
      <c r="T87" s="22"/>
      <c r="U87" s="70"/>
      <c r="V87" s="551"/>
      <c r="W87" s="551"/>
      <c r="X87" s="551"/>
      <c r="Y87" s="551"/>
      <c r="Z87" s="551"/>
      <c r="AA87" s="551"/>
      <c r="AC87" s="57"/>
      <c r="AD87" s="57"/>
      <c r="AE87" s="57"/>
      <c r="AF87" s="57"/>
      <c r="AG87" s="57"/>
      <c r="AH87" s="57"/>
    </row>
    <row r="88" spans="1:34" s="54" customFormat="1" ht="18.75">
      <c r="A88" s="26" t="s">
        <v>273</v>
      </c>
      <c r="B88" s="88" t="s">
        <v>48</v>
      </c>
      <c r="C88" s="28"/>
      <c r="D88" s="28"/>
      <c r="E88" s="28"/>
      <c r="F88" s="28"/>
      <c r="G88" s="30">
        <f t="shared" ref="G88:S88" si="18">SUM(G89:G95)</f>
        <v>38494.199000000001</v>
      </c>
      <c r="H88" s="30">
        <f t="shared" si="18"/>
        <v>38494.199000000001</v>
      </c>
      <c r="I88" s="30">
        <f t="shared" si="18"/>
        <v>33918</v>
      </c>
      <c r="J88" s="30">
        <f t="shared" si="18"/>
        <v>33918</v>
      </c>
      <c r="K88" s="30">
        <f t="shared" si="18"/>
        <v>20574.199000000001</v>
      </c>
      <c r="L88" s="30">
        <f t="shared" si="18"/>
        <v>20574.199000000001</v>
      </c>
      <c r="M88" s="30">
        <f t="shared" si="18"/>
        <v>0</v>
      </c>
      <c r="N88" s="30">
        <f t="shared" si="18"/>
        <v>0</v>
      </c>
      <c r="O88" s="30">
        <f t="shared" si="18"/>
        <v>0</v>
      </c>
      <c r="P88" s="30">
        <f t="shared" si="18"/>
        <v>0</v>
      </c>
      <c r="Q88" s="30">
        <f t="shared" si="18"/>
        <v>0</v>
      </c>
      <c r="R88" s="30">
        <f t="shared" si="18"/>
        <v>0</v>
      </c>
      <c r="S88" s="30">
        <f t="shared" si="18"/>
        <v>0</v>
      </c>
      <c r="T88" s="30"/>
      <c r="U88" s="581"/>
      <c r="V88" s="551"/>
      <c r="W88" s="551"/>
      <c r="X88" s="551"/>
      <c r="Y88" s="551"/>
      <c r="Z88" s="551"/>
      <c r="AA88" s="551"/>
      <c r="AC88" s="57"/>
      <c r="AD88" s="57"/>
      <c r="AE88" s="57"/>
      <c r="AF88" s="57"/>
      <c r="AG88" s="57"/>
      <c r="AH88" s="57"/>
    </row>
    <row r="89" spans="1:34" s="54" customFormat="1" ht="45">
      <c r="A89" s="97" t="s">
        <v>27</v>
      </c>
      <c r="B89" s="289" t="s">
        <v>934</v>
      </c>
      <c r="C89" s="19" t="s">
        <v>71</v>
      </c>
      <c r="D89" s="19" t="s">
        <v>935</v>
      </c>
      <c r="E89" s="635" t="s">
        <v>82</v>
      </c>
      <c r="F89" s="101" t="s">
        <v>936</v>
      </c>
      <c r="G89" s="22">
        <v>5545</v>
      </c>
      <c r="H89" s="22">
        <v>5545</v>
      </c>
      <c r="I89" s="22">
        <v>5105</v>
      </c>
      <c r="J89" s="22">
        <f>3805+1300</f>
        <v>5105</v>
      </c>
      <c r="K89" s="22">
        <f>+L89</f>
        <v>1300</v>
      </c>
      <c r="L89" s="22">
        <v>1300</v>
      </c>
      <c r="M89" s="22"/>
      <c r="N89" s="22"/>
      <c r="O89" s="22"/>
      <c r="P89" s="78"/>
      <c r="Q89" s="22"/>
      <c r="R89" s="22"/>
      <c r="S89" s="22"/>
      <c r="T89" s="22"/>
      <c r="U89" s="70"/>
      <c r="V89" s="551"/>
      <c r="W89" s="551"/>
      <c r="X89" s="551"/>
      <c r="Y89" s="551"/>
      <c r="Z89" s="551"/>
      <c r="AA89" s="551"/>
      <c r="AC89" s="57"/>
      <c r="AD89" s="57"/>
      <c r="AE89" s="57"/>
      <c r="AF89" s="57"/>
      <c r="AG89" s="57"/>
      <c r="AH89" s="57"/>
    </row>
    <row r="90" spans="1:34" s="54" customFormat="1" ht="45">
      <c r="A90" s="97" t="s">
        <v>41</v>
      </c>
      <c r="B90" s="289" t="s">
        <v>937</v>
      </c>
      <c r="C90" s="19" t="s">
        <v>112</v>
      </c>
      <c r="D90" s="19" t="s">
        <v>938</v>
      </c>
      <c r="E90" s="635" t="s">
        <v>114</v>
      </c>
      <c r="F90" s="101" t="s">
        <v>939</v>
      </c>
      <c r="G90" s="22">
        <v>5928.1989999999996</v>
      </c>
      <c r="H90" s="22">
        <v>5928.1989999999996</v>
      </c>
      <c r="I90" s="22">
        <v>4705</v>
      </c>
      <c r="J90" s="22">
        <f>1735+2970</f>
        <v>4705</v>
      </c>
      <c r="K90" s="22">
        <f>+L90</f>
        <v>4193.1989999999996</v>
      </c>
      <c r="L90" s="22">
        <f>H90-1735</f>
        <v>4193.1989999999996</v>
      </c>
      <c r="M90" s="22"/>
      <c r="N90" s="22"/>
      <c r="O90" s="22"/>
      <c r="P90" s="78"/>
      <c r="Q90" s="22"/>
      <c r="R90" s="22"/>
      <c r="S90" s="22"/>
      <c r="T90" s="22"/>
      <c r="U90" s="70"/>
      <c r="V90" s="551"/>
      <c r="W90" s="551"/>
      <c r="X90" s="551"/>
      <c r="Y90" s="551"/>
      <c r="Z90" s="551"/>
      <c r="AA90" s="551"/>
      <c r="AC90" s="57"/>
      <c r="AD90" s="57"/>
      <c r="AE90" s="57"/>
      <c r="AF90" s="57"/>
      <c r="AG90" s="57"/>
      <c r="AH90" s="57"/>
    </row>
    <row r="91" spans="1:34" s="54" customFormat="1" ht="45">
      <c r="A91" s="97" t="s">
        <v>58</v>
      </c>
      <c r="B91" s="289" t="s">
        <v>940</v>
      </c>
      <c r="C91" s="19" t="s">
        <v>54</v>
      </c>
      <c r="D91" s="19" t="s">
        <v>941</v>
      </c>
      <c r="E91" s="635" t="s">
        <v>114</v>
      </c>
      <c r="F91" s="101" t="s">
        <v>942</v>
      </c>
      <c r="G91" s="22">
        <v>5916</v>
      </c>
      <c r="H91" s="22">
        <v>5916</v>
      </c>
      <c r="I91" s="22">
        <f>1265+3761</f>
        <v>5026</v>
      </c>
      <c r="J91" s="22">
        <f>1265+3761</f>
        <v>5026</v>
      </c>
      <c r="K91" s="22">
        <v>4651</v>
      </c>
      <c r="L91" s="22">
        <f>H91-1265</f>
        <v>4651</v>
      </c>
      <c r="M91" s="22"/>
      <c r="N91" s="22"/>
      <c r="O91" s="22"/>
      <c r="P91" s="78"/>
      <c r="Q91" s="22"/>
      <c r="R91" s="22"/>
      <c r="S91" s="22"/>
      <c r="T91" s="22"/>
      <c r="U91" s="70"/>
      <c r="V91" s="551"/>
      <c r="W91" s="551"/>
      <c r="X91" s="551"/>
      <c r="Y91" s="551"/>
      <c r="Z91" s="551"/>
      <c r="AA91" s="551"/>
      <c r="AC91" s="57"/>
      <c r="AD91" s="57"/>
      <c r="AE91" s="57"/>
      <c r="AF91" s="57"/>
      <c r="AG91" s="57"/>
      <c r="AH91" s="57"/>
    </row>
    <row r="92" spans="1:34" s="54" customFormat="1" ht="45">
      <c r="A92" s="97" t="s">
        <v>64</v>
      </c>
      <c r="B92" s="289" t="s">
        <v>943</v>
      </c>
      <c r="C92" s="19" t="s">
        <v>54</v>
      </c>
      <c r="D92" s="19" t="s">
        <v>941</v>
      </c>
      <c r="E92" s="635" t="s">
        <v>114</v>
      </c>
      <c r="F92" s="101" t="s">
        <v>944</v>
      </c>
      <c r="G92" s="22">
        <v>5177</v>
      </c>
      <c r="H92" s="22">
        <v>5177</v>
      </c>
      <c r="I92" s="22">
        <f>2878+2092</f>
        <v>4970</v>
      </c>
      <c r="J92" s="22">
        <f>2878+2092</f>
        <v>4970</v>
      </c>
      <c r="K92" s="22">
        <f>5177-2878</f>
        <v>2299</v>
      </c>
      <c r="L92" s="22">
        <f>H92-2878</f>
        <v>2299</v>
      </c>
      <c r="M92" s="22"/>
      <c r="N92" s="22"/>
      <c r="O92" s="22"/>
      <c r="P92" s="78"/>
      <c r="Q92" s="22"/>
      <c r="R92" s="22"/>
      <c r="S92" s="22"/>
      <c r="T92" s="22"/>
      <c r="U92" s="70"/>
      <c r="V92" s="551"/>
      <c r="W92" s="551"/>
      <c r="X92" s="551"/>
      <c r="Y92" s="551"/>
      <c r="Z92" s="551"/>
      <c r="AA92" s="551"/>
      <c r="AC92" s="57"/>
      <c r="AD92" s="57"/>
      <c r="AE92" s="57"/>
      <c r="AF92" s="57"/>
      <c r="AG92" s="57"/>
      <c r="AH92" s="57"/>
    </row>
    <row r="93" spans="1:34" s="54" customFormat="1" ht="45">
      <c r="A93" s="97" t="s">
        <v>69</v>
      </c>
      <c r="B93" s="68" t="s">
        <v>945</v>
      </c>
      <c r="C93" s="19" t="s">
        <v>5</v>
      </c>
      <c r="D93" s="19" t="s">
        <v>946</v>
      </c>
      <c r="E93" s="19" t="s">
        <v>30</v>
      </c>
      <c r="F93" s="19" t="s">
        <v>947</v>
      </c>
      <c r="G93" s="23">
        <v>4158</v>
      </c>
      <c r="H93" s="23">
        <v>4158</v>
      </c>
      <c r="I93" s="23">
        <v>3760</v>
      </c>
      <c r="J93" s="23">
        <f>160+3600</f>
        <v>3760</v>
      </c>
      <c r="K93" s="23">
        <v>3998</v>
      </c>
      <c r="L93" s="23">
        <f>H93-160</f>
        <v>3998</v>
      </c>
      <c r="M93" s="23"/>
      <c r="N93" s="23"/>
      <c r="O93" s="23"/>
      <c r="P93" s="78"/>
      <c r="Q93" s="23"/>
      <c r="R93" s="23"/>
      <c r="S93" s="23"/>
      <c r="T93" s="23"/>
      <c r="U93" s="70"/>
      <c r="V93" s="551"/>
      <c r="W93" s="551"/>
      <c r="X93" s="551"/>
      <c r="Y93" s="551"/>
      <c r="Z93" s="551"/>
      <c r="AA93" s="551"/>
      <c r="AC93" s="57"/>
      <c r="AD93" s="57"/>
      <c r="AE93" s="57"/>
      <c r="AF93" s="57"/>
      <c r="AG93" s="57"/>
      <c r="AH93" s="57"/>
    </row>
    <row r="94" spans="1:34" s="54" customFormat="1" ht="45">
      <c r="A94" s="97" t="s">
        <v>74</v>
      </c>
      <c r="B94" s="289" t="s">
        <v>948</v>
      </c>
      <c r="C94" s="19" t="s">
        <v>143</v>
      </c>
      <c r="D94" s="19" t="s">
        <v>941</v>
      </c>
      <c r="E94" s="635" t="s">
        <v>114</v>
      </c>
      <c r="F94" s="101" t="s">
        <v>949</v>
      </c>
      <c r="G94" s="22">
        <v>6499</v>
      </c>
      <c r="H94" s="22">
        <v>6499</v>
      </c>
      <c r="I94" s="22">
        <f>4541+1400</f>
        <v>5941</v>
      </c>
      <c r="J94" s="22">
        <f>4541+1400</f>
        <v>5941</v>
      </c>
      <c r="K94" s="22">
        <f>6499-4541</f>
        <v>1958</v>
      </c>
      <c r="L94" s="22">
        <f>H94-4541</f>
        <v>1958</v>
      </c>
      <c r="M94" s="22"/>
      <c r="N94" s="22"/>
      <c r="O94" s="22"/>
      <c r="P94" s="78"/>
      <c r="Q94" s="22"/>
      <c r="R94" s="22"/>
      <c r="S94" s="22"/>
      <c r="T94" s="22"/>
      <c r="U94" s="70"/>
      <c r="V94" s="551"/>
      <c r="W94" s="551"/>
      <c r="X94" s="551"/>
      <c r="Y94" s="551"/>
      <c r="Z94" s="551"/>
      <c r="AA94" s="551"/>
      <c r="AC94" s="57"/>
      <c r="AD94" s="57"/>
      <c r="AE94" s="57"/>
      <c r="AF94" s="57"/>
      <c r="AG94" s="57"/>
      <c r="AH94" s="57"/>
    </row>
    <row r="95" spans="1:34" s="54" customFormat="1" ht="45">
      <c r="A95" s="97" t="s">
        <v>141</v>
      </c>
      <c r="B95" s="289" t="s">
        <v>950</v>
      </c>
      <c r="C95" s="19" t="s">
        <v>173</v>
      </c>
      <c r="D95" s="19" t="s">
        <v>941</v>
      </c>
      <c r="E95" s="635" t="s">
        <v>114</v>
      </c>
      <c r="F95" s="101" t="s">
        <v>951</v>
      </c>
      <c r="G95" s="22">
        <v>5271</v>
      </c>
      <c r="H95" s="22">
        <v>5271</v>
      </c>
      <c r="I95" s="22">
        <f>3096+1315</f>
        <v>4411</v>
      </c>
      <c r="J95" s="22">
        <f>3096+1315</f>
        <v>4411</v>
      </c>
      <c r="K95" s="22">
        <f>5271-3096</f>
        <v>2175</v>
      </c>
      <c r="L95" s="22">
        <f>H95-3096</f>
        <v>2175</v>
      </c>
      <c r="M95" s="22"/>
      <c r="N95" s="22"/>
      <c r="O95" s="22"/>
      <c r="P95" s="78"/>
      <c r="Q95" s="22"/>
      <c r="R95" s="22"/>
      <c r="S95" s="22"/>
      <c r="T95" s="22"/>
      <c r="U95" s="70"/>
      <c r="V95" s="551"/>
      <c r="W95" s="551"/>
      <c r="X95" s="551"/>
      <c r="Y95" s="551"/>
      <c r="Z95" s="551"/>
      <c r="AA95" s="551"/>
      <c r="AC95" s="57"/>
      <c r="AD95" s="57"/>
      <c r="AE95" s="57"/>
      <c r="AF95" s="57"/>
      <c r="AG95" s="57"/>
      <c r="AH95" s="57"/>
    </row>
    <row r="97" spans="1:37" s="54" customFormat="1" ht="45">
      <c r="A97" s="97" t="s">
        <v>41</v>
      </c>
      <c r="B97" s="68" t="s">
        <v>599</v>
      </c>
      <c r="C97" s="94" t="s">
        <v>173</v>
      </c>
      <c r="D97" s="19" t="s">
        <v>600</v>
      </c>
      <c r="E97" s="19" t="s">
        <v>114</v>
      </c>
      <c r="F97" s="19" t="s">
        <v>601</v>
      </c>
      <c r="G97" s="23">
        <v>7735</v>
      </c>
      <c r="H97" s="23">
        <v>3674</v>
      </c>
      <c r="I97" s="175">
        <v>3670</v>
      </c>
      <c r="J97" s="23">
        <v>3670</v>
      </c>
      <c r="K97" s="23">
        <v>1060</v>
      </c>
      <c r="L97" s="23">
        <v>1060</v>
      </c>
      <c r="M97" s="23"/>
      <c r="N97" s="175">
        <v>0</v>
      </c>
      <c r="O97" s="175">
        <v>0</v>
      </c>
      <c r="P97" s="78"/>
      <c r="Q97" s="175">
        <f>SUM(R97:S97)</f>
        <v>0</v>
      </c>
      <c r="R97" s="175"/>
      <c r="S97" s="175"/>
      <c r="T97" s="175"/>
      <c r="U97" s="70"/>
      <c r="V97" s="551"/>
      <c r="W97" s="551"/>
      <c r="X97" s="551"/>
      <c r="Y97" s="551"/>
      <c r="Z97" s="551"/>
      <c r="AA97" s="551"/>
      <c r="AC97" s="57"/>
      <c r="AD97" s="57"/>
      <c r="AE97" s="57"/>
      <c r="AF97" s="57"/>
      <c r="AG97" s="57"/>
      <c r="AH97" s="57"/>
    </row>
    <row r="98" spans="1:37" s="54" customFormat="1" ht="45">
      <c r="A98" s="97" t="s">
        <v>58</v>
      </c>
      <c r="B98" s="68" t="s">
        <v>602</v>
      </c>
      <c r="C98" s="94" t="s">
        <v>173</v>
      </c>
      <c r="D98" s="19" t="s">
        <v>603</v>
      </c>
      <c r="E98" s="19" t="s">
        <v>114</v>
      </c>
      <c r="F98" s="19" t="s">
        <v>604</v>
      </c>
      <c r="G98" s="23">
        <v>7981</v>
      </c>
      <c r="H98" s="23">
        <v>3739</v>
      </c>
      <c r="I98" s="175">
        <v>3739</v>
      </c>
      <c r="J98" s="23">
        <v>3739</v>
      </c>
      <c r="K98" s="23">
        <v>1039</v>
      </c>
      <c r="L98" s="23">
        <v>1039</v>
      </c>
      <c r="M98" s="23"/>
      <c r="N98" s="175">
        <v>0</v>
      </c>
      <c r="O98" s="175">
        <v>0</v>
      </c>
      <c r="P98" s="78"/>
      <c r="Q98" s="175">
        <f>SUM(R98:S98)</f>
        <v>0</v>
      </c>
      <c r="R98" s="175"/>
      <c r="S98" s="175"/>
      <c r="T98" s="175"/>
      <c r="U98" s="70"/>
      <c r="V98" s="551"/>
      <c r="W98" s="551"/>
      <c r="X98" s="551"/>
      <c r="Y98" s="551"/>
      <c r="Z98" s="551"/>
      <c r="AA98" s="551"/>
      <c r="AC98" s="57"/>
      <c r="AD98" s="57"/>
      <c r="AE98" s="57"/>
      <c r="AF98" s="57"/>
      <c r="AG98" s="57"/>
      <c r="AH98" s="57"/>
    </row>
    <row r="99" spans="1:37" s="54" customFormat="1" ht="105">
      <c r="A99" s="97" t="s">
        <v>64</v>
      </c>
      <c r="B99" s="68" t="s">
        <v>605</v>
      </c>
      <c r="C99" s="94" t="s">
        <v>5</v>
      </c>
      <c r="D99" s="19" t="s">
        <v>606</v>
      </c>
      <c r="E99" s="19" t="s">
        <v>30</v>
      </c>
      <c r="F99" s="19" t="s">
        <v>607</v>
      </c>
      <c r="G99" s="23">
        <v>10759</v>
      </c>
      <c r="H99" s="23">
        <v>4719</v>
      </c>
      <c r="I99" s="175">
        <v>4719</v>
      </c>
      <c r="J99" s="23">
        <v>4719</v>
      </c>
      <c r="K99" s="23">
        <f>G99-G99*10%</f>
        <v>9683.1</v>
      </c>
      <c r="L99" s="23">
        <v>4719</v>
      </c>
      <c r="M99" s="23"/>
      <c r="N99" s="175">
        <v>0</v>
      </c>
      <c r="O99" s="175">
        <v>0</v>
      </c>
      <c r="P99" s="78"/>
      <c r="Q99" s="175">
        <f>SUM(R99:S99)</f>
        <v>0</v>
      </c>
      <c r="R99" s="175"/>
      <c r="S99" s="175"/>
      <c r="T99" s="175"/>
      <c r="U99" s="70"/>
      <c r="V99" s="551"/>
      <c r="W99" s="551"/>
      <c r="X99" s="551"/>
      <c r="Y99" s="551"/>
      <c r="Z99" s="551"/>
      <c r="AA99" s="551"/>
      <c r="AC99" s="57"/>
      <c r="AD99" s="57"/>
      <c r="AE99" s="57"/>
      <c r="AF99" s="57"/>
      <c r="AG99" s="57"/>
      <c r="AH99" s="57"/>
    </row>
    <row r="100" spans="1:37" s="54" customFormat="1" ht="90">
      <c r="A100" s="97" t="s">
        <v>69</v>
      </c>
      <c r="B100" s="68" t="s">
        <v>608</v>
      </c>
      <c r="C100" s="94" t="s">
        <v>29</v>
      </c>
      <c r="D100" s="19" t="s">
        <v>609</v>
      </c>
      <c r="E100" s="19" t="s">
        <v>166</v>
      </c>
      <c r="F100" s="19" t="s">
        <v>610</v>
      </c>
      <c r="G100" s="23">
        <v>899</v>
      </c>
      <c r="H100" s="23">
        <v>542</v>
      </c>
      <c r="I100" s="175">
        <v>800</v>
      </c>
      <c r="J100" s="175">
        <v>500</v>
      </c>
      <c r="K100" s="175">
        <v>800</v>
      </c>
      <c r="L100" s="175">
        <v>500</v>
      </c>
      <c r="M100" s="23"/>
      <c r="N100" s="175">
        <v>0</v>
      </c>
      <c r="O100" s="175">
        <v>0</v>
      </c>
      <c r="P100" s="78"/>
      <c r="Q100" s="175">
        <f>SUM(R100:S100)</f>
        <v>0</v>
      </c>
      <c r="R100" s="175"/>
      <c r="S100" s="175"/>
      <c r="T100" s="175"/>
      <c r="U100" s="70" t="s">
        <v>1080</v>
      </c>
      <c r="V100" s="551"/>
      <c r="W100" s="551"/>
      <c r="X100" s="551"/>
      <c r="Y100" s="551"/>
      <c r="Z100" s="551"/>
      <c r="AA100" s="551"/>
      <c r="AC100" s="57"/>
      <c r="AD100" s="57"/>
      <c r="AE100" s="57"/>
      <c r="AF100" s="57"/>
      <c r="AG100" s="57"/>
      <c r="AH100" s="57"/>
    </row>
    <row r="101" spans="1:37" s="54" customFormat="1" ht="18.75">
      <c r="A101" s="97"/>
      <c r="B101" s="68"/>
      <c r="C101" s="94"/>
      <c r="D101" s="19"/>
      <c r="E101" s="19"/>
      <c r="F101" s="19"/>
      <c r="G101" s="23"/>
      <c r="H101" s="23"/>
      <c r="I101" s="175"/>
      <c r="J101" s="175"/>
      <c r="K101" s="175"/>
      <c r="L101" s="175"/>
      <c r="M101" s="23"/>
      <c r="N101" s="175"/>
      <c r="O101" s="175"/>
      <c r="P101" s="78"/>
      <c r="Q101" s="175"/>
      <c r="R101" s="175"/>
      <c r="S101" s="175"/>
      <c r="T101" s="175"/>
      <c r="U101" s="70"/>
      <c r="V101" s="551"/>
      <c r="W101" s="551"/>
      <c r="X101" s="551"/>
      <c r="Y101" s="551"/>
      <c r="Z101" s="551"/>
      <c r="AA101" s="551"/>
      <c r="AC101" s="57"/>
      <c r="AD101" s="57"/>
      <c r="AE101" s="57"/>
      <c r="AF101" s="57"/>
      <c r="AG101" s="57"/>
      <c r="AH101" s="57"/>
    </row>
    <row r="102" spans="1:37" s="54" customFormat="1" ht="75">
      <c r="A102" s="190" t="s">
        <v>591</v>
      </c>
      <c r="B102" s="288" t="s">
        <v>914</v>
      </c>
      <c r="C102" s="19" t="s">
        <v>60</v>
      </c>
      <c r="D102" s="19" t="s">
        <v>915</v>
      </c>
      <c r="E102" s="19" t="s">
        <v>154</v>
      </c>
      <c r="F102" s="706"/>
      <c r="G102" s="72">
        <v>8817</v>
      </c>
      <c r="H102" s="72">
        <v>8817</v>
      </c>
      <c r="I102" s="72"/>
      <c r="J102" s="72"/>
      <c r="K102" s="72">
        <v>8817</v>
      </c>
      <c r="L102" s="72">
        <v>8817</v>
      </c>
      <c r="M102" s="72"/>
      <c r="N102" s="72">
        <v>200</v>
      </c>
      <c r="O102" s="72">
        <v>200</v>
      </c>
      <c r="P102" s="78"/>
      <c r="Q102" s="72">
        <f>SUM(R102:S102)</f>
        <v>200</v>
      </c>
      <c r="R102" s="72">
        <v>200</v>
      </c>
      <c r="S102" s="72"/>
      <c r="T102" s="73">
        <f>SUM(U102:V102)</f>
        <v>200</v>
      </c>
      <c r="U102" s="72"/>
      <c r="V102" s="72">
        <v>200</v>
      </c>
      <c r="W102" s="72"/>
      <c r="X102" s="644" t="s">
        <v>1112</v>
      </c>
      <c r="Y102" s="657"/>
      <c r="Z102" s="551"/>
      <c r="AA102" s="551"/>
      <c r="AB102" s="551"/>
      <c r="AC102" s="551"/>
      <c r="AD102" s="551"/>
      <c r="AF102" s="57"/>
      <c r="AG102" s="57"/>
      <c r="AH102" s="57"/>
      <c r="AI102" s="57"/>
      <c r="AJ102" s="57"/>
      <c r="AK102" s="57"/>
    </row>
    <row r="104" spans="1:37" s="54" customFormat="1" ht="18.75">
      <c r="A104" s="64" t="s">
        <v>32</v>
      </c>
      <c r="B104" s="197" t="s">
        <v>678</v>
      </c>
      <c r="C104" s="635"/>
      <c r="D104" s="635"/>
      <c r="E104" s="635"/>
      <c r="F104" s="635"/>
      <c r="G104" s="45">
        <f t="shared" ref="G104:S104" si="19">G105</f>
        <v>51972</v>
      </c>
      <c r="H104" s="45">
        <f t="shared" si="19"/>
        <v>26944</v>
      </c>
      <c r="I104" s="45">
        <f t="shared" si="19"/>
        <v>36056</v>
      </c>
      <c r="J104" s="45">
        <f t="shared" si="19"/>
        <v>16669</v>
      </c>
      <c r="K104" s="45">
        <f t="shared" si="19"/>
        <v>19095</v>
      </c>
      <c r="L104" s="45">
        <f t="shared" si="19"/>
        <v>14009</v>
      </c>
      <c r="M104" s="45">
        <f t="shared" si="19"/>
        <v>0</v>
      </c>
      <c r="N104" s="45">
        <f t="shared" si="19"/>
        <v>12862</v>
      </c>
      <c r="O104" s="45">
        <f t="shared" si="19"/>
        <v>3000</v>
      </c>
      <c r="P104" s="45">
        <f t="shared" si="19"/>
        <v>0</v>
      </c>
      <c r="Q104" s="45">
        <f t="shared" si="19"/>
        <v>0</v>
      </c>
      <c r="R104" s="45">
        <f t="shared" si="19"/>
        <v>0</v>
      </c>
      <c r="S104" s="45">
        <f t="shared" si="19"/>
        <v>0</v>
      </c>
      <c r="T104" s="45"/>
      <c r="U104" s="584"/>
      <c r="V104" s="551"/>
      <c r="W104" s="551"/>
      <c r="X104" s="551"/>
      <c r="Y104" s="551"/>
      <c r="Z104" s="551"/>
      <c r="AA104" s="551"/>
      <c r="AC104" s="57"/>
      <c r="AD104" s="57"/>
      <c r="AE104" s="57"/>
      <c r="AF104" s="57"/>
      <c r="AG104" s="57"/>
      <c r="AH104" s="57"/>
    </row>
    <row r="105" spans="1:37" s="54" customFormat="1" ht="18.75">
      <c r="A105" s="26" t="s">
        <v>34</v>
      </c>
      <c r="B105" s="88" t="s">
        <v>48</v>
      </c>
      <c r="C105" s="135"/>
      <c r="D105" s="135"/>
      <c r="E105" s="135"/>
      <c r="F105" s="135"/>
      <c r="G105" s="108">
        <f t="shared" ref="G105:S105" si="20">SUM(G106:G108)</f>
        <v>51972</v>
      </c>
      <c r="H105" s="108">
        <f t="shared" si="20"/>
        <v>26944</v>
      </c>
      <c r="I105" s="108">
        <f t="shared" si="20"/>
        <v>36056</v>
      </c>
      <c r="J105" s="108">
        <f t="shared" si="20"/>
        <v>16669</v>
      </c>
      <c r="K105" s="108">
        <f t="shared" si="20"/>
        <v>19095</v>
      </c>
      <c r="L105" s="108">
        <f t="shared" si="20"/>
        <v>14009</v>
      </c>
      <c r="M105" s="108">
        <f t="shared" si="20"/>
        <v>0</v>
      </c>
      <c r="N105" s="108">
        <f t="shared" si="20"/>
        <v>12862</v>
      </c>
      <c r="O105" s="108">
        <f t="shared" si="20"/>
        <v>3000</v>
      </c>
      <c r="P105" s="108">
        <f t="shared" si="20"/>
        <v>0</v>
      </c>
      <c r="Q105" s="108">
        <f t="shared" si="20"/>
        <v>0</v>
      </c>
      <c r="R105" s="108">
        <f t="shared" si="20"/>
        <v>0</v>
      </c>
      <c r="S105" s="108">
        <f t="shared" si="20"/>
        <v>0</v>
      </c>
      <c r="T105" s="108"/>
      <c r="U105" s="574"/>
      <c r="V105" s="551"/>
      <c r="W105" s="551"/>
      <c r="X105" s="551"/>
      <c r="Y105" s="551"/>
      <c r="Z105" s="551"/>
      <c r="AA105" s="551"/>
      <c r="AC105" s="57"/>
      <c r="AD105" s="57"/>
      <c r="AE105" s="57"/>
      <c r="AF105" s="57"/>
      <c r="AG105" s="57"/>
      <c r="AH105" s="57"/>
    </row>
    <row r="106" spans="1:37" s="54" customFormat="1" ht="45">
      <c r="A106" s="78">
        <v>1</v>
      </c>
      <c r="B106" s="68" t="s">
        <v>679</v>
      </c>
      <c r="C106" s="94" t="s">
        <v>43</v>
      </c>
      <c r="D106" s="101" t="s">
        <v>680</v>
      </c>
      <c r="E106" s="101" t="s">
        <v>82</v>
      </c>
      <c r="F106" s="101" t="s">
        <v>681</v>
      </c>
      <c r="G106" s="175">
        <v>45500</v>
      </c>
      <c r="H106" s="175">
        <v>20472</v>
      </c>
      <c r="I106" s="23">
        <f>24953+4000+1138</f>
        <v>30091</v>
      </c>
      <c r="J106" s="23">
        <f>9566+1138</f>
        <v>10704</v>
      </c>
      <c r="K106" s="23">
        <v>14000</v>
      </c>
      <c r="L106" s="23">
        <f>H106-9566-1992</f>
        <v>8914</v>
      </c>
      <c r="M106" s="23"/>
      <c r="N106" s="23">
        <v>12862</v>
      </c>
      <c r="O106" s="23">
        <v>3000</v>
      </c>
      <c r="P106" s="78"/>
      <c r="Q106" s="23">
        <f>SUM(R106:S106)</f>
        <v>0</v>
      </c>
      <c r="R106" s="23"/>
      <c r="S106" s="23"/>
      <c r="T106" s="23"/>
      <c r="U106" s="70"/>
      <c r="V106" s="551"/>
      <c r="W106" s="551"/>
      <c r="X106" s="551"/>
      <c r="Y106" s="551"/>
      <c r="Z106" s="551"/>
      <c r="AA106" s="551"/>
      <c r="AC106" s="57"/>
      <c r="AD106" s="57"/>
      <c r="AE106" s="57"/>
      <c r="AF106" s="57"/>
      <c r="AG106" s="57"/>
      <c r="AH106" s="57"/>
    </row>
    <row r="107" spans="1:37" s="54" customFormat="1" ht="60">
      <c r="A107" s="78">
        <v>2</v>
      </c>
      <c r="B107" s="68" t="s">
        <v>682</v>
      </c>
      <c r="C107" s="94" t="s">
        <v>29</v>
      </c>
      <c r="D107" s="101" t="s">
        <v>683</v>
      </c>
      <c r="E107" s="101" t="s">
        <v>82</v>
      </c>
      <c r="F107" s="101" t="s">
        <v>684</v>
      </c>
      <c r="G107" s="175">
        <v>2289</v>
      </c>
      <c r="H107" s="175">
        <v>2289</v>
      </c>
      <c r="I107" s="23">
        <f>870+1264</f>
        <v>2134</v>
      </c>
      <c r="J107" s="23">
        <f>870+1264</f>
        <v>2134</v>
      </c>
      <c r="K107" s="23">
        <v>1264</v>
      </c>
      <c r="L107" s="23">
        <v>1264</v>
      </c>
      <c r="M107" s="23"/>
      <c r="N107" s="175">
        <v>0</v>
      </c>
      <c r="O107" s="23">
        <v>0</v>
      </c>
      <c r="P107" s="78"/>
      <c r="Q107" s="23">
        <f>SUM(R107:S107)</f>
        <v>0</v>
      </c>
      <c r="R107" s="175"/>
      <c r="S107" s="175">
        <v>0</v>
      </c>
      <c r="T107" s="175"/>
      <c r="U107" s="70"/>
      <c r="V107" s="551"/>
      <c r="W107" s="551"/>
      <c r="X107" s="551"/>
      <c r="Y107" s="551"/>
      <c r="Z107" s="551"/>
      <c r="AA107" s="551"/>
      <c r="AC107" s="57"/>
      <c r="AD107" s="57"/>
      <c r="AE107" s="57"/>
      <c r="AF107" s="57"/>
      <c r="AG107" s="57"/>
      <c r="AH107" s="57"/>
    </row>
    <row r="108" spans="1:37" s="54" customFormat="1" ht="60">
      <c r="A108" s="78">
        <v>3</v>
      </c>
      <c r="B108" s="68" t="s">
        <v>685</v>
      </c>
      <c r="C108" s="94" t="s">
        <v>143</v>
      </c>
      <c r="D108" s="101" t="s">
        <v>686</v>
      </c>
      <c r="E108" s="101" t="s">
        <v>30</v>
      </c>
      <c r="F108" s="101" t="s">
        <v>687</v>
      </c>
      <c r="G108" s="175">
        <v>4183</v>
      </c>
      <c r="H108" s="175">
        <v>4183</v>
      </c>
      <c r="I108" s="23">
        <v>3831</v>
      </c>
      <c r="J108" s="23">
        <v>3831</v>
      </c>
      <c r="K108" s="23">
        <f>+L108</f>
        <v>3831</v>
      </c>
      <c r="L108" s="23">
        <v>3831</v>
      </c>
      <c r="M108" s="23"/>
      <c r="N108" s="175">
        <v>0</v>
      </c>
      <c r="O108" s="23">
        <v>0</v>
      </c>
      <c r="P108" s="78"/>
      <c r="Q108" s="23">
        <f>SUM(R108:S108)</f>
        <v>0</v>
      </c>
      <c r="R108" s="175"/>
      <c r="S108" s="175">
        <v>0</v>
      </c>
      <c r="T108" s="175"/>
      <c r="U108" s="70"/>
      <c r="V108" s="551"/>
      <c r="W108" s="551"/>
      <c r="X108" s="551"/>
      <c r="Y108" s="551"/>
      <c r="Z108" s="551"/>
      <c r="AA108" s="551"/>
      <c r="AC108" s="57"/>
      <c r="AD108" s="57"/>
      <c r="AE108" s="57"/>
      <c r="AF108" s="57"/>
      <c r="AG108" s="57"/>
      <c r="AH108" s="57"/>
    </row>
    <row r="111" spans="1:37" s="25" customFormat="1" ht="90">
      <c r="A111" s="17" t="s">
        <v>41</v>
      </c>
      <c r="B111" s="292" t="s">
        <v>42</v>
      </c>
      <c r="C111" s="19" t="s">
        <v>43</v>
      </c>
      <c r="D111" s="32" t="s">
        <v>44</v>
      </c>
      <c r="E111" s="20" t="s">
        <v>45</v>
      </c>
      <c r="F111" s="19" t="s">
        <v>46</v>
      </c>
      <c r="G111" s="21">
        <v>60300</v>
      </c>
      <c r="H111" s="22">
        <v>23864</v>
      </c>
      <c r="I111" s="22">
        <v>23864</v>
      </c>
      <c r="J111" s="22">
        <v>23864</v>
      </c>
      <c r="K111" s="22">
        <v>60300</v>
      </c>
      <c r="L111" s="22">
        <v>23864</v>
      </c>
      <c r="M111" s="22"/>
      <c r="N111" s="22">
        <v>0</v>
      </c>
      <c r="O111" s="22">
        <v>0</v>
      </c>
      <c r="P111" s="22"/>
      <c r="Q111" s="21">
        <f>SUM(R111:S111)</f>
        <v>0</v>
      </c>
      <c r="R111" s="22">
        <v>0</v>
      </c>
      <c r="S111" s="22"/>
      <c r="T111" s="22"/>
      <c r="U111" s="122" t="s">
        <v>40</v>
      </c>
      <c r="V111" s="553"/>
      <c r="W111" s="553"/>
      <c r="X111" s="553"/>
      <c r="Y111" s="553"/>
      <c r="Z111" s="553"/>
      <c r="AA111" s="553"/>
    </row>
    <row r="112" spans="1:37" s="31" customFormat="1" ht="15.75">
      <c r="A112" s="26" t="s">
        <v>47</v>
      </c>
      <c r="B112" s="88" t="s">
        <v>48</v>
      </c>
      <c r="C112" s="28"/>
      <c r="D112" s="28"/>
      <c r="E112" s="29"/>
      <c r="F112" s="28"/>
      <c r="G112" s="30">
        <f>SUM(G113:G118)</f>
        <v>59867</v>
      </c>
      <c r="H112" s="30">
        <f t="shared" ref="H112:S112" si="21">SUM(H113:H118)</f>
        <v>51840</v>
      </c>
      <c r="I112" s="30">
        <f t="shared" si="21"/>
        <v>43060</v>
      </c>
      <c r="J112" s="30">
        <f t="shared" si="21"/>
        <v>41536</v>
      </c>
      <c r="K112" s="30">
        <f t="shared" si="21"/>
        <v>41189</v>
      </c>
      <c r="L112" s="30">
        <f t="shared" si="21"/>
        <v>33162</v>
      </c>
      <c r="M112" s="30">
        <f t="shared" si="21"/>
        <v>0</v>
      </c>
      <c r="N112" s="30">
        <f t="shared" si="21"/>
        <v>2088</v>
      </c>
      <c r="O112" s="30">
        <f t="shared" si="21"/>
        <v>2088</v>
      </c>
      <c r="P112" s="30">
        <f t="shared" si="21"/>
        <v>0</v>
      </c>
      <c r="Q112" s="30">
        <f t="shared" si="21"/>
        <v>0</v>
      </c>
      <c r="R112" s="30">
        <f t="shared" si="21"/>
        <v>0</v>
      </c>
      <c r="S112" s="30">
        <f t="shared" si="21"/>
        <v>0</v>
      </c>
      <c r="T112" s="30"/>
      <c r="U112" s="581"/>
      <c r="V112" s="559"/>
      <c r="W112" s="559"/>
      <c r="X112" s="559"/>
      <c r="Y112" s="559"/>
      <c r="Z112" s="559"/>
      <c r="AA112" s="559"/>
    </row>
    <row r="113" spans="1:31" s="25" customFormat="1" ht="45">
      <c r="A113" s="17" t="s">
        <v>27</v>
      </c>
      <c r="B113" s="292" t="s">
        <v>49</v>
      </c>
      <c r="C113" s="19" t="s">
        <v>29</v>
      </c>
      <c r="D113" s="32" t="s">
        <v>50</v>
      </c>
      <c r="E113" s="20" t="s">
        <v>51</v>
      </c>
      <c r="F113" s="19" t="s">
        <v>52</v>
      </c>
      <c r="G113" s="21">
        <v>27958</v>
      </c>
      <c r="H113" s="21">
        <v>27958</v>
      </c>
      <c r="I113" s="22">
        <v>19805</v>
      </c>
      <c r="J113" s="22">
        <v>19805</v>
      </c>
      <c r="K113" s="22">
        <v>19099</v>
      </c>
      <c r="L113" s="22">
        <v>19099</v>
      </c>
      <c r="M113" s="22"/>
      <c r="N113" s="22">
        <v>0</v>
      </c>
      <c r="O113" s="22">
        <v>0</v>
      </c>
      <c r="P113" s="22"/>
      <c r="Q113" s="21">
        <f t="shared" ref="Q113:Q118" si="22">SUM(R113:S113)</f>
        <v>0</v>
      </c>
      <c r="R113" s="22">
        <v>0</v>
      </c>
      <c r="S113" s="22"/>
      <c r="T113" s="22"/>
      <c r="U113" s="122" t="s">
        <v>40</v>
      </c>
      <c r="V113" s="553"/>
      <c r="W113" s="553"/>
      <c r="X113" s="553"/>
      <c r="Y113" s="553"/>
      <c r="Z113" s="553"/>
      <c r="AA113" s="553"/>
    </row>
    <row r="114" spans="1:31" s="25" customFormat="1" ht="45">
      <c r="A114" s="17" t="s">
        <v>41</v>
      </c>
      <c r="B114" s="292" t="s">
        <v>53</v>
      </c>
      <c r="C114" s="19" t="s">
        <v>54</v>
      </c>
      <c r="D114" s="32" t="s">
        <v>55</v>
      </c>
      <c r="E114" s="20" t="s">
        <v>56</v>
      </c>
      <c r="F114" s="19" t="s">
        <v>57</v>
      </c>
      <c r="G114" s="21">
        <v>14088</v>
      </c>
      <c r="H114" s="21">
        <v>14088</v>
      </c>
      <c r="I114" s="22">
        <v>12000</v>
      </c>
      <c r="J114" s="22">
        <v>12000</v>
      </c>
      <c r="K114" s="22">
        <v>10088</v>
      </c>
      <c r="L114" s="22">
        <v>10088</v>
      </c>
      <c r="M114" s="22"/>
      <c r="N114" s="22">
        <v>2088</v>
      </c>
      <c r="O114" s="22">
        <v>2088</v>
      </c>
      <c r="P114" s="22"/>
      <c r="Q114" s="21">
        <f t="shared" si="22"/>
        <v>0</v>
      </c>
      <c r="R114" s="22">
        <v>0</v>
      </c>
      <c r="S114" s="22"/>
      <c r="T114" s="22"/>
      <c r="U114" s="122" t="s">
        <v>40</v>
      </c>
      <c r="V114" s="553"/>
      <c r="W114" s="553"/>
      <c r="X114" s="553"/>
      <c r="Y114" s="553"/>
      <c r="Z114" s="553"/>
      <c r="AA114" s="553"/>
    </row>
    <row r="115" spans="1:31" s="25" customFormat="1" ht="45">
      <c r="A115" s="17" t="s">
        <v>58</v>
      </c>
      <c r="B115" s="292" t="s">
        <v>59</v>
      </c>
      <c r="C115" s="19" t="s">
        <v>60</v>
      </c>
      <c r="D115" s="32" t="s">
        <v>61</v>
      </c>
      <c r="E115" s="20" t="s">
        <v>62</v>
      </c>
      <c r="F115" s="19" t="s">
        <v>63</v>
      </c>
      <c r="G115" s="21">
        <v>5814</v>
      </c>
      <c r="H115" s="21">
        <v>2735</v>
      </c>
      <c r="I115" s="22">
        <v>2746</v>
      </c>
      <c r="J115" s="22">
        <v>2746</v>
      </c>
      <c r="K115" s="22">
        <v>3646</v>
      </c>
      <c r="L115" s="22">
        <v>567</v>
      </c>
      <c r="M115" s="22"/>
      <c r="N115" s="22">
        <v>0</v>
      </c>
      <c r="O115" s="22">
        <v>0</v>
      </c>
      <c r="P115" s="22"/>
      <c r="Q115" s="21">
        <f t="shared" si="22"/>
        <v>0</v>
      </c>
      <c r="R115" s="22">
        <v>0</v>
      </c>
      <c r="S115" s="22"/>
      <c r="T115" s="22"/>
      <c r="U115" s="122" t="s">
        <v>40</v>
      </c>
      <c r="V115" s="553"/>
      <c r="W115" s="553"/>
      <c r="X115" s="553"/>
      <c r="Y115" s="553"/>
      <c r="Z115" s="553"/>
      <c r="AA115" s="553"/>
    </row>
    <row r="116" spans="1:31" s="25" customFormat="1" ht="90">
      <c r="A116" s="17" t="s">
        <v>64</v>
      </c>
      <c r="B116" s="292" t="s">
        <v>65</v>
      </c>
      <c r="C116" s="19" t="s">
        <v>66</v>
      </c>
      <c r="D116" s="32" t="s">
        <v>67</v>
      </c>
      <c r="E116" s="20">
        <v>2016</v>
      </c>
      <c r="F116" s="19" t="s">
        <v>68</v>
      </c>
      <c r="G116" s="21">
        <v>7600</v>
      </c>
      <c r="H116" s="21">
        <v>4176</v>
      </c>
      <c r="I116" s="22">
        <v>4176</v>
      </c>
      <c r="J116" s="22">
        <v>4176</v>
      </c>
      <c r="K116" s="22">
        <v>3949</v>
      </c>
      <c r="L116" s="22">
        <v>525</v>
      </c>
      <c r="M116" s="22"/>
      <c r="N116" s="22">
        <v>0</v>
      </c>
      <c r="O116" s="22">
        <v>0</v>
      </c>
      <c r="P116" s="22"/>
      <c r="Q116" s="21">
        <f t="shared" si="22"/>
        <v>0</v>
      </c>
      <c r="R116" s="22">
        <v>0</v>
      </c>
      <c r="S116" s="22"/>
      <c r="T116" s="22"/>
      <c r="U116" s="122" t="s">
        <v>40</v>
      </c>
      <c r="V116" s="553"/>
      <c r="W116" s="553"/>
      <c r="X116" s="553"/>
      <c r="Y116" s="553"/>
      <c r="Z116" s="553"/>
      <c r="AA116" s="553"/>
    </row>
    <row r="117" spans="1:31" s="25" customFormat="1" ht="120">
      <c r="A117" s="17" t="s">
        <v>69</v>
      </c>
      <c r="B117" s="292" t="s">
        <v>70</v>
      </c>
      <c r="C117" s="19" t="s">
        <v>71</v>
      </c>
      <c r="D117" s="32" t="s">
        <v>72</v>
      </c>
      <c r="E117" s="20" t="s">
        <v>30</v>
      </c>
      <c r="F117" s="19" t="s">
        <v>73</v>
      </c>
      <c r="G117" s="21">
        <v>1774</v>
      </c>
      <c r="H117" s="21">
        <v>1774</v>
      </c>
      <c r="I117" s="22">
        <v>1700</v>
      </c>
      <c r="J117" s="22">
        <v>1700</v>
      </c>
      <c r="K117" s="22">
        <v>1774</v>
      </c>
      <c r="L117" s="22">
        <v>1774</v>
      </c>
      <c r="M117" s="22"/>
      <c r="N117" s="21"/>
      <c r="O117" s="21"/>
      <c r="P117" s="22"/>
      <c r="Q117" s="21">
        <f t="shared" si="22"/>
        <v>0</v>
      </c>
      <c r="R117" s="21">
        <v>0</v>
      </c>
      <c r="S117" s="21"/>
      <c r="T117" s="21"/>
      <c r="U117" s="122" t="s">
        <v>40</v>
      </c>
      <c r="V117" s="553"/>
      <c r="W117" s="553"/>
      <c r="X117" s="553"/>
      <c r="Y117" s="553"/>
      <c r="Z117" s="553"/>
      <c r="AA117" s="553"/>
    </row>
    <row r="118" spans="1:31" s="25" customFormat="1" ht="45">
      <c r="A118" s="17" t="s">
        <v>74</v>
      </c>
      <c r="B118" s="292" t="s">
        <v>75</v>
      </c>
      <c r="C118" s="19" t="s">
        <v>71</v>
      </c>
      <c r="D118" s="32" t="s">
        <v>76</v>
      </c>
      <c r="E118" s="20" t="s">
        <v>30</v>
      </c>
      <c r="F118" s="19" t="s">
        <v>77</v>
      </c>
      <c r="G118" s="21">
        <v>2633</v>
      </c>
      <c r="H118" s="21">
        <v>1109</v>
      </c>
      <c r="I118" s="22">
        <v>2633</v>
      </c>
      <c r="J118" s="22">
        <v>1109</v>
      </c>
      <c r="K118" s="22">
        <v>2633</v>
      </c>
      <c r="L118" s="22">
        <v>1109</v>
      </c>
      <c r="M118" s="22"/>
      <c r="N118" s="22"/>
      <c r="O118" s="22"/>
      <c r="P118" s="22"/>
      <c r="Q118" s="21">
        <f t="shared" si="22"/>
        <v>0</v>
      </c>
      <c r="R118" s="22">
        <v>0</v>
      </c>
      <c r="S118" s="22"/>
      <c r="T118" s="22"/>
      <c r="U118" s="122" t="s">
        <v>40</v>
      </c>
      <c r="V118" s="553"/>
      <c r="W118" s="553"/>
      <c r="X118" s="553"/>
      <c r="Y118" s="553"/>
      <c r="Z118" s="553"/>
      <c r="AA118" s="553"/>
    </row>
    <row r="120" spans="1:31" s="2" customFormat="1" ht="26.1" customHeight="1">
      <c r="A120" s="786">
        <v>2</v>
      </c>
      <c r="B120" s="787" t="s">
        <v>559</v>
      </c>
      <c r="C120" s="788"/>
      <c r="D120" s="789" t="s">
        <v>560</v>
      </c>
      <c r="E120" s="889" t="s">
        <v>321</v>
      </c>
      <c r="F120" s="790"/>
      <c r="G120" s="791"/>
      <c r="H120" s="791"/>
      <c r="I120" s="792"/>
      <c r="J120" s="792"/>
      <c r="K120" s="791"/>
      <c r="L120" s="791"/>
      <c r="M120" s="792"/>
      <c r="N120" s="793">
        <v>200</v>
      </c>
      <c r="O120" s="793">
        <v>200</v>
      </c>
      <c r="P120" s="793"/>
      <c r="Q120" s="866"/>
      <c r="R120" s="866"/>
      <c r="S120" s="867"/>
      <c r="T120" s="805">
        <f>SUM(U120:V120)</f>
        <v>0</v>
      </c>
      <c r="U120" s="806"/>
      <c r="V120" s="806"/>
      <c r="W120" s="513"/>
      <c r="X120" s="24"/>
      <c r="Y120" s="104"/>
      <c r="Z120" s="657" t="s">
        <v>1608</v>
      </c>
      <c r="AA120" s="551"/>
      <c r="AB120" s="551"/>
      <c r="AC120" s="551"/>
      <c r="AD120" s="551"/>
      <c r="AE120" s="551"/>
    </row>
    <row r="121" spans="1:31" s="203" customFormat="1" ht="26.1" customHeight="1">
      <c r="A121" s="615"/>
      <c r="B121" s="798" t="s">
        <v>574</v>
      </c>
      <c r="C121" s="799"/>
      <c r="D121" s="800"/>
      <c r="E121" s="890"/>
      <c r="F121" s="801"/>
      <c r="G121" s="802">
        <f t="shared" ref="G121:T121" si="23">SUM(G122:G123)</f>
        <v>0</v>
      </c>
      <c r="H121" s="802">
        <f t="shared" si="23"/>
        <v>0</v>
      </c>
      <c r="I121" s="802">
        <f t="shared" si="23"/>
        <v>0</v>
      </c>
      <c r="J121" s="802">
        <f t="shared" si="23"/>
        <v>0</v>
      </c>
      <c r="K121" s="802">
        <f t="shared" si="23"/>
        <v>0</v>
      </c>
      <c r="L121" s="802">
        <f t="shared" si="23"/>
        <v>0</v>
      </c>
      <c r="M121" s="802">
        <f t="shared" si="23"/>
        <v>0</v>
      </c>
      <c r="N121" s="802">
        <f t="shared" si="23"/>
        <v>3500</v>
      </c>
      <c r="O121" s="802">
        <f t="shared" si="23"/>
        <v>2000</v>
      </c>
      <c r="P121" s="802">
        <f t="shared" si="23"/>
        <v>0</v>
      </c>
      <c r="Q121" s="868">
        <f t="shared" si="23"/>
        <v>0</v>
      </c>
      <c r="R121" s="868">
        <f t="shared" si="23"/>
        <v>0</v>
      </c>
      <c r="S121" s="868">
        <f t="shared" si="23"/>
        <v>0</v>
      </c>
      <c r="T121" s="807">
        <f t="shared" si="23"/>
        <v>0</v>
      </c>
      <c r="U121" s="807"/>
      <c r="V121" s="807">
        <f>SUM(V122:V123)</f>
        <v>0</v>
      </c>
      <c r="W121" s="803" t="s">
        <v>1526</v>
      </c>
      <c r="X121" s="804"/>
      <c r="Y121" s="802"/>
      <c r="Z121" s="794" t="s">
        <v>1608</v>
      </c>
      <c r="AA121" s="556"/>
      <c r="AB121" s="556"/>
      <c r="AC121" s="556"/>
      <c r="AD121" s="556"/>
      <c r="AE121" s="556"/>
    </row>
    <row r="122" spans="1:31" s="2" customFormat="1" ht="37.5" customHeight="1">
      <c r="A122" s="518">
        <v>1</v>
      </c>
      <c r="B122" s="787" t="s">
        <v>575</v>
      </c>
      <c r="C122" s="788"/>
      <c r="D122" s="789" t="s">
        <v>576</v>
      </c>
      <c r="E122" s="889" t="s">
        <v>321</v>
      </c>
      <c r="F122" s="790"/>
      <c r="G122" s="791"/>
      <c r="H122" s="791"/>
      <c r="I122" s="792"/>
      <c r="J122" s="792"/>
      <c r="K122" s="791"/>
      <c r="L122" s="791"/>
      <c r="M122" s="792"/>
      <c r="N122" s="793">
        <v>1500</v>
      </c>
      <c r="O122" s="793">
        <v>1000</v>
      </c>
      <c r="P122" s="793"/>
      <c r="Q122" s="866"/>
      <c r="R122" s="866"/>
      <c r="S122" s="867"/>
      <c r="T122" s="805">
        <f>SUM(U122:V122)</f>
        <v>0</v>
      </c>
      <c r="U122" s="806"/>
      <c r="V122" s="806"/>
      <c r="W122" s="796"/>
      <c r="X122" s="797"/>
      <c r="Y122" s="793"/>
      <c r="Z122" s="795"/>
      <c r="AA122" s="551"/>
      <c r="AB122" s="551"/>
      <c r="AC122" s="551"/>
      <c r="AD122" s="551"/>
      <c r="AE122" s="551"/>
    </row>
    <row r="123" spans="1:31" s="2" customFormat="1" ht="39" customHeight="1">
      <c r="A123" s="518">
        <v>2</v>
      </c>
      <c r="B123" s="787" t="s">
        <v>577</v>
      </c>
      <c r="C123" s="788"/>
      <c r="D123" s="789" t="s">
        <v>578</v>
      </c>
      <c r="E123" s="889" t="s">
        <v>321</v>
      </c>
      <c r="F123" s="790"/>
      <c r="G123" s="791"/>
      <c r="H123" s="791"/>
      <c r="I123" s="792"/>
      <c r="J123" s="792"/>
      <c r="K123" s="791"/>
      <c r="L123" s="791"/>
      <c r="M123" s="792"/>
      <c r="N123" s="793">
        <v>2000</v>
      </c>
      <c r="O123" s="793">
        <v>1000</v>
      </c>
      <c r="P123" s="793"/>
      <c r="Q123" s="866"/>
      <c r="R123" s="866"/>
      <c r="S123" s="867"/>
      <c r="T123" s="805">
        <f>SUM(U123:V123)</f>
        <v>0</v>
      </c>
      <c r="U123" s="806"/>
      <c r="V123" s="806"/>
      <c r="W123" s="796"/>
      <c r="X123" s="797"/>
      <c r="Y123" s="793"/>
      <c r="Z123" s="795"/>
      <c r="AA123" s="551"/>
      <c r="AB123" s="551"/>
      <c r="AC123" s="551"/>
      <c r="AD123" s="551"/>
      <c r="AE123" s="551"/>
    </row>
    <row r="124" spans="1:31" s="203" customFormat="1" ht="26.1" customHeight="1">
      <c r="A124" s="615"/>
      <c r="B124" s="798" t="s">
        <v>579</v>
      </c>
      <c r="C124" s="799"/>
      <c r="D124" s="800"/>
      <c r="E124" s="890"/>
      <c r="F124" s="801"/>
      <c r="G124" s="802">
        <f t="shared" ref="G124:T124" si="24">SUM(G125:G127)</f>
        <v>0</v>
      </c>
      <c r="H124" s="802">
        <f t="shared" si="24"/>
        <v>0</v>
      </c>
      <c r="I124" s="802">
        <f t="shared" si="24"/>
        <v>0</v>
      </c>
      <c r="J124" s="802">
        <f t="shared" si="24"/>
        <v>0</v>
      </c>
      <c r="K124" s="802">
        <f t="shared" si="24"/>
        <v>0</v>
      </c>
      <c r="L124" s="802">
        <f t="shared" si="24"/>
        <v>0</v>
      </c>
      <c r="M124" s="802">
        <f t="shared" si="24"/>
        <v>0</v>
      </c>
      <c r="N124" s="802">
        <f t="shared" si="24"/>
        <v>2400</v>
      </c>
      <c r="O124" s="802">
        <f t="shared" si="24"/>
        <v>2000</v>
      </c>
      <c r="P124" s="802">
        <f t="shared" si="24"/>
        <v>0</v>
      </c>
      <c r="Q124" s="868">
        <f t="shared" si="24"/>
        <v>0</v>
      </c>
      <c r="R124" s="868">
        <f t="shared" si="24"/>
        <v>0</v>
      </c>
      <c r="S124" s="868">
        <f t="shared" si="24"/>
        <v>0</v>
      </c>
      <c r="T124" s="807">
        <f t="shared" si="24"/>
        <v>0</v>
      </c>
      <c r="U124" s="807"/>
      <c r="V124" s="807">
        <f>SUM(V125:V127)</f>
        <v>0</v>
      </c>
      <c r="W124" s="803" t="s">
        <v>1552</v>
      </c>
      <c r="X124" s="804"/>
      <c r="Y124" s="802"/>
      <c r="Z124" s="794" t="s">
        <v>1608</v>
      </c>
      <c r="AA124" s="556"/>
      <c r="AB124" s="556"/>
      <c r="AC124" s="556"/>
      <c r="AD124" s="556"/>
      <c r="AE124" s="556"/>
    </row>
    <row r="125" spans="1:31" s="2" customFormat="1" ht="26.1" customHeight="1">
      <c r="A125" s="518">
        <v>1</v>
      </c>
      <c r="B125" s="787" t="s">
        <v>580</v>
      </c>
      <c r="C125" s="788"/>
      <c r="D125" s="789" t="s">
        <v>581</v>
      </c>
      <c r="E125" s="889" t="s">
        <v>321</v>
      </c>
      <c r="F125" s="790"/>
      <c r="G125" s="791"/>
      <c r="H125" s="791"/>
      <c r="I125" s="792"/>
      <c r="J125" s="792"/>
      <c r="K125" s="791"/>
      <c r="L125" s="791"/>
      <c r="M125" s="792"/>
      <c r="N125" s="793">
        <v>1400</v>
      </c>
      <c r="O125" s="793">
        <v>1000</v>
      </c>
      <c r="P125" s="793"/>
      <c r="Q125" s="866"/>
      <c r="R125" s="866"/>
      <c r="S125" s="867"/>
      <c r="T125" s="805">
        <f>SUM(U125:V125)</f>
        <v>0</v>
      </c>
      <c r="U125" s="806"/>
      <c r="V125" s="806"/>
      <c r="W125" s="796"/>
      <c r="X125" s="797"/>
      <c r="Y125" s="793"/>
      <c r="Z125" s="795"/>
      <c r="AA125" s="551"/>
      <c r="AB125" s="551"/>
      <c r="AC125" s="551"/>
      <c r="AD125" s="551"/>
      <c r="AE125" s="551"/>
    </row>
    <row r="126" spans="1:31" s="2" customFormat="1" ht="26.1" customHeight="1">
      <c r="A126" s="518">
        <v>2</v>
      </c>
      <c r="B126" s="787" t="s">
        <v>582</v>
      </c>
      <c r="C126" s="788"/>
      <c r="D126" s="789" t="s">
        <v>563</v>
      </c>
      <c r="E126" s="889" t="s">
        <v>321</v>
      </c>
      <c r="F126" s="790"/>
      <c r="G126" s="791"/>
      <c r="H126" s="791"/>
      <c r="I126" s="792"/>
      <c r="J126" s="792"/>
      <c r="K126" s="791"/>
      <c r="L126" s="791"/>
      <c r="M126" s="792"/>
      <c r="N126" s="793">
        <v>500</v>
      </c>
      <c r="O126" s="793">
        <v>500</v>
      </c>
      <c r="P126" s="793"/>
      <c r="Q126" s="866"/>
      <c r="R126" s="866"/>
      <c r="S126" s="867"/>
      <c r="T126" s="805">
        <f>SUM(U126:V126)</f>
        <v>0</v>
      </c>
      <c r="U126" s="806"/>
      <c r="V126" s="806"/>
      <c r="W126" s="796"/>
      <c r="X126" s="797"/>
      <c r="Y126" s="793"/>
      <c r="Z126" s="795"/>
      <c r="AA126" s="551"/>
      <c r="AB126" s="551"/>
      <c r="AC126" s="551"/>
      <c r="AD126" s="551"/>
      <c r="AE126" s="551"/>
    </row>
    <row r="127" spans="1:31" s="2" customFormat="1" ht="26.1" customHeight="1">
      <c r="A127" s="518">
        <v>3</v>
      </c>
      <c r="B127" s="787" t="s">
        <v>583</v>
      </c>
      <c r="C127" s="788"/>
      <c r="D127" s="789"/>
      <c r="E127" s="889"/>
      <c r="F127" s="790"/>
      <c r="G127" s="791"/>
      <c r="H127" s="791"/>
      <c r="I127" s="792"/>
      <c r="J127" s="792"/>
      <c r="K127" s="791"/>
      <c r="L127" s="791"/>
      <c r="M127" s="792"/>
      <c r="N127" s="793">
        <v>500</v>
      </c>
      <c r="O127" s="793">
        <v>500</v>
      </c>
      <c r="P127" s="793"/>
      <c r="Q127" s="866"/>
      <c r="R127" s="866"/>
      <c r="S127" s="867"/>
      <c r="T127" s="805">
        <f>SUM(U127:V127)</f>
        <v>0</v>
      </c>
      <c r="U127" s="806"/>
      <c r="V127" s="806"/>
      <c r="W127" s="796"/>
      <c r="X127" s="797"/>
      <c r="Y127" s="793"/>
      <c r="Z127" s="795"/>
      <c r="AA127" s="551"/>
      <c r="AB127" s="551"/>
      <c r="AC127" s="551"/>
      <c r="AD127" s="551"/>
      <c r="AE127" s="551"/>
    </row>
    <row r="129" spans="1:38" s="25" customFormat="1" ht="38.25">
      <c r="A129" s="529">
        <v>2</v>
      </c>
      <c r="B129" s="93" t="s">
        <v>1453</v>
      </c>
      <c r="C129" s="101" t="s">
        <v>143</v>
      </c>
      <c r="D129" s="101" t="s">
        <v>1454</v>
      </c>
      <c r="E129" s="95" t="s">
        <v>1455</v>
      </c>
      <c r="F129" s="100" t="s">
        <v>1456</v>
      </c>
      <c r="G129" s="366">
        <v>103576</v>
      </c>
      <c r="H129" s="392">
        <f>G129-80000</f>
        <v>23576</v>
      </c>
      <c r="I129" s="392">
        <v>7500</v>
      </c>
      <c r="J129" s="23">
        <v>0</v>
      </c>
      <c r="K129" s="392">
        <f>G129*0.9</f>
        <v>93218.400000000009</v>
      </c>
      <c r="L129" s="392">
        <f>H129*0.9</f>
        <v>21218.400000000001</v>
      </c>
      <c r="M129" s="23"/>
      <c r="N129" s="392">
        <v>25000</v>
      </c>
      <c r="O129" s="392">
        <v>5000</v>
      </c>
      <c r="P129" s="23"/>
      <c r="Q129" s="871"/>
      <c r="R129" s="871"/>
      <c r="S129" s="860"/>
      <c r="T129" s="73">
        <f t="shared" ref="T129:T138" si="25">SUM(U129:V129)</f>
        <v>0</v>
      </c>
      <c r="U129" s="392"/>
      <c r="V129" s="15"/>
      <c r="W129" s="744" t="s">
        <v>1569</v>
      </c>
      <c r="X129" s="24"/>
      <c r="Y129" s="23"/>
      <c r="Z129" s="657"/>
      <c r="AA129" s="553"/>
      <c r="AB129" s="553"/>
      <c r="AC129" s="553"/>
      <c r="AD129" s="553"/>
      <c r="AE129" s="553"/>
    </row>
    <row r="130" spans="1:38" s="5" customFormat="1" ht="30">
      <c r="A130" s="138">
        <v>2</v>
      </c>
      <c r="B130" s="68" t="s">
        <v>1463</v>
      </c>
      <c r="C130" s="635" t="s">
        <v>1464</v>
      </c>
      <c r="D130" s="635"/>
      <c r="E130" s="44" t="s">
        <v>355</v>
      </c>
      <c r="F130" s="762"/>
      <c r="G130" s="72">
        <f>H130</f>
        <v>59627</v>
      </c>
      <c r="H130" s="72">
        <v>59627</v>
      </c>
      <c r="I130" s="72"/>
      <c r="J130" s="72"/>
      <c r="K130" s="72">
        <f>L130</f>
        <v>59627</v>
      </c>
      <c r="L130" s="72">
        <v>59627</v>
      </c>
      <c r="M130" s="72"/>
      <c r="N130" s="72">
        <f>O130</f>
        <v>2000</v>
      </c>
      <c r="O130" s="72">
        <v>2000</v>
      </c>
      <c r="P130" s="72"/>
      <c r="Q130" s="123">
        <f>R130</f>
        <v>0</v>
      </c>
      <c r="R130" s="123"/>
      <c r="S130" s="123"/>
      <c r="T130" s="73">
        <f t="shared" si="25"/>
        <v>0</v>
      </c>
      <c r="U130" s="72"/>
      <c r="V130" s="72"/>
      <c r="W130" s="744" t="s">
        <v>1568</v>
      </c>
      <c r="X130" s="80"/>
      <c r="Y130" s="72"/>
      <c r="Z130" s="657"/>
    </row>
    <row r="131" spans="1:38" s="5" customFormat="1" ht="27.75" customHeight="1">
      <c r="A131" s="138">
        <v>3</v>
      </c>
      <c r="B131" s="68" t="s">
        <v>1465</v>
      </c>
      <c r="C131" s="635" t="s">
        <v>29</v>
      </c>
      <c r="D131" s="562" t="s">
        <v>1486</v>
      </c>
      <c r="E131" s="44" t="s">
        <v>355</v>
      </c>
      <c r="F131" s="762"/>
      <c r="G131" s="72">
        <v>635000</v>
      </c>
      <c r="H131" s="72">
        <v>150000</v>
      </c>
      <c r="I131" s="72">
        <f>J131</f>
        <v>610</v>
      </c>
      <c r="J131" s="72">
        <v>610</v>
      </c>
      <c r="K131" s="72">
        <v>635000</v>
      </c>
      <c r="L131" s="72">
        <v>150000</v>
      </c>
      <c r="M131" s="72"/>
      <c r="N131" s="72">
        <f>O131</f>
        <v>20000</v>
      </c>
      <c r="O131" s="72">
        <v>20000</v>
      </c>
      <c r="P131" s="72"/>
      <c r="Q131" s="123">
        <f>R131</f>
        <v>0</v>
      </c>
      <c r="R131" s="123"/>
      <c r="S131" s="123"/>
      <c r="T131" s="73">
        <f t="shared" si="25"/>
        <v>0</v>
      </c>
      <c r="U131" s="72"/>
      <c r="V131" s="72"/>
      <c r="W131" s="744" t="s">
        <v>1568</v>
      </c>
      <c r="X131" s="80"/>
      <c r="Y131" s="72"/>
      <c r="Z131" s="657"/>
    </row>
    <row r="132" spans="1:38" s="900" customFormat="1" ht="30">
      <c r="A132" s="897">
        <v>7</v>
      </c>
      <c r="B132" s="893" t="s">
        <v>727</v>
      </c>
      <c r="C132" s="112" t="s">
        <v>143</v>
      </c>
      <c r="D132" s="19"/>
      <c r="E132" s="95" t="s">
        <v>728</v>
      </c>
      <c r="F132" s="80" t="s">
        <v>729</v>
      </c>
      <c r="G132" s="71">
        <v>37470</v>
      </c>
      <c r="H132" s="71">
        <v>37470</v>
      </c>
      <c r="I132" s="175">
        <f>+J132</f>
        <v>100</v>
      </c>
      <c r="J132" s="23">
        <v>100</v>
      </c>
      <c r="K132" s="23">
        <v>37470</v>
      </c>
      <c r="L132" s="23">
        <v>37470</v>
      </c>
      <c r="M132" s="23"/>
      <c r="N132" s="175">
        <v>10000</v>
      </c>
      <c r="O132" s="175">
        <v>10000</v>
      </c>
      <c r="P132" s="78"/>
      <c r="Q132" s="934">
        <f>SUM(R132:S132)</f>
        <v>0</v>
      </c>
      <c r="R132" s="934"/>
      <c r="S132" s="934"/>
      <c r="T132" s="935">
        <f t="shared" si="25"/>
        <v>0</v>
      </c>
      <c r="U132" s="936"/>
      <c r="V132" s="936"/>
      <c r="W132" s="899" t="s">
        <v>1559</v>
      </c>
      <c r="X132" s="909"/>
      <c r="Y132" s="896"/>
      <c r="Z132" s="795"/>
      <c r="AA132" s="554"/>
      <c r="AB132" s="554"/>
      <c r="AC132" s="554"/>
      <c r="AD132" s="554"/>
      <c r="AE132" s="554"/>
      <c r="AG132" s="901"/>
      <c r="AH132" s="901"/>
      <c r="AI132" s="901"/>
      <c r="AJ132" s="901"/>
      <c r="AK132" s="901"/>
      <c r="AL132" s="901"/>
    </row>
    <row r="133" spans="1:38" s="900" customFormat="1" ht="105">
      <c r="A133" s="907" t="s">
        <v>58</v>
      </c>
      <c r="B133" s="893" t="s">
        <v>618</v>
      </c>
      <c r="C133" s="112" t="s">
        <v>112</v>
      </c>
      <c r="D133" s="894" t="s">
        <v>616</v>
      </c>
      <c r="E133" s="575" t="s">
        <v>30</v>
      </c>
      <c r="F133" s="909" t="s">
        <v>619</v>
      </c>
      <c r="G133" s="916">
        <v>12879</v>
      </c>
      <c r="H133" s="896">
        <v>6527</v>
      </c>
      <c r="I133" s="917">
        <v>12879</v>
      </c>
      <c r="J133" s="917">
        <v>6000</v>
      </c>
      <c r="K133" s="896">
        <v>12879</v>
      </c>
      <c r="L133" s="896">
        <v>6000</v>
      </c>
      <c r="M133" s="896"/>
      <c r="N133" s="917">
        <v>0</v>
      </c>
      <c r="O133" s="917"/>
      <c r="P133" s="897"/>
      <c r="Q133" s="918"/>
      <c r="R133" s="918"/>
      <c r="S133" s="918"/>
      <c r="T133" s="768">
        <f t="shared" si="25"/>
        <v>0</v>
      </c>
      <c r="U133" s="917"/>
      <c r="V133" s="917"/>
      <c r="W133" s="909" t="s">
        <v>1529</v>
      </c>
      <c r="X133" s="894"/>
      <c r="Y133" s="917"/>
      <c r="Z133" s="795" t="s">
        <v>1493</v>
      </c>
      <c r="AA133" s="554"/>
      <c r="AB133" s="554"/>
      <c r="AC133" s="554"/>
      <c r="AD133" s="554"/>
      <c r="AE133" s="554"/>
      <c r="AG133" s="901"/>
      <c r="AH133" s="901"/>
      <c r="AI133" s="901"/>
      <c r="AJ133" s="901"/>
      <c r="AK133" s="901"/>
      <c r="AL133" s="901"/>
    </row>
    <row r="134" spans="1:38" s="900" customFormat="1" ht="90">
      <c r="A134" s="907" t="s">
        <v>74</v>
      </c>
      <c r="B134" s="893" t="s">
        <v>624</v>
      </c>
      <c r="C134" s="112" t="s">
        <v>173</v>
      </c>
      <c r="D134" s="894" t="s">
        <v>625</v>
      </c>
      <c r="E134" s="575" t="s">
        <v>30</v>
      </c>
      <c r="F134" s="909" t="s">
        <v>626</v>
      </c>
      <c r="G134" s="916">
        <v>11527</v>
      </c>
      <c r="H134" s="896">
        <v>5402</v>
      </c>
      <c r="I134" s="917">
        <f>J134+6100-549</f>
        <v>10951</v>
      </c>
      <c r="J134" s="917">
        <v>5400</v>
      </c>
      <c r="K134" s="896">
        <f>L134+6100-549</f>
        <v>10951</v>
      </c>
      <c r="L134" s="896">
        <v>5400</v>
      </c>
      <c r="M134" s="896"/>
      <c r="N134" s="917">
        <v>0</v>
      </c>
      <c r="O134" s="917"/>
      <c r="P134" s="897"/>
      <c r="Q134" s="918"/>
      <c r="R134" s="918"/>
      <c r="S134" s="918"/>
      <c r="T134" s="768">
        <f t="shared" si="25"/>
        <v>0</v>
      </c>
      <c r="U134" s="917"/>
      <c r="V134" s="917"/>
      <c r="W134" s="909" t="s">
        <v>1551</v>
      </c>
      <c r="X134" s="894"/>
      <c r="Y134" s="917"/>
      <c r="Z134" s="795" t="s">
        <v>1493</v>
      </c>
      <c r="AA134" s="554"/>
      <c r="AB134" s="554"/>
      <c r="AC134" s="554"/>
      <c r="AD134" s="554"/>
      <c r="AE134" s="554"/>
      <c r="AG134" s="901"/>
      <c r="AH134" s="901"/>
      <c r="AI134" s="901"/>
      <c r="AJ134" s="901"/>
      <c r="AK134" s="901"/>
      <c r="AL134" s="901"/>
    </row>
    <row r="135" spans="1:38" s="2" customFormat="1" ht="76.5">
      <c r="A135" s="97" t="s">
        <v>58</v>
      </c>
      <c r="B135" s="68" t="s">
        <v>506</v>
      </c>
      <c r="C135" s="19" t="s">
        <v>143</v>
      </c>
      <c r="D135" s="19" t="s">
        <v>507</v>
      </c>
      <c r="E135" s="70" t="s">
        <v>30</v>
      </c>
      <c r="F135" s="80" t="s">
        <v>508</v>
      </c>
      <c r="G135" s="21">
        <v>12000</v>
      </c>
      <c r="H135" s="21">
        <v>2500</v>
      </c>
      <c r="I135" s="21">
        <v>2500</v>
      </c>
      <c r="J135" s="21">
        <v>2500</v>
      </c>
      <c r="K135" s="21">
        <v>2235</v>
      </c>
      <c r="L135" s="21">
        <v>2235</v>
      </c>
      <c r="M135" s="21"/>
      <c r="N135" s="81">
        <v>1000</v>
      </c>
      <c r="O135" s="81"/>
      <c r="P135" s="81"/>
      <c r="Q135" s="106"/>
      <c r="R135" s="106"/>
      <c r="S135" s="106"/>
      <c r="T135" s="73">
        <f t="shared" si="25"/>
        <v>0</v>
      </c>
      <c r="U135" s="81"/>
      <c r="V135" s="81"/>
      <c r="W135" s="729" t="s">
        <v>1518</v>
      </c>
      <c r="X135" s="24" t="s">
        <v>1596</v>
      </c>
      <c r="Y135" s="81">
        <v>1</v>
      </c>
      <c r="Z135" s="714" t="s">
        <v>1493</v>
      </c>
      <c r="AA135" s="551"/>
      <c r="AB135" s="551"/>
      <c r="AC135" s="551"/>
      <c r="AD135" s="551"/>
      <c r="AE135" s="551"/>
    </row>
    <row r="136" spans="1:38" s="915" customFormat="1" ht="60">
      <c r="A136" s="907" t="s">
        <v>141</v>
      </c>
      <c r="B136" s="908" t="s">
        <v>870</v>
      </c>
      <c r="C136" s="112" t="s">
        <v>60</v>
      </c>
      <c r="D136" s="112" t="s">
        <v>871</v>
      </c>
      <c r="E136" s="889" t="s">
        <v>1674</v>
      </c>
      <c r="F136" s="909" t="s">
        <v>1185</v>
      </c>
      <c r="G136" s="793">
        <v>25400</v>
      </c>
      <c r="H136" s="910">
        <v>17300</v>
      </c>
      <c r="I136" s="896">
        <v>11514</v>
      </c>
      <c r="J136" s="896">
        <f>1833+1300</f>
        <v>3133</v>
      </c>
      <c r="K136" s="896">
        <v>24755</v>
      </c>
      <c r="L136" s="896">
        <v>16655</v>
      </c>
      <c r="M136" s="911"/>
      <c r="N136" s="912">
        <v>5000</v>
      </c>
      <c r="O136" s="912">
        <v>5000</v>
      </c>
      <c r="P136" s="913"/>
      <c r="Q136" s="898"/>
      <c r="R136" s="898"/>
      <c r="S136" s="898"/>
      <c r="T136" s="768">
        <f t="shared" si="25"/>
        <v>0</v>
      </c>
      <c r="U136" s="896"/>
      <c r="V136" s="896"/>
      <c r="W136" s="899" t="s">
        <v>1545</v>
      </c>
      <c r="X136" s="894"/>
      <c r="Y136" s="896"/>
      <c r="Z136" s="795" t="s">
        <v>1493</v>
      </c>
      <c r="AA136" s="914"/>
      <c r="AB136" s="914"/>
      <c r="AC136" s="914"/>
      <c r="AD136" s="914"/>
      <c r="AE136" s="914"/>
    </row>
    <row r="137" spans="1:38" s="915" customFormat="1" ht="60">
      <c r="A137" s="907" t="s">
        <v>146</v>
      </c>
      <c r="B137" s="908" t="s">
        <v>872</v>
      </c>
      <c r="C137" s="112" t="s">
        <v>260</v>
      </c>
      <c r="D137" s="112" t="s">
        <v>873</v>
      </c>
      <c r="E137" s="889" t="s">
        <v>1673</v>
      </c>
      <c r="F137" s="909" t="s">
        <v>1186</v>
      </c>
      <c r="G137" s="793">
        <v>31768</v>
      </c>
      <c r="H137" s="910">
        <v>27285</v>
      </c>
      <c r="I137" s="896">
        <v>18320</v>
      </c>
      <c r="J137" s="896">
        <v>13593</v>
      </c>
      <c r="K137" s="896">
        <v>31175</v>
      </c>
      <c r="L137" s="896">
        <v>26692</v>
      </c>
      <c r="M137" s="911"/>
      <c r="N137" s="912">
        <v>8000</v>
      </c>
      <c r="O137" s="912">
        <v>8000</v>
      </c>
      <c r="P137" s="913"/>
      <c r="Q137" s="898"/>
      <c r="R137" s="898"/>
      <c r="S137" s="898"/>
      <c r="T137" s="768">
        <f t="shared" si="25"/>
        <v>0</v>
      </c>
      <c r="U137" s="896"/>
      <c r="V137" s="896"/>
      <c r="W137" s="899" t="s">
        <v>1545</v>
      </c>
      <c r="X137" s="894"/>
      <c r="Y137" s="896"/>
      <c r="Z137" s="795" t="s">
        <v>1493</v>
      </c>
      <c r="AA137" s="914"/>
      <c r="AB137" s="914"/>
      <c r="AC137" s="914"/>
      <c r="AD137" s="914"/>
      <c r="AE137" s="914"/>
    </row>
    <row r="138" spans="1:38" s="915" customFormat="1" ht="60">
      <c r="A138" s="907" t="s">
        <v>64</v>
      </c>
      <c r="B138" s="908" t="s">
        <v>862</v>
      </c>
      <c r="C138" s="112" t="s">
        <v>260</v>
      </c>
      <c r="D138" s="112" t="s">
        <v>863</v>
      </c>
      <c r="E138" s="889" t="s">
        <v>1673</v>
      </c>
      <c r="F138" s="909" t="s">
        <v>1183</v>
      </c>
      <c r="G138" s="793">
        <v>45386</v>
      </c>
      <c r="H138" s="910">
        <v>39520</v>
      </c>
      <c r="I138" s="896">
        <f>J138+6278</f>
        <v>28223</v>
      </c>
      <c r="J138" s="896">
        <v>21945</v>
      </c>
      <c r="K138" s="896">
        <v>35568</v>
      </c>
      <c r="L138" s="896">
        <v>35568</v>
      </c>
      <c r="M138" s="911"/>
      <c r="N138" s="912">
        <v>15000</v>
      </c>
      <c r="O138" s="912">
        <v>15000</v>
      </c>
      <c r="P138" s="913"/>
      <c r="Q138" s="898"/>
      <c r="R138" s="898"/>
      <c r="S138" s="898"/>
      <c r="T138" s="768">
        <f t="shared" si="25"/>
        <v>0</v>
      </c>
      <c r="U138" s="896"/>
      <c r="V138" s="896"/>
      <c r="W138" s="899" t="s">
        <v>1545</v>
      </c>
      <c r="X138" s="894"/>
      <c r="Y138" s="896"/>
      <c r="Z138" s="795" t="s">
        <v>1493</v>
      </c>
      <c r="AA138" s="914"/>
      <c r="AB138" s="914"/>
      <c r="AC138" s="914"/>
      <c r="AD138" s="914"/>
      <c r="AE138" s="914"/>
    </row>
    <row r="139" spans="1:38" s="900" customFormat="1" ht="30">
      <c r="A139" s="892">
        <v>1</v>
      </c>
      <c r="B139" s="893" t="s">
        <v>807</v>
      </c>
      <c r="C139" s="894"/>
      <c r="D139" s="894"/>
      <c r="E139" s="575"/>
      <c r="F139" s="895"/>
      <c r="G139" s="896"/>
      <c r="H139" s="896"/>
      <c r="I139" s="896"/>
      <c r="J139" s="896"/>
      <c r="K139" s="896"/>
      <c r="L139" s="896"/>
      <c r="M139" s="896"/>
      <c r="N139" s="896"/>
      <c r="O139" s="896"/>
      <c r="P139" s="897"/>
      <c r="Q139" s="898"/>
      <c r="R139" s="898"/>
      <c r="S139" s="898"/>
      <c r="T139" s="768"/>
      <c r="U139" s="896"/>
      <c r="V139" s="896"/>
      <c r="W139" s="899"/>
      <c r="X139" s="899"/>
      <c r="Y139" s="896"/>
      <c r="Z139" s="795"/>
      <c r="AA139" s="554"/>
      <c r="AB139" s="554"/>
      <c r="AC139" s="554"/>
      <c r="AD139" s="554"/>
      <c r="AE139" s="554"/>
      <c r="AG139" s="901"/>
      <c r="AH139" s="901"/>
      <c r="AI139" s="901"/>
      <c r="AJ139" s="901"/>
      <c r="AK139" s="901"/>
      <c r="AL139" s="901"/>
    </row>
    <row r="140" spans="1:38" s="2" customFormat="1" ht="60">
      <c r="A140" s="190" t="s">
        <v>187</v>
      </c>
      <c r="B140" s="93" t="s">
        <v>460</v>
      </c>
      <c r="C140" s="172" t="s">
        <v>29</v>
      </c>
      <c r="D140" s="162" t="s">
        <v>461</v>
      </c>
      <c r="E140" s="163" t="s">
        <v>462</v>
      </c>
      <c r="F140" s="696" t="s">
        <v>463</v>
      </c>
      <c r="G140" s="164">
        <v>42120</v>
      </c>
      <c r="H140" s="164">
        <v>42120</v>
      </c>
      <c r="I140" s="164">
        <v>5500</v>
      </c>
      <c r="J140" s="164">
        <v>5500</v>
      </c>
      <c r="K140" s="164">
        <v>42120</v>
      </c>
      <c r="L140" s="164">
        <v>42120</v>
      </c>
      <c r="M140" s="22"/>
      <c r="N140" s="133"/>
      <c r="O140" s="133"/>
      <c r="P140" s="133"/>
      <c r="Q140" s="842"/>
      <c r="R140" s="842"/>
      <c r="S140" s="842"/>
      <c r="T140" s="73">
        <f>SUM(U140:V140)</f>
        <v>0</v>
      </c>
      <c r="U140" s="133"/>
      <c r="V140" s="133"/>
      <c r="W140" s="729" t="s">
        <v>1528</v>
      </c>
      <c r="X140" s="644"/>
      <c r="Y140" s="133"/>
      <c r="Z140" s="657" t="s">
        <v>1493</v>
      </c>
      <c r="AA140" s="551"/>
      <c r="AB140" s="551"/>
      <c r="AC140" s="551"/>
      <c r="AD140" s="551"/>
      <c r="AE140" s="551"/>
    </row>
    <row r="141" spans="1:38" s="2" customFormat="1" ht="89.25">
      <c r="A141" s="97" t="s">
        <v>41</v>
      </c>
      <c r="B141" s="93" t="s">
        <v>332</v>
      </c>
      <c r="C141" s="101" t="s">
        <v>60</v>
      </c>
      <c r="D141" s="101" t="s">
        <v>333</v>
      </c>
      <c r="E141" s="137" t="s">
        <v>334</v>
      </c>
      <c r="F141" s="100" t="s">
        <v>335</v>
      </c>
      <c r="G141" s="22">
        <v>72924</v>
      </c>
      <c r="H141" s="22">
        <v>47400</v>
      </c>
      <c r="I141" s="22">
        <f>25414+10000+894</f>
        <v>36308</v>
      </c>
      <c r="J141" s="22">
        <f>10000+500+285</f>
        <v>10785</v>
      </c>
      <c r="K141" s="22">
        <f>G141-24629-785</f>
        <v>47510</v>
      </c>
      <c r="L141" s="22">
        <v>46615</v>
      </c>
      <c r="M141" s="22"/>
      <c r="N141" s="133">
        <v>20000</v>
      </c>
      <c r="O141" s="133">
        <v>20000</v>
      </c>
      <c r="P141" s="133"/>
      <c r="Q141" s="842"/>
      <c r="R141" s="842"/>
      <c r="S141" s="842"/>
      <c r="T141" s="133"/>
      <c r="U141" s="133"/>
      <c r="V141" s="133"/>
      <c r="W141" s="729" t="s">
        <v>1520</v>
      </c>
      <c r="X141" s="644"/>
      <c r="Y141" s="133"/>
      <c r="Z141" s="657" t="s">
        <v>1493</v>
      </c>
      <c r="AA141" s="551"/>
      <c r="AB141" s="551"/>
      <c r="AC141" s="551"/>
      <c r="AD141" s="551"/>
      <c r="AE141" s="551"/>
    </row>
    <row r="142" spans="1:38" s="2" customFormat="1" ht="40.5" customHeight="1">
      <c r="A142" s="97" t="s">
        <v>58</v>
      </c>
      <c r="B142" s="68" t="s">
        <v>336</v>
      </c>
      <c r="C142" s="19" t="s">
        <v>143</v>
      </c>
      <c r="D142" s="101" t="s">
        <v>337</v>
      </c>
      <c r="E142" s="70" t="s">
        <v>338</v>
      </c>
      <c r="F142" s="100" t="s">
        <v>339</v>
      </c>
      <c r="G142" s="22">
        <v>206260</v>
      </c>
      <c r="H142" s="22">
        <v>100</v>
      </c>
      <c r="I142" s="22">
        <f>49106+J142</f>
        <v>49251</v>
      </c>
      <c r="J142" s="22">
        <f>45+100</f>
        <v>145</v>
      </c>
      <c r="K142" s="22">
        <v>161263</v>
      </c>
      <c r="L142" s="22">
        <v>100</v>
      </c>
      <c r="M142" s="22"/>
      <c r="N142" s="133">
        <v>30000</v>
      </c>
      <c r="O142" s="133"/>
      <c r="P142" s="133"/>
      <c r="Q142" s="842"/>
      <c r="R142" s="842"/>
      <c r="S142" s="842"/>
      <c r="T142" s="133"/>
      <c r="U142" s="133"/>
      <c r="V142" s="133"/>
      <c r="W142" s="729" t="s">
        <v>1520</v>
      </c>
      <c r="X142" s="728"/>
      <c r="Y142" s="133"/>
      <c r="Z142" s="657"/>
      <c r="AA142" s="551"/>
      <c r="AB142" s="551"/>
      <c r="AC142" s="551"/>
      <c r="AD142" s="551"/>
      <c r="AE142" s="551"/>
    </row>
    <row r="143" spans="1:38" s="2" customFormat="1" ht="60">
      <c r="A143" s="190" t="s">
        <v>69</v>
      </c>
      <c r="B143" s="183" t="s">
        <v>442</v>
      </c>
      <c r="C143" s="191" t="s">
        <v>29</v>
      </c>
      <c r="D143" s="162" t="s">
        <v>443</v>
      </c>
      <c r="E143" s="163" t="s">
        <v>120</v>
      </c>
      <c r="F143" s="696" t="s">
        <v>444</v>
      </c>
      <c r="G143" s="164">
        <v>87409</v>
      </c>
      <c r="H143" s="173">
        <v>40000</v>
      </c>
      <c r="I143" s="173">
        <v>14900</v>
      </c>
      <c r="J143" s="173">
        <v>10000</v>
      </c>
      <c r="K143" s="164">
        <v>87409</v>
      </c>
      <c r="L143" s="173">
        <v>40000</v>
      </c>
      <c r="M143" s="22"/>
      <c r="N143" s="133">
        <v>20000</v>
      </c>
      <c r="O143" s="133">
        <v>10000</v>
      </c>
      <c r="P143" s="133"/>
      <c r="Q143" s="842"/>
      <c r="R143" s="842"/>
      <c r="S143" s="842"/>
      <c r="T143" s="133"/>
      <c r="U143" s="133"/>
      <c r="V143" s="133"/>
      <c r="W143" s="729" t="s">
        <v>1527</v>
      </c>
      <c r="X143" s="644"/>
      <c r="Y143" s="133"/>
      <c r="Z143" s="657" t="s">
        <v>1493</v>
      </c>
      <c r="AA143" s="551"/>
      <c r="AB143" s="551"/>
      <c r="AC143" s="551"/>
      <c r="AD143" s="551"/>
      <c r="AE143" s="551"/>
    </row>
    <row r="144" spans="1:38" s="25" customFormat="1" ht="60">
      <c r="A144" s="17" t="s">
        <v>179</v>
      </c>
      <c r="B144" s="292" t="s">
        <v>80</v>
      </c>
      <c r="C144" s="19" t="s">
        <v>29</v>
      </c>
      <c r="D144" s="32" t="s">
        <v>81</v>
      </c>
      <c r="E144" s="20" t="s">
        <v>235</v>
      </c>
      <c r="F144" s="80" t="s">
        <v>83</v>
      </c>
      <c r="G144" s="21">
        <v>221846</v>
      </c>
      <c r="H144" s="21">
        <v>93356</v>
      </c>
      <c r="I144" s="22">
        <v>69000</v>
      </c>
      <c r="J144" s="22">
        <v>69000</v>
      </c>
      <c r="K144" s="22">
        <v>161846</v>
      </c>
      <c r="L144" s="22">
        <v>33356</v>
      </c>
      <c r="M144" s="22"/>
      <c r="N144" s="22">
        <f>+O144</f>
        <v>24757</v>
      </c>
      <c r="O144" s="22">
        <v>24757</v>
      </c>
      <c r="P144" s="22"/>
      <c r="Q144" s="833">
        <f>SUM(R144:S144)</f>
        <v>24757</v>
      </c>
      <c r="R144" s="853">
        <v>24757</v>
      </c>
      <c r="S144" s="853"/>
      <c r="T144" s="73">
        <f>SUM(U144:V144)</f>
        <v>0</v>
      </c>
      <c r="U144" s="22"/>
      <c r="V144" s="22"/>
      <c r="W144" s="691" t="s">
        <v>1527</v>
      </c>
      <c r="X144" s="24" t="s">
        <v>1493</v>
      </c>
      <c r="Y144" s="22"/>
      <c r="Z144" s="657" t="s">
        <v>1493</v>
      </c>
      <c r="AA144" s="969"/>
      <c r="AB144" s="969"/>
      <c r="AC144" s="553"/>
      <c r="AD144" s="553"/>
      <c r="AE144" s="553"/>
    </row>
    <row r="145" spans="1:38" s="25" customFormat="1" ht="60">
      <c r="A145" s="17" t="s">
        <v>182</v>
      </c>
      <c r="B145" s="292" t="s">
        <v>89</v>
      </c>
      <c r="C145" s="32" t="s">
        <v>66</v>
      </c>
      <c r="D145" s="32" t="s">
        <v>90</v>
      </c>
      <c r="E145" s="39" t="s">
        <v>45</v>
      </c>
      <c r="F145" s="710" t="s">
        <v>91</v>
      </c>
      <c r="G145" s="22">
        <v>9552</v>
      </c>
      <c r="H145" s="22">
        <v>5521</v>
      </c>
      <c r="I145" s="38">
        <v>1000</v>
      </c>
      <c r="J145" s="38">
        <v>1000</v>
      </c>
      <c r="K145" s="22">
        <v>9552</v>
      </c>
      <c r="L145" s="22">
        <v>5521</v>
      </c>
      <c r="M145" s="22"/>
      <c r="N145" s="22">
        <f>+O145</f>
        <v>4500</v>
      </c>
      <c r="O145" s="22">
        <v>4500</v>
      </c>
      <c r="P145" s="22"/>
      <c r="Q145" s="833">
        <f>SUM(R145:S145)</f>
        <v>3521</v>
      </c>
      <c r="R145" s="853">
        <v>3521</v>
      </c>
      <c r="S145" s="853"/>
      <c r="T145" s="73">
        <f>SUM(U145:V145)</f>
        <v>0</v>
      </c>
      <c r="U145" s="22"/>
      <c r="V145" s="22"/>
      <c r="W145" s="691" t="s">
        <v>1526</v>
      </c>
      <c r="X145" s="24" t="s">
        <v>1493</v>
      </c>
      <c r="Y145" s="22"/>
      <c r="Z145" s="657" t="s">
        <v>1493</v>
      </c>
      <c r="AA145" s="969"/>
      <c r="AB145" s="969"/>
      <c r="AC145" s="553"/>
      <c r="AD145" s="553"/>
      <c r="AE145" s="553"/>
    </row>
    <row r="146" spans="1:38" s="25" customFormat="1" ht="60">
      <c r="A146" s="17" t="s">
        <v>187</v>
      </c>
      <c r="B146" s="292" t="s">
        <v>111</v>
      </c>
      <c r="C146" s="19" t="s">
        <v>112</v>
      </c>
      <c r="D146" s="32" t="s">
        <v>113</v>
      </c>
      <c r="E146" s="40" t="s">
        <v>114</v>
      </c>
      <c r="F146" s="80" t="s">
        <v>115</v>
      </c>
      <c r="G146" s="21">
        <v>6945</v>
      </c>
      <c r="H146" s="21">
        <v>3952</v>
      </c>
      <c r="I146" s="38">
        <v>2380</v>
      </c>
      <c r="J146" s="38">
        <v>2380</v>
      </c>
      <c r="K146" s="22">
        <v>6145</v>
      </c>
      <c r="L146" s="22">
        <v>3152</v>
      </c>
      <c r="M146" s="22"/>
      <c r="N146" s="22">
        <f>+O146</f>
        <v>2372</v>
      </c>
      <c r="O146" s="22">
        <v>2372</v>
      </c>
      <c r="P146" s="22"/>
      <c r="Q146" s="833">
        <f>SUM(R146:S146)</f>
        <v>2372</v>
      </c>
      <c r="R146" s="853">
        <v>2372</v>
      </c>
      <c r="S146" s="853"/>
      <c r="T146" s="73">
        <f>SUM(U146:V146)</f>
        <v>0</v>
      </c>
      <c r="U146" s="22"/>
      <c r="V146" s="22"/>
      <c r="W146" s="691" t="s">
        <v>1529</v>
      </c>
      <c r="X146" s="24" t="s">
        <v>1493</v>
      </c>
      <c r="Y146" s="22"/>
      <c r="Z146" s="657" t="s">
        <v>1493</v>
      </c>
      <c r="AA146" s="969"/>
      <c r="AB146" s="969"/>
      <c r="AC146" s="553"/>
      <c r="AD146" s="553"/>
      <c r="AE146" s="553"/>
    </row>
    <row r="148" spans="1:38" s="54" customFormat="1" ht="120">
      <c r="A148" s="215">
        <v>1</v>
      </c>
      <c r="B148" s="282" t="s">
        <v>741</v>
      </c>
      <c r="C148" s="32" t="s">
        <v>742</v>
      </c>
      <c r="D148" s="101" t="s">
        <v>743</v>
      </c>
      <c r="E148" s="39" t="s">
        <v>120</v>
      </c>
      <c r="F148" s="100" t="s">
        <v>744</v>
      </c>
      <c r="G148" s="22">
        <v>148593</v>
      </c>
      <c r="H148" s="22">
        <v>48593</v>
      </c>
      <c r="I148" s="22">
        <v>15184</v>
      </c>
      <c r="J148" s="22">
        <v>0</v>
      </c>
      <c r="K148" s="22">
        <v>148593</v>
      </c>
      <c r="L148" s="22">
        <v>48593</v>
      </c>
      <c r="M148" s="22"/>
      <c r="N148" s="22">
        <v>0</v>
      </c>
      <c r="O148" s="22">
        <v>0</v>
      </c>
      <c r="P148" s="78"/>
      <c r="Q148" s="853">
        <f>SUM(R148:S148)</f>
        <v>0</v>
      </c>
      <c r="R148" s="853"/>
      <c r="S148" s="853"/>
      <c r="T148" s="73">
        <f>SUM(U148:V148)</f>
        <v>0</v>
      </c>
      <c r="U148" s="22"/>
      <c r="V148" s="22"/>
      <c r="W148" s="513" t="s">
        <v>1517</v>
      </c>
      <c r="X148" s="24"/>
      <c r="Y148" s="22"/>
      <c r="Z148" s="657"/>
      <c r="AA148" s="990"/>
      <c r="AB148" s="811"/>
      <c r="AC148" s="551"/>
      <c r="AD148" s="551"/>
      <c r="AE148" s="551"/>
      <c r="AG148" s="57"/>
      <c r="AH148" s="57"/>
      <c r="AI148" s="57"/>
      <c r="AJ148" s="57"/>
      <c r="AK148" s="57"/>
      <c r="AL148" s="57"/>
    </row>
  </sheetData>
  <mergeCells count="31">
    <mergeCell ref="X41:X42"/>
    <mergeCell ref="I2:J4"/>
    <mergeCell ref="K2:M3"/>
    <mergeCell ref="N2:P3"/>
    <mergeCell ref="Q2:S3"/>
    <mergeCell ref="I5:I6"/>
    <mergeCell ref="J5:J6"/>
    <mergeCell ref="L5:L6"/>
    <mergeCell ref="M5:M6"/>
    <mergeCell ref="O5:O6"/>
    <mergeCell ref="T2:T6"/>
    <mergeCell ref="U2:U6"/>
    <mergeCell ref="K4:K6"/>
    <mergeCell ref="L4:M4"/>
    <mergeCell ref="N4:N6"/>
    <mergeCell ref="O4:P4"/>
    <mergeCell ref="Q4:Q6"/>
    <mergeCell ref="R4:S4"/>
    <mergeCell ref="P5:P6"/>
    <mergeCell ref="R5:R6"/>
    <mergeCell ref="S5:S6"/>
    <mergeCell ref="A2:A6"/>
    <mergeCell ref="B2:B6"/>
    <mergeCell ref="C2:C6"/>
    <mergeCell ref="D2:D6"/>
    <mergeCell ref="E2:E6"/>
    <mergeCell ref="F2:H2"/>
    <mergeCell ref="F3:F6"/>
    <mergeCell ref="G3:H3"/>
    <mergeCell ref="G4:G6"/>
    <mergeCell ref="H4:H6"/>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R887"/>
  <sheetViews>
    <sheetView topLeftCell="A6" zoomScale="85" zoomScaleNormal="85" zoomScalePageLayoutView="85" workbookViewId="0">
      <pane xSplit="2" ySplit="8" topLeftCell="C545" activePane="bottomRight" state="frozen"/>
      <selection activeCell="A6" sqref="A6"/>
      <selection pane="topRight" activeCell="C6" sqref="C6"/>
      <selection pane="bottomLeft" activeCell="A14" sqref="A14"/>
      <selection pane="bottomRight" activeCell="F552" sqref="F552"/>
    </sheetView>
  </sheetViews>
  <sheetFormatPr defaultColWidth="9.140625" defaultRowHeight="18.75"/>
  <cols>
    <col min="1" max="1" width="5.140625" style="52" customWidth="1"/>
    <col min="2" max="2" width="33.28515625" style="53" customWidth="1"/>
    <col min="3" max="3" width="5.5703125" style="55" customWidth="1"/>
    <col min="4" max="4" width="15" style="55" customWidth="1"/>
    <col min="5" max="5" width="10.28515625" style="55" customWidth="1"/>
    <col min="6" max="6" width="16.5703125" style="55" customWidth="1"/>
    <col min="7" max="7" width="11.85546875" style="56" customWidth="1"/>
    <col min="8" max="8" width="11.5703125" style="56" customWidth="1"/>
    <col min="9" max="9" width="11" style="56" customWidth="1"/>
    <col min="10" max="10" width="10.42578125" style="56" customWidth="1"/>
    <col min="11" max="12" width="8.7109375" style="56" customWidth="1"/>
    <col min="13" max="13" width="8.85546875" style="56" customWidth="1"/>
    <col min="14" max="14" width="9.140625" style="56" customWidth="1"/>
    <col min="15" max="16" width="10.85546875" style="56" customWidth="1"/>
    <col min="17" max="18" width="11.5703125" style="56" customWidth="1"/>
    <col min="19" max="19" width="9.28515625" style="56" customWidth="1"/>
    <col min="20" max="21" width="10.42578125" style="56" customWidth="1"/>
    <col min="22" max="22" width="9.28515625" style="56" customWidth="1"/>
    <col min="23" max="23" width="10.7109375" style="54" customWidth="1"/>
    <col min="24" max="25" width="10.42578125" style="548" customWidth="1"/>
    <col min="26" max="26" width="9.28515625" style="548" customWidth="1"/>
    <col min="27" max="27" width="10.7109375" style="2" bestFit="1" customWidth="1"/>
    <col min="28" max="28" width="6.85546875" style="2" hidden="1" customWidth="1"/>
    <col min="29" max="29" width="9.140625" style="2" hidden="1" customWidth="1"/>
    <col min="30" max="30" width="6.140625" style="2" hidden="1" customWidth="1"/>
    <col min="31" max="31" width="9.140625" style="2" hidden="1" customWidth="1"/>
    <col min="32" max="32" width="6.7109375" style="2" hidden="1" customWidth="1"/>
    <col min="33" max="33" width="9.140625" style="2" hidden="1" customWidth="1"/>
    <col min="34" max="34" width="6" style="2" hidden="1" customWidth="1"/>
    <col min="35" max="35" width="10.5703125" style="2" hidden="1" customWidth="1"/>
    <col min="36" max="36" width="6.140625" style="2" hidden="1" customWidth="1"/>
    <col min="37" max="37" width="9.140625" style="2" hidden="1" customWidth="1"/>
    <col min="38" max="38" width="6.28515625" style="2" hidden="1" customWidth="1"/>
    <col min="39" max="39" width="10" style="2" hidden="1" customWidth="1"/>
    <col min="40" max="40" width="6.42578125" style="2" hidden="1" customWidth="1"/>
    <col min="41" max="41" width="9.140625" style="2" hidden="1" customWidth="1"/>
    <col min="42" max="16384" width="9.140625" style="2"/>
  </cols>
  <sheetData>
    <row r="1" spans="1:41" s="1" customFormat="1" ht="32.25" customHeight="1">
      <c r="A1" s="1235" t="s">
        <v>0</v>
      </c>
      <c r="B1" s="1235"/>
      <c r="C1" s="1235"/>
      <c r="D1" s="1235"/>
      <c r="E1" s="1235"/>
      <c r="F1" s="1235"/>
      <c r="G1" s="1235"/>
      <c r="H1" s="1235"/>
      <c r="I1" s="1235"/>
      <c r="J1" s="1235"/>
      <c r="K1" s="1235"/>
      <c r="L1" s="1235"/>
      <c r="M1" s="1235"/>
      <c r="N1" s="1235"/>
      <c r="O1" s="1235"/>
      <c r="P1" s="1235"/>
      <c r="Q1" s="1235"/>
      <c r="R1" s="1235"/>
      <c r="S1" s="1235"/>
      <c r="T1" s="1235"/>
      <c r="U1" s="1235"/>
      <c r="V1" s="1235"/>
      <c r="W1" s="1235"/>
      <c r="X1" s="321"/>
      <c r="Y1" s="321"/>
      <c r="Z1" s="321"/>
    </row>
    <row r="2" spans="1:41" s="1" customFormat="1" ht="20.25">
      <c r="A2" s="1225" t="s">
        <v>1</v>
      </c>
      <c r="B2" s="1225"/>
      <c r="C2" s="1225"/>
      <c r="D2" s="1225"/>
      <c r="E2" s="1225"/>
      <c r="F2" s="1225"/>
      <c r="G2" s="1225"/>
      <c r="H2" s="1225"/>
      <c r="I2" s="1225"/>
      <c r="J2" s="1225"/>
      <c r="K2" s="1225"/>
      <c r="L2" s="1225"/>
      <c r="M2" s="1225"/>
      <c r="N2" s="1225"/>
      <c r="O2" s="1225"/>
      <c r="P2" s="1225"/>
      <c r="Q2" s="1225"/>
      <c r="R2" s="1225"/>
      <c r="S2" s="1225"/>
      <c r="T2" s="1225"/>
      <c r="U2" s="1225"/>
      <c r="V2" s="1225"/>
      <c r="W2" s="1225"/>
      <c r="X2" s="322"/>
      <c r="Y2" s="322"/>
      <c r="Z2" s="322"/>
    </row>
    <row r="3" spans="1:41" ht="26.45" customHeight="1">
      <c r="A3" s="1226" t="s">
        <v>2</v>
      </c>
      <c r="B3" s="1226"/>
      <c r="C3" s="1226"/>
      <c r="D3" s="1226"/>
      <c r="E3" s="1226"/>
      <c r="F3" s="1226"/>
      <c r="G3" s="1226"/>
      <c r="H3" s="1226"/>
      <c r="I3" s="1226"/>
      <c r="J3" s="1226"/>
      <c r="K3" s="1226"/>
      <c r="L3" s="1226"/>
      <c r="M3" s="1226"/>
      <c r="N3" s="1226"/>
      <c r="O3" s="1226"/>
      <c r="P3" s="1226"/>
      <c r="Q3" s="1226"/>
      <c r="R3" s="1226"/>
      <c r="S3" s="1226"/>
      <c r="T3" s="1226"/>
      <c r="U3" s="1226"/>
      <c r="V3" s="1226"/>
      <c r="W3" s="1226"/>
      <c r="X3" s="323"/>
      <c r="Y3" s="323"/>
      <c r="Z3" s="323"/>
    </row>
    <row r="4" spans="1:41" ht="30" customHeight="1">
      <c r="A4" s="1227" t="s">
        <v>3</v>
      </c>
      <c r="B4" s="1227"/>
      <c r="C4" s="1227"/>
      <c r="D4" s="1227"/>
      <c r="E4" s="1227"/>
      <c r="F4" s="1227"/>
      <c r="G4" s="1227"/>
      <c r="H4" s="1227"/>
      <c r="I4" s="1227"/>
      <c r="J4" s="1227"/>
      <c r="K4" s="1227"/>
      <c r="L4" s="1227"/>
      <c r="M4" s="1227"/>
      <c r="N4" s="1227"/>
      <c r="O4" s="1227"/>
      <c r="P4" s="1227"/>
      <c r="Q4" s="1227"/>
      <c r="R4" s="1227"/>
      <c r="S4" s="1227"/>
      <c r="T4" s="1227"/>
      <c r="U4" s="1227"/>
      <c r="V4" s="1227"/>
      <c r="W4" s="1227"/>
      <c r="X4" s="324"/>
      <c r="Y4" s="324"/>
      <c r="Z4" s="324"/>
      <c r="AA4" s="325"/>
      <c r="AB4" s="325"/>
      <c r="AC4" s="325"/>
      <c r="AD4" s="325"/>
      <c r="AL4" s="325"/>
      <c r="AM4" s="325"/>
      <c r="AN4" s="325"/>
      <c r="AO4" s="325"/>
    </row>
    <row r="5" spans="1:41" ht="20.25">
      <c r="A5" s="1236" t="s">
        <v>4</v>
      </c>
      <c r="B5" s="1236"/>
      <c r="C5" s="1236"/>
      <c r="D5" s="1236"/>
      <c r="E5" s="1236"/>
      <c r="F5" s="1236"/>
      <c r="G5" s="1236"/>
      <c r="H5" s="1236"/>
      <c r="I5" s="1236"/>
      <c r="J5" s="1236"/>
      <c r="K5" s="1236"/>
      <c r="L5" s="1236"/>
      <c r="M5" s="1236"/>
      <c r="N5" s="1236"/>
      <c r="O5" s="1236"/>
      <c r="P5" s="1236"/>
      <c r="Q5" s="1236"/>
      <c r="R5" s="1236"/>
      <c r="S5" s="1236"/>
      <c r="T5" s="1236"/>
      <c r="U5" s="1236"/>
      <c r="V5" s="1236"/>
      <c r="W5" s="1236"/>
      <c r="X5" s="326"/>
      <c r="Y5" s="326"/>
      <c r="Z5" s="326"/>
    </row>
    <row r="6" spans="1:41" s="3" customFormat="1" ht="30.75" customHeight="1">
      <c r="A6" s="1223" t="s">
        <v>5</v>
      </c>
      <c r="B6" s="1237" t="s">
        <v>6</v>
      </c>
      <c r="C6" s="1223" t="s">
        <v>7</v>
      </c>
      <c r="D6" s="1223" t="s">
        <v>8</v>
      </c>
      <c r="E6" s="1224" t="s">
        <v>9</v>
      </c>
      <c r="F6" s="1220" t="s">
        <v>10</v>
      </c>
      <c r="G6" s="1220"/>
      <c r="H6" s="1220"/>
      <c r="I6" s="1259" t="s">
        <v>11</v>
      </c>
      <c r="J6" s="1260"/>
      <c r="K6" s="1260"/>
      <c r="L6" s="1260"/>
      <c r="M6" s="1260"/>
      <c r="N6" s="1261"/>
      <c r="O6" s="1262" t="s">
        <v>12</v>
      </c>
      <c r="P6" s="1263"/>
      <c r="Q6" s="1262" t="s">
        <v>1207</v>
      </c>
      <c r="R6" s="1268"/>
      <c r="S6" s="1263"/>
      <c r="T6" s="1262" t="s">
        <v>1208</v>
      </c>
      <c r="U6" s="1268"/>
      <c r="V6" s="1263"/>
      <c r="W6" s="1220" t="s">
        <v>15</v>
      </c>
      <c r="X6" s="1244" t="s">
        <v>1209</v>
      </c>
      <c r="Y6" s="1245"/>
      <c r="Z6" s="1246"/>
      <c r="AB6" s="1242" t="s">
        <v>1210</v>
      </c>
      <c r="AC6" s="1242"/>
      <c r="AD6" s="1243" t="s">
        <v>1211</v>
      </c>
      <c r="AE6" s="1243"/>
      <c r="AF6" s="1243"/>
      <c r="AG6" s="1243"/>
      <c r="AH6" s="1243" t="s">
        <v>1212</v>
      </c>
      <c r="AI6" s="1243"/>
      <c r="AJ6" s="1243"/>
      <c r="AK6" s="1257"/>
      <c r="AL6" s="1258" t="s">
        <v>1213</v>
      </c>
      <c r="AM6" s="1243"/>
      <c r="AN6" s="1243"/>
      <c r="AO6" s="1243"/>
    </row>
    <row r="7" spans="1:41" s="3" customFormat="1" ht="22.5" customHeight="1">
      <c r="A7" s="1223"/>
      <c r="B7" s="1238"/>
      <c r="C7" s="1223"/>
      <c r="D7" s="1223"/>
      <c r="E7" s="1224"/>
      <c r="F7" s="1220" t="s">
        <v>16</v>
      </c>
      <c r="G7" s="1220" t="s">
        <v>17</v>
      </c>
      <c r="H7" s="1220"/>
      <c r="I7" s="1253" t="s">
        <v>18</v>
      </c>
      <c r="J7" s="1254"/>
      <c r="K7" s="1253" t="s">
        <v>19</v>
      </c>
      <c r="L7" s="1254"/>
      <c r="M7" s="1253" t="s">
        <v>1214</v>
      </c>
      <c r="N7" s="1254"/>
      <c r="O7" s="1264"/>
      <c r="P7" s="1265"/>
      <c r="Q7" s="1266"/>
      <c r="R7" s="1269"/>
      <c r="S7" s="1267"/>
      <c r="T7" s="1266"/>
      <c r="U7" s="1269"/>
      <c r="V7" s="1267"/>
      <c r="W7" s="1220"/>
      <c r="X7" s="1247"/>
      <c r="Y7" s="1248"/>
      <c r="Z7" s="1249"/>
      <c r="AB7" s="1242"/>
      <c r="AC7" s="1242"/>
      <c r="AD7" s="1243"/>
      <c r="AE7" s="1243"/>
      <c r="AF7" s="1243"/>
      <c r="AG7" s="1243"/>
      <c r="AH7" s="1243"/>
      <c r="AI7" s="1243"/>
      <c r="AJ7" s="1243"/>
      <c r="AK7" s="1257"/>
      <c r="AL7" s="1258"/>
      <c r="AM7" s="1243"/>
      <c r="AN7" s="1243"/>
      <c r="AO7" s="1243"/>
    </row>
    <row r="8" spans="1:41" s="3" customFormat="1" ht="40.5" customHeight="1">
      <c r="A8" s="1223"/>
      <c r="B8" s="1238"/>
      <c r="C8" s="1223"/>
      <c r="D8" s="1223"/>
      <c r="E8" s="1224"/>
      <c r="F8" s="1220"/>
      <c r="G8" s="1217" t="s">
        <v>20</v>
      </c>
      <c r="H8" s="1217" t="s">
        <v>21</v>
      </c>
      <c r="I8" s="1255"/>
      <c r="J8" s="1256"/>
      <c r="K8" s="1255"/>
      <c r="L8" s="1256"/>
      <c r="M8" s="1255"/>
      <c r="N8" s="1256"/>
      <c r="O8" s="1266"/>
      <c r="P8" s="1267"/>
      <c r="Q8" s="1220" t="s">
        <v>20</v>
      </c>
      <c r="R8" s="1220" t="s">
        <v>21</v>
      </c>
      <c r="S8" s="1220"/>
      <c r="T8" s="1220" t="s">
        <v>20</v>
      </c>
      <c r="U8" s="1220" t="s">
        <v>21</v>
      </c>
      <c r="V8" s="1220"/>
      <c r="W8" s="1220"/>
      <c r="X8" s="1250" t="s">
        <v>20</v>
      </c>
      <c r="Y8" s="1250" t="s">
        <v>21</v>
      </c>
      <c r="Z8" s="1250"/>
      <c r="AB8" s="1258" t="s">
        <v>22</v>
      </c>
      <c r="AC8" s="1243"/>
      <c r="AD8" s="1243" t="s">
        <v>22</v>
      </c>
      <c r="AE8" s="1243"/>
      <c r="AF8" s="1243" t="s">
        <v>1215</v>
      </c>
      <c r="AG8" s="1243"/>
      <c r="AH8" s="1243" t="s">
        <v>22</v>
      </c>
      <c r="AI8" s="1243"/>
      <c r="AJ8" s="1243" t="s">
        <v>1216</v>
      </c>
      <c r="AK8" s="1257"/>
      <c r="AL8" s="1258" t="s">
        <v>22</v>
      </c>
      <c r="AM8" s="1243"/>
      <c r="AN8" s="1243" t="s">
        <v>1217</v>
      </c>
      <c r="AO8" s="1243"/>
    </row>
    <row r="9" spans="1:41" s="3" customFormat="1" ht="15.75" customHeight="1">
      <c r="A9" s="1223"/>
      <c r="B9" s="1238"/>
      <c r="C9" s="1223"/>
      <c r="D9" s="1223"/>
      <c r="E9" s="1224"/>
      <c r="F9" s="1220"/>
      <c r="G9" s="1218"/>
      <c r="H9" s="1270"/>
      <c r="I9" s="1217" t="s">
        <v>20</v>
      </c>
      <c r="J9" s="1217" t="s">
        <v>21</v>
      </c>
      <c r="K9" s="1217" t="s">
        <v>20</v>
      </c>
      <c r="L9" s="1217" t="s">
        <v>21</v>
      </c>
      <c r="M9" s="1217" t="s">
        <v>20</v>
      </c>
      <c r="N9" s="1217" t="s">
        <v>21</v>
      </c>
      <c r="O9" s="1217" t="s">
        <v>20</v>
      </c>
      <c r="P9" s="1217" t="s">
        <v>21</v>
      </c>
      <c r="Q9" s="1220"/>
      <c r="R9" s="1220" t="s">
        <v>22</v>
      </c>
      <c r="S9" s="1240" t="s">
        <v>23</v>
      </c>
      <c r="T9" s="1220"/>
      <c r="U9" s="1220" t="s">
        <v>22</v>
      </c>
      <c r="V9" s="1240" t="s">
        <v>23</v>
      </c>
      <c r="W9" s="1220"/>
      <c r="X9" s="1250"/>
      <c r="Y9" s="1250" t="s">
        <v>22</v>
      </c>
      <c r="Z9" s="1251" t="s">
        <v>23</v>
      </c>
      <c r="AB9" s="1258"/>
      <c r="AC9" s="1243"/>
      <c r="AD9" s="1243"/>
      <c r="AE9" s="1243"/>
      <c r="AF9" s="1243"/>
      <c r="AG9" s="1243"/>
      <c r="AH9" s="1243"/>
      <c r="AI9" s="1243"/>
      <c r="AJ9" s="1243"/>
      <c r="AK9" s="1257"/>
      <c r="AL9" s="1258"/>
      <c r="AM9" s="1243"/>
      <c r="AN9" s="1243"/>
      <c r="AO9" s="1243"/>
    </row>
    <row r="10" spans="1:41" s="3" customFormat="1" ht="15.75">
      <c r="A10" s="1223"/>
      <c r="B10" s="1239"/>
      <c r="C10" s="1223"/>
      <c r="D10" s="1223"/>
      <c r="E10" s="1224"/>
      <c r="F10" s="1220"/>
      <c r="G10" s="1219"/>
      <c r="H10" s="1271"/>
      <c r="I10" s="1219"/>
      <c r="J10" s="1219"/>
      <c r="K10" s="1219"/>
      <c r="L10" s="1219"/>
      <c r="M10" s="1219"/>
      <c r="N10" s="1219"/>
      <c r="O10" s="1219"/>
      <c r="P10" s="1219"/>
      <c r="Q10" s="1220"/>
      <c r="R10" s="1220"/>
      <c r="S10" s="1241"/>
      <c r="T10" s="1220"/>
      <c r="U10" s="1220"/>
      <c r="V10" s="1241"/>
      <c r="W10" s="1220"/>
      <c r="X10" s="1250"/>
      <c r="Y10" s="1250"/>
      <c r="Z10" s="1252"/>
      <c r="AB10" s="1258"/>
      <c r="AC10" s="1243"/>
      <c r="AD10" s="1243"/>
      <c r="AE10" s="1243"/>
      <c r="AF10" s="1243"/>
      <c r="AG10" s="1243"/>
      <c r="AH10" s="1243"/>
      <c r="AI10" s="1243"/>
      <c r="AJ10" s="1243"/>
      <c r="AK10" s="1257"/>
      <c r="AL10" s="1258"/>
      <c r="AM10" s="1243"/>
      <c r="AN10" s="1243"/>
      <c r="AO10" s="1243"/>
    </row>
    <row r="11" spans="1:41" s="5" customFormat="1" ht="15.75">
      <c r="A11" s="327">
        <v>1</v>
      </c>
      <c r="B11" s="327">
        <v>2</v>
      </c>
      <c r="C11" s="327">
        <v>3</v>
      </c>
      <c r="D11" s="327">
        <v>4</v>
      </c>
      <c r="E11" s="328">
        <v>5</v>
      </c>
      <c r="F11" s="319">
        <v>6</v>
      </c>
      <c r="G11" s="327">
        <v>7</v>
      </c>
      <c r="H11" s="327">
        <v>8</v>
      </c>
      <c r="I11" s="327">
        <v>9</v>
      </c>
      <c r="J11" s="327">
        <v>10</v>
      </c>
      <c r="K11" s="327">
        <v>11</v>
      </c>
      <c r="L11" s="327">
        <v>12</v>
      </c>
      <c r="M11" s="327">
        <v>13</v>
      </c>
      <c r="N11" s="327">
        <v>14</v>
      </c>
      <c r="O11" s="327">
        <v>15</v>
      </c>
      <c r="P11" s="327">
        <v>16</v>
      </c>
      <c r="Q11" s="327">
        <v>17</v>
      </c>
      <c r="R11" s="327">
        <v>18</v>
      </c>
      <c r="S11" s="327">
        <v>19</v>
      </c>
      <c r="T11" s="327">
        <v>20</v>
      </c>
      <c r="U11" s="327">
        <v>21</v>
      </c>
      <c r="V11" s="327">
        <v>22</v>
      </c>
      <c r="W11" s="242">
        <v>23</v>
      </c>
      <c r="X11" s="329">
        <v>20</v>
      </c>
      <c r="Y11" s="329">
        <v>21</v>
      </c>
      <c r="Z11" s="329">
        <v>22</v>
      </c>
      <c r="AB11" s="1243" t="s">
        <v>1218</v>
      </c>
      <c r="AC11" s="1243" t="s">
        <v>1219</v>
      </c>
      <c r="AD11" s="1243" t="s">
        <v>1218</v>
      </c>
      <c r="AE11" s="1243" t="s">
        <v>1219</v>
      </c>
      <c r="AF11" s="1243" t="s">
        <v>1218</v>
      </c>
      <c r="AG11" s="1243" t="s">
        <v>1219</v>
      </c>
      <c r="AH11" s="1243" t="s">
        <v>1218</v>
      </c>
      <c r="AI11" s="1243" t="s">
        <v>1219</v>
      </c>
      <c r="AJ11" s="1243" t="s">
        <v>1218</v>
      </c>
      <c r="AK11" s="1243" t="s">
        <v>1219</v>
      </c>
      <c r="AL11" s="1243" t="s">
        <v>1218</v>
      </c>
      <c r="AM11" s="1243" t="s">
        <v>1219</v>
      </c>
      <c r="AN11" s="1243" t="s">
        <v>1218</v>
      </c>
      <c r="AO11" s="1243" t="s">
        <v>1219</v>
      </c>
    </row>
    <row r="12" spans="1:41" s="5" customFormat="1" ht="15.75">
      <c r="A12" s="320"/>
      <c r="B12" s="330"/>
      <c r="C12" s="320"/>
      <c r="D12" s="320"/>
      <c r="E12" s="331"/>
      <c r="F12" s="332"/>
      <c r="G12" s="320"/>
      <c r="H12" s="320"/>
      <c r="I12" s="320"/>
      <c r="J12" s="333">
        <f>2365800-J13</f>
        <v>0</v>
      </c>
      <c r="K12" s="320"/>
      <c r="L12" s="320"/>
      <c r="M12" s="320"/>
      <c r="N12" s="320"/>
      <c r="O12" s="320"/>
      <c r="P12" s="320"/>
      <c r="Q12" s="320"/>
      <c r="R12" s="320"/>
      <c r="S12" s="320"/>
      <c r="T12" s="320"/>
      <c r="U12" s="333">
        <f>2704380-U13</f>
        <v>500</v>
      </c>
      <c r="V12" s="320"/>
      <c r="W12" s="334"/>
      <c r="X12" s="335"/>
      <c r="Y12" s="336">
        <f>2704380-Y13</f>
        <v>-414431</v>
      </c>
      <c r="Z12" s="335"/>
      <c r="AB12" s="1243"/>
      <c r="AC12" s="1243"/>
      <c r="AD12" s="1243"/>
      <c r="AE12" s="1243"/>
      <c r="AF12" s="1243"/>
      <c r="AG12" s="1243"/>
      <c r="AH12" s="1243"/>
      <c r="AI12" s="1243"/>
      <c r="AJ12" s="1243"/>
      <c r="AK12" s="1243"/>
      <c r="AL12" s="1243"/>
      <c r="AM12" s="1243"/>
      <c r="AN12" s="1243"/>
      <c r="AO12" s="1243"/>
    </row>
    <row r="13" spans="1:41" s="10" customFormat="1" ht="29.25" customHeight="1">
      <c r="A13" s="6"/>
      <c r="B13" s="337" t="s">
        <v>24</v>
      </c>
      <c r="C13" s="7"/>
      <c r="D13" s="7"/>
      <c r="E13" s="8"/>
      <c r="F13" s="7"/>
      <c r="G13" s="9">
        <f t="shared" ref="G13:V13" si="0">SUM(G15,G65,G92,G115,G172,G196,G240,G271,G285,G298,G337,G394,G464,G498,G554,G592,G593,G596,)</f>
        <v>29149250.079000004</v>
      </c>
      <c r="H13" s="9">
        <f t="shared" si="0"/>
        <v>13646468.278999999</v>
      </c>
      <c r="I13" s="9">
        <f t="shared" si="0"/>
        <v>3193252</v>
      </c>
      <c r="J13" s="9">
        <f t="shared" si="0"/>
        <v>2365800</v>
      </c>
      <c r="K13" s="9">
        <f t="shared" si="0"/>
        <v>454310</v>
      </c>
      <c r="L13" s="9">
        <f t="shared" si="0"/>
        <v>366246</v>
      </c>
      <c r="M13" s="9">
        <f t="shared" si="0"/>
        <v>835527.81</v>
      </c>
      <c r="N13" s="9">
        <f t="shared" si="0"/>
        <v>490760.91</v>
      </c>
      <c r="O13" s="9">
        <f t="shared" si="0"/>
        <v>8270898.1909999996</v>
      </c>
      <c r="P13" s="9">
        <f t="shared" si="0"/>
        <v>4450261.1909999996</v>
      </c>
      <c r="Q13" s="9">
        <f t="shared" si="0"/>
        <v>22674521.872000001</v>
      </c>
      <c r="R13" s="9">
        <f t="shared" si="0"/>
        <v>11802550.971999999</v>
      </c>
      <c r="S13" s="9">
        <f t="shared" si="0"/>
        <v>0</v>
      </c>
      <c r="T13" s="9">
        <f t="shared" si="0"/>
        <v>4813306</v>
      </c>
      <c r="U13" s="9">
        <f t="shared" si="0"/>
        <v>2703880</v>
      </c>
      <c r="V13" s="9">
        <f t="shared" si="0"/>
        <v>0</v>
      </c>
      <c r="W13" s="338"/>
      <c r="X13" s="339">
        <f>SUM(X15,X65,X92,X115,X172,X196,X240,X271,X285,X298,X337,X394,X464,X498,X554,X592,X593,X596,)</f>
        <v>5130320</v>
      </c>
      <c r="Y13" s="339">
        <f>SUM(Y15,Y65,Y92,Y115,Y172,Y196,Y240,Y271,Y285,Y298,Y337,Y394,Y464,Y498,Y554,Y592,Y593,Y596,)</f>
        <v>3118811</v>
      </c>
      <c r="Z13" s="339">
        <f>SUM(Z15,Z65,Z92,Z115,Z172,Z196,Z240,Z271,Z285,Z298,Z337,Z394,Z464,Z498,Z554,Z592,Z593,Z596,)</f>
        <v>0</v>
      </c>
      <c r="AB13" s="9" t="e">
        <f t="shared" ref="AB13:AO13" si="1">SUM(AB15,AB65,AB92,AB115,AB172,AB196,AB240,AB271,AB285,AB298,AB337,AB394,AB464,AB498,AB554,AB592,AB593,AB596,)</f>
        <v>#REF!</v>
      </c>
      <c r="AC13" s="9" t="e">
        <f t="shared" si="1"/>
        <v>#REF!</v>
      </c>
      <c r="AD13" s="9" t="e">
        <f t="shared" si="1"/>
        <v>#REF!</v>
      </c>
      <c r="AE13" s="9" t="e">
        <f t="shared" si="1"/>
        <v>#REF!</v>
      </c>
      <c r="AF13" s="9" t="e">
        <f t="shared" si="1"/>
        <v>#REF!</v>
      </c>
      <c r="AG13" s="9" t="e">
        <f t="shared" si="1"/>
        <v>#REF!</v>
      </c>
      <c r="AH13" s="9" t="e">
        <f t="shared" si="1"/>
        <v>#REF!</v>
      </c>
      <c r="AI13" s="9" t="e">
        <f t="shared" si="1"/>
        <v>#REF!</v>
      </c>
      <c r="AJ13" s="9" t="e">
        <f t="shared" si="1"/>
        <v>#REF!</v>
      </c>
      <c r="AK13" s="9" t="e">
        <f t="shared" si="1"/>
        <v>#REF!</v>
      </c>
      <c r="AL13" s="9" t="e">
        <f t="shared" si="1"/>
        <v>#REF!</v>
      </c>
      <c r="AM13" s="9" t="e">
        <f t="shared" si="1"/>
        <v>#REF!</v>
      </c>
      <c r="AN13" s="9" t="e">
        <f t="shared" si="1"/>
        <v>#REF!</v>
      </c>
      <c r="AO13" s="9" t="e">
        <f t="shared" si="1"/>
        <v>#REF!</v>
      </c>
    </row>
    <row r="14" spans="1:41" s="5" customFormat="1" ht="15.75">
      <c r="A14" s="340"/>
      <c r="B14" s="341"/>
      <c r="C14" s="342"/>
      <c r="D14" s="342"/>
      <c r="E14" s="343"/>
      <c r="F14" s="342"/>
      <c r="G14" s="344"/>
      <c r="H14" s="344"/>
      <c r="I14" s="344"/>
      <c r="J14" s="344">
        <f>215695+27268-J15</f>
        <v>0</v>
      </c>
      <c r="K14" s="344"/>
      <c r="L14" s="344"/>
      <c r="M14" s="344"/>
      <c r="N14" s="344"/>
      <c r="O14" s="344"/>
      <c r="P14" s="344"/>
      <c r="Q14" s="344"/>
      <c r="R14" s="344"/>
      <c r="S14" s="344"/>
      <c r="T14" s="344"/>
      <c r="U14" s="344"/>
      <c r="V14" s="344"/>
      <c r="W14" s="345"/>
      <c r="X14" s="346"/>
      <c r="Y14" s="346"/>
      <c r="Z14" s="346"/>
    </row>
    <row r="15" spans="1:41" s="349" customFormat="1" ht="27.75" customHeight="1">
      <c r="A15" s="59" t="s">
        <v>25</v>
      </c>
      <c r="B15" s="209" t="s">
        <v>1220</v>
      </c>
      <c r="C15" s="60"/>
      <c r="D15" s="60"/>
      <c r="E15" s="61"/>
      <c r="F15" s="60"/>
      <c r="G15" s="63">
        <f t="shared" ref="G15:V15" si="2">SUM(G16,G18)</f>
        <v>8143734</v>
      </c>
      <c r="H15" s="63">
        <f t="shared" si="2"/>
        <v>2048188</v>
      </c>
      <c r="I15" s="63">
        <f t="shared" si="2"/>
        <v>347500</v>
      </c>
      <c r="J15" s="63">
        <f t="shared" si="2"/>
        <v>242963</v>
      </c>
      <c r="K15" s="63">
        <f t="shared" si="2"/>
        <v>38618</v>
      </c>
      <c r="L15" s="63">
        <f t="shared" si="2"/>
        <v>12989</v>
      </c>
      <c r="M15" s="63">
        <f t="shared" si="2"/>
        <v>50414.671999999999</v>
      </c>
      <c r="N15" s="63">
        <f t="shared" si="2"/>
        <v>17438.671999999999</v>
      </c>
      <c r="O15" s="63">
        <f t="shared" si="2"/>
        <v>951449</v>
      </c>
      <c r="P15" s="63">
        <f t="shared" si="2"/>
        <v>380571</v>
      </c>
      <c r="Q15" s="63">
        <f t="shared" si="2"/>
        <v>6811912</v>
      </c>
      <c r="R15" s="63">
        <f t="shared" si="2"/>
        <v>1909874</v>
      </c>
      <c r="S15" s="63">
        <f t="shared" si="2"/>
        <v>0</v>
      </c>
      <c r="T15" s="63">
        <f t="shared" si="2"/>
        <v>1092604</v>
      </c>
      <c r="U15" s="63">
        <f t="shared" si="2"/>
        <v>364049</v>
      </c>
      <c r="V15" s="63">
        <f t="shared" si="2"/>
        <v>0</v>
      </c>
      <c r="W15" s="62"/>
      <c r="X15" s="347">
        <f t="shared" ref="X15:Z15" si="3">SUM(X16,X18)</f>
        <v>1135796</v>
      </c>
      <c r="Y15" s="347">
        <f t="shared" si="3"/>
        <v>411049</v>
      </c>
      <c r="Z15" s="347">
        <f t="shared" si="3"/>
        <v>0</v>
      </c>
      <c r="AA15" s="348">
        <f>+U15/(2704380-258412-300000)*100</f>
        <v>16.964325656300559</v>
      </c>
      <c r="AB15" s="63">
        <f t="shared" ref="AB15:AK15" si="4">SUM(AB16,AB18)</f>
        <v>1</v>
      </c>
      <c r="AC15" s="63">
        <f t="shared" si="4"/>
        <v>200</v>
      </c>
      <c r="AD15" s="63">
        <f t="shared" si="4"/>
        <v>20</v>
      </c>
      <c r="AE15" s="63">
        <f t="shared" si="4"/>
        <v>128708</v>
      </c>
      <c r="AF15" s="63">
        <f t="shared" si="4"/>
        <v>0</v>
      </c>
      <c r="AG15" s="63">
        <f t="shared" si="4"/>
        <v>0</v>
      </c>
      <c r="AH15" s="63">
        <f t="shared" si="4"/>
        <v>4</v>
      </c>
      <c r="AI15" s="63">
        <f t="shared" si="4"/>
        <v>99000</v>
      </c>
      <c r="AJ15" s="63">
        <f t="shared" si="4"/>
        <v>0</v>
      </c>
      <c r="AK15" s="63">
        <f t="shared" si="4"/>
        <v>0</v>
      </c>
      <c r="AL15" s="63">
        <f>SUM(AL16,AL18)</f>
        <v>8</v>
      </c>
      <c r="AM15" s="63">
        <f>SUM(AM16,AM18)</f>
        <v>66800</v>
      </c>
      <c r="AN15" s="63">
        <f>SUM(AN16,AN18)</f>
        <v>0</v>
      </c>
      <c r="AO15" s="63">
        <f>SUM(AO16,AO18)</f>
        <v>0</v>
      </c>
    </row>
    <row r="16" spans="1:41" s="353" customFormat="1" ht="21" customHeight="1">
      <c r="A16" s="64"/>
      <c r="B16" s="12" t="s">
        <v>26</v>
      </c>
      <c r="C16" s="350"/>
      <c r="D16" s="350"/>
      <c r="E16" s="351"/>
      <c r="F16" s="350"/>
      <c r="G16" s="45">
        <f>G17</f>
        <v>41262</v>
      </c>
      <c r="H16" s="45">
        <f t="shared" ref="H16:Z16" si="5">H17</f>
        <v>41262</v>
      </c>
      <c r="I16" s="45">
        <f t="shared" si="5"/>
        <v>0</v>
      </c>
      <c r="J16" s="45">
        <f t="shared" si="5"/>
        <v>0</v>
      </c>
      <c r="K16" s="45">
        <f t="shared" si="5"/>
        <v>0</v>
      </c>
      <c r="L16" s="45">
        <f t="shared" si="5"/>
        <v>0</v>
      </c>
      <c r="M16" s="45">
        <f t="shared" si="5"/>
        <v>0</v>
      </c>
      <c r="N16" s="45">
        <f t="shared" si="5"/>
        <v>0</v>
      </c>
      <c r="O16" s="45">
        <f t="shared" si="5"/>
        <v>0</v>
      </c>
      <c r="P16" s="45">
        <f t="shared" si="5"/>
        <v>0</v>
      </c>
      <c r="Q16" s="45">
        <f t="shared" si="5"/>
        <v>41262</v>
      </c>
      <c r="R16" s="45">
        <f t="shared" si="5"/>
        <v>41262</v>
      </c>
      <c r="S16" s="45">
        <f t="shared" si="5"/>
        <v>0</v>
      </c>
      <c r="T16" s="45">
        <f t="shared" si="5"/>
        <v>200</v>
      </c>
      <c r="U16" s="45">
        <f t="shared" si="5"/>
        <v>200</v>
      </c>
      <c r="V16" s="45">
        <f t="shared" si="5"/>
        <v>0</v>
      </c>
      <c r="W16" s="352"/>
      <c r="X16" s="347">
        <f t="shared" si="5"/>
        <v>200</v>
      </c>
      <c r="Y16" s="347">
        <f t="shared" si="5"/>
        <v>200</v>
      </c>
      <c r="Z16" s="347">
        <f t="shared" si="5"/>
        <v>0</v>
      </c>
      <c r="AA16" s="5"/>
      <c r="AB16" s="45">
        <f t="shared" ref="AB16:AK16" si="6">AB17</f>
        <v>1</v>
      </c>
      <c r="AC16" s="45">
        <f t="shared" si="6"/>
        <v>200</v>
      </c>
      <c r="AD16" s="45">
        <f t="shared" si="6"/>
        <v>0</v>
      </c>
      <c r="AE16" s="45">
        <f t="shared" si="6"/>
        <v>0</v>
      </c>
      <c r="AF16" s="45">
        <f t="shared" si="6"/>
        <v>0</v>
      </c>
      <c r="AG16" s="45">
        <f t="shared" si="6"/>
        <v>0</v>
      </c>
      <c r="AH16" s="45">
        <f t="shared" si="6"/>
        <v>0</v>
      </c>
      <c r="AI16" s="45">
        <f t="shared" si="6"/>
        <v>0</v>
      </c>
      <c r="AJ16" s="45">
        <f t="shared" si="6"/>
        <v>0</v>
      </c>
      <c r="AK16" s="45">
        <f t="shared" si="6"/>
        <v>0</v>
      </c>
      <c r="AL16" s="45">
        <f>AL17</f>
        <v>0</v>
      </c>
      <c r="AM16" s="45">
        <f>AM17</f>
        <v>0</v>
      </c>
      <c r="AN16" s="45">
        <f>AN17</f>
        <v>0</v>
      </c>
      <c r="AO16" s="45">
        <f>AO17</f>
        <v>0</v>
      </c>
    </row>
    <row r="17" spans="1:41" s="5" customFormat="1" ht="45">
      <c r="A17" s="67">
        <v>1</v>
      </c>
      <c r="B17" s="212" t="s">
        <v>203</v>
      </c>
      <c r="C17" s="19" t="s">
        <v>204</v>
      </c>
      <c r="D17" s="69"/>
      <c r="E17" s="70" t="s">
        <v>163</v>
      </c>
      <c r="F17" s="354" t="s">
        <v>205</v>
      </c>
      <c r="G17" s="355">
        <v>41262</v>
      </c>
      <c r="H17" s="72">
        <f>+G17</f>
        <v>41262</v>
      </c>
      <c r="I17" s="72"/>
      <c r="J17" s="72"/>
      <c r="K17" s="72"/>
      <c r="L17" s="72"/>
      <c r="M17" s="72"/>
      <c r="N17" s="72"/>
      <c r="O17" s="72"/>
      <c r="P17" s="72"/>
      <c r="Q17" s="72">
        <f>+G17</f>
        <v>41262</v>
      </c>
      <c r="R17" s="72">
        <f>+H17</f>
        <v>41262</v>
      </c>
      <c r="S17" s="72"/>
      <c r="T17" s="72">
        <v>200</v>
      </c>
      <c r="U17" s="72">
        <v>200</v>
      </c>
      <c r="V17" s="72"/>
      <c r="W17" s="269"/>
      <c r="X17" s="356">
        <v>200</v>
      </c>
      <c r="Y17" s="356">
        <v>200</v>
      </c>
      <c r="Z17" s="356"/>
      <c r="AB17" s="5">
        <v>1</v>
      </c>
      <c r="AC17" s="72">
        <v>200</v>
      </c>
    </row>
    <row r="18" spans="1:41" s="353" customFormat="1" ht="24" customHeight="1">
      <c r="A18" s="82"/>
      <c r="B18" s="357" t="s">
        <v>31</v>
      </c>
      <c r="C18" s="350"/>
      <c r="D18" s="350"/>
      <c r="E18" s="351"/>
      <c r="F18" s="350"/>
      <c r="G18" s="45">
        <f t="shared" ref="G18:V18" si="7">SUM(G19,G27,G47,G51)</f>
        <v>8102472</v>
      </c>
      <c r="H18" s="45">
        <f t="shared" si="7"/>
        <v>2006926</v>
      </c>
      <c r="I18" s="45">
        <f t="shared" si="7"/>
        <v>347500</v>
      </c>
      <c r="J18" s="45">
        <f t="shared" si="7"/>
        <v>242963</v>
      </c>
      <c r="K18" s="45">
        <f t="shared" si="7"/>
        <v>38618</v>
      </c>
      <c r="L18" s="45">
        <f t="shared" si="7"/>
        <v>12989</v>
      </c>
      <c r="M18" s="45">
        <f t="shared" si="7"/>
        <v>50414.671999999999</v>
      </c>
      <c r="N18" s="45">
        <f t="shared" si="7"/>
        <v>17438.671999999999</v>
      </c>
      <c r="O18" s="45">
        <f t="shared" si="7"/>
        <v>951449</v>
      </c>
      <c r="P18" s="45">
        <f t="shared" si="7"/>
        <v>380571</v>
      </c>
      <c r="Q18" s="45">
        <f t="shared" si="7"/>
        <v>6770650</v>
      </c>
      <c r="R18" s="45">
        <f t="shared" si="7"/>
        <v>1868612</v>
      </c>
      <c r="S18" s="45">
        <f t="shared" si="7"/>
        <v>0</v>
      </c>
      <c r="T18" s="45">
        <f t="shared" si="7"/>
        <v>1092404</v>
      </c>
      <c r="U18" s="45">
        <f t="shared" si="7"/>
        <v>363849</v>
      </c>
      <c r="V18" s="45">
        <f t="shared" si="7"/>
        <v>0</v>
      </c>
      <c r="W18" s="352"/>
      <c r="X18" s="347">
        <f t="shared" ref="X18:Z18" si="8">SUM(X19,X27,X47,X51)</f>
        <v>1135596</v>
      </c>
      <c r="Y18" s="347">
        <f t="shared" si="8"/>
        <v>410849</v>
      </c>
      <c r="Z18" s="347">
        <f t="shared" si="8"/>
        <v>0</v>
      </c>
      <c r="AA18" s="5"/>
      <c r="AB18" s="45">
        <f t="shared" ref="AB18:AO18" si="9">SUM(AB19,AB27,AB47,AB51)</f>
        <v>0</v>
      </c>
      <c r="AC18" s="45">
        <f t="shared" si="9"/>
        <v>0</v>
      </c>
      <c r="AD18" s="45">
        <f t="shared" si="9"/>
        <v>20</v>
      </c>
      <c r="AE18" s="45">
        <f t="shared" si="9"/>
        <v>128708</v>
      </c>
      <c r="AF18" s="45">
        <f t="shared" si="9"/>
        <v>0</v>
      </c>
      <c r="AG18" s="45">
        <f t="shared" si="9"/>
        <v>0</v>
      </c>
      <c r="AH18" s="45">
        <f t="shared" si="9"/>
        <v>4</v>
      </c>
      <c r="AI18" s="45">
        <f t="shared" si="9"/>
        <v>99000</v>
      </c>
      <c r="AJ18" s="45">
        <f t="shared" si="9"/>
        <v>0</v>
      </c>
      <c r="AK18" s="45">
        <f t="shared" si="9"/>
        <v>0</v>
      </c>
      <c r="AL18" s="45">
        <f t="shared" si="9"/>
        <v>8</v>
      </c>
      <c r="AM18" s="45">
        <f t="shared" si="9"/>
        <v>66800</v>
      </c>
      <c r="AN18" s="45">
        <f t="shared" si="9"/>
        <v>0</v>
      </c>
      <c r="AO18" s="45">
        <f t="shared" si="9"/>
        <v>0</v>
      </c>
    </row>
    <row r="19" spans="1:41" s="361" customFormat="1" ht="47.25">
      <c r="A19" s="83" t="s">
        <v>32</v>
      </c>
      <c r="B19" s="358" t="s">
        <v>33</v>
      </c>
      <c r="C19" s="85"/>
      <c r="D19" s="85"/>
      <c r="E19" s="86"/>
      <c r="F19" s="85"/>
      <c r="G19" s="87">
        <f>G20</f>
        <v>275194</v>
      </c>
      <c r="H19" s="87">
        <f t="shared" ref="H19:Z19" si="10">H20</f>
        <v>164820</v>
      </c>
      <c r="I19" s="87">
        <f t="shared" si="10"/>
        <v>19451</v>
      </c>
      <c r="J19" s="87">
        <f t="shared" si="10"/>
        <v>18644</v>
      </c>
      <c r="K19" s="87">
        <f t="shared" si="10"/>
        <v>14506</v>
      </c>
      <c r="L19" s="87">
        <f t="shared" si="10"/>
        <v>0</v>
      </c>
      <c r="M19" s="87">
        <f t="shared" si="10"/>
        <v>11005.672</v>
      </c>
      <c r="N19" s="87">
        <f t="shared" si="10"/>
        <v>9986.6720000000005</v>
      </c>
      <c r="O19" s="87">
        <f t="shared" si="10"/>
        <v>149820</v>
      </c>
      <c r="P19" s="87">
        <f t="shared" si="10"/>
        <v>68687</v>
      </c>
      <c r="Q19" s="87">
        <f t="shared" si="10"/>
        <v>19571</v>
      </c>
      <c r="R19" s="87">
        <f t="shared" si="10"/>
        <v>18764</v>
      </c>
      <c r="S19" s="87">
        <f t="shared" si="10"/>
        <v>0</v>
      </c>
      <c r="T19" s="87">
        <f t="shared" si="10"/>
        <v>0</v>
      </c>
      <c r="U19" s="87">
        <f t="shared" si="10"/>
        <v>0</v>
      </c>
      <c r="V19" s="87">
        <f t="shared" si="10"/>
        <v>0</v>
      </c>
      <c r="W19" s="359"/>
      <c r="X19" s="360">
        <f t="shared" si="10"/>
        <v>0</v>
      </c>
      <c r="Y19" s="360">
        <f t="shared" si="10"/>
        <v>0</v>
      </c>
      <c r="Z19" s="360">
        <f t="shared" si="10"/>
        <v>0</v>
      </c>
      <c r="AA19" s="5"/>
      <c r="AB19" s="87">
        <f t="shared" ref="AB19:AK19" si="11">AB20</f>
        <v>0</v>
      </c>
      <c r="AC19" s="87">
        <f t="shared" si="11"/>
        <v>0</v>
      </c>
      <c r="AD19" s="87">
        <f t="shared" si="11"/>
        <v>0</v>
      </c>
      <c r="AE19" s="87">
        <f t="shared" si="11"/>
        <v>0</v>
      </c>
      <c r="AF19" s="87">
        <f t="shared" si="11"/>
        <v>0</v>
      </c>
      <c r="AG19" s="87">
        <f t="shared" si="11"/>
        <v>0</v>
      </c>
      <c r="AH19" s="87">
        <f t="shared" si="11"/>
        <v>0</v>
      </c>
      <c r="AI19" s="87">
        <f t="shared" si="11"/>
        <v>0</v>
      </c>
      <c r="AJ19" s="87">
        <f t="shared" si="11"/>
        <v>0</v>
      </c>
      <c r="AK19" s="87">
        <f t="shared" si="11"/>
        <v>0</v>
      </c>
      <c r="AL19" s="87">
        <f>AL20</f>
        <v>0</v>
      </c>
      <c r="AM19" s="87">
        <f>AM20</f>
        <v>0</v>
      </c>
      <c r="AN19" s="87">
        <f>AN20</f>
        <v>0</v>
      </c>
      <c r="AO19" s="87">
        <f>AO20</f>
        <v>0</v>
      </c>
    </row>
    <row r="20" spans="1:41" s="16" customFormat="1" ht="15.75">
      <c r="A20" s="26" t="s">
        <v>47</v>
      </c>
      <c r="B20" s="27" t="s">
        <v>48</v>
      </c>
      <c r="C20" s="13"/>
      <c r="D20" s="13"/>
      <c r="E20" s="14"/>
      <c r="F20" s="13"/>
      <c r="G20" s="362">
        <f t="shared" ref="G20:V20" si="12">SUM(G21:G26)</f>
        <v>275194</v>
      </c>
      <c r="H20" s="362">
        <f t="shared" si="12"/>
        <v>164820</v>
      </c>
      <c r="I20" s="362">
        <f t="shared" si="12"/>
        <v>19451</v>
      </c>
      <c r="J20" s="362">
        <f t="shared" si="12"/>
        <v>18644</v>
      </c>
      <c r="K20" s="362">
        <f t="shared" si="12"/>
        <v>14506</v>
      </c>
      <c r="L20" s="362">
        <f t="shared" si="12"/>
        <v>0</v>
      </c>
      <c r="M20" s="362">
        <f t="shared" si="12"/>
        <v>11005.672</v>
      </c>
      <c r="N20" s="362">
        <f t="shared" si="12"/>
        <v>9986.6720000000005</v>
      </c>
      <c r="O20" s="362">
        <f t="shared" si="12"/>
        <v>149820</v>
      </c>
      <c r="P20" s="362">
        <f t="shared" si="12"/>
        <v>68687</v>
      </c>
      <c r="Q20" s="362">
        <f t="shared" si="12"/>
        <v>19571</v>
      </c>
      <c r="R20" s="362">
        <f t="shared" si="12"/>
        <v>18764</v>
      </c>
      <c r="S20" s="362">
        <f t="shared" si="12"/>
        <v>0</v>
      </c>
      <c r="T20" s="362">
        <f t="shared" si="12"/>
        <v>0</v>
      </c>
      <c r="U20" s="362">
        <f t="shared" si="12"/>
        <v>0</v>
      </c>
      <c r="V20" s="362">
        <f t="shared" si="12"/>
        <v>0</v>
      </c>
      <c r="W20" s="363"/>
      <c r="X20" s="364">
        <f t="shared" ref="X20:Z20" si="13">SUM(X21:X26)</f>
        <v>0</v>
      </c>
      <c r="Y20" s="364">
        <f t="shared" si="13"/>
        <v>0</v>
      </c>
      <c r="Z20" s="364">
        <f t="shared" si="13"/>
        <v>0</v>
      </c>
      <c r="AA20" s="5"/>
      <c r="AB20" s="362">
        <f t="shared" ref="AB20:AO20" si="14">SUM(AB21:AB26)</f>
        <v>0</v>
      </c>
      <c r="AC20" s="362">
        <f t="shared" si="14"/>
        <v>0</v>
      </c>
      <c r="AD20" s="362">
        <f t="shared" si="14"/>
        <v>0</v>
      </c>
      <c r="AE20" s="362">
        <f t="shared" si="14"/>
        <v>0</v>
      </c>
      <c r="AF20" s="362">
        <f t="shared" si="14"/>
        <v>0</v>
      </c>
      <c r="AG20" s="362">
        <f t="shared" si="14"/>
        <v>0</v>
      </c>
      <c r="AH20" s="362">
        <f t="shared" si="14"/>
        <v>0</v>
      </c>
      <c r="AI20" s="362">
        <f t="shared" si="14"/>
        <v>0</v>
      </c>
      <c r="AJ20" s="362">
        <f t="shared" si="14"/>
        <v>0</v>
      </c>
      <c r="AK20" s="362">
        <f t="shared" si="14"/>
        <v>0</v>
      </c>
      <c r="AL20" s="362">
        <f t="shared" si="14"/>
        <v>0</v>
      </c>
      <c r="AM20" s="362">
        <f t="shared" si="14"/>
        <v>0</v>
      </c>
      <c r="AN20" s="362">
        <f t="shared" si="14"/>
        <v>0</v>
      </c>
      <c r="AO20" s="362">
        <f t="shared" si="14"/>
        <v>0</v>
      </c>
    </row>
    <row r="21" spans="1:41" s="25" customFormat="1" ht="120">
      <c r="A21" s="92" t="s">
        <v>27</v>
      </c>
      <c r="B21" s="214" t="s">
        <v>211</v>
      </c>
      <c r="C21" s="94" t="s">
        <v>60</v>
      </c>
      <c r="D21" s="19"/>
      <c r="E21" s="95"/>
      <c r="F21" s="19" t="s">
        <v>212</v>
      </c>
      <c r="G21" s="365">
        <v>48571</v>
      </c>
      <c r="H21" s="365">
        <v>48571</v>
      </c>
      <c r="I21" s="23">
        <f>+J21</f>
        <v>6389</v>
      </c>
      <c r="J21" s="23">
        <v>6389</v>
      </c>
      <c r="K21" s="23"/>
      <c r="L21" s="23"/>
      <c r="M21" s="23">
        <f>+N21</f>
        <v>6389</v>
      </c>
      <c r="N21" s="23">
        <v>6389</v>
      </c>
      <c r="O21" s="366"/>
      <c r="P21" s="366"/>
      <c r="Q21" s="23">
        <f>+R21</f>
        <v>6389</v>
      </c>
      <c r="R21" s="23">
        <v>6389</v>
      </c>
      <c r="S21" s="366"/>
      <c r="T21" s="366"/>
      <c r="U21" s="366"/>
      <c r="V21" s="366"/>
      <c r="W21" s="24"/>
      <c r="X21" s="367"/>
      <c r="Y21" s="367"/>
      <c r="Z21" s="367"/>
      <c r="AA21" s="5"/>
    </row>
    <row r="22" spans="1:41" s="25" customFormat="1" ht="60">
      <c r="A22" s="97" t="s">
        <v>58</v>
      </c>
      <c r="B22" s="214" t="s">
        <v>213</v>
      </c>
      <c r="C22" s="94" t="s">
        <v>5</v>
      </c>
      <c r="D22" s="19" t="s">
        <v>214</v>
      </c>
      <c r="E22" s="95" t="s">
        <v>56</v>
      </c>
      <c r="F22" s="19" t="s">
        <v>215</v>
      </c>
      <c r="G22" s="365">
        <v>119251</v>
      </c>
      <c r="H22" s="365">
        <v>44251</v>
      </c>
      <c r="I22" s="23">
        <f>807+341</f>
        <v>1148</v>
      </c>
      <c r="J22" s="23">
        <v>341</v>
      </c>
      <c r="K22" s="23">
        <v>14179</v>
      </c>
      <c r="L22" s="23"/>
      <c r="M22" s="23">
        <f>807+292</f>
        <v>1099</v>
      </c>
      <c r="N22" s="366">
        <v>292</v>
      </c>
      <c r="O22" s="366">
        <v>113761</v>
      </c>
      <c r="P22" s="366">
        <v>47954</v>
      </c>
      <c r="Q22" s="23">
        <f>807+341</f>
        <v>1148</v>
      </c>
      <c r="R22" s="23">
        <v>341</v>
      </c>
      <c r="S22" s="366"/>
      <c r="T22" s="366"/>
      <c r="U22" s="366"/>
      <c r="V22" s="366"/>
      <c r="W22" s="24"/>
      <c r="X22" s="367"/>
      <c r="Y22" s="367"/>
      <c r="Z22" s="367"/>
      <c r="AA22" s="5"/>
    </row>
    <row r="23" spans="1:41" s="25" customFormat="1" ht="31.5">
      <c r="A23" s="97" t="s">
        <v>58</v>
      </c>
      <c r="B23" s="212" t="s">
        <v>216</v>
      </c>
      <c r="C23" s="94" t="s">
        <v>217</v>
      </c>
      <c r="D23" s="98" t="s">
        <v>218</v>
      </c>
      <c r="E23" s="99" t="s">
        <v>219</v>
      </c>
      <c r="F23" s="101" t="s">
        <v>220</v>
      </c>
      <c r="G23" s="77">
        <v>33535</v>
      </c>
      <c r="H23" s="365">
        <v>33535</v>
      </c>
      <c r="I23" s="23">
        <f t="shared" ref="I23:I24" si="15">+J23</f>
        <v>1500</v>
      </c>
      <c r="J23" s="23">
        <v>1500</v>
      </c>
      <c r="K23" s="23">
        <v>327</v>
      </c>
      <c r="L23" s="23"/>
      <c r="M23" s="23">
        <f>212+153</f>
        <v>365</v>
      </c>
      <c r="N23" s="366">
        <v>153</v>
      </c>
      <c r="O23" s="366">
        <v>13535</v>
      </c>
      <c r="P23" s="366">
        <v>5931</v>
      </c>
      <c r="Q23" s="23">
        <v>1500</v>
      </c>
      <c r="R23" s="23">
        <v>1500</v>
      </c>
      <c r="S23" s="366"/>
      <c r="T23" s="366"/>
      <c r="U23" s="366"/>
      <c r="V23" s="366"/>
      <c r="W23" s="24"/>
      <c r="X23" s="367"/>
      <c r="Y23" s="367"/>
      <c r="Z23" s="367"/>
      <c r="AA23" s="5"/>
    </row>
    <row r="24" spans="1:41" s="25" customFormat="1" ht="30">
      <c r="A24" s="97" t="s">
        <v>64</v>
      </c>
      <c r="B24" s="212" t="s">
        <v>221</v>
      </c>
      <c r="C24" s="94" t="s">
        <v>222</v>
      </c>
      <c r="D24" s="98" t="s">
        <v>223</v>
      </c>
      <c r="E24" s="99" t="s">
        <v>219</v>
      </c>
      <c r="F24" s="101" t="s">
        <v>224</v>
      </c>
      <c r="G24" s="77">
        <v>64164</v>
      </c>
      <c r="H24" s="365">
        <v>32082</v>
      </c>
      <c r="I24" s="23">
        <f t="shared" si="15"/>
        <v>4153</v>
      </c>
      <c r="J24" s="23">
        <v>4153</v>
      </c>
      <c r="K24" s="23"/>
      <c r="L24" s="23"/>
      <c r="M24" s="23"/>
      <c r="N24" s="366"/>
      <c r="O24" s="366">
        <v>16263</v>
      </c>
      <c r="P24" s="366">
        <v>8541</v>
      </c>
      <c r="Q24" s="23">
        <v>4153</v>
      </c>
      <c r="R24" s="23">
        <v>4153</v>
      </c>
      <c r="S24" s="366"/>
      <c r="T24" s="366"/>
      <c r="U24" s="366"/>
      <c r="V24" s="366"/>
      <c r="W24" s="24"/>
      <c r="X24" s="367"/>
      <c r="Y24" s="367"/>
      <c r="Z24" s="367"/>
      <c r="AA24" s="5"/>
    </row>
    <row r="25" spans="1:41" s="25" customFormat="1" ht="31.5">
      <c r="A25" s="97" t="s">
        <v>69</v>
      </c>
      <c r="B25" s="214" t="s">
        <v>225</v>
      </c>
      <c r="C25" s="94" t="s">
        <v>5</v>
      </c>
      <c r="D25" s="19"/>
      <c r="E25" s="95" t="s">
        <v>30</v>
      </c>
      <c r="F25" s="19" t="s">
        <v>226</v>
      </c>
      <c r="G25" s="365">
        <v>6200</v>
      </c>
      <c r="H25" s="365">
        <v>2908</v>
      </c>
      <c r="I25" s="23">
        <f>+J25</f>
        <v>2908</v>
      </c>
      <c r="J25" s="23">
        <v>2908</v>
      </c>
      <c r="K25" s="23"/>
      <c r="L25" s="23"/>
      <c r="M25" s="23"/>
      <c r="N25" s="366"/>
      <c r="O25" s="23">
        <f>+P25</f>
        <v>2908</v>
      </c>
      <c r="P25" s="23">
        <v>2908</v>
      </c>
      <c r="Q25" s="77">
        <v>2908</v>
      </c>
      <c r="R25" s="77">
        <v>2908</v>
      </c>
      <c r="S25" s="366"/>
      <c r="T25" s="366"/>
      <c r="U25" s="366"/>
      <c r="V25" s="366"/>
      <c r="W25" s="24"/>
      <c r="X25" s="367"/>
      <c r="Y25" s="367"/>
      <c r="Z25" s="367"/>
      <c r="AA25" s="5"/>
    </row>
    <row r="26" spans="1:41" s="25" customFormat="1" ht="30">
      <c r="A26" s="97" t="s">
        <v>74</v>
      </c>
      <c r="B26" s="214" t="s">
        <v>227</v>
      </c>
      <c r="C26" s="94" t="s">
        <v>66</v>
      </c>
      <c r="D26" s="19" t="s">
        <v>228</v>
      </c>
      <c r="E26" s="95" t="s">
        <v>30</v>
      </c>
      <c r="F26" s="19" t="s">
        <v>229</v>
      </c>
      <c r="G26" s="365">
        <v>3473</v>
      </c>
      <c r="H26" s="365">
        <v>3473</v>
      </c>
      <c r="I26" s="23">
        <f t="shared" ref="I26" si="16">+J26</f>
        <v>3353</v>
      </c>
      <c r="J26" s="23">
        <v>3353</v>
      </c>
      <c r="K26" s="23"/>
      <c r="L26" s="23"/>
      <c r="M26" s="23">
        <v>3152.672</v>
      </c>
      <c r="N26" s="366">
        <v>3152.672</v>
      </c>
      <c r="O26" s="366">
        <v>3353</v>
      </c>
      <c r="P26" s="366">
        <v>3353</v>
      </c>
      <c r="Q26" s="366">
        <v>3473</v>
      </c>
      <c r="R26" s="366">
        <v>3473</v>
      </c>
      <c r="S26" s="366"/>
      <c r="T26" s="366"/>
      <c r="U26" s="366"/>
      <c r="V26" s="366"/>
      <c r="W26" s="24"/>
      <c r="X26" s="367"/>
      <c r="Y26" s="367"/>
      <c r="Z26" s="367"/>
      <c r="AA26" s="5"/>
    </row>
    <row r="27" spans="1:41" s="16" customFormat="1" ht="31.5">
      <c r="A27" s="11" t="s">
        <v>78</v>
      </c>
      <c r="B27" s="12" t="s">
        <v>79</v>
      </c>
      <c r="C27" s="13"/>
      <c r="D27" s="13"/>
      <c r="E27" s="14"/>
      <c r="F27" s="13"/>
      <c r="G27" s="362">
        <f t="shared" ref="G27:I27" si="17">G28+G40</f>
        <v>1563266</v>
      </c>
      <c r="H27" s="362">
        <f t="shared" si="17"/>
        <v>546181</v>
      </c>
      <c r="I27" s="362">
        <f t="shared" si="17"/>
        <v>183538</v>
      </c>
      <c r="J27" s="362">
        <f>J28+J40</f>
        <v>134808</v>
      </c>
      <c r="K27" s="362">
        <f t="shared" ref="K27:Z27" si="18">K28+K40</f>
        <v>24112</v>
      </c>
      <c r="L27" s="362">
        <f t="shared" si="18"/>
        <v>12989</v>
      </c>
      <c r="M27" s="362">
        <f t="shared" si="18"/>
        <v>39409</v>
      </c>
      <c r="N27" s="362">
        <f t="shared" si="18"/>
        <v>7452</v>
      </c>
      <c r="O27" s="362">
        <f t="shared" si="18"/>
        <v>657118</v>
      </c>
      <c r="P27" s="362">
        <f t="shared" si="18"/>
        <v>222373</v>
      </c>
      <c r="Q27" s="362">
        <f t="shared" si="18"/>
        <v>1050075</v>
      </c>
      <c r="R27" s="362">
        <f t="shared" si="18"/>
        <v>417931</v>
      </c>
      <c r="S27" s="362">
        <f t="shared" si="18"/>
        <v>0</v>
      </c>
      <c r="T27" s="362">
        <f t="shared" si="18"/>
        <v>426303</v>
      </c>
      <c r="U27" s="362">
        <f t="shared" si="18"/>
        <v>195431</v>
      </c>
      <c r="V27" s="362">
        <f t="shared" si="18"/>
        <v>0</v>
      </c>
      <c r="W27" s="368"/>
      <c r="X27" s="364">
        <f t="shared" si="18"/>
        <v>469495</v>
      </c>
      <c r="Y27" s="364">
        <f t="shared" si="18"/>
        <v>240431</v>
      </c>
      <c r="Z27" s="364">
        <f t="shared" si="18"/>
        <v>0</v>
      </c>
      <c r="AA27" s="5"/>
      <c r="AB27" s="362">
        <f t="shared" ref="AB27:AK27" si="19">AB28</f>
        <v>0</v>
      </c>
      <c r="AC27" s="362">
        <f t="shared" si="19"/>
        <v>0</v>
      </c>
      <c r="AD27" s="362">
        <f t="shared" si="19"/>
        <v>20</v>
      </c>
      <c r="AE27" s="362">
        <f t="shared" si="19"/>
        <v>128708</v>
      </c>
      <c r="AF27" s="362">
        <f t="shared" si="19"/>
        <v>0</v>
      </c>
      <c r="AG27" s="362">
        <f t="shared" si="19"/>
        <v>0</v>
      </c>
      <c r="AH27" s="362">
        <f t="shared" si="19"/>
        <v>2</v>
      </c>
      <c r="AI27" s="362">
        <f t="shared" si="19"/>
        <v>49500</v>
      </c>
      <c r="AJ27" s="362">
        <f t="shared" si="19"/>
        <v>0</v>
      </c>
      <c r="AK27" s="362">
        <f t="shared" si="19"/>
        <v>0</v>
      </c>
      <c r="AL27" s="362">
        <f>AL28</f>
        <v>0</v>
      </c>
      <c r="AM27" s="362">
        <f>AM28</f>
        <v>0</v>
      </c>
      <c r="AN27" s="362">
        <f>AN28</f>
        <v>0</v>
      </c>
      <c r="AO27" s="362">
        <f>AO28</f>
        <v>0</v>
      </c>
    </row>
    <row r="28" spans="1:41" s="16" customFormat="1" ht="22.5" customHeight="1">
      <c r="A28" s="26" t="s">
        <v>47</v>
      </c>
      <c r="B28" s="27" t="s">
        <v>35</v>
      </c>
      <c r="C28" s="13"/>
      <c r="D28" s="13"/>
      <c r="E28" s="14"/>
      <c r="F28" s="13"/>
      <c r="G28" s="362">
        <f t="shared" ref="G28:I28" si="20">SUM(G29:G39)</f>
        <v>1500075</v>
      </c>
      <c r="H28" s="362">
        <f t="shared" si="20"/>
        <v>492075</v>
      </c>
      <c r="I28" s="362">
        <f t="shared" si="20"/>
        <v>168338</v>
      </c>
      <c r="J28" s="362">
        <f>SUM(J29:J39)</f>
        <v>120308</v>
      </c>
      <c r="K28" s="362">
        <f t="shared" ref="K28:Z28" si="21">SUM(K29:K39)</f>
        <v>21112</v>
      </c>
      <c r="L28" s="362">
        <f t="shared" si="21"/>
        <v>9989</v>
      </c>
      <c r="M28" s="362">
        <f t="shared" si="21"/>
        <v>36301</v>
      </c>
      <c r="N28" s="362">
        <f t="shared" si="21"/>
        <v>4344</v>
      </c>
      <c r="O28" s="362">
        <f t="shared" si="21"/>
        <v>632740</v>
      </c>
      <c r="P28" s="362">
        <f t="shared" si="21"/>
        <v>198695</v>
      </c>
      <c r="Q28" s="362">
        <f t="shared" si="21"/>
        <v>1003297</v>
      </c>
      <c r="R28" s="362">
        <f t="shared" si="21"/>
        <v>378038</v>
      </c>
      <c r="S28" s="362">
        <f t="shared" si="21"/>
        <v>0</v>
      </c>
      <c r="T28" s="362">
        <f t="shared" si="21"/>
        <v>394025</v>
      </c>
      <c r="U28" s="362">
        <f t="shared" si="21"/>
        <v>170038</v>
      </c>
      <c r="V28" s="362">
        <f t="shared" si="21"/>
        <v>0</v>
      </c>
      <c r="W28" s="368"/>
      <c r="X28" s="364">
        <f t="shared" si="21"/>
        <v>439398</v>
      </c>
      <c r="Y28" s="364">
        <f t="shared" si="21"/>
        <v>215038</v>
      </c>
      <c r="Z28" s="364">
        <f t="shared" si="21"/>
        <v>0</v>
      </c>
      <c r="AA28" s="5"/>
      <c r="AB28" s="362">
        <f t="shared" ref="AB28:AK28" si="22">SUM(AB29:AB46)</f>
        <v>0</v>
      </c>
      <c r="AC28" s="362">
        <f t="shared" si="22"/>
        <v>0</v>
      </c>
      <c r="AD28" s="362">
        <f t="shared" si="22"/>
        <v>20</v>
      </c>
      <c r="AE28" s="362">
        <f t="shared" si="22"/>
        <v>128708</v>
      </c>
      <c r="AF28" s="362">
        <f t="shared" si="22"/>
        <v>0</v>
      </c>
      <c r="AG28" s="362">
        <f t="shared" si="22"/>
        <v>0</v>
      </c>
      <c r="AH28" s="362">
        <f t="shared" si="22"/>
        <v>2</v>
      </c>
      <c r="AI28" s="362">
        <f t="shared" si="22"/>
        <v>49500</v>
      </c>
      <c r="AJ28" s="362">
        <f t="shared" si="22"/>
        <v>0</v>
      </c>
      <c r="AK28" s="362">
        <f t="shared" si="22"/>
        <v>0</v>
      </c>
      <c r="AL28" s="362">
        <f>SUM(AL29:AL46)</f>
        <v>0</v>
      </c>
      <c r="AM28" s="362">
        <f>SUM(AM29:AM46)</f>
        <v>0</v>
      </c>
      <c r="AN28" s="362">
        <f>SUM(AN29:AN46)</f>
        <v>0</v>
      </c>
      <c r="AO28" s="362">
        <f>SUM(AO29:AO46)</f>
        <v>0</v>
      </c>
    </row>
    <row r="29" spans="1:41" s="25" customFormat="1" ht="30" customHeight="1">
      <c r="A29" s="97" t="s">
        <v>27</v>
      </c>
      <c r="B29" s="369" t="s">
        <v>1154</v>
      </c>
      <c r="C29" s="370"/>
      <c r="D29" s="101"/>
      <c r="E29" s="95"/>
      <c r="F29" s="19"/>
      <c r="G29" s="23"/>
      <c r="H29" s="23"/>
      <c r="I29" s="23"/>
      <c r="J29" s="23"/>
      <c r="K29" s="23"/>
      <c r="L29" s="23"/>
      <c r="M29" s="23"/>
      <c r="N29" s="23"/>
      <c r="O29" s="23"/>
      <c r="P29" s="23"/>
      <c r="Q29" s="23"/>
      <c r="R29" s="23"/>
      <c r="S29" s="23"/>
      <c r="T29" s="23"/>
      <c r="U29" s="23"/>
      <c r="V29" s="23"/>
      <c r="W29" s="24"/>
      <c r="X29" s="371"/>
      <c r="Y29" s="371"/>
      <c r="Z29" s="371"/>
      <c r="AA29" s="5"/>
    </row>
    <row r="30" spans="1:41" s="25" customFormat="1" ht="60" customHeight="1">
      <c r="A30" s="92" t="s">
        <v>1173</v>
      </c>
      <c r="B30" s="214" t="s">
        <v>1155</v>
      </c>
      <c r="C30" s="101" t="s">
        <v>1156</v>
      </c>
      <c r="D30" s="19"/>
      <c r="E30" s="95" t="s">
        <v>1157</v>
      </c>
      <c r="F30" s="101" t="s">
        <v>1158</v>
      </c>
      <c r="G30" s="104">
        <v>292210</v>
      </c>
      <c r="H30" s="104">
        <v>58380</v>
      </c>
      <c r="I30" s="104">
        <f>17288+5000</f>
        <v>22288</v>
      </c>
      <c r="J30" s="104">
        <v>5000</v>
      </c>
      <c r="K30" s="104"/>
      <c r="L30" s="104"/>
      <c r="M30" s="104">
        <f>17288+167</f>
        <v>17455</v>
      </c>
      <c r="N30" s="104">
        <v>167</v>
      </c>
      <c r="O30" s="104">
        <v>201217</v>
      </c>
      <c r="P30" s="104">
        <v>48471</v>
      </c>
      <c r="Q30" s="104">
        <v>113325</v>
      </c>
      <c r="R30" s="104">
        <v>14000</v>
      </c>
      <c r="S30" s="23"/>
      <c r="T30" s="104">
        <v>9000</v>
      </c>
      <c r="U30" s="104">
        <v>9000</v>
      </c>
      <c r="V30" s="23"/>
      <c r="W30" s="24"/>
      <c r="X30" s="372">
        <v>9000</v>
      </c>
      <c r="Y30" s="372">
        <v>9000</v>
      </c>
      <c r="Z30" s="371"/>
      <c r="AA30" s="5"/>
      <c r="AD30" s="25">
        <v>1</v>
      </c>
      <c r="AE30" s="104">
        <v>10000</v>
      </c>
    </row>
    <row r="31" spans="1:41" s="25" customFormat="1" ht="60">
      <c r="A31" s="67" t="s">
        <v>1173</v>
      </c>
      <c r="B31" s="214" t="s">
        <v>1159</v>
      </c>
      <c r="C31" s="19" t="s">
        <v>1160</v>
      </c>
      <c r="D31" s="19" t="s">
        <v>1203</v>
      </c>
      <c r="E31" s="70" t="s">
        <v>1157</v>
      </c>
      <c r="F31" s="119" t="s">
        <v>1221</v>
      </c>
      <c r="G31" s="175">
        <v>117773</v>
      </c>
      <c r="H31" s="175">
        <v>34456</v>
      </c>
      <c r="I31" s="175">
        <f>7712+6103+3030</f>
        <v>16845</v>
      </c>
      <c r="J31" s="175">
        <v>6103</v>
      </c>
      <c r="K31" s="175">
        <v>2558</v>
      </c>
      <c r="L31" s="175">
        <v>2558</v>
      </c>
      <c r="M31" s="175">
        <f>7100+2998+7476</f>
        <v>17574</v>
      </c>
      <c r="N31" s="175">
        <f>1831+1167</f>
        <v>2998</v>
      </c>
      <c r="O31" s="175">
        <v>79258</v>
      </c>
      <c r="P31" s="175">
        <v>13540</v>
      </c>
      <c r="Q31" s="175">
        <v>58071</v>
      </c>
      <c r="R31" s="175">
        <v>10103</v>
      </c>
      <c r="S31" s="175"/>
      <c r="T31" s="373">
        <v>4000</v>
      </c>
      <c r="U31" s="373">
        <v>4000</v>
      </c>
      <c r="V31" s="373"/>
      <c r="W31" s="178"/>
      <c r="X31" s="374">
        <v>4000</v>
      </c>
      <c r="Y31" s="374">
        <v>4000</v>
      </c>
      <c r="Z31" s="374"/>
      <c r="AA31" s="5"/>
      <c r="AD31" s="25">
        <v>1</v>
      </c>
      <c r="AE31" s="373">
        <v>4500</v>
      </c>
    </row>
    <row r="32" spans="1:41" s="375" customFormat="1" ht="60">
      <c r="A32" s="67" t="s">
        <v>1173</v>
      </c>
      <c r="B32" s="214" t="s">
        <v>1162</v>
      </c>
      <c r="C32" s="19" t="s">
        <v>1163</v>
      </c>
      <c r="D32" s="19" t="s">
        <v>1164</v>
      </c>
      <c r="E32" s="137" t="s">
        <v>94</v>
      </c>
      <c r="F32" s="119" t="s">
        <v>1165</v>
      </c>
      <c r="G32" s="175">
        <v>8471</v>
      </c>
      <c r="H32" s="175">
        <v>1165</v>
      </c>
      <c r="I32" s="175">
        <v>1040</v>
      </c>
      <c r="J32" s="175">
        <v>1040</v>
      </c>
      <c r="K32" s="175"/>
      <c r="L32" s="175"/>
      <c r="M32" s="175">
        <v>200</v>
      </c>
      <c r="N32" s="175">
        <v>200</v>
      </c>
      <c r="O32" s="175">
        <v>1165</v>
      </c>
      <c r="P32" s="175">
        <v>1165</v>
      </c>
      <c r="Q32" s="175">
        <f>+R32</f>
        <v>1033</v>
      </c>
      <c r="R32" s="175">
        <v>1033</v>
      </c>
      <c r="S32" s="175"/>
      <c r="T32" s="373">
        <v>400</v>
      </c>
      <c r="U32" s="373">
        <v>400</v>
      </c>
      <c r="V32" s="373"/>
      <c r="W32" s="178"/>
      <c r="X32" s="374">
        <v>400</v>
      </c>
      <c r="Y32" s="374">
        <v>400</v>
      </c>
      <c r="Z32" s="374"/>
      <c r="AA32" s="5"/>
      <c r="AD32" s="25">
        <v>1</v>
      </c>
      <c r="AE32" s="373">
        <v>400</v>
      </c>
    </row>
    <row r="33" spans="1:41" s="25" customFormat="1" ht="78.75">
      <c r="A33" s="97" t="s">
        <v>41</v>
      </c>
      <c r="B33" s="214" t="s">
        <v>1166</v>
      </c>
      <c r="C33" s="101" t="s">
        <v>1156</v>
      </c>
      <c r="D33" s="19"/>
      <c r="E33" s="95" t="s">
        <v>1167</v>
      </c>
      <c r="F33" s="101" t="s">
        <v>1168</v>
      </c>
      <c r="G33" s="366">
        <v>23967</v>
      </c>
      <c r="H33" s="104">
        <v>3134</v>
      </c>
      <c r="I33" s="104">
        <f>+J33</f>
        <v>2000</v>
      </c>
      <c r="J33" s="104">
        <v>2000</v>
      </c>
      <c r="K33" s="104"/>
      <c r="L33" s="104"/>
      <c r="M33" s="104">
        <f>+N33</f>
        <v>773</v>
      </c>
      <c r="N33" s="104">
        <v>773</v>
      </c>
      <c r="O33" s="104">
        <f>+P33</f>
        <v>2000</v>
      </c>
      <c r="P33" s="104">
        <v>2000</v>
      </c>
      <c r="Q33" s="104">
        <f>+G33-550</f>
        <v>23417</v>
      </c>
      <c r="R33" s="104">
        <f>+H33-550</f>
        <v>2584</v>
      </c>
      <c r="S33" s="104"/>
      <c r="T33" s="104">
        <f>+G33-O33</f>
        <v>21967</v>
      </c>
      <c r="U33" s="104">
        <v>1087</v>
      </c>
      <c r="V33" s="23"/>
      <c r="W33" s="24"/>
      <c r="X33" s="372">
        <f>+K33-S33</f>
        <v>0</v>
      </c>
      <c r="Y33" s="372">
        <v>1087</v>
      </c>
      <c r="Z33" s="371"/>
      <c r="AA33" s="5"/>
      <c r="AD33" s="25">
        <v>1</v>
      </c>
      <c r="AE33" s="104">
        <v>1087</v>
      </c>
    </row>
    <row r="34" spans="1:41" s="25" customFormat="1" ht="45">
      <c r="A34" s="97" t="s">
        <v>58</v>
      </c>
      <c r="B34" s="214" t="s">
        <v>1151</v>
      </c>
      <c r="C34" s="128" t="s">
        <v>29</v>
      </c>
      <c r="D34" s="19" t="s">
        <v>1152</v>
      </c>
      <c r="E34" s="129" t="s">
        <v>94</v>
      </c>
      <c r="F34" s="101" t="s">
        <v>1153</v>
      </c>
      <c r="G34" s="366">
        <v>377927</v>
      </c>
      <c r="H34" s="365">
        <v>112007</v>
      </c>
      <c r="I34" s="365">
        <f>80000+27268</f>
        <v>107268</v>
      </c>
      <c r="J34" s="365">
        <f>60000+27268</f>
        <v>87268</v>
      </c>
      <c r="K34" s="365">
        <v>11123</v>
      </c>
      <c r="L34" s="365"/>
      <c r="M34" s="365"/>
      <c r="N34" s="365"/>
      <c r="O34" s="365">
        <v>180000</v>
      </c>
      <c r="P34" s="365">
        <v>60000</v>
      </c>
      <c r="Q34" s="365">
        <f>+G34-100000</f>
        <v>277927</v>
      </c>
      <c r="R34" s="365">
        <f>+H34</f>
        <v>112007</v>
      </c>
      <c r="S34" s="365"/>
      <c r="T34" s="365">
        <v>153920</v>
      </c>
      <c r="U34" s="365">
        <v>8000</v>
      </c>
      <c r="V34" s="365"/>
      <c r="W34" s="24"/>
      <c r="X34" s="376">
        <v>165920</v>
      </c>
      <c r="Y34" s="376">
        <v>20000</v>
      </c>
      <c r="Z34" s="376"/>
      <c r="AA34" s="5"/>
      <c r="AD34" s="25">
        <v>1</v>
      </c>
      <c r="AE34" s="365">
        <v>20000</v>
      </c>
    </row>
    <row r="35" spans="1:41" s="25" customFormat="1" ht="63">
      <c r="A35" s="97" t="s">
        <v>64</v>
      </c>
      <c r="B35" s="377" t="s">
        <v>230</v>
      </c>
      <c r="C35" s="101" t="s">
        <v>29</v>
      </c>
      <c r="D35" s="378" t="s">
        <v>231</v>
      </c>
      <c r="E35" s="95" t="s">
        <v>94</v>
      </c>
      <c r="F35" s="101" t="s">
        <v>232</v>
      </c>
      <c r="G35" s="365">
        <v>96264</v>
      </c>
      <c r="H35" s="365">
        <v>86264</v>
      </c>
      <c r="I35" s="365"/>
      <c r="J35" s="365"/>
      <c r="K35" s="365"/>
      <c r="L35" s="365"/>
      <c r="M35" s="365"/>
      <c r="N35" s="365"/>
      <c r="O35" s="365">
        <f>10061+I35</f>
        <v>10061</v>
      </c>
      <c r="P35" s="365">
        <v>10061</v>
      </c>
      <c r="Q35" s="365">
        <f>+R35</f>
        <v>86203</v>
      </c>
      <c r="R35" s="365">
        <v>86203</v>
      </c>
      <c r="S35" s="365"/>
      <c r="T35" s="365">
        <f>+U35</f>
        <v>78203</v>
      </c>
      <c r="U35" s="365">
        <f>+G35-O35-8000</f>
        <v>78203</v>
      </c>
      <c r="V35" s="365"/>
      <c r="W35" s="24"/>
      <c r="X35" s="376">
        <v>86203</v>
      </c>
      <c r="Y35" s="376">
        <v>86203</v>
      </c>
      <c r="Z35" s="376"/>
      <c r="AA35" s="5"/>
      <c r="AD35" s="25">
        <v>1</v>
      </c>
      <c r="AE35" s="365">
        <v>19398</v>
      </c>
    </row>
    <row r="36" spans="1:41" s="25" customFormat="1" ht="63">
      <c r="A36" s="97" t="s">
        <v>69</v>
      </c>
      <c r="B36" s="214" t="s">
        <v>233</v>
      </c>
      <c r="C36" s="94" t="s">
        <v>29</v>
      </c>
      <c r="D36" s="19" t="s">
        <v>234</v>
      </c>
      <c r="E36" s="95" t="s">
        <v>235</v>
      </c>
      <c r="F36" s="19" t="s">
        <v>236</v>
      </c>
      <c r="G36" s="365">
        <v>161681</v>
      </c>
      <c r="H36" s="365">
        <v>58648</v>
      </c>
      <c r="I36" s="23">
        <f>+J36</f>
        <v>0</v>
      </c>
      <c r="J36" s="23"/>
      <c r="K36" s="23"/>
      <c r="L36" s="23"/>
      <c r="M36" s="23"/>
      <c r="N36" s="366"/>
      <c r="O36" s="366">
        <f>18133+68561</f>
        <v>86694</v>
      </c>
      <c r="P36" s="366">
        <v>11148</v>
      </c>
      <c r="Q36" s="366">
        <v>74987</v>
      </c>
      <c r="R36" s="366">
        <v>47500</v>
      </c>
      <c r="S36" s="366"/>
      <c r="T36" s="366">
        <f>74987-25000</f>
        <v>49987</v>
      </c>
      <c r="U36" s="366">
        <f>45000-25000</f>
        <v>20000</v>
      </c>
      <c r="V36" s="366"/>
      <c r="W36" s="24"/>
      <c r="X36" s="367">
        <v>74987</v>
      </c>
      <c r="Y36" s="367">
        <v>45000</v>
      </c>
      <c r="Z36" s="367"/>
      <c r="AA36" s="5"/>
      <c r="AD36" s="25">
        <v>1</v>
      </c>
      <c r="AE36" s="366">
        <v>13000</v>
      </c>
    </row>
    <row r="37" spans="1:41" s="25" customFormat="1" ht="31.5">
      <c r="A37" s="97" t="s">
        <v>74</v>
      </c>
      <c r="B37" s="214" t="s">
        <v>237</v>
      </c>
      <c r="C37" s="94" t="s">
        <v>43</v>
      </c>
      <c r="D37" s="19" t="s">
        <v>238</v>
      </c>
      <c r="E37" s="95" t="s">
        <v>235</v>
      </c>
      <c r="F37" s="19" t="s">
        <v>239</v>
      </c>
      <c r="G37" s="365">
        <v>82565</v>
      </c>
      <c r="H37" s="365">
        <v>82270</v>
      </c>
      <c r="I37" s="23">
        <f>+J37</f>
        <v>98</v>
      </c>
      <c r="J37" s="23">
        <v>98</v>
      </c>
      <c r="K37" s="23"/>
      <c r="L37" s="23"/>
      <c r="M37" s="23"/>
      <c r="N37" s="366"/>
      <c r="O37" s="366">
        <f>19200+35+98</f>
        <v>19333</v>
      </c>
      <c r="P37" s="366">
        <f>19200+98</f>
        <v>19298</v>
      </c>
      <c r="Q37" s="366">
        <v>63330</v>
      </c>
      <c r="R37" s="366">
        <v>63070</v>
      </c>
      <c r="S37" s="366"/>
      <c r="T37" s="366">
        <v>26613</v>
      </c>
      <c r="U37" s="366">
        <v>26613</v>
      </c>
      <c r="V37" s="366"/>
      <c r="W37" s="24"/>
      <c r="X37" s="367">
        <v>26613</v>
      </c>
      <c r="Y37" s="367">
        <v>26613</v>
      </c>
      <c r="Z37" s="367"/>
      <c r="AA37" s="5"/>
      <c r="AD37" s="25">
        <v>1</v>
      </c>
      <c r="AE37" s="366">
        <v>26613</v>
      </c>
    </row>
    <row r="38" spans="1:41" s="25" customFormat="1" ht="31.5">
      <c r="A38" s="97" t="s">
        <v>141</v>
      </c>
      <c r="B38" s="214" t="s">
        <v>240</v>
      </c>
      <c r="C38" s="94" t="s">
        <v>71</v>
      </c>
      <c r="D38" s="19" t="s">
        <v>241</v>
      </c>
      <c r="E38" s="95" t="s">
        <v>242</v>
      </c>
      <c r="F38" s="19" t="s">
        <v>243</v>
      </c>
      <c r="G38" s="365">
        <v>253805</v>
      </c>
      <c r="H38" s="365">
        <v>13664</v>
      </c>
      <c r="I38" s="23">
        <f>+J38</f>
        <v>6000</v>
      </c>
      <c r="J38" s="23">
        <v>6000</v>
      </c>
      <c r="K38" s="23"/>
      <c r="L38" s="23"/>
      <c r="M38" s="23">
        <v>206</v>
      </c>
      <c r="N38" s="366">
        <v>206</v>
      </c>
      <c r="O38" s="23">
        <v>26000</v>
      </c>
      <c r="P38" s="365">
        <v>6000</v>
      </c>
      <c r="Q38" s="366">
        <v>233805</v>
      </c>
      <c r="R38" s="365">
        <v>13664</v>
      </c>
      <c r="S38" s="366"/>
      <c r="T38" s="366">
        <v>7660</v>
      </c>
      <c r="U38" s="366">
        <v>7660</v>
      </c>
      <c r="V38" s="366"/>
      <c r="W38" s="24"/>
      <c r="X38" s="367">
        <v>30000</v>
      </c>
      <c r="Y38" s="367">
        <v>7660</v>
      </c>
      <c r="Z38" s="367"/>
      <c r="AA38" s="5"/>
      <c r="AD38" s="25">
        <v>1</v>
      </c>
      <c r="AE38" s="366"/>
    </row>
    <row r="39" spans="1:41" s="25" customFormat="1" ht="31.5">
      <c r="A39" s="97" t="s">
        <v>146</v>
      </c>
      <c r="B39" s="214" t="s">
        <v>244</v>
      </c>
      <c r="C39" s="94" t="s">
        <v>60</v>
      </c>
      <c r="D39" s="19" t="s">
        <v>245</v>
      </c>
      <c r="E39" s="95" t="s">
        <v>87</v>
      </c>
      <c r="F39" s="19" t="s">
        <v>246</v>
      </c>
      <c r="G39" s="365">
        <v>85412</v>
      </c>
      <c r="H39" s="365">
        <v>42087</v>
      </c>
      <c r="I39" s="23">
        <v>12799</v>
      </c>
      <c r="J39" s="23">
        <v>12799</v>
      </c>
      <c r="K39" s="23">
        <v>7431</v>
      </c>
      <c r="L39" s="23">
        <v>7431</v>
      </c>
      <c r="M39" s="23">
        <v>93</v>
      </c>
      <c r="N39" s="366"/>
      <c r="O39" s="366">
        <f>4200+10013+12799</f>
        <v>27012</v>
      </c>
      <c r="P39" s="366">
        <f>4200+10013+12799</f>
        <v>27012</v>
      </c>
      <c r="Q39" s="366">
        <v>71199</v>
      </c>
      <c r="R39" s="366">
        <v>27874</v>
      </c>
      <c r="S39" s="366"/>
      <c r="T39" s="366">
        <v>42275</v>
      </c>
      <c r="U39" s="366">
        <v>15075</v>
      </c>
      <c r="V39" s="366"/>
      <c r="W39" s="24"/>
      <c r="X39" s="367">
        <v>42275</v>
      </c>
      <c r="Y39" s="367">
        <v>15075</v>
      </c>
      <c r="Z39" s="367"/>
      <c r="AA39" s="5"/>
      <c r="AD39" s="25">
        <v>1</v>
      </c>
      <c r="AE39" s="366">
        <v>18450</v>
      </c>
    </row>
    <row r="40" spans="1:41" s="16" customFormat="1" ht="15.75">
      <c r="A40" s="26" t="s">
        <v>47</v>
      </c>
      <c r="B40" s="27" t="s">
        <v>48</v>
      </c>
      <c r="C40" s="13"/>
      <c r="D40" s="13"/>
      <c r="E40" s="14"/>
      <c r="F40" s="13"/>
      <c r="G40" s="362">
        <f>SUM(G41:G46)</f>
        <v>63191</v>
      </c>
      <c r="H40" s="362">
        <f t="shared" ref="H40:V40" si="23">SUM(H41:H46)</f>
        <v>54106</v>
      </c>
      <c r="I40" s="362">
        <f t="shared" si="23"/>
        <v>15200</v>
      </c>
      <c r="J40" s="362">
        <f t="shared" si="23"/>
        <v>14500</v>
      </c>
      <c r="K40" s="362">
        <f t="shared" si="23"/>
        <v>3000</v>
      </c>
      <c r="L40" s="362">
        <f t="shared" si="23"/>
        <v>3000</v>
      </c>
      <c r="M40" s="362">
        <f t="shared" si="23"/>
        <v>3108</v>
      </c>
      <c r="N40" s="362">
        <f t="shared" si="23"/>
        <v>3108</v>
      </c>
      <c r="O40" s="362">
        <f t="shared" si="23"/>
        <v>24378</v>
      </c>
      <c r="P40" s="362">
        <f t="shared" si="23"/>
        <v>23678</v>
      </c>
      <c r="Q40" s="362">
        <f t="shared" si="23"/>
        <v>46778</v>
      </c>
      <c r="R40" s="362">
        <f t="shared" si="23"/>
        <v>39893</v>
      </c>
      <c r="S40" s="362">
        <f t="shared" si="23"/>
        <v>0</v>
      </c>
      <c r="T40" s="362">
        <f t="shared" si="23"/>
        <v>32278</v>
      </c>
      <c r="U40" s="362">
        <f t="shared" si="23"/>
        <v>25393</v>
      </c>
      <c r="V40" s="362">
        <f t="shared" si="23"/>
        <v>0</v>
      </c>
      <c r="W40" s="363"/>
      <c r="X40" s="364">
        <f t="shared" ref="X40:Z40" si="24">SUM(X41:X46)</f>
        <v>30097</v>
      </c>
      <c r="Y40" s="364">
        <f t="shared" si="24"/>
        <v>25393</v>
      </c>
      <c r="Z40" s="364">
        <f t="shared" si="24"/>
        <v>0</v>
      </c>
      <c r="AA40" s="5"/>
      <c r="AB40" s="362">
        <f t="shared" ref="AB40:AO40" si="25">SUM(AB41:AB47)</f>
        <v>0</v>
      </c>
      <c r="AC40" s="362">
        <f t="shared" si="25"/>
        <v>0</v>
      </c>
      <c r="AD40" s="362">
        <f t="shared" si="25"/>
        <v>5</v>
      </c>
      <c r="AE40" s="362">
        <f t="shared" si="25"/>
        <v>7630</v>
      </c>
      <c r="AF40" s="362">
        <f t="shared" si="25"/>
        <v>0</v>
      </c>
      <c r="AG40" s="362">
        <f t="shared" si="25"/>
        <v>0</v>
      </c>
      <c r="AH40" s="362">
        <f t="shared" si="25"/>
        <v>2</v>
      </c>
      <c r="AI40" s="362">
        <f t="shared" si="25"/>
        <v>49500</v>
      </c>
      <c r="AJ40" s="362">
        <f t="shared" si="25"/>
        <v>0</v>
      </c>
      <c r="AK40" s="362">
        <f t="shared" si="25"/>
        <v>0</v>
      </c>
      <c r="AL40" s="362">
        <f t="shared" si="25"/>
        <v>0</v>
      </c>
      <c r="AM40" s="362">
        <f t="shared" si="25"/>
        <v>0</v>
      </c>
      <c r="AN40" s="362">
        <f t="shared" si="25"/>
        <v>0</v>
      </c>
      <c r="AO40" s="362">
        <f t="shared" si="25"/>
        <v>0</v>
      </c>
    </row>
    <row r="41" spans="1:41" s="16" customFormat="1" ht="60">
      <c r="A41" s="97" t="s">
        <v>27</v>
      </c>
      <c r="B41" s="214" t="s">
        <v>247</v>
      </c>
      <c r="C41" s="101" t="s">
        <v>60</v>
      </c>
      <c r="D41" s="101" t="s">
        <v>248</v>
      </c>
      <c r="E41" s="95" t="s">
        <v>82</v>
      </c>
      <c r="F41" s="101" t="s">
        <v>249</v>
      </c>
      <c r="G41" s="104">
        <v>36064</v>
      </c>
      <c r="H41" s="104">
        <v>36064</v>
      </c>
      <c r="I41" s="23">
        <f>+J41</f>
        <v>8000</v>
      </c>
      <c r="J41" s="23">
        <v>8000</v>
      </c>
      <c r="K41" s="23">
        <f>+L41</f>
        <v>3000</v>
      </c>
      <c r="L41" s="23">
        <v>3000</v>
      </c>
      <c r="M41" s="23">
        <f>+N41</f>
        <v>2176</v>
      </c>
      <c r="N41" s="23">
        <v>2176</v>
      </c>
      <c r="O41" s="23">
        <v>17178</v>
      </c>
      <c r="P41" s="23">
        <v>17178</v>
      </c>
      <c r="Q41" s="23">
        <v>21851</v>
      </c>
      <c r="R41" s="23">
        <v>21851</v>
      </c>
      <c r="S41" s="23"/>
      <c r="T41" s="23">
        <v>13851</v>
      </c>
      <c r="U41" s="23">
        <v>13851</v>
      </c>
      <c r="V41" s="23"/>
      <c r="W41" s="80"/>
      <c r="X41" s="371">
        <v>13851</v>
      </c>
      <c r="Y41" s="371">
        <v>13851</v>
      </c>
      <c r="Z41" s="371"/>
      <c r="AA41" s="5"/>
    </row>
    <row r="42" spans="1:41" s="25" customFormat="1" ht="45">
      <c r="A42" s="97" t="s">
        <v>41</v>
      </c>
      <c r="B42" s="214" t="s">
        <v>250</v>
      </c>
      <c r="C42" s="94" t="s">
        <v>60</v>
      </c>
      <c r="D42" s="19" t="s">
        <v>251</v>
      </c>
      <c r="E42" s="95" t="s">
        <v>94</v>
      </c>
      <c r="F42" s="19" t="s">
        <v>252</v>
      </c>
      <c r="G42" s="365">
        <v>6152</v>
      </c>
      <c r="H42" s="365">
        <v>3271</v>
      </c>
      <c r="I42" s="23">
        <v>2200</v>
      </c>
      <c r="J42" s="23">
        <v>1500</v>
      </c>
      <c r="K42" s="23"/>
      <c r="L42" s="23"/>
      <c r="M42" s="23">
        <v>932</v>
      </c>
      <c r="N42" s="366">
        <v>932</v>
      </c>
      <c r="O42" s="366">
        <v>2200</v>
      </c>
      <c r="P42" s="366">
        <v>1500</v>
      </c>
      <c r="Q42" s="366">
        <f>+G42-O42</f>
        <v>3952</v>
      </c>
      <c r="R42" s="365">
        <v>3271</v>
      </c>
      <c r="S42" s="366"/>
      <c r="T42" s="366">
        <f>+Q42</f>
        <v>3952</v>
      </c>
      <c r="U42" s="366">
        <v>1771</v>
      </c>
      <c r="V42" s="366"/>
      <c r="W42" s="24"/>
      <c r="X42" s="367">
        <f>+U42</f>
        <v>1771</v>
      </c>
      <c r="Y42" s="367">
        <v>1771</v>
      </c>
      <c r="Z42" s="367"/>
      <c r="AA42" s="5"/>
      <c r="AD42" s="25">
        <v>1</v>
      </c>
      <c r="AE42" s="366">
        <v>1771</v>
      </c>
    </row>
    <row r="43" spans="1:41" s="25" customFormat="1" ht="31.5">
      <c r="A43" s="97" t="s">
        <v>58</v>
      </c>
      <c r="B43" s="214" t="s">
        <v>253</v>
      </c>
      <c r="C43" s="94" t="s">
        <v>43</v>
      </c>
      <c r="D43" s="19" t="s">
        <v>254</v>
      </c>
      <c r="E43" s="95" t="s">
        <v>30</v>
      </c>
      <c r="F43" s="19" t="s">
        <v>255</v>
      </c>
      <c r="G43" s="365">
        <v>2761</v>
      </c>
      <c r="H43" s="365">
        <v>1698</v>
      </c>
      <c r="I43" s="23">
        <f>+J43</f>
        <v>0</v>
      </c>
      <c r="J43" s="23"/>
      <c r="K43" s="23"/>
      <c r="L43" s="23"/>
      <c r="M43" s="23"/>
      <c r="N43" s="366"/>
      <c r="O43" s="23">
        <f>+P43</f>
        <v>0</v>
      </c>
      <c r="P43" s="23"/>
      <c r="Q43" s="365">
        <v>2761</v>
      </c>
      <c r="R43" s="365">
        <v>1698</v>
      </c>
      <c r="S43" s="366"/>
      <c r="T43" s="365">
        <v>2761</v>
      </c>
      <c r="U43" s="365">
        <v>1698</v>
      </c>
      <c r="V43" s="366"/>
      <c r="W43" s="24"/>
      <c r="X43" s="376">
        <v>2761</v>
      </c>
      <c r="Y43" s="376">
        <v>1698</v>
      </c>
      <c r="Z43" s="367"/>
      <c r="AA43" s="5"/>
      <c r="AD43" s="25">
        <v>1</v>
      </c>
      <c r="AE43" s="366">
        <v>198</v>
      </c>
    </row>
    <row r="44" spans="1:41" s="25" customFormat="1" ht="45">
      <c r="A44" s="97" t="s">
        <v>64</v>
      </c>
      <c r="B44" s="214" t="s">
        <v>256</v>
      </c>
      <c r="C44" s="94" t="s">
        <v>112</v>
      </c>
      <c r="D44" s="19" t="s">
        <v>257</v>
      </c>
      <c r="E44" s="95" t="s">
        <v>30</v>
      </c>
      <c r="F44" s="19" t="s">
        <v>258</v>
      </c>
      <c r="G44" s="365">
        <v>6663</v>
      </c>
      <c r="H44" s="365">
        <v>3776</v>
      </c>
      <c r="I44" s="23">
        <v>500</v>
      </c>
      <c r="J44" s="23">
        <v>500</v>
      </c>
      <c r="K44" s="23"/>
      <c r="L44" s="23"/>
      <c r="M44" s="23"/>
      <c r="N44" s="366"/>
      <c r="O44" s="23">
        <v>500</v>
      </c>
      <c r="P44" s="23">
        <v>500</v>
      </c>
      <c r="Q44" s="366">
        <v>6663</v>
      </c>
      <c r="R44" s="366">
        <v>3776</v>
      </c>
      <c r="S44" s="366"/>
      <c r="T44" s="366">
        <v>5163</v>
      </c>
      <c r="U44" s="366">
        <f>3776-500</f>
        <v>3276</v>
      </c>
      <c r="V44" s="366"/>
      <c r="W44" s="24"/>
      <c r="X44" s="367">
        <v>5163</v>
      </c>
      <c r="Y44" s="367">
        <f>3776-500</f>
        <v>3276</v>
      </c>
      <c r="Z44" s="367"/>
      <c r="AA44" s="5"/>
      <c r="AD44" s="25">
        <v>1</v>
      </c>
      <c r="AE44" s="366">
        <v>2276</v>
      </c>
    </row>
    <row r="45" spans="1:41" s="25" customFormat="1" ht="31.5">
      <c r="A45" s="97" t="s">
        <v>69</v>
      </c>
      <c r="B45" s="214" t="s">
        <v>259</v>
      </c>
      <c r="C45" s="94" t="s">
        <v>260</v>
      </c>
      <c r="D45" s="19" t="s">
        <v>261</v>
      </c>
      <c r="E45" s="95" t="s">
        <v>30</v>
      </c>
      <c r="F45" s="19" t="s">
        <v>262</v>
      </c>
      <c r="G45" s="365">
        <v>4639</v>
      </c>
      <c r="H45" s="365">
        <v>2385</v>
      </c>
      <c r="I45" s="23">
        <v>1500</v>
      </c>
      <c r="J45" s="23">
        <v>1500</v>
      </c>
      <c r="K45" s="23"/>
      <c r="L45" s="23"/>
      <c r="M45" s="23"/>
      <c r="N45" s="366"/>
      <c r="O45" s="23">
        <v>1500</v>
      </c>
      <c r="P45" s="23">
        <v>1500</v>
      </c>
      <c r="Q45" s="366">
        <v>4639</v>
      </c>
      <c r="R45" s="366">
        <v>2385</v>
      </c>
      <c r="S45" s="366"/>
      <c r="T45" s="366">
        <v>2639</v>
      </c>
      <c r="U45" s="366">
        <f>2385-1500</f>
        <v>885</v>
      </c>
      <c r="V45" s="366"/>
      <c r="W45" s="24"/>
      <c r="X45" s="367">
        <v>2639</v>
      </c>
      <c r="Y45" s="367">
        <f>2385-1500</f>
        <v>885</v>
      </c>
      <c r="Z45" s="367"/>
      <c r="AA45" s="5"/>
      <c r="AD45" s="25">
        <v>1</v>
      </c>
      <c r="AE45" s="366">
        <v>385</v>
      </c>
    </row>
    <row r="46" spans="1:41" s="25" customFormat="1" ht="47.25">
      <c r="A46" s="97" t="s">
        <v>74</v>
      </c>
      <c r="B46" s="214" t="s">
        <v>263</v>
      </c>
      <c r="C46" s="94" t="s">
        <v>143</v>
      </c>
      <c r="D46" s="19"/>
      <c r="E46" s="95"/>
      <c r="F46" s="19" t="s">
        <v>264</v>
      </c>
      <c r="G46" s="365">
        <v>6912</v>
      </c>
      <c r="H46" s="365">
        <v>6912</v>
      </c>
      <c r="I46" s="23">
        <f t="shared" ref="I46" si="26">+J46</f>
        <v>3000</v>
      </c>
      <c r="J46" s="23">
        <v>3000</v>
      </c>
      <c r="K46" s="23"/>
      <c r="L46" s="23"/>
      <c r="M46" s="23"/>
      <c r="N46" s="366"/>
      <c r="O46" s="23">
        <f t="shared" ref="O46" si="27">+P46</f>
        <v>3000</v>
      </c>
      <c r="P46" s="23">
        <v>3000</v>
      </c>
      <c r="Q46" s="365">
        <v>6912</v>
      </c>
      <c r="R46" s="365">
        <v>6912</v>
      </c>
      <c r="S46" s="366"/>
      <c r="T46" s="366">
        <v>3912</v>
      </c>
      <c r="U46" s="366">
        <v>3912</v>
      </c>
      <c r="V46" s="366"/>
      <c r="W46" s="24"/>
      <c r="X46" s="367">
        <v>3912</v>
      </c>
      <c r="Y46" s="367">
        <v>3912</v>
      </c>
      <c r="Z46" s="367"/>
      <c r="AA46" s="5"/>
      <c r="AD46" s="25">
        <v>1</v>
      </c>
      <c r="AE46" s="366">
        <v>3000</v>
      </c>
    </row>
    <row r="47" spans="1:41" s="16" customFormat="1" ht="31.5">
      <c r="A47" s="11" t="s">
        <v>116</v>
      </c>
      <c r="B47" s="12" t="s">
        <v>117</v>
      </c>
      <c r="C47" s="13"/>
      <c r="D47" s="13"/>
      <c r="E47" s="14"/>
      <c r="F47" s="13"/>
      <c r="G47" s="362">
        <f>G48</f>
        <v>333444</v>
      </c>
      <c r="H47" s="362">
        <f t="shared" ref="H47:Z47" si="28">H48</f>
        <v>50826</v>
      </c>
      <c r="I47" s="362">
        <f t="shared" si="28"/>
        <v>127011</v>
      </c>
      <c r="J47" s="362">
        <f t="shared" si="28"/>
        <v>77011</v>
      </c>
      <c r="K47" s="362">
        <f t="shared" si="28"/>
        <v>0</v>
      </c>
      <c r="L47" s="362">
        <f t="shared" si="28"/>
        <v>0</v>
      </c>
      <c r="M47" s="362">
        <f t="shared" si="28"/>
        <v>0</v>
      </c>
      <c r="N47" s="362">
        <f t="shared" si="28"/>
        <v>0</v>
      </c>
      <c r="O47" s="362">
        <f t="shared" si="28"/>
        <v>127011</v>
      </c>
      <c r="P47" s="362">
        <f t="shared" si="28"/>
        <v>77011</v>
      </c>
      <c r="Q47" s="362">
        <f t="shared" si="28"/>
        <v>603936</v>
      </c>
      <c r="R47" s="362">
        <f t="shared" si="28"/>
        <v>321318</v>
      </c>
      <c r="S47" s="362">
        <f t="shared" si="28"/>
        <v>0</v>
      </c>
      <c r="T47" s="362">
        <f t="shared" si="28"/>
        <v>116211</v>
      </c>
      <c r="U47" s="362">
        <f t="shared" si="28"/>
        <v>86211</v>
      </c>
      <c r="V47" s="362">
        <f t="shared" si="28"/>
        <v>0</v>
      </c>
      <c r="W47" s="379"/>
      <c r="X47" s="364">
        <f t="shared" si="28"/>
        <v>116211</v>
      </c>
      <c r="Y47" s="364">
        <f t="shared" si="28"/>
        <v>86211</v>
      </c>
      <c r="Z47" s="364">
        <f t="shared" si="28"/>
        <v>0</v>
      </c>
      <c r="AA47" s="5"/>
      <c r="AB47" s="362">
        <f t="shared" ref="AB47:AK47" si="29">AB48</f>
        <v>0</v>
      </c>
      <c r="AC47" s="362">
        <f t="shared" si="29"/>
        <v>0</v>
      </c>
      <c r="AD47" s="362">
        <f t="shared" si="29"/>
        <v>0</v>
      </c>
      <c r="AE47" s="362">
        <f t="shared" si="29"/>
        <v>0</v>
      </c>
      <c r="AF47" s="362">
        <f t="shared" si="29"/>
        <v>0</v>
      </c>
      <c r="AG47" s="362">
        <f t="shared" si="29"/>
        <v>0</v>
      </c>
      <c r="AH47" s="362">
        <f t="shared" si="29"/>
        <v>2</v>
      </c>
      <c r="AI47" s="362">
        <f t="shared" si="29"/>
        <v>49500</v>
      </c>
      <c r="AJ47" s="362">
        <f t="shared" si="29"/>
        <v>0</v>
      </c>
      <c r="AK47" s="362">
        <f t="shared" si="29"/>
        <v>0</v>
      </c>
      <c r="AL47" s="362">
        <f>AL48</f>
        <v>0</v>
      </c>
      <c r="AM47" s="362">
        <f>AM48</f>
        <v>0</v>
      </c>
      <c r="AN47" s="362">
        <f>AN48</f>
        <v>0</v>
      </c>
      <c r="AO47" s="362">
        <f>AO48</f>
        <v>0</v>
      </c>
    </row>
    <row r="48" spans="1:41" s="16" customFormat="1" ht="15.75">
      <c r="A48" s="26" t="s">
        <v>47</v>
      </c>
      <c r="B48" s="27" t="s">
        <v>35</v>
      </c>
      <c r="C48" s="13"/>
      <c r="D48" s="13"/>
      <c r="E48" s="14"/>
      <c r="F48" s="13"/>
      <c r="G48" s="362">
        <f t="shared" ref="G48:V48" si="30">SUM(G49:G50)</f>
        <v>333444</v>
      </c>
      <c r="H48" s="362">
        <f t="shared" si="30"/>
        <v>50826</v>
      </c>
      <c r="I48" s="362">
        <f t="shared" si="30"/>
        <v>127011</v>
      </c>
      <c r="J48" s="362">
        <f t="shared" si="30"/>
        <v>77011</v>
      </c>
      <c r="K48" s="362">
        <f t="shared" si="30"/>
        <v>0</v>
      </c>
      <c r="L48" s="362">
        <f t="shared" si="30"/>
        <v>0</v>
      </c>
      <c r="M48" s="362">
        <f t="shared" si="30"/>
        <v>0</v>
      </c>
      <c r="N48" s="362">
        <f t="shared" si="30"/>
        <v>0</v>
      </c>
      <c r="O48" s="362">
        <f t="shared" si="30"/>
        <v>127011</v>
      </c>
      <c r="P48" s="362">
        <f t="shared" si="30"/>
        <v>77011</v>
      </c>
      <c r="Q48" s="362">
        <f t="shared" si="30"/>
        <v>603936</v>
      </c>
      <c r="R48" s="362">
        <f t="shared" si="30"/>
        <v>321318</v>
      </c>
      <c r="S48" s="362">
        <f t="shared" si="30"/>
        <v>0</v>
      </c>
      <c r="T48" s="362">
        <f t="shared" si="30"/>
        <v>116211</v>
      </c>
      <c r="U48" s="362">
        <f t="shared" si="30"/>
        <v>86211</v>
      </c>
      <c r="V48" s="362">
        <f t="shared" si="30"/>
        <v>0</v>
      </c>
      <c r="W48" s="363"/>
      <c r="X48" s="364">
        <f t="shared" ref="X48:Z48" si="31">SUM(X49:X50)</f>
        <v>116211</v>
      </c>
      <c r="Y48" s="364">
        <f t="shared" si="31"/>
        <v>86211</v>
      </c>
      <c r="Z48" s="364">
        <f t="shared" si="31"/>
        <v>0</v>
      </c>
      <c r="AA48" s="5"/>
      <c r="AB48" s="362">
        <f t="shared" ref="AB48:AK48" si="32">SUM(AB49:AB50)</f>
        <v>0</v>
      </c>
      <c r="AC48" s="362">
        <f t="shared" si="32"/>
        <v>0</v>
      </c>
      <c r="AD48" s="362">
        <f t="shared" si="32"/>
        <v>0</v>
      </c>
      <c r="AE48" s="362">
        <f t="shared" si="32"/>
        <v>0</v>
      </c>
      <c r="AF48" s="362">
        <f t="shared" si="32"/>
        <v>0</v>
      </c>
      <c r="AG48" s="362">
        <f t="shared" si="32"/>
        <v>0</v>
      </c>
      <c r="AH48" s="362">
        <f t="shared" si="32"/>
        <v>2</v>
      </c>
      <c r="AI48" s="362">
        <f t="shared" si="32"/>
        <v>49500</v>
      </c>
      <c r="AJ48" s="362">
        <f t="shared" si="32"/>
        <v>0</v>
      </c>
      <c r="AK48" s="362">
        <f t="shared" si="32"/>
        <v>0</v>
      </c>
      <c r="AL48" s="362">
        <f>SUM(AL49:AL50)</f>
        <v>0</v>
      </c>
      <c r="AM48" s="362">
        <f>SUM(AM49:AM50)</f>
        <v>0</v>
      </c>
      <c r="AN48" s="362">
        <f>SUM(AN49:AN50)</f>
        <v>0</v>
      </c>
      <c r="AO48" s="362">
        <f>SUM(AO49:AO50)</f>
        <v>0</v>
      </c>
    </row>
    <row r="49" spans="1:41" s="25" customFormat="1" ht="53.25" customHeight="1">
      <c r="A49" s="97" t="s">
        <v>27</v>
      </c>
      <c r="B49" s="380" t="s">
        <v>1169</v>
      </c>
      <c r="C49" s="19" t="s">
        <v>1170</v>
      </c>
      <c r="D49" s="19"/>
      <c r="E49" s="137" t="s">
        <v>120</v>
      </c>
      <c r="F49" s="381" t="s">
        <v>1171</v>
      </c>
      <c r="G49" s="365">
        <v>333444</v>
      </c>
      <c r="H49" s="365">
        <v>50826</v>
      </c>
      <c r="I49" s="382">
        <v>50300</v>
      </c>
      <c r="J49" s="382">
        <v>300</v>
      </c>
      <c r="K49" s="382"/>
      <c r="L49" s="382"/>
      <c r="M49" s="382"/>
      <c r="N49" s="382"/>
      <c r="O49" s="382">
        <f>+I49</f>
        <v>50300</v>
      </c>
      <c r="P49" s="382">
        <f>+J49</f>
        <v>300</v>
      </c>
      <c r="Q49" s="382">
        <f>+G49</f>
        <v>333444</v>
      </c>
      <c r="R49" s="382">
        <f>+H49</f>
        <v>50826</v>
      </c>
      <c r="S49" s="382"/>
      <c r="T49" s="382">
        <f>30000+4500+5000</f>
        <v>39500</v>
      </c>
      <c r="U49" s="382">
        <v>9500</v>
      </c>
      <c r="V49" s="23"/>
      <c r="W49" s="24"/>
      <c r="X49" s="383">
        <f>30000+4500+5000</f>
        <v>39500</v>
      </c>
      <c r="Y49" s="383">
        <v>9500</v>
      </c>
      <c r="Z49" s="371"/>
      <c r="AA49" s="5"/>
      <c r="AH49" s="25">
        <v>1</v>
      </c>
      <c r="AI49" s="382">
        <v>9500</v>
      </c>
    </row>
    <row r="50" spans="1:41" s="25" customFormat="1" ht="36" customHeight="1">
      <c r="A50" s="97" t="s">
        <v>41</v>
      </c>
      <c r="B50" s="214" t="s">
        <v>265</v>
      </c>
      <c r="C50" s="94" t="s">
        <v>222</v>
      </c>
      <c r="D50" s="19"/>
      <c r="E50" s="95"/>
      <c r="F50" s="19"/>
      <c r="G50" s="365"/>
      <c r="H50" s="365"/>
      <c r="I50" s="23">
        <f>+J50</f>
        <v>76711</v>
      </c>
      <c r="J50" s="23">
        <v>76711</v>
      </c>
      <c r="K50" s="23"/>
      <c r="L50" s="23"/>
      <c r="M50" s="23"/>
      <c r="N50" s="366"/>
      <c r="O50" s="23">
        <f>+P50</f>
        <v>76711</v>
      </c>
      <c r="P50" s="23">
        <v>76711</v>
      </c>
      <c r="Q50" s="366">
        <v>270492</v>
      </c>
      <c r="R50" s="366">
        <v>270492</v>
      </c>
      <c r="S50" s="366"/>
      <c r="T50" s="23">
        <f>+U50</f>
        <v>76711</v>
      </c>
      <c r="U50" s="23">
        <v>76711</v>
      </c>
      <c r="V50" s="366"/>
      <c r="W50" s="24"/>
      <c r="X50" s="371">
        <f>+Y50</f>
        <v>76711</v>
      </c>
      <c r="Y50" s="371">
        <v>76711</v>
      </c>
      <c r="Z50" s="367"/>
      <c r="AA50" s="5"/>
      <c r="AH50" s="25">
        <v>1</v>
      </c>
      <c r="AI50" s="23">
        <v>40000</v>
      </c>
    </row>
    <row r="51" spans="1:41" s="361" customFormat="1" ht="31.5">
      <c r="A51" s="107" t="s">
        <v>150</v>
      </c>
      <c r="B51" s="358" t="s">
        <v>151</v>
      </c>
      <c r="C51" s="85"/>
      <c r="D51" s="85"/>
      <c r="E51" s="86"/>
      <c r="F51" s="85"/>
      <c r="G51" s="87">
        <f t="shared" ref="G51:V51" si="33">SUM(G52,G60)</f>
        <v>5930568</v>
      </c>
      <c r="H51" s="87">
        <f t="shared" si="33"/>
        <v>1245099</v>
      </c>
      <c r="I51" s="87">
        <f t="shared" si="33"/>
        <v>17500</v>
      </c>
      <c r="J51" s="87">
        <f t="shared" si="33"/>
        <v>12500</v>
      </c>
      <c r="K51" s="87">
        <f t="shared" si="33"/>
        <v>0</v>
      </c>
      <c r="L51" s="87">
        <f t="shared" si="33"/>
        <v>0</v>
      </c>
      <c r="M51" s="87">
        <f t="shared" si="33"/>
        <v>0</v>
      </c>
      <c r="N51" s="87">
        <f t="shared" si="33"/>
        <v>0</v>
      </c>
      <c r="O51" s="87">
        <f t="shared" si="33"/>
        <v>17500</v>
      </c>
      <c r="P51" s="87">
        <f t="shared" si="33"/>
        <v>12500</v>
      </c>
      <c r="Q51" s="87">
        <f t="shared" si="33"/>
        <v>5097068</v>
      </c>
      <c r="R51" s="87">
        <f t="shared" si="33"/>
        <v>1110599</v>
      </c>
      <c r="S51" s="87">
        <f t="shared" si="33"/>
        <v>0</v>
      </c>
      <c r="T51" s="87">
        <f t="shared" si="33"/>
        <v>549890</v>
      </c>
      <c r="U51" s="87">
        <f t="shared" si="33"/>
        <v>82207</v>
      </c>
      <c r="V51" s="87">
        <f t="shared" si="33"/>
        <v>0</v>
      </c>
      <c r="W51" s="359"/>
      <c r="X51" s="360">
        <f t="shared" ref="X51:Z51" si="34">SUM(X52,X60)</f>
        <v>549890</v>
      </c>
      <c r="Y51" s="360">
        <f t="shared" si="34"/>
        <v>84207</v>
      </c>
      <c r="Z51" s="360">
        <f t="shared" si="34"/>
        <v>0</v>
      </c>
      <c r="AA51" s="5"/>
      <c r="AB51" s="87">
        <f t="shared" ref="AB51:AK51" si="35">SUM(AB52,AB60)</f>
        <v>0</v>
      </c>
      <c r="AC51" s="87">
        <f t="shared" si="35"/>
        <v>0</v>
      </c>
      <c r="AD51" s="87">
        <f t="shared" si="35"/>
        <v>0</v>
      </c>
      <c r="AE51" s="87">
        <f t="shared" si="35"/>
        <v>0</v>
      </c>
      <c r="AF51" s="87">
        <f t="shared" si="35"/>
        <v>0</v>
      </c>
      <c r="AG51" s="87">
        <f t="shared" si="35"/>
        <v>0</v>
      </c>
      <c r="AH51" s="87">
        <f t="shared" si="35"/>
        <v>0</v>
      </c>
      <c r="AI51" s="87">
        <f t="shared" si="35"/>
        <v>0</v>
      </c>
      <c r="AJ51" s="87">
        <f t="shared" si="35"/>
        <v>0</v>
      </c>
      <c r="AK51" s="87">
        <f t="shared" si="35"/>
        <v>0</v>
      </c>
      <c r="AL51" s="87">
        <f>SUM(AL52,AL60)</f>
        <v>8</v>
      </c>
      <c r="AM51" s="87">
        <f>SUM(AM52,AM60)</f>
        <v>66800</v>
      </c>
      <c r="AN51" s="87">
        <f>SUM(AN52,AN60)</f>
        <v>0</v>
      </c>
      <c r="AO51" s="87">
        <f>SUM(AO52,AO60)</f>
        <v>0</v>
      </c>
    </row>
    <row r="52" spans="1:41" s="31" customFormat="1" ht="15.75">
      <c r="A52" s="26" t="s">
        <v>47</v>
      </c>
      <c r="B52" s="27" t="s">
        <v>35</v>
      </c>
      <c r="C52" s="28"/>
      <c r="D52" s="28"/>
      <c r="E52" s="29"/>
      <c r="F52" s="28"/>
      <c r="G52" s="384">
        <f>SUM(G53:G59)</f>
        <v>5835708</v>
      </c>
      <c r="H52" s="384">
        <f t="shared" ref="H52:V52" si="36">SUM(H53:H59)</f>
        <v>1187827</v>
      </c>
      <c r="I52" s="384">
        <f t="shared" si="36"/>
        <v>17500</v>
      </c>
      <c r="J52" s="384">
        <f t="shared" si="36"/>
        <v>12500</v>
      </c>
      <c r="K52" s="384">
        <f t="shared" si="36"/>
        <v>0</v>
      </c>
      <c r="L52" s="384">
        <f t="shared" si="36"/>
        <v>0</v>
      </c>
      <c r="M52" s="384">
        <f t="shared" si="36"/>
        <v>0</v>
      </c>
      <c r="N52" s="384">
        <f t="shared" si="36"/>
        <v>0</v>
      </c>
      <c r="O52" s="384">
        <f t="shared" si="36"/>
        <v>17500</v>
      </c>
      <c r="P52" s="384">
        <f t="shared" si="36"/>
        <v>12500</v>
      </c>
      <c r="Q52" s="384">
        <f t="shared" si="36"/>
        <v>5002208</v>
      </c>
      <c r="R52" s="384">
        <f t="shared" si="36"/>
        <v>1053327</v>
      </c>
      <c r="S52" s="384">
        <f t="shared" si="36"/>
        <v>0</v>
      </c>
      <c r="T52" s="384">
        <f t="shared" si="36"/>
        <v>532125</v>
      </c>
      <c r="U52" s="384">
        <f t="shared" si="36"/>
        <v>69625</v>
      </c>
      <c r="V52" s="384">
        <f t="shared" si="36"/>
        <v>0</v>
      </c>
      <c r="W52" s="385"/>
      <c r="X52" s="386">
        <f t="shared" ref="X52:Z52" si="37">SUM(X53:X59)</f>
        <v>532125</v>
      </c>
      <c r="Y52" s="386">
        <f t="shared" si="37"/>
        <v>71625</v>
      </c>
      <c r="Z52" s="386">
        <f t="shared" si="37"/>
        <v>0</v>
      </c>
      <c r="AA52" s="5"/>
      <c r="AB52" s="384">
        <f t="shared" ref="AB52:AK52" si="38">SUM(AB53:AB59)</f>
        <v>0</v>
      </c>
      <c r="AC52" s="384">
        <f t="shared" si="38"/>
        <v>0</v>
      </c>
      <c r="AD52" s="384">
        <f t="shared" si="38"/>
        <v>0</v>
      </c>
      <c r="AE52" s="384">
        <f t="shared" si="38"/>
        <v>0</v>
      </c>
      <c r="AF52" s="384">
        <f t="shared" si="38"/>
        <v>0</v>
      </c>
      <c r="AG52" s="384">
        <f t="shared" si="38"/>
        <v>0</v>
      </c>
      <c r="AH52" s="384">
        <f t="shared" si="38"/>
        <v>0</v>
      </c>
      <c r="AI52" s="384">
        <f t="shared" si="38"/>
        <v>0</v>
      </c>
      <c r="AJ52" s="384">
        <f t="shared" si="38"/>
        <v>0</v>
      </c>
      <c r="AK52" s="384">
        <f t="shared" si="38"/>
        <v>0</v>
      </c>
      <c r="AL52" s="384">
        <f>SUM(AL53:AL59)</f>
        <v>5</v>
      </c>
      <c r="AM52" s="384">
        <f>SUM(AM53:AM59)</f>
        <v>59500</v>
      </c>
      <c r="AN52" s="384">
        <f>SUM(AN53:AN59)</f>
        <v>0</v>
      </c>
      <c r="AO52" s="384">
        <f>SUM(AO53:AO59)</f>
        <v>0</v>
      </c>
    </row>
    <row r="53" spans="1:41" s="25" customFormat="1" ht="78.75">
      <c r="A53" s="67">
        <v>1</v>
      </c>
      <c r="B53" s="227" t="s">
        <v>1222</v>
      </c>
      <c r="C53" s="43" t="s">
        <v>1223</v>
      </c>
      <c r="D53" s="101"/>
      <c r="E53" s="120" t="s">
        <v>120</v>
      </c>
      <c r="F53" s="378" t="s">
        <v>1224</v>
      </c>
      <c r="G53" s="72">
        <v>1430000</v>
      </c>
      <c r="H53" s="72">
        <v>331000</v>
      </c>
      <c r="I53" s="23">
        <f>+J53</f>
        <v>4000</v>
      </c>
      <c r="J53" s="23">
        <v>4000</v>
      </c>
      <c r="K53" s="23"/>
      <c r="L53" s="23"/>
      <c r="M53" s="23"/>
      <c r="N53" s="366"/>
      <c r="O53" s="23">
        <f>+P53</f>
        <v>4000</v>
      </c>
      <c r="P53" s="23">
        <v>4000</v>
      </c>
      <c r="Q53" s="366">
        <v>600000</v>
      </c>
      <c r="R53" s="366">
        <v>200000</v>
      </c>
      <c r="S53" s="366"/>
      <c r="T53" s="366">
        <v>105000</v>
      </c>
      <c r="U53" s="366">
        <v>5000</v>
      </c>
      <c r="V53" s="366"/>
      <c r="W53" s="24"/>
      <c r="X53" s="367">
        <v>105000</v>
      </c>
      <c r="Y53" s="367">
        <v>5000</v>
      </c>
      <c r="Z53" s="367"/>
      <c r="AA53" s="5"/>
      <c r="AL53" s="25">
        <v>1</v>
      </c>
      <c r="AM53" s="366">
        <v>5000</v>
      </c>
    </row>
    <row r="54" spans="1:41" s="5" customFormat="1" ht="47.25">
      <c r="A54" s="67">
        <v>2</v>
      </c>
      <c r="B54" s="212" t="s">
        <v>1225</v>
      </c>
      <c r="C54" s="19" t="s">
        <v>29</v>
      </c>
      <c r="D54" s="19" t="s">
        <v>1226</v>
      </c>
      <c r="E54" s="70" t="s">
        <v>120</v>
      </c>
      <c r="F54" s="354" t="s">
        <v>1227</v>
      </c>
      <c r="G54" s="355">
        <v>1490076</v>
      </c>
      <c r="H54" s="355">
        <v>400076</v>
      </c>
      <c r="I54" s="72"/>
      <c r="J54" s="72"/>
      <c r="K54" s="72"/>
      <c r="L54" s="72"/>
      <c r="M54" s="72"/>
      <c r="N54" s="72"/>
      <c r="O54" s="72"/>
      <c r="P54" s="72"/>
      <c r="Q54" s="72">
        <f>+G54</f>
        <v>1490076</v>
      </c>
      <c r="R54" s="72">
        <f>+H54</f>
        <v>400076</v>
      </c>
      <c r="S54" s="72"/>
      <c r="T54" s="72">
        <v>105000</v>
      </c>
      <c r="U54" s="72">
        <v>5000</v>
      </c>
      <c r="V54" s="72"/>
      <c r="W54" s="269"/>
      <c r="X54" s="356">
        <v>105000</v>
      </c>
      <c r="Y54" s="356">
        <v>5000</v>
      </c>
      <c r="Z54" s="356"/>
      <c r="AL54" s="5">
        <v>1</v>
      </c>
      <c r="AM54" s="72">
        <v>5000</v>
      </c>
    </row>
    <row r="55" spans="1:41" s="25" customFormat="1" ht="47.25">
      <c r="A55" s="67">
        <v>3</v>
      </c>
      <c r="B55" s="227" t="s">
        <v>266</v>
      </c>
      <c r="C55" s="43" t="s">
        <v>43</v>
      </c>
      <c r="D55" s="101" t="s">
        <v>267</v>
      </c>
      <c r="E55" s="120" t="s">
        <v>120</v>
      </c>
      <c r="F55" s="378" t="s">
        <v>268</v>
      </c>
      <c r="G55" s="72">
        <v>1145000</v>
      </c>
      <c r="H55" s="72">
        <v>248000</v>
      </c>
      <c r="I55" s="23"/>
      <c r="J55" s="23"/>
      <c r="K55" s="23"/>
      <c r="L55" s="23"/>
      <c r="M55" s="23"/>
      <c r="N55" s="366"/>
      <c r="O55" s="366"/>
      <c r="P55" s="366"/>
      <c r="Q55" s="72">
        <v>1145000</v>
      </c>
      <c r="R55" s="72">
        <v>248000</v>
      </c>
      <c r="S55" s="366"/>
      <c r="T55" s="366">
        <v>105000</v>
      </c>
      <c r="U55" s="366">
        <v>5000</v>
      </c>
      <c r="V55" s="366"/>
      <c r="W55" s="24"/>
      <c r="X55" s="367">
        <v>105000</v>
      </c>
      <c r="Y55" s="367">
        <v>5000</v>
      </c>
      <c r="Z55" s="367"/>
      <c r="AA55" s="5"/>
      <c r="AL55" s="5">
        <v>1</v>
      </c>
      <c r="AM55" s="366">
        <v>5000</v>
      </c>
    </row>
    <row r="56" spans="1:41" s="25" customFormat="1" ht="66.75" customHeight="1">
      <c r="A56" s="67">
        <v>4</v>
      </c>
      <c r="B56" s="387" t="s">
        <v>269</v>
      </c>
      <c r="C56" s="41" t="s">
        <v>5</v>
      </c>
      <c r="D56" s="119" t="s">
        <v>270</v>
      </c>
      <c r="E56" s="120" t="s">
        <v>120</v>
      </c>
      <c r="F56" s="119" t="s">
        <v>271</v>
      </c>
      <c r="G56" s="72">
        <v>347012</v>
      </c>
      <c r="H56" s="72">
        <v>58000</v>
      </c>
      <c r="I56" s="23"/>
      <c r="J56" s="23"/>
      <c r="K56" s="23"/>
      <c r="L56" s="23"/>
      <c r="M56" s="23"/>
      <c r="N56" s="366"/>
      <c r="O56" s="366"/>
      <c r="P56" s="366"/>
      <c r="Q56" s="366">
        <f>+G56</f>
        <v>347012</v>
      </c>
      <c r="R56" s="366">
        <f>+H56</f>
        <v>58000</v>
      </c>
      <c r="S56" s="366"/>
      <c r="T56" s="366">
        <v>20000</v>
      </c>
      <c r="U56" s="366">
        <v>3000</v>
      </c>
      <c r="V56" s="366"/>
      <c r="W56" s="24"/>
      <c r="X56" s="367">
        <v>20000</v>
      </c>
      <c r="Y56" s="367">
        <v>5000</v>
      </c>
      <c r="Z56" s="367"/>
      <c r="AA56" s="5"/>
      <c r="AM56" s="366"/>
    </row>
    <row r="57" spans="1:41" s="25" customFormat="1" ht="31.5">
      <c r="A57" s="67">
        <v>5</v>
      </c>
      <c r="B57" s="387" t="s">
        <v>1172</v>
      </c>
      <c r="C57" s="41"/>
      <c r="D57" s="119"/>
      <c r="E57" s="120"/>
      <c r="F57" s="119"/>
      <c r="G57" s="72"/>
      <c r="H57" s="72"/>
      <c r="I57" s="23"/>
      <c r="J57" s="23"/>
      <c r="K57" s="23"/>
      <c r="L57" s="23"/>
      <c r="M57" s="23"/>
      <c r="N57" s="366"/>
      <c r="O57" s="366"/>
      <c r="P57" s="366"/>
      <c r="Q57" s="366"/>
      <c r="R57" s="366"/>
      <c r="S57" s="366"/>
      <c r="T57" s="366"/>
      <c r="U57" s="366"/>
      <c r="V57" s="366"/>
      <c r="W57" s="24"/>
      <c r="X57" s="367"/>
      <c r="Y57" s="367"/>
      <c r="Z57" s="367"/>
      <c r="AA57" s="5"/>
      <c r="AM57" s="366"/>
    </row>
    <row r="58" spans="1:41" s="25" customFormat="1" ht="63">
      <c r="A58" s="150" t="s">
        <v>1173</v>
      </c>
      <c r="B58" s="387" t="s">
        <v>1174</v>
      </c>
      <c r="C58" s="41" t="s">
        <v>143</v>
      </c>
      <c r="D58" s="119"/>
      <c r="E58" s="120" t="s">
        <v>313</v>
      </c>
      <c r="F58" s="388" t="s">
        <v>1176</v>
      </c>
      <c r="G58" s="355">
        <v>680030</v>
      </c>
      <c r="H58" s="72">
        <v>134126</v>
      </c>
      <c r="I58" s="23">
        <f>+J58</f>
        <v>3500</v>
      </c>
      <c r="J58" s="23">
        <v>3500</v>
      </c>
      <c r="K58" s="23"/>
      <c r="L58" s="23"/>
      <c r="M58" s="23"/>
      <c r="N58" s="366"/>
      <c r="O58" s="23">
        <f>+P58</f>
        <v>3500</v>
      </c>
      <c r="P58" s="23">
        <v>3500</v>
      </c>
      <c r="Q58" s="366">
        <f>+G58-O58</f>
        <v>676530</v>
      </c>
      <c r="R58" s="366">
        <f>+H58-O58</f>
        <v>130626</v>
      </c>
      <c r="S58" s="366"/>
      <c r="T58" s="366">
        <v>180000</v>
      </c>
      <c r="U58" s="366">
        <v>40000</v>
      </c>
      <c r="V58" s="366"/>
      <c r="W58" s="24"/>
      <c r="X58" s="367">
        <v>180000</v>
      </c>
      <c r="Y58" s="367">
        <v>40000</v>
      </c>
      <c r="Z58" s="367"/>
      <c r="AA58" s="5"/>
      <c r="AL58" s="25">
        <v>1</v>
      </c>
      <c r="AM58" s="366">
        <v>40000</v>
      </c>
    </row>
    <row r="59" spans="1:41" s="25" customFormat="1" ht="78.75">
      <c r="A59" s="150">
        <v>6</v>
      </c>
      <c r="B59" s="387" t="s">
        <v>272</v>
      </c>
      <c r="C59" s="41"/>
      <c r="D59" s="119"/>
      <c r="E59" s="120"/>
      <c r="F59" s="388"/>
      <c r="G59" s="355">
        <v>743590</v>
      </c>
      <c r="H59" s="72">
        <v>16625</v>
      </c>
      <c r="I59" s="23">
        <v>10000</v>
      </c>
      <c r="J59" s="23">
        <v>5000</v>
      </c>
      <c r="K59" s="23"/>
      <c r="L59" s="23"/>
      <c r="M59" s="23"/>
      <c r="N59" s="366"/>
      <c r="O59" s="366">
        <v>10000</v>
      </c>
      <c r="P59" s="366">
        <v>5000</v>
      </c>
      <c r="Q59" s="366">
        <v>743590</v>
      </c>
      <c r="R59" s="366">
        <v>16625</v>
      </c>
      <c r="S59" s="366">
        <v>0</v>
      </c>
      <c r="T59" s="366">
        <v>17125</v>
      </c>
      <c r="U59" s="366">
        <v>11625</v>
      </c>
      <c r="V59" s="366">
        <v>0</v>
      </c>
      <c r="W59" s="24" t="s">
        <v>1228</v>
      </c>
      <c r="X59" s="367">
        <v>17125</v>
      </c>
      <c r="Y59" s="367">
        <v>11625</v>
      </c>
      <c r="Z59" s="367">
        <v>0</v>
      </c>
      <c r="AA59" s="5"/>
      <c r="AL59" s="25">
        <v>1</v>
      </c>
      <c r="AM59" s="366">
        <v>4500</v>
      </c>
    </row>
    <row r="60" spans="1:41" s="16" customFormat="1" ht="15.75">
      <c r="A60" s="26" t="s">
        <v>273</v>
      </c>
      <c r="B60" s="27" t="s">
        <v>48</v>
      </c>
      <c r="C60" s="13"/>
      <c r="D60" s="13"/>
      <c r="E60" s="14"/>
      <c r="F60" s="13"/>
      <c r="G60" s="362">
        <f>SUM(G61:G63)</f>
        <v>94860</v>
      </c>
      <c r="H60" s="362">
        <f t="shared" ref="H60:V60" si="39">SUM(H61:H63)</f>
        <v>57272</v>
      </c>
      <c r="I60" s="362">
        <f t="shared" si="39"/>
        <v>0</v>
      </c>
      <c r="J60" s="362">
        <f t="shared" si="39"/>
        <v>0</v>
      </c>
      <c r="K60" s="362">
        <f t="shared" si="39"/>
        <v>0</v>
      </c>
      <c r="L60" s="362">
        <f t="shared" si="39"/>
        <v>0</v>
      </c>
      <c r="M60" s="362">
        <f t="shared" si="39"/>
        <v>0</v>
      </c>
      <c r="N60" s="362">
        <f t="shared" si="39"/>
        <v>0</v>
      </c>
      <c r="O60" s="362">
        <f t="shared" si="39"/>
        <v>0</v>
      </c>
      <c r="P60" s="362">
        <f t="shared" si="39"/>
        <v>0</v>
      </c>
      <c r="Q60" s="362">
        <f t="shared" si="39"/>
        <v>94860</v>
      </c>
      <c r="R60" s="362">
        <f t="shared" si="39"/>
        <v>57272</v>
      </c>
      <c r="S60" s="362">
        <f t="shared" si="39"/>
        <v>0</v>
      </c>
      <c r="T60" s="362">
        <f t="shared" si="39"/>
        <v>17765</v>
      </c>
      <c r="U60" s="362">
        <f t="shared" si="39"/>
        <v>12582</v>
      </c>
      <c r="V60" s="362">
        <f t="shared" si="39"/>
        <v>0</v>
      </c>
      <c r="W60" s="363"/>
      <c r="X60" s="364">
        <f t="shared" ref="X60:Z60" si="40">SUM(X61:X63)</f>
        <v>17765</v>
      </c>
      <c r="Y60" s="364">
        <f t="shared" si="40"/>
        <v>12582</v>
      </c>
      <c r="Z60" s="364">
        <f t="shared" si="40"/>
        <v>0</v>
      </c>
      <c r="AA60" s="5"/>
      <c r="AB60" s="362">
        <f t="shared" ref="AB60:AK60" si="41">SUM(AB61:AB63)</f>
        <v>0</v>
      </c>
      <c r="AC60" s="362">
        <f t="shared" si="41"/>
        <v>0</v>
      </c>
      <c r="AD60" s="362">
        <f t="shared" si="41"/>
        <v>0</v>
      </c>
      <c r="AE60" s="362">
        <f t="shared" si="41"/>
        <v>0</v>
      </c>
      <c r="AF60" s="362">
        <f t="shared" si="41"/>
        <v>0</v>
      </c>
      <c r="AG60" s="362">
        <f t="shared" si="41"/>
        <v>0</v>
      </c>
      <c r="AH60" s="362">
        <f t="shared" si="41"/>
        <v>0</v>
      </c>
      <c r="AI60" s="362">
        <f t="shared" si="41"/>
        <v>0</v>
      </c>
      <c r="AJ60" s="362">
        <f t="shared" si="41"/>
        <v>0</v>
      </c>
      <c r="AK60" s="362">
        <f t="shared" si="41"/>
        <v>0</v>
      </c>
      <c r="AL60" s="362">
        <f>SUM(AL61:AL63)</f>
        <v>3</v>
      </c>
      <c r="AM60" s="362">
        <f t="shared" ref="AM60" si="42">SUM(AM61:AM63)</f>
        <v>7300</v>
      </c>
      <c r="AN60" s="362">
        <f>SUM(AN61:AN63)</f>
        <v>0</v>
      </c>
      <c r="AO60" s="362">
        <f>SUM(AO61:AO63)</f>
        <v>0</v>
      </c>
    </row>
    <row r="61" spans="1:41" s="25" customFormat="1" ht="31.5">
      <c r="A61" s="92" t="s">
        <v>27</v>
      </c>
      <c r="B61" s="214" t="s">
        <v>274</v>
      </c>
      <c r="C61" s="94" t="s">
        <v>85</v>
      </c>
      <c r="D61" s="19" t="s">
        <v>275</v>
      </c>
      <c r="E61" s="95" t="s">
        <v>154</v>
      </c>
      <c r="F61" s="19" t="s">
        <v>276</v>
      </c>
      <c r="G61" s="23">
        <v>451</v>
      </c>
      <c r="H61" s="23">
        <f>+G61-26</f>
        <v>425</v>
      </c>
      <c r="I61" s="23"/>
      <c r="J61" s="23"/>
      <c r="K61" s="23"/>
      <c r="L61" s="23"/>
      <c r="M61" s="23"/>
      <c r="N61" s="366"/>
      <c r="O61" s="366"/>
      <c r="P61" s="366"/>
      <c r="Q61" s="366">
        <f>+G61</f>
        <v>451</v>
      </c>
      <c r="R61" s="366">
        <f>+H61</f>
        <v>425</v>
      </c>
      <c r="S61" s="366"/>
      <c r="T61" s="366">
        <v>326</v>
      </c>
      <c r="U61" s="366">
        <v>300</v>
      </c>
      <c r="V61" s="366"/>
      <c r="W61" s="24"/>
      <c r="X61" s="367">
        <v>326</v>
      </c>
      <c r="Y61" s="367">
        <v>300</v>
      </c>
      <c r="Z61" s="367"/>
      <c r="AA61" s="5"/>
      <c r="AL61" s="25">
        <v>1</v>
      </c>
      <c r="AM61" s="366">
        <v>300</v>
      </c>
    </row>
    <row r="62" spans="1:41" s="25" customFormat="1" ht="47.25">
      <c r="A62" s="78">
        <v>2</v>
      </c>
      <c r="B62" s="231" t="s">
        <v>208</v>
      </c>
      <c r="C62" s="19" t="s">
        <v>209</v>
      </c>
      <c r="D62" s="19" t="s">
        <v>210</v>
      </c>
      <c r="E62" s="70" t="s">
        <v>120</v>
      </c>
      <c r="F62" s="19"/>
      <c r="G62" s="76">
        <v>63238</v>
      </c>
      <c r="H62" s="72">
        <v>36847</v>
      </c>
      <c r="I62" s="23">
        <f>+J62</f>
        <v>0</v>
      </c>
      <c r="J62" s="23"/>
      <c r="K62" s="23"/>
      <c r="L62" s="23"/>
      <c r="M62" s="23"/>
      <c r="N62" s="366"/>
      <c r="O62" s="366"/>
      <c r="P62" s="366"/>
      <c r="Q62" s="366">
        <f>+G62</f>
        <v>63238</v>
      </c>
      <c r="R62" s="366">
        <f>+H62</f>
        <v>36847</v>
      </c>
      <c r="S62" s="366"/>
      <c r="T62" s="366">
        <v>12439</v>
      </c>
      <c r="U62" s="366">
        <v>7282</v>
      </c>
      <c r="V62" s="366"/>
      <c r="W62" s="24"/>
      <c r="X62" s="367">
        <v>12439</v>
      </c>
      <c r="Y62" s="367">
        <v>7282</v>
      </c>
      <c r="Z62" s="367"/>
      <c r="AA62" s="5"/>
      <c r="AL62" s="25">
        <v>1</v>
      </c>
      <c r="AM62" s="366">
        <v>2000</v>
      </c>
    </row>
    <row r="63" spans="1:41" s="25" customFormat="1" ht="120">
      <c r="A63" s="78" t="s">
        <v>58</v>
      </c>
      <c r="B63" s="231" t="s">
        <v>277</v>
      </c>
      <c r="C63" s="19" t="s">
        <v>278</v>
      </c>
      <c r="D63" s="19" t="s">
        <v>1229</v>
      </c>
      <c r="E63" s="70" t="s">
        <v>280</v>
      </c>
      <c r="F63" s="19"/>
      <c r="G63" s="76">
        <v>31171</v>
      </c>
      <c r="H63" s="72">
        <v>20000</v>
      </c>
      <c r="I63" s="23"/>
      <c r="J63" s="23"/>
      <c r="K63" s="23"/>
      <c r="L63" s="23"/>
      <c r="M63" s="23"/>
      <c r="N63" s="366"/>
      <c r="O63" s="366"/>
      <c r="P63" s="366"/>
      <c r="Q63" s="366">
        <v>31171</v>
      </c>
      <c r="R63" s="366">
        <v>20000</v>
      </c>
      <c r="S63" s="366"/>
      <c r="T63" s="366">
        <v>5000</v>
      </c>
      <c r="U63" s="366">
        <v>5000</v>
      </c>
      <c r="V63" s="366"/>
      <c r="W63" s="24"/>
      <c r="X63" s="367">
        <v>5000</v>
      </c>
      <c r="Y63" s="367">
        <v>5000</v>
      </c>
      <c r="Z63" s="367"/>
      <c r="AA63" s="5"/>
      <c r="AL63" s="25">
        <v>1</v>
      </c>
      <c r="AM63" s="366">
        <v>5000</v>
      </c>
    </row>
    <row r="64" spans="1:41" s="25" customFormat="1" ht="15.75">
      <c r="A64" s="78"/>
      <c r="B64" s="231"/>
      <c r="C64" s="19"/>
      <c r="D64" s="19"/>
      <c r="E64" s="70"/>
      <c r="F64" s="19"/>
      <c r="G64" s="76"/>
      <c r="H64" s="72"/>
      <c r="I64" s="23"/>
      <c r="J64" s="23">
        <f>24400-J65</f>
        <v>0</v>
      </c>
      <c r="K64" s="23"/>
      <c r="L64" s="23"/>
      <c r="M64" s="23"/>
      <c r="N64" s="366"/>
      <c r="O64" s="366"/>
      <c r="P64" s="366"/>
      <c r="Q64" s="366"/>
      <c r="R64" s="366"/>
      <c r="S64" s="366"/>
      <c r="T64" s="366"/>
      <c r="U64" s="366"/>
      <c r="V64" s="366"/>
      <c r="W64" s="24"/>
      <c r="X64" s="367"/>
      <c r="Y64" s="367"/>
      <c r="Z64" s="367"/>
      <c r="AA64" s="5"/>
    </row>
    <row r="65" spans="1:41" s="208" customFormat="1" ht="36" customHeight="1">
      <c r="A65" s="125" t="s">
        <v>281</v>
      </c>
      <c r="B65" s="209" t="s">
        <v>1230</v>
      </c>
      <c r="C65" s="126"/>
      <c r="D65" s="126"/>
      <c r="E65" s="127"/>
      <c r="F65" s="126"/>
      <c r="G65" s="389">
        <f>+G66</f>
        <v>1316853</v>
      </c>
      <c r="H65" s="389">
        <f t="shared" ref="H65:Z65" si="43">+H66</f>
        <v>493442</v>
      </c>
      <c r="I65" s="389">
        <f t="shared" si="43"/>
        <v>24400</v>
      </c>
      <c r="J65" s="389">
        <f t="shared" si="43"/>
        <v>24400</v>
      </c>
      <c r="K65" s="389">
        <f t="shared" si="43"/>
        <v>985</v>
      </c>
      <c r="L65" s="389">
        <f t="shared" si="43"/>
        <v>985</v>
      </c>
      <c r="M65" s="389">
        <f t="shared" si="43"/>
        <v>13354</v>
      </c>
      <c r="N65" s="389">
        <f t="shared" si="43"/>
        <v>13354</v>
      </c>
      <c r="O65" s="389">
        <f t="shared" si="43"/>
        <v>107414</v>
      </c>
      <c r="P65" s="389">
        <f t="shared" si="43"/>
        <v>55414</v>
      </c>
      <c r="Q65" s="389">
        <f t="shared" si="43"/>
        <v>433812</v>
      </c>
      <c r="R65" s="389">
        <f t="shared" si="43"/>
        <v>92787</v>
      </c>
      <c r="S65" s="389">
        <f t="shared" si="43"/>
        <v>0</v>
      </c>
      <c r="T65" s="389">
        <f t="shared" si="43"/>
        <v>68100</v>
      </c>
      <c r="U65" s="389">
        <f t="shared" si="43"/>
        <v>13100</v>
      </c>
      <c r="V65" s="389">
        <f t="shared" si="43"/>
        <v>0</v>
      </c>
      <c r="W65" s="390"/>
      <c r="X65" s="364">
        <f t="shared" si="43"/>
        <v>68100</v>
      </c>
      <c r="Y65" s="364">
        <f t="shared" si="43"/>
        <v>13100</v>
      </c>
      <c r="Z65" s="364">
        <f t="shared" si="43"/>
        <v>0</v>
      </c>
      <c r="AA65" s="348">
        <f>+U65/(2704380-258412-300000)*100</f>
        <v>0.61044712689098812</v>
      </c>
      <c r="AB65" s="389">
        <f t="shared" ref="AB65:AK65" si="44">+AB66</f>
        <v>0</v>
      </c>
      <c r="AC65" s="389">
        <f t="shared" si="44"/>
        <v>0</v>
      </c>
      <c r="AD65" s="389">
        <f t="shared" si="44"/>
        <v>0</v>
      </c>
      <c r="AE65" s="389">
        <f t="shared" si="44"/>
        <v>0</v>
      </c>
      <c r="AF65" s="389">
        <f t="shared" si="44"/>
        <v>0</v>
      </c>
      <c r="AG65" s="389">
        <f t="shared" si="44"/>
        <v>0</v>
      </c>
      <c r="AH65" s="389">
        <f t="shared" si="44"/>
        <v>1</v>
      </c>
      <c r="AI65" s="389">
        <f t="shared" si="44"/>
        <v>5000</v>
      </c>
      <c r="AJ65" s="389">
        <f t="shared" si="44"/>
        <v>0</v>
      </c>
      <c r="AK65" s="389">
        <f t="shared" si="44"/>
        <v>0</v>
      </c>
      <c r="AL65" s="389">
        <f>+AL66</f>
        <v>3</v>
      </c>
      <c r="AM65" s="389">
        <f>+AM66</f>
        <v>5100</v>
      </c>
      <c r="AN65" s="389">
        <f>+AN66</f>
        <v>0</v>
      </c>
      <c r="AO65" s="389">
        <f>+AO66</f>
        <v>0</v>
      </c>
    </row>
    <row r="66" spans="1:41" s="353" customFormat="1" ht="25.5" customHeight="1">
      <c r="A66" s="82"/>
      <c r="B66" s="357" t="s">
        <v>31</v>
      </c>
      <c r="C66" s="350"/>
      <c r="D66" s="350"/>
      <c r="E66" s="351"/>
      <c r="F66" s="350"/>
      <c r="G66" s="362">
        <f>+G67+G81+G84</f>
        <v>1316853</v>
      </c>
      <c r="H66" s="362">
        <f t="shared" ref="H66:V66" si="45">+H67+H81+H84</f>
        <v>493442</v>
      </c>
      <c r="I66" s="362">
        <f t="shared" si="45"/>
        <v>24400</v>
      </c>
      <c r="J66" s="362">
        <f t="shared" si="45"/>
        <v>24400</v>
      </c>
      <c r="K66" s="362">
        <f t="shared" si="45"/>
        <v>985</v>
      </c>
      <c r="L66" s="362">
        <f t="shared" si="45"/>
        <v>985</v>
      </c>
      <c r="M66" s="362">
        <f t="shared" si="45"/>
        <v>13354</v>
      </c>
      <c r="N66" s="362">
        <f t="shared" si="45"/>
        <v>13354</v>
      </c>
      <c r="O66" s="362">
        <f t="shared" si="45"/>
        <v>107414</v>
      </c>
      <c r="P66" s="362">
        <f t="shared" si="45"/>
        <v>55414</v>
      </c>
      <c r="Q66" s="362">
        <f t="shared" si="45"/>
        <v>433812</v>
      </c>
      <c r="R66" s="362">
        <f t="shared" si="45"/>
        <v>92787</v>
      </c>
      <c r="S66" s="362">
        <f t="shared" si="45"/>
        <v>0</v>
      </c>
      <c r="T66" s="362">
        <f t="shared" si="45"/>
        <v>68100</v>
      </c>
      <c r="U66" s="362">
        <f t="shared" si="45"/>
        <v>13100</v>
      </c>
      <c r="V66" s="362">
        <f t="shared" si="45"/>
        <v>0</v>
      </c>
      <c r="W66" s="391"/>
      <c r="X66" s="364">
        <f t="shared" ref="X66:Z66" si="46">+X67+X81+X84</f>
        <v>68100</v>
      </c>
      <c r="Y66" s="364">
        <f t="shared" si="46"/>
        <v>13100</v>
      </c>
      <c r="Z66" s="364">
        <f t="shared" si="46"/>
        <v>0</v>
      </c>
      <c r="AA66" s="5"/>
      <c r="AB66" s="362">
        <f t="shared" ref="AB66:AK66" si="47">+AB67+AB81+AB84</f>
        <v>0</v>
      </c>
      <c r="AC66" s="362">
        <f t="shared" si="47"/>
        <v>0</v>
      </c>
      <c r="AD66" s="362">
        <f t="shared" si="47"/>
        <v>0</v>
      </c>
      <c r="AE66" s="362">
        <f t="shared" si="47"/>
        <v>0</v>
      </c>
      <c r="AF66" s="362">
        <f t="shared" si="47"/>
        <v>0</v>
      </c>
      <c r="AG66" s="362">
        <f t="shared" si="47"/>
        <v>0</v>
      </c>
      <c r="AH66" s="362">
        <f t="shared" si="47"/>
        <v>1</v>
      </c>
      <c r="AI66" s="362">
        <f t="shared" si="47"/>
        <v>5000</v>
      </c>
      <c r="AJ66" s="362">
        <f t="shared" si="47"/>
        <v>0</v>
      </c>
      <c r="AK66" s="362">
        <f t="shared" si="47"/>
        <v>0</v>
      </c>
      <c r="AL66" s="362">
        <f>+AL67+AL81+AL84</f>
        <v>3</v>
      </c>
      <c r="AM66" s="362">
        <f>+AM67+AM81+AM84</f>
        <v>5100</v>
      </c>
      <c r="AN66" s="362">
        <f>+AN67+AN81+AN84</f>
        <v>0</v>
      </c>
      <c r="AO66" s="362">
        <f>+AO67+AO81+AO84</f>
        <v>0</v>
      </c>
    </row>
    <row r="67" spans="1:41" s="16" customFormat="1" ht="47.25">
      <c r="A67" s="64" t="s">
        <v>32</v>
      </c>
      <c r="B67" s="12" t="s">
        <v>33</v>
      </c>
      <c r="C67" s="13"/>
      <c r="D67" s="13"/>
      <c r="E67" s="14"/>
      <c r="F67" s="13"/>
      <c r="G67" s="362">
        <f>+G68+G79</f>
        <v>370650</v>
      </c>
      <c r="H67" s="362">
        <f t="shared" ref="H67:V67" si="48">+H68+H79</f>
        <v>344650</v>
      </c>
      <c r="I67" s="362">
        <f t="shared" si="48"/>
        <v>3400</v>
      </c>
      <c r="J67" s="362">
        <f t="shared" si="48"/>
        <v>3400</v>
      </c>
      <c r="K67" s="362">
        <f t="shared" si="48"/>
        <v>885</v>
      </c>
      <c r="L67" s="362">
        <f t="shared" si="48"/>
        <v>885</v>
      </c>
      <c r="M67" s="362">
        <f t="shared" si="48"/>
        <v>1871</v>
      </c>
      <c r="N67" s="362">
        <f t="shared" si="48"/>
        <v>1871</v>
      </c>
      <c r="O67" s="362">
        <f t="shared" si="48"/>
        <v>60167</v>
      </c>
      <c r="P67" s="362">
        <f t="shared" si="48"/>
        <v>34167</v>
      </c>
      <c r="Q67" s="362">
        <f t="shared" si="48"/>
        <v>6660</v>
      </c>
      <c r="R67" s="362">
        <f t="shared" si="48"/>
        <v>6660</v>
      </c>
      <c r="S67" s="362">
        <f t="shared" si="48"/>
        <v>0</v>
      </c>
      <c r="T67" s="362">
        <f t="shared" si="48"/>
        <v>0</v>
      </c>
      <c r="U67" s="362">
        <f t="shared" si="48"/>
        <v>0</v>
      </c>
      <c r="V67" s="362">
        <f t="shared" si="48"/>
        <v>0</v>
      </c>
      <c r="W67" s="363"/>
      <c r="X67" s="364">
        <f t="shared" ref="X67:Z67" si="49">+X68+X79</f>
        <v>0</v>
      </c>
      <c r="Y67" s="364">
        <f t="shared" si="49"/>
        <v>0</v>
      </c>
      <c r="Z67" s="364">
        <f t="shared" si="49"/>
        <v>0</v>
      </c>
      <c r="AA67" s="5"/>
      <c r="AB67" s="362">
        <f t="shared" ref="AB67:AK67" si="50">+AB68+AB79</f>
        <v>0</v>
      </c>
      <c r="AC67" s="362">
        <f t="shared" si="50"/>
        <v>0</v>
      </c>
      <c r="AD67" s="362">
        <f t="shared" si="50"/>
        <v>0</v>
      </c>
      <c r="AE67" s="362">
        <f t="shared" si="50"/>
        <v>0</v>
      </c>
      <c r="AF67" s="362">
        <f t="shared" si="50"/>
        <v>0</v>
      </c>
      <c r="AG67" s="362">
        <f t="shared" si="50"/>
        <v>0</v>
      </c>
      <c r="AH67" s="362">
        <f t="shared" si="50"/>
        <v>0</v>
      </c>
      <c r="AI67" s="362">
        <f t="shared" si="50"/>
        <v>0</v>
      </c>
      <c r="AJ67" s="362">
        <f t="shared" si="50"/>
        <v>0</v>
      </c>
      <c r="AK67" s="362">
        <f t="shared" si="50"/>
        <v>0</v>
      </c>
      <c r="AL67" s="362">
        <f>+AL68+AL79</f>
        <v>0</v>
      </c>
      <c r="AM67" s="362">
        <f>+AM68+AM79</f>
        <v>0</v>
      </c>
      <c r="AN67" s="362">
        <f>+AN68+AN79</f>
        <v>0</v>
      </c>
      <c r="AO67" s="362">
        <f>+AO68+AO79</f>
        <v>0</v>
      </c>
    </row>
    <row r="68" spans="1:41" s="16" customFormat="1" ht="15.75">
      <c r="A68" s="26" t="s">
        <v>47</v>
      </c>
      <c r="B68" s="27" t="s">
        <v>35</v>
      </c>
      <c r="C68" s="13"/>
      <c r="D68" s="13"/>
      <c r="E68" s="14"/>
      <c r="F68" s="13"/>
      <c r="G68" s="362">
        <f>SUM(G69:G78)</f>
        <v>369529</v>
      </c>
      <c r="H68" s="362">
        <f t="shared" ref="H68:V68" si="51">SUM(H69:H78)</f>
        <v>343529</v>
      </c>
      <c r="I68" s="362">
        <f t="shared" si="51"/>
        <v>2400</v>
      </c>
      <c r="J68" s="362">
        <f t="shared" si="51"/>
        <v>2400</v>
      </c>
      <c r="K68" s="362">
        <f t="shared" si="51"/>
        <v>885</v>
      </c>
      <c r="L68" s="362">
        <f t="shared" si="51"/>
        <v>885</v>
      </c>
      <c r="M68" s="362">
        <f t="shared" si="51"/>
        <v>908</v>
      </c>
      <c r="N68" s="362">
        <f t="shared" si="51"/>
        <v>908</v>
      </c>
      <c r="O68" s="362">
        <f t="shared" si="51"/>
        <v>59167</v>
      </c>
      <c r="P68" s="362">
        <f t="shared" si="51"/>
        <v>33167</v>
      </c>
      <c r="Q68" s="362">
        <f t="shared" si="51"/>
        <v>5660</v>
      </c>
      <c r="R68" s="362">
        <f t="shared" si="51"/>
        <v>5660</v>
      </c>
      <c r="S68" s="362">
        <f t="shared" si="51"/>
        <v>0</v>
      </c>
      <c r="T68" s="362">
        <f t="shared" si="51"/>
        <v>0</v>
      </c>
      <c r="U68" s="362">
        <f t="shared" si="51"/>
        <v>0</v>
      </c>
      <c r="V68" s="362">
        <f t="shared" si="51"/>
        <v>0</v>
      </c>
      <c r="W68" s="363"/>
      <c r="X68" s="364">
        <f t="shared" ref="X68:Z68" si="52">SUM(X69:X78)</f>
        <v>0</v>
      </c>
      <c r="Y68" s="364">
        <f t="shared" si="52"/>
        <v>0</v>
      </c>
      <c r="Z68" s="364">
        <f t="shared" si="52"/>
        <v>0</v>
      </c>
      <c r="AA68" s="5"/>
      <c r="AB68" s="362">
        <f t="shared" ref="AB68:AK68" si="53">SUM(AB69:AB78)</f>
        <v>0</v>
      </c>
      <c r="AC68" s="362">
        <f t="shared" si="53"/>
        <v>0</v>
      </c>
      <c r="AD68" s="362">
        <f t="shared" si="53"/>
        <v>0</v>
      </c>
      <c r="AE68" s="362">
        <f t="shared" si="53"/>
        <v>0</v>
      </c>
      <c r="AF68" s="362">
        <f t="shared" si="53"/>
        <v>0</v>
      </c>
      <c r="AG68" s="362">
        <f t="shared" si="53"/>
        <v>0</v>
      </c>
      <c r="AH68" s="362">
        <f t="shared" si="53"/>
        <v>0</v>
      </c>
      <c r="AI68" s="362">
        <f t="shared" si="53"/>
        <v>0</v>
      </c>
      <c r="AJ68" s="362">
        <f t="shared" si="53"/>
        <v>0</v>
      </c>
      <c r="AK68" s="362">
        <f t="shared" si="53"/>
        <v>0</v>
      </c>
      <c r="AL68" s="362">
        <f>SUM(AL69:AL78)</f>
        <v>0</v>
      </c>
      <c r="AM68" s="362">
        <f>SUM(AM69:AM78)</f>
        <v>0</v>
      </c>
      <c r="AN68" s="362">
        <f>SUM(AN69:AN78)</f>
        <v>0</v>
      </c>
      <c r="AO68" s="362">
        <f>SUM(AO69:AO78)</f>
        <v>0</v>
      </c>
    </row>
    <row r="69" spans="1:41" s="16" customFormat="1" ht="15.75">
      <c r="A69" s="97" t="s">
        <v>27</v>
      </c>
      <c r="B69" s="212" t="s">
        <v>282</v>
      </c>
      <c r="C69" s="128"/>
      <c r="D69" s="19"/>
      <c r="E69" s="129"/>
      <c r="F69" s="128"/>
      <c r="G69" s="392"/>
      <c r="H69" s="362"/>
      <c r="I69" s="362"/>
      <c r="J69" s="362"/>
      <c r="K69" s="362"/>
      <c r="L69" s="362"/>
      <c r="M69" s="362"/>
      <c r="N69" s="362"/>
      <c r="O69" s="362"/>
      <c r="P69" s="362"/>
      <c r="Q69" s="362"/>
      <c r="R69" s="362"/>
      <c r="S69" s="362"/>
      <c r="T69" s="362"/>
      <c r="U69" s="362"/>
      <c r="V69" s="362"/>
      <c r="W69" s="363"/>
      <c r="X69" s="364"/>
      <c r="Y69" s="364"/>
      <c r="Z69" s="364"/>
      <c r="AA69" s="5"/>
    </row>
    <row r="70" spans="1:41" s="16" customFormat="1" ht="31.5">
      <c r="A70" s="130"/>
      <c r="B70" s="393" t="s">
        <v>283</v>
      </c>
      <c r="C70" s="128" t="s">
        <v>112</v>
      </c>
      <c r="D70" s="19"/>
      <c r="E70" s="129">
        <v>2014</v>
      </c>
      <c r="F70" s="128"/>
      <c r="G70" s="392">
        <v>290283</v>
      </c>
      <c r="H70" s="392">
        <v>290283</v>
      </c>
      <c r="I70" s="362"/>
      <c r="J70" s="362"/>
      <c r="K70" s="394">
        <f t="shared" ref="K70:K76" si="54">+L70</f>
        <v>657</v>
      </c>
      <c r="L70" s="392">
        <v>657</v>
      </c>
      <c r="M70" s="362"/>
      <c r="N70" s="392"/>
      <c r="O70" s="392">
        <v>657</v>
      </c>
      <c r="P70" s="392">
        <v>657</v>
      </c>
      <c r="Q70" s="362"/>
      <c r="R70" s="362"/>
      <c r="S70" s="362"/>
      <c r="T70" s="362"/>
      <c r="U70" s="362"/>
      <c r="V70" s="362"/>
      <c r="W70" s="363"/>
      <c r="X70" s="364"/>
      <c r="Y70" s="364"/>
      <c r="Z70" s="364"/>
      <c r="AA70" s="5"/>
    </row>
    <row r="71" spans="1:41" s="16" customFormat="1" ht="15.75">
      <c r="A71" s="26"/>
      <c r="B71" s="393" t="s">
        <v>284</v>
      </c>
      <c r="C71" s="128"/>
      <c r="D71" s="19"/>
      <c r="E71" s="129"/>
      <c r="F71" s="128"/>
      <c r="G71" s="392"/>
      <c r="H71" s="362"/>
      <c r="I71" s="362"/>
      <c r="J71" s="362"/>
      <c r="K71" s="394">
        <f t="shared" si="54"/>
        <v>10</v>
      </c>
      <c r="L71" s="392">
        <v>10</v>
      </c>
      <c r="M71" s="392">
        <f>+N71</f>
        <v>10</v>
      </c>
      <c r="N71" s="392">
        <v>10</v>
      </c>
      <c r="O71" s="392">
        <v>10</v>
      </c>
      <c r="P71" s="392">
        <v>10</v>
      </c>
      <c r="Q71" s="362"/>
      <c r="R71" s="362"/>
      <c r="S71" s="362"/>
      <c r="T71" s="362"/>
      <c r="U71" s="362"/>
      <c r="V71" s="362"/>
      <c r="W71" s="363"/>
      <c r="X71" s="364"/>
      <c r="Y71" s="364"/>
      <c r="Z71" s="364"/>
      <c r="AA71" s="5"/>
    </row>
    <row r="72" spans="1:41" s="16" customFormat="1" ht="15.75">
      <c r="A72" s="26"/>
      <c r="B72" s="393" t="s">
        <v>285</v>
      </c>
      <c r="C72" s="128"/>
      <c r="D72" s="19"/>
      <c r="E72" s="129"/>
      <c r="F72" s="128"/>
      <c r="G72" s="392"/>
      <c r="H72" s="362"/>
      <c r="I72" s="362"/>
      <c r="J72" s="362"/>
      <c r="K72" s="394">
        <f t="shared" si="54"/>
        <v>2</v>
      </c>
      <c r="L72" s="392">
        <v>2</v>
      </c>
      <c r="M72" s="392">
        <f t="shared" ref="M72:M77" si="55">+N72</f>
        <v>2</v>
      </c>
      <c r="N72" s="392">
        <v>2</v>
      </c>
      <c r="O72" s="392">
        <v>2</v>
      </c>
      <c r="P72" s="392">
        <v>2</v>
      </c>
      <c r="Q72" s="362"/>
      <c r="R72" s="362"/>
      <c r="S72" s="362"/>
      <c r="T72" s="362"/>
      <c r="U72" s="362"/>
      <c r="V72" s="362"/>
      <c r="W72" s="363"/>
      <c r="X72" s="364"/>
      <c r="Y72" s="364"/>
      <c r="Z72" s="364"/>
      <c r="AA72" s="5"/>
    </row>
    <row r="73" spans="1:41" s="16" customFormat="1" ht="31.5">
      <c r="A73" s="26"/>
      <c r="B73" s="393" t="s">
        <v>286</v>
      </c>
      <c r="C73" s="128"/>
      <c r="D73" s="19"/>
      <c r="E73" s="129"/>
      <c r="F73" s="128"/>
      <c r="G73" s="392"/>
      <c r="H73" s="362"/>
      <c r="I73" s="362"/>
      <c r="J73" s="362"/>
      <c r="K73" s="394">
        <f t="shared" si="54"/>
        <v>23</v>
      </c>
      <c r="L73" s="392">
        <v>23</v>
      </c>
      <c r="M73" s="392">
        <f t="shared" si="55"/>
        <v>0</v>
      </c>
      <c r="N73" s="392"/>
      <c r="O73" s="392"/>
      <c r="P73" s="392"/>
      <c r="Q73" s="362"/>
      <c r="R73" s="362"/>
      <c r="S73" s="362"/>
      <c r="T73" s="362"/>
      <c r="U73" s="362"/>
      <c r="V73" s="362"/>
      <c r="W73" s="363"/>
      <c r="X73" s="364"/>
      <c r="Y73" s="364"/>
      <c r="Z73" s="364"/>
      <c r="AA73" s="5"/>
    </row>
    <row r="74" spans="1:41" s="16" customFormat="1" ht="15.75">
      <c r="A74" s="97" t="s">
        <v>41</v>
      </c>
      <c r="B74" s="212" t="s">
        <v>287</v>
      </c>
      <c r="C74" s="128"/>
      <c r="D74" s="19"/>
      <c r="E74" s="129"/>
      <c r="F74" s="128"/>
      <c r="G74" s="392">
        <f t="shared" ref="G74" si="56">SUM(G75:G77)</f>
        <v>0</v>
      </c>
      <c r="H74" s="362"/>
      <c r="I74" s="362"/>
      <c r="J74" s="362"/>
      <c r="K74" s="394"/>
      <c r="L74" s="394"/>
      <c r="M74" s="392">
        <f t="shared" si="55"/>
        <v>0</v>
      </c>
      <c r="N74" s="392"/>
      <c r="O74" s="392"/>
      <c r="P74" s="392"/>
      <c r="Q74" s="362"/>
      <c r="R74" s="362"/>
      <c r="S74" s="362"/>
      <c r="T74" s="362"/>
      <c r="U74" s="362"/>
      <c r="V74" s="362"/>
      <c r="W74" s="363"/>
      <c r="X74" s="364"/>
      <c r="Y74" s="364"/>
      <c r="Z74" s="364"/>
      <c r="AA74" s="5"/>
    </row>
    <row r="75" spans="1:41" s="16" customFormat="1" ht="31.5">
      <c r="A75" s="26"/>
      <c r="B75" s="212" t="s">
        <v>288</v>
      </c>
      <c r="C75" s="128"/>
      <c r="D75" s="19"/>
      <c r="E75" s="129"/>
      <c r="F75" s="128"/>
      <c r="G75" s="392"/>
      <c r="H75" s="362"/>
      <c r="I75" s="362"/>
      <c r="J75" s="362"/>
      <c r="K75" s="394">
        <f t="shared" si="54"/>
        <v>100</v>
      </c>
      <c r="L75" s="392">
        <v>100</v>
      </c>
      <c r="M75" s="392">
        <f t="shared" si="55"/>
        <v>100</v>
      </c>
      <c r="N75" s="392">
        <v>100</v>
      </c>
      <c r="O75" s="392">
        <v>100</v>
      </c>
      <c r="P75" s="392">
        <v>100</v>
      </c>
      <c r="Q75" s="362"/>
      <c r="R75" s="362"/>
      <c r="S75" s="362"/>
      <c r="T75" s="362"/>
      <c r="U75" s="362"/>
      <c r="V75" s="362"/>
      <c r="W75" s="363"/>
      <c r="X75" s="364"/>
      <c r="Y75" s="364"/>
      <c r="Z75" s="364"/>
      <c r="AA75" s="5"/>
    </row>
    <row r="76" spans="1:41" s="25" customFormat="1" ht="15.75">
      <c r="A76" s="26"/>
      <c r="B76" s="212" t="s">
        <v>289</v>
      </c>
      <c r="C76" s="128"/>
      <c r="D76" s="19"/>
      <c r="E76" s="129"/>
      <c r="F76" s="128"/>
      <c r="G76" s="392"/>
      <c r="H76" s="392"/>
      <c r="I76" s="392"/>
      <c r="J76" s="392"/>
      <c r="K76" s="394">
        <f t="shared" si="54"/>
        <v>22</v>
      </c>
      <c r="L76" s="392">
        <v>22</v>
      </c>
      <c r="M76" s="392">
        <f t="shared" si="55"/>
        <v>22</v>
      </c>
      <c r="N76" s="392">
        <v>22</v>
      </c>
      <c r="O76" s="392">
        <v>22</v>
      </c>
      <c r="P76" s="392">
        <v>22</v>
      </c>
      <c r="Q76" s="392"/>
      <c r="R76" s="392"/>
      <c r="S76" s="392"/>
      <c r="T76" s="392"/>
      <c r="U76" s="392"/>
      <c r="V76" s="392"/>
      <c r="W76" s="395"/>
      <c r="X76" s="396"/>
      <c r="Y76" s="396"/>
      <c r="Z76" s="396"/>
      <c r="AA76" s="5"/>
    </row>
    <row r="77" spans="1:41" s="375" customFormat="1" ht="31.5">
      <c r="A77" s="26"/>
      <c r="B77" s="212" t="s">
        <v>290</v>
      </c>
      <c r="C77" s="128"/>
      <c r="D77" s="19"/>
      <c r="E77" s="129"/>
      <c r="F77" s="128"/>
      <c r="G77" s="392"/>
      <c r="H77" s="394"/>
      <c r="I77" s="394"/>
      <c r="J77" s="394"/>
      <c r="K77" s="394">
        <f>+L77</f>
        <v>3</v>
      </c>
      <c r="L77" s="394">
        <v>3</v>
      </c>
      <c r="M77" s="392">
        <f t="shared" si="55"/>
        <v>3</v>
      </c>
      <c r="N77" s="394">
        <v>3</v>
      </c>
      <c r="O77" s="394">
        <v>3</v>
      </c>
      <c r="P77" s="394">
        <v>3</v>
      </c>
      <c r="Q77" s="394"/>
      <c r="R77" s="394"/>
      <c r="S77" s="394"/>
      <c r="T77" s="394"/>
      <c r="U77" s="394"/>
      <c r="V77" s="394"/>
      <c r="W77" s="397"/>
      <c r="X77" s="398"/>
      <c r="Y77" s="398"/>
      <c r="Z77" s="398"/>
      <c r="AA77" s="5"/>
    </row>
    <row r="78" spans="1:41" s="25" customFormat="1" ht="31.5">
      <c r="A78" s="97" t="s">
        <v>58</v>
      </c>
      <c r="B78" s="214" t="s">
        <v>291</v>
      </c>
      <c r="C78" s="128" t="s">
        <v>112</v>
      </c>
      <c r="D78" s="19" t="s">
        <v>292</v>
      </c>
      <c r="E78" s="129">
        <v>2016</v>
      </c>
      <c r="F78" s="101" t="s">
        <v>293</v>
      </c>
      <c r="G78" s="392">
        <v>79246</v>
      </c>
      <c r="H78" s="392">
        <v>53246</v>
      </c>
      <c r="I78" s="392">
        <v>2400</v>
      </c>
      <c r="J78" s="392">
        <v>2400</v>
      </c>
      <c r="K78" s="392">
        <f>+L78</f>
        <v>68</v>
      </c>
      <c r="L78" s="392">
        <v>68</v>
      </c>
      <c r="M78" s="392">
        <f>+N78</f>
        <v>771</v>
      </c>
      <c r="N78" s="392">
        <v>771</v>
      </c>
      <c r="O78" s="392">
        <f>55905+68+2400</f>
        <v>58373</v>
      </c>
      <c r="P78" s="392">
        <f>29905+2400+68</f>
        <v>32373</v>
      </c>
      <c r="Q78" s="392">
        <f>+R78</f>
        <v>5660</v>
      </c>
      <c r="R78" s="392">
        <v>5660</v>
      </c>
      <c r="S78" s="392"/>
      <c r="T78" s="392">
        <f>+U78</f>
        <v>0</v>
      </c>
      <c r="U78" s="392">
        <v>0</v>
      </c>
      <c r="V78" s="392"/>
      <c r="W78" s="395"/>
      <c r="X78" s="396">
        <f>+Y78</f>
        <v>0</v>
      </c>
      <c r="Y78" s="396">
        <v>0</v>
      </c>
      <c r="Z78" s="396"/>
      <c r="AA78" s="5"/>
    </row>
    <row r="79" spans="1:41" s="375" customFormat="1" ht="15.75">
      <c r="A79" s="26" t="s">
        <v>273</v>
      </c>
      <c r="B79" s="27" t="s">
        <v>48</v>
      </c>
      <c r="C79" s="135"/>
      <c r="D79" s="135"/>
      <c r="E79" s="136"/>
      <c r="F79" s="135"/>
      <c r="G79" s="384">
        <f>+G80</f>
        <v>1121</v>
      </c>
      <c r="H79" s="384">
        <f t="shared" ref="H79:Z79" si="57">+H80</f>
        <v>1121</v>
      </c>
      <c r="I79" s="384">
        <f t="shared" si="57"/>
        <v>1000</v>
      </c>
      <c r="J79" s="384">
        <f t="shared" si="57"/>
        <v>1000</v>
      </c>
      <c r="K79" s="384">
        <f t="shared" si="57"/>
        <v>0</v>
      </c>
      <c r="L79" s="384">
        <f t="shared" si="57"/>
        <v>0</v>
      </c>
      <c r="M79" s="384">
        <f t="shared" si="57"/>
        <v>963</v>
      </c>
      <c r="N79" s="384">
        <f t="shared" si="57"/>
        <v>963</v>
      </c>
      <c r="O79" s="384">
        <f t="shared" si="57"/>
        <v>1000</v>
      </c>
      <c r="P79" s="384">
        <f t="shared" si="57"/>
        <v>1000</v>
      </c>
      <c r="Q79" s="384">
        <f t="shared" si="57"/>
        <v>1000</v>
      </c>
      <c r="R79" s="384">
        <f t="shared" si="57"/>
        <v>1000</v>
      </c>
      <c r="S79" s="384">
        <f t="shared" si="57"/>
        <v>0</v>
      </c>
      <c r="T79" s="384">
        <f t="shared" si="57"/>
        <v>0</v>
      </c>
      <c r="U79" s="384">
        <f t="shared" si="57"/>
        <v>0</v>
      </c>
      <c r="V79" s="384">
        <f t="shared" si="57"/>
        <v>0</v>
      </c>
      <c r="W79" s="397"/>
      <c r="X79" s="386">
        <f t="shared" si="57"/>
        <v>0</v>
      </c>
      <c r="Y79" s="386">
        <f t="shared" si="57"/>
        <v>0</v>
      </c>
      <c r="Z79" s="386">
        <f t="shared" si="57"/>
        <v>0</v>
      </c>
      <c r="AA79" s="5"/>
    </row>
    <row r="80" spans="1:41" s="25" customFormat="1" ht="47.25" customHeight="1">
      <c r="A80" s="97" t="s">
        <v>27</v>
      </c>
      <c r="B80" s="214" t="s">
        <v>294</v>
      </c>
      <c r="C80" s="94" t="s">
        <v>112</v>
      </c>
      <c r="D80" s="101" t="s">
        <v>295</v>
      </c>
      <c r="E80" s="137" t="s">
        <v>114</v>
      </c>
      <c r="F80" s="101" t="s">
        <v>296</v>
      </c>
      <c r="G80" s="392">
        <v>1121</v>
      </c>
      <c r="H80" s="392">
        <v>1121</v>
      </c>
      <c r="I80" s="392">
        <f>+J80</f>
        <v>1000</v>
      </c>
      <c r="J80" s="392">
        <v>1000</v>
      </c>
      <c r="K80" s="392"/>
      <c r="L80" s="392"/>
      <c r="M80" s="392">
        <f>+N80</f>
        <v>963</v>
      </c>
      <c r="N80" s="392">
        <v>963</v>
      </c>
      <c r="O80" s="392">
        <f>+P80</f>
        <v>1000</v>
      </c>
      <c r="P80" s="392">
        <v>1000</v>
      </c>
      <c r="Q80" s="392">
        <f>+R80</f>
        <v>1000</v>
      </c>
      <c r="R80" s="392">
        <v>1000</v>
      </c>
      <c r="S80" s="392"/>
      <c r="T80" s="392"/>
      <c r="U80" s="392"/>
      <c r="V80" s="392"/>
      <c r="W80" s="395"/>
      <c r="X80" s="396"/>
      <c r="Y80" s="396"/>
      <c r="Z80" s="396"/>
      <c r="AA80" s="5"/>
    </row>
    <row r="81" spans="1:41" s="25" customFormat="1" ht="31.5">
      <c r="A81" s="11" t="s">
        <v>116</v>
      </c>
      <c r="B81" s="12" t="s">
        <v>117</v>
      </c>
      <c r="C81" s="19"/>
      <c r="D81" s="19"/>
      <c r="E81" s="70"/>
      <c r="F81" s="19"/>
      <c r="G81" s="399">
        <f>+G82</f>
        <v>64476</v>
      </c>
      <c r="H81" s="399">
        <f t="shared" ref="H81:X82" si="58">+H82</f>
        <v>38476</v>
      </c>
      <c r="I81" s="399">
        <f t="shared" si="58"/>
        <v>21000</v>
      </c>
      <c r="J81" s="399">
        <f t="shared" si="58"/>
        <v>21000</v>
      </c>
      <c r="K81" s="399">
        <f t="shared" si="58"/>
        <v>0</v>
      </c>
      <c r="L81" s="399">
        <f t="shared" si="58"/>
        <v>0</v>
      </c>
      <c r="M81" s="399">
        <f t="shared" si="58"/>
        <v>11483</v>
      </c>
      <c r="N81" s="399">
        <f t="shared" si="58"/>
        <v>11483</v>
      </c>
      <c r="O81" s="399">
        <f t="shared" si="58"/>
        <v>47051</v>
      </c>
      <c r="P81" s="399">
        <f t="shared" si="58"/>
        <v>21051</v>
      </c>
      <c r="Q81" s="399">
        <f t="shared" si="58"/>
        <v>38425</v>
      </c>
      <c r="R81" s="399">
        <f t="shared" si="58"/>
        <v>38425</v>
      </c>
      <c r="S81" s="399">
        <f t="shared" si="58"/>
        <v>0</v>
      </c>
      <c r="T81" s="399">
        <f t="shared" si="58"/>
        <v>5000</v>
      </c>
      <c r="U81" s="399">
        <f t="shared" si="58"/>
        <v>5000</v>
      </c>
      <c r="V81" s="399">
        <f t="shared" si="58"/>
        <v>0</v>
      </c>
      <c r="W81" s="395"/>
      <c r="X81" s="400">
        <f t="shared" si="58"/>
        <v>5000</v>
      </c>
      <c r="Y81" s="400">
        <f t="shared" ref="X81:Z82" si="59">+Y82</f>
        <v>5000</v>
      </c>
      <c r="Z81" s="400">
        <f t="shared" si="59"/>
        <v>0</v>
      </c>
      <c r="AA81" s="5"/>
      <c r="AB81" s="399">
        <f t="shared" ref="AB81:AO82" si="60">+AB82</f>
        <v>0</v>
      </c>
      <c r="AC81" s="399">
        <f t="shared" si="60"/>
        <v>0</v>
      </c>
      <c r="AD81" s="399">
        <f t="shared" si="60"/>
        <v>0</v>
      </c>
      <c r="AE81" s="399">
        <f t="shared" si="60"/>
        <v>0</v>
      </c>
      <c r="AF81" s="399">
        <f t="shared" si="60"/>
        <v>0</v>
      </c>
      <c r="AG81" s="399">
        <f t="shared" si="60"/>
        <v>0</v>
      </c>
      <c r="AH81" s="399">
        <f t="shared" si="60"/>
        <v>1</v>
      </c>
      <c r="AI81" s="399">
        <f t="shared" si="60"/>
        <v>5000</v>
      </c>
      <c r="AJ81" s="399">
        <f t="shared" si="60"/>
        <v>0</v>
      </c>
      <c r="AK81" s="399">
        <f t="shared" si="60"/>
        <v>0</v>
      </c>
      <c r="AL81" s="399">
        <f t="shared" si="60"/>
        <v>0</v>
      </c>
      <c r="AM81" s="399">
        <f t="shared" si="60"/>
        <v>0</v>
      </c>
      <c r="AN81" s="399">
        <f t="shared" si="60"/>
        <v>0</v>
      </c>
      <c r="AO81" s="399">
        <f t="shared" si="60"/>
        <v>0</v>
      </c>
    </row>
    <row r="82" spans="1:41" s="31" customFormat="1" ht="15.75">
      <c r="A82" s="26" t="s">
        <v>47</v>
      </c>
      <c r="B82" s="27" t="s">
        <v>35</v>
      </c>
      <c r="C82" s="28"/>
      <c r="D82" s="28"/>
      <c r="E82" s="29"/>
      <c r="F82" s="28"/>
      <c r="G82" s="401">
        <f>+G83</f>
        <v>64476</v>
      </c>
      <c r="H82" s="401">
        <f t="shared" si="58"/>
        <v>38476</v>
      </c>
      <c r="I82" s="401">
        <f t="shared" si="58"/>
        <v>21000</v>
      </c>
      <c r="J82" s="401">
        <f t="shared" si="58"/>
        <v>21000</v>
      </c>
      <c r="K82" s="401">
        <f t="shared" si="58"/>
        <v>0</v>
      </c>
      <c r="L82" s="401">
        <f t="shared" si="58"/>
        <v>0</v>
      </c>
      <c r="M82" s="401">
        <f t="shared" si="58"/>
        <v>11483</v>
      </c>
      <c r="N82" s="401">
        <f t="shared" si="58"/>
        <v>11483</v>
      </c>
      <c r="O82" s="401">
        <f t="shared" si="58"/>
        <v>47051</v>
      </c>
      <c r="P82" s="401">
        <f t="shared" si="58"/>
        <v>21051</v>
      </c>
      <c r="Q82" s="401">
        <f t="shared" si="58"/>
        <v>38425</v>
      </c>
      <c r="R82" s="401">
        <f t="shared" si="58"/>
        <v>38425</v>
      </c>
      <c r="S82" s="401">
        <f t="shared" si="58"/>
        <v>0</v>
      </c>
      <c r="T82" s="401">
        <f t="shared" si="58"/>
        <v>5000</v>
      </c>
      <c r="U82" s="401">
        <f t="shared" si="58"/>
        <v>5000</v>
      </c>
      <c r="V82" s="401">
        <f t="shared" si="58"/>
        <v>0</v>
      </c>
      <c r="W82" s="385"/>
      <c r="X82" s="402">
        <f t="shared" si="59"/>
        <v>5000</v>
      </c>
      <c r="Y82" s="402">
        <f t="shared" si="59"/>
        <v>5000</v>
      </c>
      <c r="Z82" s="402">
        <f t="shared" si="59"/>
        <v>0</v>
      </c>
      <c r="AA82" s="5"/>
      <c r="AB82" s="401">
        <f t="shared" si="60"/>
        <v>0</v>
      </c>
      <c r="AC82" s="401">
        <f t="shared" si="60"/>
        <v>0</v>
      </c>
      <c r="AD82" s="401">
        <f t="shared" si="60"/>
        <v>0</v>
      </c>
      <c r="AE82" s="401">
        <f t="shared" si="60"/>
        <v>0</v>
      </c>
      <c r="AF82" s="401">
        <f t="shared" si="60"/>
        <v>0</v>
      </c>
      <c r="AG82" s="401">
        <f t="shared" si="60"/>
        <v>0</v>
      </c>
      <c r="AH82" s="401">
        <f t="shared" si="60"/>
        <v>1</v>
      </c>
      <c r="AI82" s="401">
        <f t="shared" si="60"/>
        <v>5000</v>
      </c>
      <c r="AJ82" s="401">
        <f t="shared" si="60"/>
        <v>0</v>
      </c>
      <c r="AK82" s="401">
        <f t="shared" si="60"/>
        <v>0</v>
      </c>
      <c r="AL82" s="401">
        <f t="shared" si="60"/>
        <v>0</v>
      </c>
      <c r="AM82" s="401">
        <f t="shared" si="60"/>
        <v>0</v>
      </c>
      <c r="AN82" s="401">
        <f t="shared" si="60"/>
        <v>0</v>
      </c>
      <c r="AO82" s="401">
        <f t="shared" si="60"/>
        <v>0</v>
      </c>
    </row>
    <row r="83" spans="1:41" s="25" customFormat="1" ht="33">
      <c r="A83" s="97" t="s">
        <v>27</v>
      </c>
      <c r="B83" s="214" t="s">
        <v>297</v>
      </c>
      <c r="C83" s="94" t="s">
        <v>112</v>
      </c>
      <c r="D83" s="101" t="s">
        <v>298</v>
      </c>
      <c r="E83" s="137" t="s">
        <v>94</v>
      </c>
      <c r="F83" s="101" t="s">
        <v>299</v>
      </c>
      <c r="G83" s="392">
        <v>64476</v>
      </c>
      <c r="H83" s="366">
        <v>38476</v>
      </c>
      <c r="I83" s="366">
        <f>+J83</f>
        <v>21000</v>
      </c>
      <c r="J83" s="366">
        <v>21000</v>
      </c>
      <c r="K83" s="366"/>
      <c r="L83" s="366"/>
      <c r="M83" s="366">
        <f>+N83</f>
        <v>11483</v>
      </c>
      <c r="N83" s="366">
        <v>11483</v>
      </c>
      <c r="O83" s="366">
        <f>26000+51+21000</f>
        <v>47051</v>
      </c>
      <c r="P83" s="366">
        <f>51+21000</f>
        <v>21051</v>
      </c>
      <c r="Q83" s="392">
        <f>+R83</f>
        <v>38425</v>
      </c>
      <c r="R83" s="366">
        <v>38425</v>
      </c>
      <c r="S83" s="366"/>
      <c r="T83" s="366">
        <v>5000</v>
      </c>
      <c r="U83" s="366">
        <v>5000</v>
      </c>
      <c r="V83" s="366"/>
      <c r="W83" s="395"/>
      <c r="X83" s="367">
        <v>5000</v>
      </c>
      <c r="Y83" s="367">
        <v>5000</v>
      </c>
      <c r="Z83" s="367"/>
      <c r="AA83" s="5"/>
      <c r="AH83" s="25">
        <v>1</v>
      </c>
      <c r="AI83" s="366">
        <v>5000</v>
      </c>
    </row>
    <row r="84" spans="1:41" s="16" customFormat="1" ht="31.5">
      <c r="A84" s="11" t="s">
        <v>150</v>
      </c>
      <c r="B84" s="12" t="s">
        <v>151</v>
      </c>
      <c r="C84" s="13"/>
      <c r="D84" s="13"/>
      <c r="E84" s="14"/>
      <c r="F84" s="13"/>
      <c r="G84" s="362">
        <f>SUM(G85)</f>
        <v>881727</v>
      </c>
      <c r="H84" s="362">
        <f t="shared" ref="H84:Z84" si="61">SUM(H85)</f>
        <v>110316</v>
      </c>
      <c r="I84" s="362">
        <f t="shared" si="61"/>
        <v>0</v>
      </c>
      <c r="J84" s="362">
        <f t="shared" si="61"/>
        <v>0</v>
      </c>
      <c r="K84" s="362">
        <f t="shared" si="61"/>
        <v>100</v>
      </c>
      <c r="L84" s="362">
        <f t="shared" si="61"/>
        <v>100</v>
      </c>
      <c r="M84" s="362">
        <f t="shared" si="61"/>
        <v>0</v>
      </c>
      <c r="N84" s="362">
        <f t="shared" si="61"/>
        <v>0</v>
      </c>
      <c r="O84" s="362">
        <f t="shared" si="61"/>
        <v>196</v>
      </c>
      <c r="P84" s="362">
        <f t="shared" si="61"/>
        <v>196</v>
      </c>
      <c r="Q84" s="362">
        <f t="shared" si="61"/>
        <v>388727</v>
      </c>
      <c r="R84" s="362">
        <f t="shared" si="61"/>
        <v>47702</v>
      </c>
      <c r="S84" s="362">
        <f t="shared" si="61"/>
        <v>0</v>
      </c>
      <c r="T84" s="362">
        <f t="shared" si="61"/>
        <v>63100</v>
      </c>
      <c r="U84" s="362">
        <f t="shared" si="61"/>
        <v>8100</v>
      </c>
      <c r="V84" s="362">
        <f t="shared" si="61"/>
        <v>0</v>
      </c>
      <c r="W84" s="363"/>
      <c r="X84" s="364">
        <f t="shared" si="61"/>
        <v>63100</v>
      </c>
      <c r="Y84" s="364">
        <f t="shared" si="61"/>
        <v>8100</v>
      </c>
      <c r="Z84" s="364">
        <f t="shared" si="61"/>
        <v>0</v>
      </c>
      <c r="AA84" s="5"/>
      <c r="AB84" s="362">
        <f t="shared" ref="AB84:AK84" si="62">SUM(AB85,AB87)</f>
        <v>0</v>
      </c>
      <c r="AC84" s="362">
        <f t="shared" si="62"/>
        <v>0</v>
      </c>
      <c r="AD84" s="362">
        <f t="shared" si="62"/>
        <v>0</v>
      </c>
      <c r="AE84" s="362">
        <f t="shared" si="62"/>
        <v>0</v>
      </c>
      <c r="AF84" s="362">
        <f t="shared" si="62"/>
        <v>0</v>
      </c>
      <c r="AG84" s="362">
        <f t="shared" si="62"/>
        <v>0</v>
      </c>
      <c r="AH84" s="362">
        <f t="shared" si="62"/>
        <v>0</v>
      </c>
      <c r="AI84" s="362">
        <f t="shared" si="62"/>
        <v>0</v>
      </c>
      <c r="AJ84" s="362">
        <f t="shared" si="62"/>
        <v>0</v>
      </c>
      <c r="AK84" s="362">
        <f t="shared" si="62"/>
        <v>0</v>
      </c>
      <c r="AL84" s="362">
        <f>SUM(AL85,AL87)</f>
        <v>3</v>
      </c>
      <c r="AM84" s="362">
        <f>SUM(AM85,AM87)</f>
        <v>5100</v>
      </c>
      <c r="AN84" s="362">
        <f>SUM(AN85,AN87)</f>
        <v>0</v>
      </c>
      <c r="AO84" s="362">
        <f>SUM(AO85,AO87)</f>
        <v>0</v>
      </c>
    </row>
    <row r="85" spans="1:41" s="31" customFormat="1" ht="15.75">
      <c r="A85" s="26" t="s">
        <v>47</v>
      </c>
      <c r="B85" s="27" t="s">
        <v>35</v>
      </c>
      <c r="C85" s="28"/>
      <c r="D85" s="28"/>
      <c r="E85" s="29"/>
      <c r="F85" s="28"/>
      <c r="G85" s="384">
        <f>SUM(G86:G87,G89:G90)</f>
        <v>881727</v>
      </c>
      <c r="H85" s="384">
        <f t="shared" ref="H85:V85" si="63">SUM(H86:H87,H89:H90)</f>
        <v>110316</v>
      </c>
      <c r="I85" s="384">
        <f t="shared" si="63"/>
        <v>0</v>
      </c>
      <c r="J85" s="384">
        <f t="shared" si="63"/>
        <v>0</v>
      </c>
      <c r="K85" s="384">
        <f t="shared" si="63"/>
        <v>100</v>
      </c>
      <c r="L85" s="384">
        <f t="shared" si="63"/>
        <v>100</v>
      </c>
      <c r="M85" s="384">
        <f t="shared" si="63"/>
        <v>0</v>
      </c>
      <c r="N85" s="384">
        <f t="shared" si="63"/>
        <v>0</v>
      </c>
      <c r="O85" s="384">
        <f t="shared" si="63"/>
        <v>196</v>
      </c>
      <c r="P85" s="384">
        <f t="shared" si="63"/>
        <v>196</v>
      </c>
      <c r="Q85" s="384">
        <f t="shared" si="63"/>
        <v>388727</v>
      </c>
      <c r="R85" s="384">
        <f t="shared" si="63"/>
        <v>47702</v>
      </c>
      <c r="S85" s="384">
        <f t="shared" si="63"/>
        <v>0</v>
      </c>
      <c r="T85" s="384">
        <f t="shared" si="63"/>
        <v>63100</v>
      </c>
      <c r="U85" s="384">
        <f t="shared" si="63"/>
        <v>8100</v>
      </c>
      <c r="V85" s="384">
        <f t="shared" si="63"/>
        <v>0</v>
      </c>
      <c r="W85" s="385"/>
      <c r="X85" s="386">
        <f t="shared" ref="X85:Z85" si="64">SUM(X86:X87,X89:X90)</f>
        <v>63100</v>
      </c>
      <c r="Y85" s="386">
        <f t="shared" si="64"/>
        <v>8100</v>
      </c>
      <c r="Z85" s="386">
        <f t="shared" si="64"/>
        <v>0</v>
      </c>
      <c r="AA85" s="5"/>
      <c r="AB85" s="384">
        <f t="shared" ref="AB85:AK85" si="65">AB86</f>
        <v>0</v>
      </c>
      <c r="AC85" s="384">
        <f t="shared" si="65"/>
        <v>0</v>
      </c>
      <c r="AD85" s="384">
        <f t="shared" si="65"/>
        <v>0</v>
      </c>
      <c r="AE85" s="384">
        <f t="shared" si="65"/>
        <v>0</v>
      </c>
      <c r="AF85" s="384">
        <f t="shared" si="65"/>
        <v>0</v>
      </c>
      <c r="AG85" s="384">
        <f t="shared" si="65"/>
        <v>0</v>
      </c>
      <c r="AH85" s="384">
        <f t="shared" si="65"/>
        <v>0</v>
      </c>
      <c r="AI85" s="384">
        <f t="shared" si="65"/>
        <v>0</v>
      </c>
      <c r="AJ85" s="384">
        <f t="shared" si="65"/>
        <v>0</v>
      </c>
      <c r="AK85" s="384">
        <f t="shared" si="65"/>
        <v>0</v>
      </c>
      <c r="AL85" s="384">
        <f>AL86</f>
        <v>1</v>
      </c>
      <c r="AM85" s="384">
        <f>AM86</f>
        <v>2000</v>
      </c>
      <c r="AN85" s="384">
        <f>AN86</f>
        <v>0</v>
      </c>
      <c r="AO85" s="384">
        <f>AO86</f>
        <v>0</v>
      </c>
    </row>
    <row r="86" spans="1:41" s="25" customFormat="1" ht="33">
      <c r="A86" s="138">
        <v>1</v>
      </c>
      <c r="B86" s="212" t="s">
        <v>300</v>
      </c>
      <c r="C86" s="19" t="s">
        <v>260</v>
      </c>
      <c r="D86" s="19" t="s">
        <v>301</v>
      </c>
      <c r="E86" s="70" t="s">
        <v>302</v>
      </c>
      <c r="F86" s="403" t="s">
        <v>303</v>
      </c>
      <c r="G86" s="404">
        <v>102486</v>
      </c>
      <c r="H86" s="392">
        <v>100</v>
      </c>
      <c r="I86" s="392"/>
      <c r="J86" s="392"/>
      <c r="K86" s="392">
        <f>+L86</f>
        <v>100</v>
      </c>
      <c r="L86" s="392">
        <v>100</v>
      </c>
      <c r="M86" s="392"/>
      <c r="N86" s="392"/>
      <c r="O86" s="392">
        <f>+P86</f>
        <v>196</v>
      </c>
      <c r="P86" s="392">
        <f>100+96</f>
        <v>196</v>
      </c>
      <c r="Q86" s="392">
        <v>102486</v>
      </c>
      <c r="R86" s="392">
        <f>102486-90000</f>
        <v>12486</v>
      </c>
      <c r="S86" s="392"/>
      <c r="T86" s="392">
        <v>30000</v>
      </c>
      <c r="U86" s="392"/>
      <c r="V86" s="392"/>
      <c r="W86" s="395"/>
      <c r="X86" s="396">
        <v>30000</v>
      </c>
      <c r="Y86" s="396"/>
      <c r="Z86" s="396"/>
      <c r="AA86" s="5"/>
      <c r="AL86" s="25">
        <v>1</v>
      </c>
      <c r="AM86" s="25">
        <v>2000</v>
      </c>
    </row>
    <row r="87" spans="1:41" s="31" customFormat="1" ht="47.25">
      <c r="A87" s="138">
        <v>2</v>
      </c>
      <c r="B87" s="387" t="s">
        <v>304</v>
      </c>
      <c r="C87" s="140" t="s">
        <v>305</v>
      </c>
      <c r="D87" s="141" t="s">
        <v>306</v>
      </c>
      <c r="E87" s="142" t="s">
        <v>120</v>
      </c>
      <c r="F87" s="403"/>
      <c r="G87" s="72">
        <v>588000</v>
      </c>
      <c r="H87" s="392">
        <v>89000</v>
      </c>
      <c r="I87" s="392"/>
      <c r="J87" s="392"/>
      <c r="K87" s="392"/>
      <c r="L87" s="392"/>
      <c r="M87" s="392"/>
      <c r="N87" s="392"/>
      <c r="O87" s="392"/>
      <c r="P87" s="392"/>
      <c r="Q87" s="72">
        <v>95000</v>
      </c>
      <c r="R87" s="392">
        <v>14000</v>
      </c>
      <c r="S87" s="392"/>
      <c r="T87" s="392">
        <v>20000</v>
      </c>
      <c r="U87" s="392">
        <v>5000</v>
      </c>
      <c r="V87" s="392"/>
      <c r="W87" s="395"/>
      <c r="X87" s="396">
        <v>20000</v>
      </c>
      <c r="Y87" s="396">
        <v>5000</v>
      </c>
      <c r="Z87" s="396"/>
      <c r="AA87" s="5"/>
      <c r="AB87" s="384">
        <f t="shared" ref="AB87:AO87" si="66">AB88+AB89</f>
        <v>0</v>
      </c>
      <c r="AC87" s="384">
        <f t="shared" si="66"/>
        <v>0</v>
      </c>
      <c r="AD87" s="384">
        <f t="shared" si="66"/>
        <v>0</v>
      </c>
      <c r="AE87" s="384">
        <f t="shared" si="66"/>
        <v>0</v>
      </c>
      <c r="AF87" s="384">
        <f t="shared" si="66"/>
        <v>0</v>
      </c>
      <c r="AG87" s="384">
        <f t="shared" si="66"/>
        <v>0</v>
      </c>
      <c r="AH87" s="384">
        <f t="shared" si="66"/>
        <v>0</v>
      </c>
      <c r="AI87" s="384">
        <f t="shared" si="66"/>
        <v>0</v>
      </c>
      <c r="AJ87" s="384">
        <f t="shared" si="66"/>
        <v>0</v>
      </c>
      <c r="AK87" s="384">
        <f t="shared" si="66"/>
        <v>0</v>
      </c>
      <c r="AL87" s="384">
        <f t="shared" si="66"/>
        <v>2</v>
      </c>
      <c r="AM87" s="384">
        <f t="shared" si="66"/>
        <v>3100</v>
      </c>
      <c r="AN87" s="384">
        <f t="shared" si="66"/>
        <v>0</v>
      </c>
      <c r="AO87" s="384">
        <f t="shared" si="66"/>
        <v>0</v>
      </c>
    </row>
    <row r="88" spans="1:41" s="25" customFormat="1" ht="15.75">
      <c r="A88" s="138"/>
      <c r="B88" s="212" t="s">
        <v>308</v>
      </c>
      <c r="C88" s="143"/>
      <c r="D88" s="143"/>
      <c r="E88" s="144"/>
      <c r="F88" s="403"/>
      <c r="G88" s="404">
        <v>95000</v>
      </c>
      <c r="H88" s="392">
        <v>81000</v>
      </c>
      <c r="I88" s="392"/>
      <c r="J88" s="392"/>
      <c r="K88" s="392"/>
      <c r="L88" s="392"/>
      <c r="M88" s="392"/>
      <c r="N88" s="392"/>
      <c r="O88" s="392"/>
      <c r="P88" s="392"/>
      <c r="Q88" s="392">
        <v>95000</v>
      </c>
      <c r="R88" s="392">
        <v>14000</v>
      </c>
      <c r="S88" s="392"/>
      <c r="T88" s="392">
        <v>20000</v>
      </c>
      <c r="U88" s="392">
        <v>5000</v>
      </c>
      <c r="V88" s="384">
        <f>V89+V90</f>
        <v>0</v>
      </c>
      <c r="W88" s="385"/>
      <c r="X88" s="396">
        <v>20000</v>
      </c>
      <c r="Y88" s="396">
        <v>5000</v>
      </c>
      <c r="Z88" s="386">
        <f>Z89+Z90</f>
        <v>0</v>
      </c>
      <c r="AA88" s="5"/>
      <c r="AL88" s="25">
        <v>1</v>
      </c>
      <c r="AM88" s="392">
        <v>1100</v>
      </c>
    </row>
    <row r="89" spans="1:41" s="25" customFormat="1" ht="31.5">
      <c r="A89" s="138">
        <v>3</v>
      </c>
      <c r="B89" s="212" t="s">
        <v>309</v>
      </c>
      <c r="C89" s="19" t="s">
        <v>112</v>
      </c>
      <c r="D89" s="145" t="s">
        <v>310</v>
      </c>
      <c r="E89" s="146" t="s">
        <v>166</v>
      </c>
      <c r="F89" s="403"/>
      <c r="G89" s="404">
        <f>+H89</f>
        <v>1216</v>
      </c>
      <c r="H89" s="392">
        <v>1216</v>
      </c>
      <c r="I89" s="392"/>
      <c r="J89" s="392"/>
      <c r="K89" s="392"/>
      <c r="L89" s="392"/>
      <c r="M89" s="392"/>
      <c r="N89" s="392"/>
      <c r="O89" s="392"/>
      <c r="P89" s="392"/>
      <c r="Q89" s="392">
        <f>+R89</f>
        <v>1216</v>
      </c>
      <c r="R89" s="392">
        <v>1216</v>
      </c>
      <c r="S89" s="392"/>
      <c r="T89" s="392">
        <f>+U89</f>
        <v>1100</v>
      </c>
      <c r="U89" s="392">
        <v>1100</v>
      </c>
      <c r="V89" s="392"/>
      <c r="W89" s="24"/>
      <c r="X89" s="396">
        <f>+Y89</f>
        <v>1100</v>
      </c>
      <c r="Y89" s="396">
        <v>1100</v>
      </c>
      <c r="Z89" s="396"/>
      <c r="AA89" s="5"/>
      <c r="AL89" s="25">
        <v>1</v>
      </c>
      <c r="AM89" s="392">
        <v>2000</v>
      </c>
    </row>
    <row r="90" spans="1:41" s="25" customFormat="1" ht="15.75">
      <c r="A90" s="138">
        <v>4</v>
      </c>
      <c r="B90" s="212" t="s">
        <v>314</v>
      </c>
      <c r="C90" s="19" t="s">
        <v>5</v>
      </c>
      <c r="D90" s="101"/>
      <c r="E90" s="70" t="s">
        <v>120</v>
      </c>
      <c r="F90" s="403"/>
      <c r="G90" s="404">
        <v>190025</v>
      </c>
      <c r="H90" s="392">
        <v>20000</v>
      </c>
      <c r="I90" s="392"/>
      <c r="J90" s="392"/>
      <c r="K90" s="392"/>
      <c r="L90" s="392"/>
      <c r="M90" s="392"/>
      <c r="N90" s="392"/>
      <c r="O90" s="392"/>
      <c r="P90" s="392"/>
      <c r="Q90" s="392">
        <v>190025</v>
      </c>
      <c r="R90" s="392">
        <v>20000</v>
      </c>
      <c r="S90" s="392"/>
      <c r="T90" s="392">
        <v>12000</v>
      </c>
      <c r="U90" s="392">
        <v>2000</v>
      </c>
      <c r="V90" s="392"/>
      <c r="W90" s="24"/>
      <c r="X90" s="396">
        <v>12000</v>
      </c>
      <c r="Y90" s="396">
        <v>2000</v>
      </c>
      <c r="Z90" s="396"/>
      <c r="AA90" s="5"/>
    </row>
    <row r="91" spans="1:41" s="25" customFormat="1" ht="15.75">
      <c r="A91" s="138"/>
      <c r="B91" s="212"/>
      <c r="C91" s="19"/>
      <c r="D91" s="101"/>
      <c r="E91" s="70"/>
      <c r="F91" s="403"/>
      <c r="G91" s="404"/>
      <c r="H91" s="392"/>
      <c r="I91" s="392"/>
      <c r="J91" s="392">
        <f>21526-J92</f>
        <v>0</v>
      </c>
      <c r="K91" s="392"/>
      <c r="L91" s="392"/>
      <c r="M91" s="392"/>
      <c r="N91" s="392"/>
      <c r="O91" s="392"/>
      <c r="P91" s="392"/>
      <c r="Q91" s="392"/>
      <c r="R91" s="392"/>
      <c r="S91" s="392"/>
      <c r="T91" s="392"/>
      <c r="U91" s="392"/>
      <c r="V91" s="392"/>
      <c r="W91" s="24"/>
      <c r="X91" s="396"/>
      <c r="Y91" s="396"/>
      <c r="Z91" s="396"/>
      <c r="AA91" s="5"/>
    </row>
    <row r="92" spans="1:41" s="406" customFormat="1" ht="26.25" customHeight="1">
      <c r="A92" s="147" t="s">
        <v>315</v>
      </c>
      <c r="B92" s="209" t="s">
        <v>1231</v>
      </c>
      <c r="C92" s="148"/>
      <c r="D92" s="148"/>
      <c r="E92" s="149"/>
      <c r="F92" s="148"/>
      <c r="G92" s="389">
        <f>+G93+G97</f>
        <v>677131.28</v>
      </c>
      <c r="H92" s="389">
        <f t="shared" ref="H92:V92" si="67">+H93+H97</f>
        <v>150042.28</v>
      </c>
      <c r="I92" s="389">
        <f t="shared" si="67"/>
        <v>71526</v>
      </c>
      <c r="J92" s="389">
        <f t="shared" si="67"/>
        <v>21526</v>
      </c>
      <c r="K92" s="389">
        <f t="shared" si="67"/>
        <v>5354</v>
      </c>
      <c r="L92" s="389">
        <f t="shared" si="67"/>
        <v>112</v>
      </c>
      <c r="M92" s="389">
        <f t="shared" si="67"/>
        <v>27811</v>
      </c>
      <c r="N92" s="389">
        <f t="shared" si="67"/>
        <v>4970</v>
      </c>
      <c r="O92" s="389">
        <f t="shared" si="67"/>
        <v>158552</v>
      </c>
      <c r="P92" s="389">
        <f t="shared" si="67"/>
        <v>22544</v>
      </c>
      <c r="Q92" s="389">
        <f t="shared" si="67"/>
        <v>421412.28</v>
      </c>
      <c r="R92" s="389">
        <f t="shared" si="67"/>
        <v>115102.28</v>
      </c>
      <c r="S92" s="389">
        <f t="shared" si="67"/>
        <v>0</v>
      </c>
      <c r="T92" s="389">
        <f t="shared" si="67"/>
        <v>64378</v>
      </c>
      <c r="U92" s="389">
        <f t="shared" si="67"/>
        <v>19378</v>
      </c>
      <c r="V92" s="389">
        <f t="shared" si="67"/>
        <v>0</v>
      </c>
      <c r="W92" s="405"/>
      <c r="X92" s="364">
        <f t="shared" ref="X92:Z92" si="68">+X93+X97</f>
        <v>64378</v>
      </c>
      <c r="Y92" s="364">
        <f t="shared" si="68"/>
        <v>19378</v>
      </c>
      <c r="Z92" s="364">
        <f t="shared" si="68"/>
        <v>0</v>
      </c>
      <c r="AA92" s="348">
        <f>+U92/(2704380-258412-300000)*100</f>
        <v>0.90299575762546325</v>
      </c>
      <c r="AB92" s="389">
        <f t="shared" ref="AB92:AK92" si="69">+AB93+AB97</f>
        <v>0</v>
      </c>
      <c r="AC92" s="389">
        <f t="shared" si="69"/>
        <v>0</v>
      </c>
      <c r="AD92" s="389">
        <f t="shared" si="69"/>
        <v>0</v>
      </c>
      <c r="AE92" s="389">
        <f t="shared" si="69"/>
        <v>0</v>
      </c>
      <c r="AF92" s="389">
        <f t="shared" si="69"/>
        <v>0</v>
      </c>
      <c r="AG92" s="389">
        <f t="shared" si="69"/>
        <v>0</v>
      </c>
      <c r="AH92" s="389">
        <f t="shared" si="69"/>
        <v>0</v>
      </c>
      <c r="AI92" s="389">
        <f t="shared" si="69"/>
        <v>0</v>
      </c>
      <c r="AJ92" s="389">
        <f t="shared" si="69"/>
        <v>0</v>
      </c>
      <c r="AK92" s="389">
        <f t="shared" si="69"/>
        <v>0</v>
      </c>
      <c r="AL92" s="389">
        <f>+AL93+AL97</f>
        <v>0</v>
      </c>
      <c r="AM92" s="389">
        <f>+AM93+AM97</f>
        <v>0</v>
      </c>
      <c r="AN92" s="389">
        <f>+AN93+AN97</f>
        <v>0</v>
      </c>
      <c r="AO92" s="389">
        <f>+AO93+AO97</f>
        <v>0</v>
      </c>
    </row>
    <row r="93" spans="1:41" s="25" customFormat="1" ht="21" customHeight="1">
      <c r="A93" s="64"/>
      <c r="B93" s="12" t="s">
        <v>26</v>
      </c>
      <c r="C93" s="350"/>
      <c r="D93" s="350"/>
      <c r="E93" s="351"/>
      <c r="F93" s="350"/>
      <c r="G93" s="407">
        <f>SUM(G94:G96)</f>
        <v>112189</v>
      </c>
      <c r="H93" s="407">
        <f t="shared" ref="H93:V93" si="70">SUM(H94:H96)</f>
        <v>44036</v>
      </c>
      <c r="I93" s="407">
        <f t="shared" si="70"/>
        <v>0</v>
      </c>
      <c r="J93" s="407">
        <f t="shared" si="70"/>
        <v>0</v>
      </c>
      <c r="K93" s="407">
        <f t="shared" si="70"/>
        <v>0</v>
      </c>
      <c r="L93" s="407">
        <f t="shared" si="70"/>
        <v>0</v>
      </c>
      <c r="M93" s="407">
        <f t="shared" si="70"/>
        <v>0</v>
      </c>
      <c r="N93" s="407">
        <f t="shared" si="70"/>
        <v>0</v>
      </c>
      <c r="O93" s="407">
        <f t="shared" si="70"/>
        <v>0</v>
      </c>
      <c r="P93" s="407">
        <f t="shared" si="70"/>
        <v>0</v>
      </c>
      <c r="Q93" s="407">
        <f t="shared" si="70"/>
        <v>79053</v>
      </c>
      <c r="R93" s="407">
        <f t="shared" si="70"/>
        <v>10900</v>
      </c>
      <c r="S93" s="407">
        <f t="shared" si="70"/>
        <v>0</v>
      </c>
      <c r="T93" s="407">
        <f t="shared" si="70"/>
        <v>1000</v>
      </c>
      <c r="U93" s="407">
        <f t="shared" si="70"/>
        <v>1000</v>
      </c>
      <c r="V93" s="407">
        <f t="shared" si="70"/>
        <v>0</v>
      </c>
      <c r="W93" s="395"/>
      <c r="X93" s="408">
        <f t="shared" ref="X93:Z93" si="71">SUM(X94:X96)</f>
        <v>1000</v>
      </c>
      <c r="Y93" s="408">
        <f t="shared" si="71"/>
        <v>1000</v>
      </c>
      <c r="Z93" s="408">
        <f t="shared" si="71"/>
        <v>0</v>
      </c>
      <c r="AA93" s="5"/>
      <c r="AB93" s="407">
        <f t="shared" ref="AB93:AK93" si="72">SUM(AB94:AB96)</f>
        <v>0</v>
      </c>
      <c r="AC93" s="407">
        <f t="shared" si="72"/>
        <v>0</v>
      </c>
      <c r="AD93" s="407">
        <f t="shared" si="72"/>
        <v>0</v>
      </c>
      <c r="AE93" s="407">
        <f t="shared" si="72"/>
        <v>0</v>
      </c>
      <c r="AF93" s="407">
        <f t="shared" si="72"/>
        <v>0</v>
      </c>
      <c r="AG93" s="407">
        <f t="shared" si="72"/>
        <v>0</v>
      </c>
      <c r="AH93" s="407">
        <f t="shared" si="72"/>
        <v>0</v>
      </c>
      <c r="AI93" s="407">
        <f t="shared" si="72"/>
        <v>0</v>
      </c>
      <c r="AJ93" s="407">
        <f t="shared" si="72"/>
        <v>0</v>
      </c>
      <c r="AK93" s="407">
        <f t="shared" si="72"/>
        <v>0</v>
      </c>
      <c r="AL93" s="407">
        <f>SUM(AL94:AL96)</f>
        <v>0</v>
      </c>
      <c r="AM93" s="407">
        <f>SUM(AM94:AM96)</f>
        <v>0</v>
      </c>
      <c r="AN93" s="407">
        <f>SUM(AN94:AN96)</f>
        <v>0</v>
      </c>
      <c r="AO93" s="407">
        <f>SUM(AO94:AO96)</f>
        <v>0</v>
      </c>
    </row>
    <row r="94" spans="1:41" s="25" customFormat="1" ht="30">
      <c r="A94" s="78">
        <v>1</v>
      </c>
      <c r="B94" s="212" t="s">
        <v>316</v>
      </c>
      <c r="C94" s="19" t="s">
        <v>85</v>
      </c>
      <c r="D94" s="19" t="s">
        <v>44</v>
      </c>
      <c r="E94" s="70" t="s">
        <v>317</v>
      </c>
      <c r="F94" s="19" t="s">
        <v>318</v>
      </c>
      <c r="G94" s="404">
        <v>112189</v>
      </c>
      <c r="H94" s="404">
        <v>44036</v>
      </c>
      <c r="I94" s="392"/>
      <c r="J94" s="392"/>
      <c r="K94" s="392"/>
      <c r="L94" s="392"/>
      <c r="M94" s="392"/>
      <c r="N94" s="392"/>
      <c r="O94" s="392"/>
      <c r="P94" s="392"/>
      <c r="Q94" s="392">
        <v>78153</v>
      </c>
      <c r="R94" s="392">
        <v>10000</v>
      </c>
      <c r="S94" s="392"/>
      <c r="T94" s="392">
        <v>100</v>
      </c>
      <c r="U94" s="392">
        <v>100</v>
      </c>
      <c r="V94" s="392"/>
      <c r="W94" s="395"/>
      <c r="X94" s="396">
        <v>100</v>
      </c>
      <c r="Y94" s="396">
        <v>100</v>
      </c>
      <c r="Z94" s="396"/>
      <c r="AA94" s="5"/>
    </row>
    <row r="95" spans="1:41" s="25" customFormat="1" ht="48" customHeight="1">
      <c r="A95" s="78">
        <v>2</v>
      </c>
      <c r="B95" s="212" t="s">
        <v>319</v>
      </c>
      <c r="C95" s="19" t="s">
        <v>85</v>
      </c>
      <c r="D95" s="19" t="s">
        <v>320</v>
      </c>
      <c r="E95" s="44" t="s">
        <v>321</v>
      </c>
      <c r="F95" s="19"/>
      <c r="G95" s="404"/>
      <c r="H95" s="404"/>
      <c r="I95" s="392"/>
      <c r="J95" s="392"/>
      <c r="K95" s="392"/>
      <c r="L95" s="392"/>
      <c r="M95" s="392"/>
      <c r="N95" s="392"/>
      <c r="O95" s="392"/>
      <c r="P95" s="392"/>
      <c r="Q95" s="392">
        <f>+R95</f>
        <v>450</v>
      </c>
      <c r="R95" s="392">
        <v>450</v>
      </c>
      <c r="S95" s="392"/>
      <c r="T95" s="392">
        <f>+U95</f>
        <v>450</v>
      </c>
      <c r="U95" s="392">
        <v>450</v>
      </c>
      <c r="V95" s="392"/>
      <c r="W95" s="1234" t="s">
        <v>322</v>
      </c>
      <c r="X95" s="396">
        <f>+Y95</f>
        <v>450</v>
      </c>
      <c r="Y95" s="396">
        <v>450</v>
      </c>
      <c r="Z95" s="396"/>
      <c r="AA95" s="5"/>
    </row>
    <row r="96" spans="1:41" s="25" customFormat="1" ht="45.75" customHeight="1">
      <c r="A96" s="78">
        <v>3</v>
      </c>
      <c r="B96" s="212" t="s">
        <v>323</v>
      </c>
      <c r="C96" s="19" t="s">
        <v>143</v>
      </c>
      <c r="D96" s="19" t="s">
        <v>320</v>
      </c>
      <c r="E96" s="44">
        <v>2017</v>
      </c>
      <c r="F96" s="19"/>
      <c r="G96" s="404"/>
      <c r="H96" s="404"/>
      <c r="I96" s="392"/>
      <c r="J96" s="392"/>
      <c r="K96" s="392"/>
      <c r="L96" s="392"/>
      <c r="M96" s="392"/>
      <c r="N96" s="392"/>
      <c r="O96" s="392"/>
      <c r="P96" s="392"/>
      <c r="Q96" s="392">
        <f>+R96</f>
        <v>450</v>
      </c>
      <c r="R96" s="392">
        <v>450</v>
      </c>
      <c r="S96" s="392"/>
      <c r="T96" s="392">
        <f>+U96</f>
        <v>450</v>
      </c>
      <c r="U96" s="392">
        <v>450</v>
      </c>
      <c r="V96" s="392"/>
      <c r="W96" s="1234"/>
      <c r="X96" s="396">
        <f>+Y96</f>
        <v>450</v>
      </c>
      <c r="Y96" s="396">
        <v>450</v>
      </c>
      <c r="Z96" s="396"/>
      <c r="AA96" s="5"/>
    </row>
    <row r="97" spans="1:41" s="25" customFormat="1" ht="22.5" customHeight="1">
      <c r="A97" s="78"/>
      <c r="B97" s="357" t="s">
        <v>31</v>
      </c>
      <c r="C97" s="19"/>
      <c r="D97" s="19"/>
      <c r="E97" s="70"/>
      <c r="F97" s="19"/>
      <c r="G97" s="362">
        <f t="shared" ref="G97:V97" si="73">+G98+G104+G109</f>
        <v>564942.28</v>
      </c>
      <c r="H97" s="362">
        <f t="shared" si="73"/>
        <v>106006.28</v>
      </c>
      <c r="I97" s="362">
        <f t="shared" si="73"/>
        <v>71526</v>
      </c>
      <c r="J97" s="362">
        <f t="shared" si="73"/>
        <v>21526</v>
      </c>
      <c r="K97" s="362">
        <f t="shared" si="73"/>
        <v>5354</v>
      </c>
      <c r="L97" s="362">
        <f t="shared" si="73"/>
        <v>112</v>
      </c>
      <c r="M97" s="362">
        <f t="shared" si="73"/>
        <v>27811</v>
      </c>
      <c r="N97" s="362">
        <f t="shared" si="73"/>
        <v>4970</v>
      </c>
      <c r="O97" s="362">
        <f t="shared" si="73"/>
        <v>158552</v>
      </c>
      <c r="P97" s="362">
        <f t="shared" si="73"/>
        <v>22544</v>
      </c>
      <c r="Q97" s="362">
        <f t="shared" si="73"/>
        <v>342359.28</v>
      </c>
      <c r="R97" s="362">
        <f t="shared" si="73"/>
        <v>104202.28</v>
      </c>
      <c r="S97" s="362">
        <f t="shared" si="73"/>
        <v>0</v>
      </c>
      <c r="T97" s="362">
        <f t="shared" si="73"/>
        <v>63378</v>
      </c>
      <c r="U97" s="362">
        <f t="shared" si="73"/>
        <v>18378</v>
      </c>
      <c r="V97" s="362">
        <f t="shared" si="73"/>
        <v>0</v>
      </c>
      <c r="W97" s="395"/>
      <c r="X97" s="364">
        <f t="shared" ref="X97:Z97" si="74">+X98+X104+X109</f>
        <v>63378</v>
      </c>
      <c r="Y97" s="364">
        <f t="shared" si="74"/>
        <v>18378</v>
      </c>
      <c r="Z97" s="364">
        <f t="shared" si="74"/>
        <v>0</v>
      </c>
      <c r="AA97" s="5"/>
      <c r="AB97" s="362">
        <f t="shared" ref="AB97:AK97" si="75">+AB98+AB104+AB109</f>
        <v>0</v>
      </c>
      <c r="AC97" s="362">
        <f t="shared" si="75"/>
        <v>0</v>
      </c>
      <c r="AD97" s="362">
        <f t="shared" si="75"/>
        <v>0</v>
      </c>
      <c r="AE97" s="362">
        <f t="shared" si="75"/>
        <v>0</v>
      </c>
      <c r="AF97" s="362">
        <f t="shared" si="75"/>
        <v>0</v>
      </c>
      <c r="AG97" s="362">
        <f t="shared" si="75"/>
        <v>0</v>
      </c>
      <c r="AH97" s="362">
        <f t="shared" si="75"/>
        <v>0</v>
      </c>
      <c r="AI97" s="362">
        <f t="shared" si="75"/>
        <v>0</v>
      </c>
      <c r="AJ97" s="362">
        <f t="shared" si="75"/>
        <v>0</v>
      </c>
      <c r="AK97" s="362">
        <f t="shared" si="75"/>
        <v>0</v>
      </c>
      <c r="AL97" s="362">
        <f>+AL98+AL104+AL109</f>
        <v>0</v>
      </c>
      <c r="AM97" s="362">
        <f>+AM98+AM104+AM109</f>
        <v>0</v>
      </c>
      <c r="AN97" s="362">
        <f>+AN98+AN104+AN109</f>
        <v>0</v>
      </c>
      <c r="AO97" s="362">
        <f>+AO98+AO104+AO109</f>
        <v>0</v>
      </c>
    </row>
    <row r="98" spans="1:41" s="25" customFormat="1" ht="47.25">
      <c r="A98" s="64" t="s">
        <v>32</v>
      </c>
      <c r="B98" s="12" t="s">
        <v>33</v>
      </c>
      <c r="C98" s="19"/>
      <c r="D98" s="19"/>
      <c r="E98" s="70"/>
      <c r="F98" s="19"/>
      <c r="G98" s="362">
        <f>+G99+G101</f>
        <v>20516</v>
      </c>
      <c r="H98" s="362">
        <f t="shared" ref="H98:V98" si="76">+H99+H101</f>
        <v>10888</v>
      </c>
      <c r="I98" s="362">
        <f t="shared" si="76"/>
        <v>10826</v>
      </c>
      <c r="J98" s="362">
        <f t="shared" si="76"/>
        <v>10826</v>
      </c>
      <c r="K98" s="362">
        <f t="shared" si="76"/>
        <v>12</v>
      </c>
      <c r="L98" s="362">
        <f t="shared" si="76"/>
        <v>12</v>
      </c>
      <c r="M98" s="362">
        <f t="shared" si="76"/>
        <v>2362</v>
      </c>
      <c r="N98" s="362">
        <f t="shared" si="76"/>
        <v>2362</v>
      </c>
      <c r="O98" s="362">
        <f t="shared" si="76"/>
        <v>20124</v>
      </c>
      <c r="P98" s="362">
        <f t="shared" si="76"/>
        <v>10496</v>
      </c>
      <c r="Q98" s="362">
        <f t="shared" si="76"/>
        <v>10826</v>
      </c>
      <c r="R98" s="362">
        <f t="shared" si="76"/>
        <v>10826</v>
      </c>
      <c r="S98" s="362">
        <f t="shared" si="76"/>
        <v>0</v>
      </c>
      <c r="T98" s="362">
        <f t="shared" si="76"/>
        <v>0</v>
      </c>
      <c r="U98" s="362">
        <f t="shared" si="76"/>
        <v>0</v>
      </c>
      <c r="V98" s="362">
        <f t="shared" si="76"/>
        <v>0</v>
      </c>
      <c r="W98" s="395"/>
      <c r="X98" s="364">
        <f t="shared" ref="X98:Z98" si="77">+X99+X101</f>
        <v>0</v>
      </c>
      <c r="Y98" s="364">
        <f t="shared" si="77"/>
        <v>0</v>
      </c>
      <c r="Z98" s="364">
        <f t="shared" si="77"/>
        <v>0</v>
      </c>
      <c r="AA98" s="5"/>
      <c r="AB98" s="362">
        <f t="shared" ref="AB98:AK98" si="78">+AB99+AB101</f>
        <v>0</v>
      </c>
      <c r="AC98" s="362">
        <f t="shared" si="78"/>
        <v>0</v>
      </c>
      <c r="AD98" s="362">
        <f t="shared" si="78"/>
        <v>0</v>
      </c>
      <c r="AE98" s="362">
        <f t="shared" si="78"/>
        <v>0</v>
      </c>
      <c r="AF98" s="362">
        <f t="shared" si="78"/>
        <v>0</v>
      </c>
      <c r="AG98" s="362">
        <f t="shared" si="78"/>
        <v>0</v>
      </c>
      <c r="AH98" s="362">
        <f t="shared" si="78"/>
        <v>0</v>
      </c>
      <c r="AI98" s="362">
        <f t="shared" si="78"/>
        <v>0</v>
      </c>
      <c r="AJ98" s="362">
        <f t="shared" si="78"/>
        <v>0</v>
      </c>
      <c r="AK98" s="362">
        <f t="shared" si="78"/>
        <v>0</v>
      </c>
      <c r="AL98" s="362">
        <f>+AL99+AL101</f>
        <v>0</v>
      </c>
      <c r="AM98" s="362">
        <f>+AM99+AM101</f>
        <v>0</v>
      </c>
      <c r="AN98" s="362">
        <f>+AN99+AN101</f>
        <v>0</v>
      </c>
      <c r="AO98" s="362">
        <f>+AO99+AO101</f>
        <v>0</v>
      </c>
    </row>
    <row r="99" spans="1:41" s="25" customFormat="1" ht="15.75">
      <c r="A99" s="26" t="s">
        <v>47</v>
      </c>
      <c r="B99" s="27" t="s">
        <v>35</v>
      </c>
      <c r="C99" s="19"/>
      <c r="D99" s="19"/>
      <c r="E99" s="70"/>
      <c r="F99" s="19"/>
      <c r="G99" s="392">
        <f>+G100</f>
        <v>0</v>
      </c>
      <c r="H99" s="392">
        <f t="shared" ref="H99:Z99" si="79">+H100</f>
        <v>0</v>
      </c>
      <c r="I99" s="392">
        <f t="shared" si="79"/>
        <v>0</v>
      </c>
      <c r="J99" s="392">
        <f t="shared" si="79"/>
        <v>0</v>
      </c>
      <c r="K99" s="392">
        <f t="shared" si="79"/>
        <v>12</v>
      </c>
      <c r="L99" s="392">
        <f t="shared" si="79"/>
        <v>12</v>
      </c>
      <c r="M99" s="392">
        <f t="shared" si="79"/>
        <v>12</v>
      </c>
      <c r="N99" s="392">
        <f t="shared" si="79"/>
        <v>12</v>
      </c>
      <c r="O99" s="392">
        <f t="shared" si="79"/>
        <v>0</v>
      </c>
      <c r="P99" s="392">
        <f t="shared" si="79"/>
        <v>0</v>
      </c>
      <c r="Q99" s="392">
        <f t="shared" si="79"/>
        <v>0</v>
      </c>
      <c r="R99" s="392">
        <f t="shared" si="79"/>
        <v>0</v>
      </c>
      <c r="S99" s="392">
        <f t="shared" si="79"/>
        <v>0</v>
      </c>
      <c r="T99" s="392">
        <f t="shared" si="79"/>
        <v>0</v>
      </c>
      <c r="U99" s="392">
        <f t="shared" si="79"/>
        <v>0</v>
      </c>
      <c r="V99" s="392">
        <f t="shared" si="79"/>
        <v>0</v>
      </c>
      <c r="W99" s="395"/>
      <c r="X99" s="396">
        <f t="shared" si="79"/>
        <v>0</v>
      </c>
      <c r="Y99" s="396">
        <f t="shared" si="79"/>
        <v>0</v>
      </c>
      <c r="Z99" s="396">
        <f t="shared" si="79"/>
        <v>0</v>
      </c>
      <c r="AA99" s="5"/>
    </row>
    <row r="100" spans="1:41" s="25" customFormat="1" ht="31.5">
      <c r="A100" s="97" t="s">
        <v>27</v>
      </c>
      <c r="B100" s="212" t="s">
        <v>324</v>
      </c>
      <c r="C100" s="19"/>
      <c r="D100" s="19"/>
      <c r="E100" s="70"/>
      <c r="F100" s="19"/>
      <c r="G100" s="392"/>
      <c r="H100" s="392"/>
      <c r="I100" s="392"/>
      <c r="J100" s="392"/>
      <c r="K100" s="392">
        <f>+L100</f>
        <v>12</v>
      </c>
      <c r="L100" s="392">
        <v>12</v>
      </c>
      <c r="M100" s="392">
        <f>+N100</f>
        <v>12</v>
      </c>
      <c r="N100" s="392">
        <v>12</v>
      </c>
      <c r="O100" s="392"/>
      <c r="P100" s="392"/>
      <c r="Q100" s="392"/>
      <c r="R100" s="392"/>
      <c r="S100" s="392"/>
      <c r="T100" s="392"/>
      <c r="U100" s="392"/>
      <c r="V100" s="392"/>
      <c r="W100" s="395"/>
      <c r="X100" s="396"/>
      <c r="Y100" s="396"/>
      <c r="Z100" s="396"/>
      <c r="AA100" s="5"/>
    </row>
    <row r="101" spans="1:41" s="25" customFormat="1" ht="15.75">
      <c r="A101" s="26" t="s">
        <v>273</v>
      </c>
      <c r="B101" s="27" t="s">
        <v>48</v>
      </c>
      <c r="C101" s="19"/>
      <c r="D101" s="19"/>
      <c r="E101" s="70"/>
      <c r="F101" s="19"/>
      <c r="G101" s="362">
        <f>+G102+G103</f>
        <v>20516</v>
      </c>
      <c r="H101" s="362">
        <f t="shared" ref="H101:V101" si="80">+H102+H103</f>
        <v>10888</v>
      </c>
      <c r="I101" s="362">
        <f t="shared" si="80"/>
        <v>10826</v>
      </c>
      <c r="J101" s="362">
        <f t="shared" si="80"/>
        <v>10826</v>
      </c>
      <c r="K101" s="362">
        <f t="shared" si="80"/>
        <v>0</v>
      </c>
      <c r="L101" s="362">
        <f t="shared" si="80"/>
        <v>0</v>
      </c>
      <c r="M101" s="362">
        <f t="shared" si="80"/>
        <v>2350</v>
      </c>
      <c r="N101" s="362">
        <f t="shared" si="80"/>
        <v>2350</v>
      </c>
      <c r="O101" s="362">
        <f t="shared" si="80"/>
        <v>20124</v>
      </c>
      <c r="P101" s="362">
        <f t="shared" si="80"/>
        <v>10496</v>
      </c>
      <c r="Q101" s="362">
        <f t="shared" si="80"/>
        <v>10826</v>
      </c>
      <c r="R101" s="362">
        <f t="shared" si="80"/>
        <v>10826</v>
      </c>
      <c r="S101" s="362">
        <f t="shared" si="80"/>
        <v>0</v>
      </c>
      <c r="T101" s="362">
        <f t="shared" si="80"/>
        <v>0</v>
      </c>
      <c r="U101" s="362">
        <f t="shared" si="80"/>
        <v>0</v>
      </c>
      <c r="V101" s="362">
        <f t="shared" si="80"/>
        <v>0</v>
      </c>
      <c r="W101" s="395"/>
      <c r="X101" s="364">
        <f t="shared" ref="X101:Z101" si="81">+X102+X103</f>
        <v>0</v>
      </c>
      <c r="Y101" s="364">
        <f t="shared" si="81"/>
        <v>0</v>
      </c>
      <c r="Z101" s="364">
        <f t="shared" si="81"/>
        <v>0</v>
      </c>
      <c r="AA101" s="5"/>
      <c r="AB101" s="362">
        <f t="shared" ref="AB101:AK101" si="82">+AB102+AB103</f>
        <v>0</v>
      </c>
      <c r="AC101" s="362">
        <f t="shared" si="82"/>
        <v>0</v>
      </c>
      <c r="AD101" s="362">
        <f t="shared" si="82"/>
        <v>0</v>
      </c>
      <c r="AE101" s="362">
        <f t="shared" si="82"/>
        <v>0</v>
      </c>
      <c r="AF101" s="362">
        <f t="shared" si="82"/>
        <v>0</v>
      </c>
      <c r="AG101" s="362">
        <f t="shared" si="82"/>
        <v>0</v>
      </c>
      <c r="AH101" s="362">
        <f t="shared" si="82"/>
        <v>0</v>
      </c>
      <c r="AI101" s="362">
        <f t="shared" si="82"/>
        <v>0</v>
      </c>
      <c r="AJ101" s="362">
        <f t="shared" si="82"/>
        <v>0</v>
      </c>
      <c r="AK101" s="362">
        <f t="shared" si="82"/>
        <v>0</v>
      </c>
      <c r="AL101" s="362">
        <f>+AL102+AL103</f>
        <v>0</v>
      </c>
      <c r="AM101" s="362">
        <f>+AM102+AM103</f>
        <v>0</v>
      </c>
      <c r="AN101" s="362">
        <f>+AN102+AN103</f>
        <v>0</v>
      </c>
      <c r="AO101" s="362">
        <f>+AO102+AO103</f>
        <v>0</v>
      </c>
    </row>
    <row r="102" spans="1:41" s="25" customFormat="1" ht="31.5">
      <c r="A102" s="78">
        <v>1</v>
      </c>
      <c r="B102" s="214" t="s">
        <v>325</v>
      </c>
      <c r="C102" s="94" t="s">
        <v>143</v>
      </c>
      <c r="D102" s="101" t="s">
        <v>326</v>
      </c>
      <c r="E102" s="137" t="s">
        <v>82</v>
      </c>
      <c r="F102" s="101" t="s">
        <v>327</v>
      </c>
      <c r="G102" s="392">
        <v>20516</v>
      </c>
      <c r="H102" s="392">
        <v>10888</v>
      </c>
      <c r="I102" s="392">
        <f>+J102</f>
        <v>6450</v>
      </c>
      <c r="J102" s="392">
        <v>6450</v>
      </c>
      <c r="K102" s="392"/>
      <c r="L102" s="392"/>
      <c r="M102" s="392">
        <f>+N102</f>
        <v>2350</v>
      </c>
      <c r="N102" s="392">
        <v>2350</v>
      </c>
      <c r="O102" s="392">
        <f>13674+6450</f>
        <v>20124</v>
      </c>
      <c r="P102" s="392">
        <f>4046+6450</f>
        <v>10496</v>
      </c>
      <c r="Q102" s="392">
        <f>+R102</f>
        <v>6450</v>
      </c>
      <c r="R102" s="392">
        <v>6450</v>
      </c>
      <c r="S102" s="392"/>
      <c r="T102" s="392"/>
      <c r="U102" s="392"/>
      <c r="V102" s="392"/>
      <c r="W102" s="395"/>
      <c r="X102" s="396"/>
      <c r="Y102" s="396"/>
      <c r="Z102" s="396"/>
      <c r="AA102" s="5"/>
    </row>
    <row r="103" spans="1:41" s="25" customFormat="1" ht="31.5">
      <c r="A103" s="78">
        <v>2</v>
      </c>
      <c r="B103" s="214" t="s">
        <v>1232</v>
      </c>
      <c r="C103" s="94" t="s">
        <v>60</v>
      </c>
      <c r="D103" s="101"/>
      <c r="E103" s="137"/>
      <c r="F103" s="101"/>
      <c r="G103" s="392"/>
      <c r="H103" s="392"/>
      <c r="I103" s="392">
        <f>+J103</f>
        <v>4376</v>
      </c>
      <c r="J103" s="392">
        <v>4376</v>
      </c>
      <c r="K103" s="392"/>
      <c r="L103" s="392"/>
      <c r="M103" s="392"/>
      <c r="N103" s="392"/>
      <c r="O103" s="392"/>
      <c r="P103" s="392"/>
      <c r="Q103" s="392">
        <f>+R103</f>
        <v>4376</v>
      </c>
      <c r="R103" s="392">
        <v>4376</v>
      </c>
      <c r="S103" s="392"/>
      <c r="T103" s="392"/>
      <c r="U103" s="392"/>
      <c r="V103" s="392"/>
      <c r="W103" s="395"/>
      <c r="X103" s="396"/>
      <c r="Y103" s="396"/>
      <c r="Z103" s="396"/>
      <c r="AA103" s="5"/>
    </row>
    <row r="104" spans="1:41" s="25" customFormat="1" ht="31.5">
      <c r="A104" s="11" t="s">
        <v>116</v>
      </c>
      <c r="B104" s="12" t="s">
        <v>117</v>
      </c>
      <c r="C104" s="13"/>
      <c r="D104" s="13"/>
      <c r="E104" s="14"/>
      <c r="F104" s="13"/>
      <c r="G104" s="362">
        <f>+G105</f>
        <v>427044</v>
      </c>
      <c r="H104" s="362">
        <f t="shared" ref="H104:Z104" si="83">+H105</f>
        <v>53835</v>
      </c>
      <c r="I104" s="362">
        <f t="shared" si="83"/>
        <v>60700</v>
      </c>
      <c r="J104" s="362">
        <f t="shared" si="83"/>
        <v>10700</v>
      </c>
      <c r="K104" s="362">
        <f t="shared" si="83"/>
        <v>5342</v>
      </c>
      <c r="L104" s="362">
        <f t="shared" si="83"/>
        <v>100</v>
      </c>
      <c r="M104" s="362">
        <f t="shared" si="83"/>
        <v>25449</v>
      </c>
      <c r="N104" s="362">
        <f t="shared" si="83"/>
        <v>2608</v>
      </c>
      <c r="O104" s="362">
        <f t="shared" si="83"/>
        <v>138428</v>
      </c>
      <c r="P104" s="362">
        <f t="shared" si="83"/>
        <v>12048</v>
      </c>
      <c r="Q104" s="362">
        <f t="shared" si="83"/>
        <v>214151</v>
      </c>
      <c r="R104" s="362">
        <f t="shared" si="83"/>
        <v>52093</v>
      </c>
      <c r="S104" s="362">
        <f t="shared" si="83"/>
        <v>0</v>
      </c>
      <c r="T104" s="362">
        <f t="shared" si="83"/>
        <v>43378</v>
      </c>
      <c r="U104" s="362">
        <f t="shared" si="83"/>
        <v>13378</v>
      </c>
      <c r="V104" s="362">
        <f t="shared" si="83"/>
        <v>0</v>
      </c>
      <c r="W104" s="395"/>
      <c r="X104" s="364">
        <f t="shared" si="83"/>
        <v>43378</v>
      </c>
      <c r="Y104" s="364">
        <f t="shared" si="83"/>
        <v>13378</v>
      </c>
      <c r="Z104" s="364">
        <f t="shared" si="83"/>
        <v>0</v>
      </c>
      <c r="AA104" s="5"/>
      <c r="AB104" s="362">
        <f t="shared" ref="AB104:AK104" si="84">+AB105</f>
        <v>0</v>
      </c>
      <c r="AC104" s="362">
        <f t="shared" si="84"/>
        <v>0</v>
      </c>
      <c r="AD104" s="362">
        <f t="shared" si="84"/>
        <v>0</v>
      </c>
      <c r="AE104" s="362">
        <f t="shared" si="84"/>
        <v>0</v>
      </c>
      <c r="AF104" s="362">
        <f t="shared" si="84"/>
        <v>0</v>
      </c>
      <c r="AG104" s="362">
        <f t="shared" si="84"/>
        <v>0</v>
      </c>
      <c r="AH104" s="362">
        <f t="shared" si="84"/>
        <v>0</v>
      </c>
      <c r="AI104" s="362">
        <f t="shared" si="84"/>
        <v>0</v>
      </c>
      <c r="AJ104" s="362">
        <f t="shared" si="84"/>
        <v>0</v>
      </c>
      <c r="AK104" s="362">
        <f t="shared" si="84"/>
        <v>0</v>
      </c>
      <c r="AL104" s="362">
        <f>+AL105</f>
        <v>0</v>
      </c>
      <c r="AM104" s="362">
        <f>+AM105</f>
        <v>0</v>
      </c>
      <c r="AN104" s="362">
        <f>+AN105</f>
        <v>0</v>
      </c>
      <c r="AO104" s="362">
        <f>+AO105</f>
        <v>0</v>
      </c>
    </row>
    <row r="105" spans="1:41" s="25" customFormat="1" ht="15.75">
      <c r="A105" s="26" t="s">
        <v>47</v>
      </c>
      <c r="B105" s="27" t="s">
        <v>35</v>
      </c>
      <c r="C105" s="28"/>
      <c r="D105" s="28"/>
      <c r="E105" s="29"/>
      <c r="F105" s="28"/>
      <c r="G105" s="362">
        <f t="shared" ref="G105" si="85">SUM(G106:G108)</f>
        <v>427044</v>
      </c>
      <c r="H105" s="362">
        <f t="shared" ref="H105:V105" si="86">SUM(H106:H108)</f>
        <v>53835</v>
      </c>
      <c r="I105" s="362">
        <f t="shared" si="86"/>
        <v>60700</v>
      </c>
      <c r="J105" s="362">
        <f t="shared" si="86"/>
        <v>10700</v>
      </c>
      <c r="K105" s="362">
        <f t="shared" si="86"/>
        <v>5342</v>
      </c>
      <c r="L105" s="362">
        <f t="shared" si="86"/>
        <v>100</v>
      </c>
      <c r="M105" s="362">
        <f t="shared" si="86"/>
        <v>25449</v>
      </c>
      <c r="N105" s="362">
        <f t="shared" si="86"/>
        <v>2608</v>
      </c>
      <c r="O105" s="362">
        <f t="shared" si="86"/>
        <v>138428</v>
      </c>
      <c r="P105" s="362">
        <f t="shared" si="86"/>
        <v>12048</v>
      </c>
      <c r="Q105" s="362">
        <f t="shared" si="86"/>
        <v>214151</v>
      </c>
      <c r="R105" s="362">
        <f t="shared" si="86"/>
        <v>52093</v>
      </c>
      <c r="S105" s="362">
        <f t="shared" si="86"/>
        <v>0</v>
      </c>
      <c r="T105" s="362">
        <f t="shared" si="86"/>
        <v>43378</v>
      </c>
      <c r="U105" s="362">
        <f t="shared" si="86"/>
        <v>13378</v>
      </c>
      <c r="V105" s="362">
        <f t="shared" si="86"/>
        <v>0</v>
      </c>
      <c r="W105" s="395"/>
      <c r="X105" s="364">
        <f t="shared" ref="X105:Z105" si="87">SUM(X106:X108)</f>
        <v>43378</v>
      </c>
      <c r="Y105" s="364">
        <f t="shared" si="87"/>
        <v>13378</v>
      </c>
      <c r="Z105" s="364">
        <f t="shared" si="87"/>
        <v>0</v>
      </c>
      <c r="AA105" s="5"/>
      <c r="AB105" s="362">
        <f t="shared" ref="AB105:AK105" si="88">SUM(AB106:AB108)</f>
        <v>0</v>
      </c>
      <c r="AC105" s="362">
        <f t="shared" si="88"/>
        <v>0</v>
      </c>
      <c r="AD105" s="362">
        <f t="shared" si="88"/>
        <v>0</v>
      </c>
      <c r="AE105" s="362">
        <f t="shared" si="88"/>
        <v>0</v>
      </c>
      <c r="AF105" s="362">
        <f t="shared" si="88"/>
        <v>0</v>
      </c>
      <c r="AG105" s="362">
        <f t="shared" si="88"/>
        <v>0</v>
      </c>
      <c r="AH105" s="362">
        <f t="shared" si="88"/>
        <v>0</v>
      </c>
      <c r="AI105" s="362">
        <f t="shared" si="88"/>
        <v>0</v>
      </c>
      <c r="AJ105" s="362">
        <f t="shared" si="88"/>
        <v>0</v>
      </c>
      <c r="AK105" s="362">
        <f t="shared" si="88"/>
        <v>0</v>
      </c>
      <c r="AL105" s="362">
        <f>SUM(AL106:AL108)</f>
        <v>0</v>
      </c>
      <c r="AM105" s="362">
        <f>SUM(AM106:AM108)</f>
        <v>0</v>
      </c>
      <c r="AN105" s="362">
        <f>SUM(AN106:AN108)</f>
        <v>0</v>
      </c>
      <c r="AO105" s="362">
        <f>SUM(AO106:AO108)</f>
        <v>0</v>
      </c>
    </row>
    <row r="106" spans="1:41" s="25" customFormat="1" ht="90">
      <c r="A106" s="97" t="s">
        <v>27</v>
      </c>
      <c r="B106" s="214" t="s">
        <v>328</v>
      </c>
      <c r="C106" s="94" t="s">
        <v>85</v>
      </c>
      <c r="D106" s="101" t="s">
        <v>329</v>
      </c>
      <c r="E106" s="137" t="s">
        <v>330</v>
      </c>
      <c r="F106" s="101" t="s">
        <v>331</v>
      </c>
      <c r="G106" s="392">
        <v>147860</v>
      </c>
      <c r="H106" s="392">
        <v>6335</v>
      </c>
      <c r="I106" s="392">
        <f>+J106</f>
        <v>700</v>
      </c>
      <c r="J106" s="392">
        <v>700</v>
      </c>
      <c r="K106" s="392">
        <v>5242</v>
      </c>
      <c r="L106" s="392"/>
      <c r="M106" s="392">
        <f>768+700</f>
        <v>1468</v>
      </c>
      <c r="N106" s="392">
        <v>700</v>
      </c>
      <c r="O106" s="392">
        <v>52869</v>
      </c>
      <c r="P106" s="392">
        <v>1118</v>
      </c>
      <c r="Q106" s="392">
        <f>+R106</f>
        <v>5378</v>
      </c>
      <c r="R106" s="392">
        <v>5378</v>
      </c>
      <c r="S106" s="392"/>
      <c r="T106" s="392">
        <f>+U106</f>
        <v>5378</v>
      </c>
      <c r="U106" s="392">
        <v>5378</v>
      </c>
      <c r="V106" s="392"/>
      <c r="W106" s="395"/>
      <c r="X106" s="396">
        <f>+Y106</f>
        <v>5378</v>
      </c>
      <c r="Y106" s="396">
        <v>5378</v>
      </c>
      <c r="Z106" s="396"/>
      <c r="AA106" s="5"/>
    </row>
    <row r="107" spans="1:41" s="25" customFormat="1" ht="105">
      <c r="A107" s="97" t="s">
        <v>41</v>
      </c>
      <c r="B107" s="214" t="s">
        <v>332</v>
      </c>
      <c r="C107" s="94" t="s">
        <v>60</v>
      </c>
      <c r="D107" s="101" t="s">
        <v>333</v>
      </c>
      <c r="E107" s="137" t="s">
        <v>334</v>
      </c>
      <c r="F107" s="101" t="s">
        <v>335</v>
      </c>
      <c r="G107" s="392">
        <v>72924</v>
      </c>
      <c r="H107" s="392">
        <v>47400</v>
      </c>
      <c r="I107" s="392">
        <f>894+10000</f>
        <v>10894</v>
      </c>
      <c r="J107" s="392">
        <v>10000</v>
      </c>
      <c r="K107" s="392"/>
      <c r="L107" s="392"/>
      <c r="M107" s="392">
        <f>894+1908</f>
        <v>2802</v>
      </c>
      <c r="N107" s="392">
        <v>1908</v>
      </c>
      <c r="O107" s="392">
        <f>25414+10000+894</f>
        <v>36308</v>
      </c>
      <c r="P107" s="392">
        <f>10000+500+285</f>
        <v>10785</v>
      </c>
      <c r="Q107" s="392">
        <f>G107-24629-785</f>
        <v>47510</v>
      </c>
      <c r="R107" s="392">
        <v>46615</v>
      </c>
      <c r="S107" s="392"/>
      <c r="T107" s="392">
        <v>8000</v>
      </c>
      <c r="U107" s="392">
        <v>8000</v>
      </c>
      <c r="V107" s="392"/>
      <c r="W107" s="24"/>
      <c r="X107" s="396">
        <v>8000</v>
      </c>
      <c r="Y107" s="396">
        <v>8000</v>
      </c>
      <c r="Z107" s="396"/>
      <c r="AA107" s="5"/>
    </row>
    <row r="108" spans="1:41" s="25" customFormat="1" ht="45">
      <c r="A108" s="97" t="s">
        <v>58</v>
      </c>
      <c r="B108" s="212" t="s">
        <v>336</v>
      </c>
      <c r="C108" s="19" t="s">
        <v>143</v>
      </c>
      <c r="D108" s="101" t="s">
        <v>337</v>
      </c>
      <c r="E108" s="70" t="s">
        <v>338</v>
      </c>
      <c r="F108" s="101" t="s">
        <v>1233</v>
      </c>
      <c r="G108" s="392">
        <v>206260</v>
      </c>
      <c r="H108" s="392">
        <v>100</v>
      </c>
      <c r="I108" s="392">
        <v>49106</v>
      </c>
      <c r="J108" s="392"/>
      <c r="K108" s="392">
        <f>+L108</f>
        <v>100</v>
      </c>
      <c r="L108" s="392">
        <v>100</v>
      </c>
      <c r="M108" s="392">
        <v>21179</v>
      </c>
      <c r="N108" s="392"/>
      <c r="O108" s="392">
        <f>49106+P108</f>
        <v>49251</v>
      </c>
      <c r="P108" s="392">
        <f>45+100</f>
        <v>145</v>
      </c>
      <c r="Q108" s="392">
        <v>161263</v>
      </c>
      <c r="R108" s="392">
        <v>100</v>
      </c>
      <c r="S108" s="392"/>
      <c r="T108" s="392">
        <v>30000</v>
      </c>
      <c r="U108" s="392"/>
      <c r="V108" s="392"/>
      <c r="W108" s="395"/>
      <c r="X108" s="396">
        <v>30000</v>
      </c>
      <c r="Y108" s="396"/>
      <c r="Z108" s="396"/>
      <c r="AA108" s="5"/>
    </row>
    <row r="109" spans="1:41" s="25" customFormat="1" ht="31.5">
      <c r="A109" s="11" t="s">
        <v>150</v>
      </c>
      <c r="B109" s="12" t="s">
        <v>151</v>
      </c>
      <c r="C109" s="13"/>
      <c r="D109" s="13"/>
      <c r="E109" s="14"/>
      <c r="F109" s="13"/>
      <c r="G109" s="362">
        <f>+G110+G112</f>
        <v>117382.28</v>
      </c>
      <c r="H109" s="362">
        <f t="shared" ref="H109:V109" si="89">+H110+H112</f>
        <v>41283.279999999999</v>
      </c>
      <c r="I109" s="362">
        <f t="shared" si="89"/>
        <v>0</v>
      </c>
      <c r="J109" s="362">
        <f t="shared" si="89"/>
        <v>0</v>
      </c>
      <c r="K109" s="362">
        <f t="shared" si="89"/>
        <v>0</v>
      </c>
      <c r="L109" s="362">
        <f t="shared" si="89"/>
        <v>0</v>
      </c>
      <c r="M109" s="362">
        <f t="shared" si="89"/>
        <v>0</v>
      </c>
      <c r="N109" s="362">
        <f t="shared" si="89"/>
        <v>0</v>
      </c>
      <c r="O109" s="362">
        <f t="shared" si="89"/>
        <v>0</v>
      </c>
      <c r="P109" s="362">
        <f t="shared" si="89"/>
        <v>0</v>
      </c>
      <c r="Q109" s="362">
        <f t="shared" si="89"/>
        <v>117382.28</v>
      </c>
      <c r="R109" s="362">
        <f t="shared" si="89"/>
        <v>41283.279999999999</v>
      </c>
      <c r="S109" s="362">
        <f t="shared" si="89"/>
        <v>0</v>
      </c>
      <c r="T109" s="362">
        <f t="shared" si="89"/>
        <v>20000</v>
      </c>
      <c r="U109" s="362">
        <f t="shared" si="89"/>
        <v>5000</v>
      </c>
      <c r="V109" s="362">
        <f t="shared" si="89"/>
        <v>0</v>
      </c>
      <c r="W109" s="395"/>
      <c r="X109" s="364">
        <f t="shared" ref="X109:Z109" si="90">+X110+X112</f>
        <v>20000</v>
      </c>
      <c r="Y109" s="364">
        <f t="shared" si="90"/>
        <v>5000</v>
      </c>
      <c r="Z109" s="364">
        <f t="shared" si="90"/>
        <v>0</v>
      </c>
      <c r="AA109" s="5"/>
      <c r="AB109" s="362">
        <f t="shared" ref="AB109:AK109" si="91">+AB110+AB112</f>
        <v>0</v>
      </c>
      <c r="AC109" s="362">
        <f t="shared" si="91"/>
        <v>0</v>
      </c>
      <c r="AD109" s="362">
        <f t="shared" si="91"/>
        <v>0</v>
      </c>
      <c r="AE109" s="362">
        <f t="shared" si="91"/>
        <v>0</v>
      </c>
      <c r="AF109" s="362">
        <f t="shared" si="91"/>
        <v>0</v>
      </c>
      <c r="AG109" s="362">
        <f t="shared" si="91"/>
        <v>0</v>
      </c>
      <c r="AH109" s="362">
        <f t="shared" si="91"/>
        <v>0</v>
      </c>
      <c r="AI109" s="362">
        <f t="shared" si="91"/>
        <v>0</v>
      </c>
      <c r="AJ109" s="362">
        <f t="shared" si="91"/>
        <v>0</v>
      </c>
      <c r="AK109" s="362">
        <f t="shared" si="91"/>
        <v>0</v>
      </c>
      <c r="AL109" s="362">
        <f>+AL110+AL112</f>
        <v>0</v>
      </c>
      <c r="AM109" s="362">
        <f>+AM110+AM112</f>
        <v>0</v>
      </c>
      <c r="AN109" s="362">
        <f>+AN110+AN112</f>
        <v>0</v>
      </c>
      <c r="AO109" s="362">
        <f>+AO110+AO112</f>
        <v>0</v>
      </c>
    </row>
    <row r="110" spans="1:41" s="25" customFormat="1" ht="15.75">
      <c r="A110" s="26" t="s">
        <v>47</v>
      </c>
      <c r="B110" s="27" t="s">
        <v>35</v>
      </c>
      <c r="C110" s="13"/>
      <c r="D110" s="13"/>
      <c r="E110" s="14"/>
      <c r="F110" s="13"/>
      <c r="G110" s="362">
        <f>+G111</f>
        <v>102383</v>
      </c>
      <c r="H110" s="362">
        <f t="shared" ref="H110:Z110" si="92">+H111</f>
        <v>26284</v>
      </c>
      <c r="I110" s="362">
        <f t="shared" si="92"/>
        <v>0</v>
      </c>
      <c r="J110" s="362">
        <f t="shared" si="92"/>
        <v>0</v>
      </c>
      <c r="K110" s="362">
        <f t="shared" si="92"/>
        <v>0</v>
      </c>
      <c r="L110" s="362">
        <f t="shared" si="92"/>
        <v>0</v>
      </c>
      <c r="M110" s="362">
        <f t="shared" si="92"/>
        <v>0</v>
      </c>
      <c r="N110" s="362">
        <f t="shared" si="92"/>
        <v>0</v>
      </c>
      <c r="O110" s="362">
        <f t="shared" si="92"/>
        <v>0</v>
      </c>
      <c r="P110" s="362">
        <f t="shared" si="92"/>
        <v>0</v>
      </c>
      <c r="Q110" s="362">
        <f t="shared" si="92"/>
        <v>102383</v>
      </c>
      <c r="R110" s="362">
        <f t="shared" si="92"/>
        <v>26284</v>
      </c>
      <c r="S110" s="362">
        <f t="shared" si="92"/>
        <v>0</v>
      </c>
      <c r="T110" s="362">
        <f t="shared" si="92"/>
        <v>15000</v>
      </c>
      <c r="U110" s="362">
        <f t="shared" si="92"/>
        <v>0</v>
      </c>
      <c r="V110" s="362">
        <f t="shared" si="92"/>
        <v>0</v>
      </c>
      <c r="W110" s="395"/>
      <c r="X110" s="364">
        <f t="shared" si="92"/>
        <v>15000</v>
      </c>
      <c r="Y110" s="364">
        <f t="shared" si="92"/>
        <v>0</v>
      </c>
      <c r="Z110" s="364">
        <f t="shared" si="92"/>
        <v>0</v>
      </c>
      <c r="AA110" s="5"/>
      <c r="AB110" s="362">
        <f t="shared" ref="AB110:AK110" si="93">+AB111</f>
        <v>0</v>
      </c>
      <c r="AC110" s="362">
        <f t="shared" si="93"/>
        <v>0</v>
      </c>
      <c r="AD110" s="362">
        <f t="shared" si="93"/>
        <v>0</v>
      </c>
      <c r="AE110" s="362">
        <f t="shared" si="93"/>
        <v>0</v>
      </c>
      <c r="AF110" s="362">
        <f t="shared" si="93"/>
        <v>0</v>
      </c>
      <c r="AG110" s="362">
        <f t="shared" si="93"/>
        <v>0</v>
      </c>
      <c r="AH110" s="362">
        <f t="shared" si="93"/>
        <v>0</v>
      </c>
      <c r="AI110" s="362">
        <f t="shared" si="93"/>
        <v>0</v>
      </c>
      <c r="AJ110" s="362">
        <f t="shared" si="93"/>
        <v>0</v>
      </c>
      <c r="AK110" s="362">
        <f t="shared" si="93"/>
        <v>0</v>
      </c>
      <c r="AL110" s="362">
        <f>+AL111</f>
        <v>0</v>
      </c>
      <c r="AM110" s="362">
        <f>+AM111</f>
        <v>0</v>
      </c>
      <c r="AN110" s="362">
        <f>+AN111</f>
        <v>0</v>
      </c>
      <c r="AO110" s="362">
        <f>+AO111</f>
        <v>0</v>
      </c>
    </row>
    <row r="111" spans="1:41" s="25" customFormat="1" ht="30">
      <c r="A111" s="97" t="s">
        <v>27</v>
      </c>
      <c r="B111" s="212" t="s">
        <v>340</v>
      </c>
      <c r="C111" s="19" t="s">
        <v>260</v>
      </c>
      <c r="D111" s="19" t="s">
        <v>341</v>
      </c>
      <c r="E111" s="70" t="s">
        <v>302</v>
      </c>
      <c r="F111" s="403" t="s">
        <v>1234</v>
      </c>
      <c r="G111" s="392">
        <v>102383</v>
      </c>
      <c r="H111" s="392">
        <v>26284</v>
      </c>
      <c r="I111" s="392"/>
      <c r="J111" s="392"/>
      <c r="K111" s="392"/>
      <c r="L111" s="392"/>
      <c r="M111" s="392"/>
      <c r="N111" s="392"/>
      <c r="O111" s="392"/>
      <c r="P111" s="392"/>
      <c r="Q111" s="392">
        <v>102383</v>
      </c>
      <c r="R111" s="392">
        <v>26284</v>
      </c>
      <c r="S111" s="392"/>
      <c r="T111" s="392">
        <v>15000</v>
      </c>
      <c r="U111" s="392"/>
      <c r="V111" s="392"/>
      <c r="W111" s="395"/>
      <c r="X111" s="396">
        <v>15000</v>
      </c>
      <c r="Y111" s="396"/>
      <c r="Z111" s="396"/>
      <c r="AA111" s="5"/>
    </row>
    <row r="112" spans="1:41" s="25" customFormat="1" ht="15.75">
      <c r="A112" s="26" t="s">
        <v>273</v>
      </c>
      <c r="B112" s="27" t="s">
        <v>346</v>
      </c>
      <c r="C112" s="13"/>
      <c r="D112" s="13"/>
      <c r="E112" s="14"/>
      <c r="F112" s="409"/>
      <c r="G112" s="362">
        <f>+G113</f>
        <v>14999.28</v>
      </c>
      <c r="H112" s="362">
        <f t="shared" ref="H112:Z112" si="94">+H113</f>
        <v>14999.28</v>
      </c>
      <c r="I112" s="362">
        <f t="shared" si="94"/>
        <v>0</v>
      </c>
      <c r="J112" s="362">
        <f t="shared" si="94"/>
        <v>0</v>
      </c>
      <c r="K112" s="362">
        <f t="shared" si="94"/>
        <v>0</v>
      </c>
      <c r="L112" s="362">
        <f t="shared" si="94"/>
        <v>0</v>
      </c>
      <c r="M112" s="362">
        <f t="shared" si="94"/>
        <v>0</v>
      </c>
      <c r="N112" s="362">
        <f t="shared" si="94"/>
        <v>0</v>
      </c>
      <c r="O112" s="362">
        <f t="shared" si="94"/>
        <v>0</v>
      </c>
      <c r="P112" s="362">
        <f t="shared" si="94"/>
        <v>0</v>
      </c>
      <c r="Q112" s="362">
        <f t="shared" si="94"/>
        <v>14999.28</v>
      </c>
      <c r="R112" s="362">
        <f t="shared" si="94"/>
        <v>14999.28</v>
      </c>
      <c r="S112" s="362">
        <f t="shared" si="94"/>
        <v>0</v>
      </c>
      <c r="T112" s="362">
        <f t="shared" si="94"/>
        <v>5000</v>
      </c>
      <c r="U112" s="362">
        <f t="shared" si="94"/>
        <v>5000</v>
      </c>
      <c r="V112" s="362">
        <f t="shared" si="94"/>
        <v>0</v>
      </c>
      <c r="W112" s="395"/>
      <c r="X112" s="364">
        <f t="shared" si="94"/>
        <v>5000</v>
      </c>
      <c r="Y112" s="364">
        <f t="shared" si="94"/>
        <v>5000</v>
      </c>
      <c r="Z112" s="364">
        <f t="shared" si="94"/>
        <v>0</v>
      </c>
      <c r="AA112" s="5"/>
      <c r="AB112" s="362">
        <f t="shared" ref="AB112:AK112" si="95">+AB113</f>
        <v>0</v>
      </c>
      <c r="AC112" s="362">
        <f t="shared" si="95"/>
        <v>0</v>
      </c>
      <c r="AD112" s="362">
        <f t="shared" si="95"/>
        <v>0</v>
      </c>
      <c r="AE112" s="362">
        <f t="shared" si="95"/>
        <v>0</v>
      </c>
      <c r="AF112" s="362">
        <f t="shared" si="95"/>
        <v>0</v>
      </c>
      <c r="AG112" s="362">
        <f t="shared" si="95"/>
        <v>0</v>
      </c>
      <c r="AH112" s="362">
        <f t="shared" si="95"/>
        <v>0</v>
      </c>
      <c r="AI112" s="362">
        <f t="shared" si="95"/>
        <v>0</v>
      </c>
      <c r="AJ112" s="362">
        <f t="shared" si="95"/>
        <v>0</v>
      </c>
      <c r="AK112" s="362">
        <f t="shared" si="95"/>
        <v>0</v>
      </c>
      <c r="AL112" s="362">
        <f>+AL113</f>
        <v>0</v>
      </c>
      <c r="AM112" s="362">
        <f>+AM113</f>
        <v>0</v>
      </c>
      <c r="AN112" s="362">
        <f>+AN113</f>
        <v>0</v>
      </c>
      <c r="AO112" s="362">
        <f>+AO113</f>
        <v>0</v>
      </c>
    </row>
    <row r="113" spans="1:41" s="25" customFormat="1" ht="31.5">
      <c r="A113" s="78">
        <v>1</v>
      </c>
      <c r="B113" s="212" t="s">
        <v>347</v>
      </c>
      <c r="C113" s="19" t="s">
        <v>143</v>
      </c>
      <c r="D113" s="19" t="s">
        <v>348</v>
      </c>
      <c r="E113" s="70" t="s">
        <v>489</v>
      </c>
      <c r="F113" s="19"/>
      <c r="G113" s="392">
        <v>14999.28</v>
      </c>
      <c r="H113" s="392">
        <v>14999.28</v>
      </c>
      <c r="I113" s="392"/>
      <c r="J113" s="392"/>
      <c r="K113" s="392"/>
      <c r="L113" s="392"/>
      <c r="M113" s="392"/>
      <c r="N113" s="392"/>
      <c r="O113" s="392"/>
      <c r="P113" s="392"/>
      <c r="Q113" s="392">
        <f>R113</f>
        <v>14999.28</v>
      </c>
      <c r="R113" s="392">
        <v>14999.28</v>
      </c>
      <c r="S113" s="392"/>
      <c r="T113" s="392">
        <v>5000</v>
      </c>
      <c r="U113" s="392">
        <v>5000</v>
      </c>
      <c r="V113" s="392"/>
      <c r="W113" s="269"/>
      <c r="X113" s="396">
        <v>5000</v>
      </c>
      <c r="Y113" s="396">
        <v>5000</v>
      </c>
      <c r="Z113" s="396"/>
      <c r="AA113" s="5"/>
    </row>
    <row r="114" spans="1:41" s="25" customFormat="1" ht="15.75">
      <c r="A114" s="78"/>
      <c r="B114" s="212"/>
      <c r="C114" s="19"/>
      <c r="D114" s="19"/>
      <c r="E114" s="70"/>
      <c r="F114" s="19"/>
      <c r="G114" s="392"/>
      <c r="H114" s="392"/>
      <c r="I114" s="392"/>
      <c r="J114" s="392">
        <f>311819-J115</f>
        <v>0</v>
      </c>
      <c r="K114" s="392"/>
      <c r="L114" s="392"/>
      <c r="M114" s="392"/>
      <c r="N114" s="392"/>
      <c r="O114" s="392"/>
      <c r="P114" s="392"/>
      <c r="Q114" s="392"/>
      <c r="R114" s="392"/>
      <c r="S114" s="392"/>
      <c r="T114" s="392"/>
      <c r="U114" s="392"/>
      <c r="V114" s="392"/>
      <c r="W114" s="269"/>
      <c r="X114" s="396"/>
      <c r="Y114" s="396"/>
      <c r="Z114" s="396"/>
      <c r="AA114" s="5"/>
    </row>
    <row r="115" spans="1:41" s="208" customFormat="1" ht="24.75" customHeight="1">
      <c r="A115" s="147" t="s">
        <v>350</v>
      </c>
      <c r="B115" s="209" t="s">
        <v>1235</v>
      </c>
      <c r="C115" s="126"/>
      <c r="D115" s="126"/>
      <c r="E115" s="127"/>
      <c r="F115" s="126"/>
      <c r="G115" s="63">
        <f>SUM(G116,G120)</f>
        <v>4569629</v>
      </c>
      <c r="H115" s="63">
        <f t="shared" ref="H115:V115" si="96">SUM(H116,H120)</f>
        <v>2721747</v>
      </c>
      <c r="I115" s="63">
        <f t="shared" si="96"/>
        <v>547005</v>
      </c>
      <c r="J115" s="63">
        <f t="shared" si="96"/>
        <v>311819</v>
      </c>
      <c r="K115" s="63">
        <f t="shared" si="96"/>
        <v>25521</v>
      </c>
      <c r="L115" s="63">
        <f t="shared" si="96"/>
        <v>25521</v>
      </c>
      <c r="M115" s="63">
        <f t="shared" si="96"/>
        <v>195491</v>
      </c>
      <c r="N115" s="63">
        <f t="shared" si="96"/>
        <v>47946</v>
      </c>
      <c r="O115" s="63">
        <f t="shared" si="96"/>
        <v>2105402</v>
      </c>
      <c r="P115" s="63">
        <f t="shared" si="96"/>
        <v>1050967</v>
      </c>
      <c r="Q115" s="63">
        <f t="shared" si="96"/>
        <v>2875197</v>
      </c>
      <c r="R115" s="63">
        <f t="shared" si="96"/>
        <v>1776383</v>
      </c>
      <c r="S115" s="63">
        <f t="shared" si="96"/>
        <v>0</v>
      </c>
      <c r="T115" s="63">
        <f t="shared" si="96"/>
        <v>505312</v>
      </c>
      <c r="U115" s="63">
        <f t="shared" si="96"/>
        <v>303342</v>
      </c>
      <c r="V115" s="63">
        <f t="shared" si="96"/>
        <v>0</v>
      </c>
      <c r="W115" s="410"/>
      <c r="X115" s="347">
        <f t="shared" ref="X115:Z115" si="97">SUM(X116,X120)</f>
        <v>766211</v>
      </c>
      <c r="Y115" s="347">
        <f t="shared" si="97"/>
        <v>563502</v>
      </c>
      <c r="Z115" s="347">
        <f t="shared" si="97"/>
        <v>0</v>
      </c>
      <c r="AA115" s="348">
        <f>+U115/(2704380-258412-300000)*100</f>
        <v>14.135439111860009</v>
      </c>
      <c r="AB115" s="63">
        <f t="shared" ref="AB115:AK115" si="98">SUM(AB116,AB119)</f>
        <v>2</v>
      </c>
      <c r="AC115" s="63">
        <f t="shared" si="98"/>
        <v>2000</v>
      </c>
      <c r="AD115" s="63">
        <f t="shared" si="98"/>
        <v>9</v>
      </c>
      <c r="AE115" s="63">
        <f t="shared" si="98"/>
        <v>114902</v>
      </c>
      <c r="AF115" s="63">
        <f t="shared" si="98"/>
        <v>0</v>
      </c>
      <c r="AG115" s="63">
        <f t="shared" si="98"/>
        <v>0</v>
      </c>
      <c r="AH115" s="63">
        <f t="shared" si="98"/>
        <v>7</v>
      </c>
      <c r="AI115" s="63">
        <f t="shared" si="98"/>
        <v>45400</v>
      </c>
      <c r="AJ115" s="63">
        <f t="shared" si="98"/>
        <v>0</v>
      </c>
      <c r="AK115" s="63">
        <f t="shared" si="98"/>
        <v>0</v>
      </c>
      <c r="AL115" s="63">
        <f>SUM(AL116,AL119)</f>
        <v>6</v>
      </c>
      <c r="AM115" s="63">
        <f>SUM(AM116,AM119)</f>
        <v>23000</v>
      </c>
      <c r="AN115" s="63">
        <f>SUM(AN116,AN119)</f>
        <v>0</v>
      </c>
      <c r="AO115" s="63">
        <f>SUM(AO116,AO119)</f>
        <v>0</v>
      </c>
    </row>
    <row r="116" spans="1:41" s="353" customFormat="1" ht="22.5" customHeight="1">
      <c r="A116" s="64"/>
      <c r="B116" s="12" t="s">
        <v>26</v>
      </c>
      <c r="C116" s="350"/>
      <c r="D116" s="350"/>
      <c r="E116" s="351"/>
      <c r="F116" s="350"/>
      <c r="G116" s="45">
        <f>SUM(G117:G119)</f>
        <v>307967</v>
      </c>
      <c r="H116" s="45">
        <f t="shared" ref="H116:V116" si="99">SUM(H117:H119)</f>
        <v>307967</v>
      </c>
      <c r="I116" s="45">
        <f t="shared" si="99"/>
        <v>0</v>
      </c>
      <c r="J116" s="45">
        <f t="shared" si="99"/>
        <v>0</v>
      </c>
      <c r="K116" s="45">
        <f t="shared" si="99"/>
        <v>0</v>
      </c>
      <c r="L116" s="45">
        <f t="shared" si="99"/>
        <v>0</v>
      </c>
      <c r="M116" s="45">
        <f t="shared" si="99"/>
        <v>0</v>
      </c>
      <c r="N116" s="45">
        <f t="shared" si="99"/>
        <v>0</v>
      </c>
      <c r="O116" s="45">
        <f t="shared" si="99"/>
        <v>0</v>
      </c>
      <c r="P116" s="45">
        <f t="shared" si="99"/>
        <v>0</v>
      </c>
      <c r="Q116" s="45">
        <f t="shared" si="99"/>
        <v>307967</v>
      </c>
      <c r="R116" s="45">
        <f t="shared" si="99"/>
        <v>307967</v>
      </c>
      <c r="S116" s="45">
        <f t="shared" si="99"/>
        <v>0</v>
      </c>
      <c r="T116" s="45">
        <f t="shared" si="99"/>
        <v>3000</v>
      </c>
      <c r="U116" s="45">
        <f t="shared" si="99"/>
        <v>3000</v>
      </c>
      <c r="V116" s="45">
        <f t="shared" si="99"/>
        <v>0</v>
      </c>
      <c r="W116" s="352"/>
      <c r="X116" s="347">
        <f t="shared" ref="X116:Z116" si="100">SUM(X117:X119)</f>
        <v>3000</v>
      </c>
      <c r="Y116" s="347">
        <f t="shared" si="100"/>
        <v>3000</v>
      </c>
      <c r="Z116" s="347">
        <f t="shared" si="100"/>
        <v>0</v>
      </c>
      <c r="AA116" s="5"/>
      <c r="AB116" s="45">
        <f t="shared" ref="AB116:AK116" si="101">SUM(AB117:AB118)</f>
        <v>2</v>
      </c>
      <c r="AC116" s="45">
        <f t="shared" si="101"/>
        <v>2000</v>
      </c>
      <c r="AD116" s="45">
        <f t="shared" si="101"/>
        <v>0</v>
      </c>
      <c r="AE116" s="45">
        <f t="shared" si="101"/>
        <v>0</v>
      </c>
      <c r="AF116" s="45">
        <f t="shared" si="101"/>
        <v>0</v>
      </c>
      <c r="AG116" s="45">
        <f t="shared" si="101"/>
        <v>0</v>
      </c>
      <c r="AH116" s="45">
        <f t="shared" si="101"/>
        <v>0</v>
      </c>
      <c r="AI116" s="45">
        <f t="shared" si="101"/>
        <v>0</v>
      </c>
      <c r="AJ116" s="45">
        <f t="shared" si="101"/>
        <v>0</v>
      </c>
      <c r="AK116" s="45">
        <f t="shared" si="101"/>
        <v>0</v>
      </c>
      <c r="AL116" s="45">
        <f>SUM(AL117:AL118)</f>
        <v>0</v>
      </c>
      <c r="AM116" s="45">
        <f>SUM(AM117:AM118)</f>
        <v>0</v>
      </c>
      <c r="AN116" s="45">
        <f>SUM(AN117:AN118)</f>
        <v>0</v>
      </c>
      <c r="AO116" s="45">
        <f>SUM(AO117:AO118)</f>
        <v>0</v>
      </c>
    </row>
    <row r="117" spans="1:41" s="25" customFormat="1" ht="45">
      <c r="A117" s="150">
        <v>1</v>
      </c>
      <c r="B117" s="411" t="s">
        <v>351</v>
      </c>
      <c r="C117" s="43" t="s">
        <v>29</v>
      </c>
      <c r="D117" s="412" t="s">
        <v>352</v>
      </c>
      <c r="E117" s="413" t="s">
        <v>1236</v>
      </c>
      <c r="F117" s="412" t="s">
        <v>1237</v>
      </c>
      <c r="G117" s="72">
        <v>114900</v>
      </c>
      <c r="H117" s="72">
        <v>114900</v>
      </c>
      <c r="I117" s="72"/>
      <c r="J117" s="72"/>
      <c r="K117" s="72"/>
      <c r="L117" s="72"/>
      <c r="M117" s="72">
        <v>0</v>
      </c>
      <c r="N117" s="72">
        <v>0</v>
      </c>
      <c r="O117" s="72"/>
      <c r="P117" s="72"/>
      <c r="Q117" s="72">
        <f>G117-O117</f>
        <v>114900</v>
      </c>
      <c r="R117" s="72">
        <f>H117-P117</f>
        <v>114900</v>
      </c>
      <c r="S117" s="72"/>
      <c r="T117" s="72">
        <v>1000</v>
      </c>
      <c r="U117" s="72">
        <v>1000</v>
      </c>
      <c r="V117" s="72"/>
      <c r="W117" s="24"/>
      <c r="X117" s="356">
        <v>1000</v>
      </c>
      <c r="Y117" s="356">
        <v>1000</v>
      </c>
      <c r="Z117" s="356"/>
      <c r="AA117" s="5"/>
      <c r="AB117" s="25">
        <v>1</v>
      </c>
      <c r="AC117" s="72">
        <v>1000</v>
      </c>
    </row>
    <row r="118" spans="1:41" s="5" customFormat="1" ht="36" customHeight="1">
      <c r="A118" s="67">
        <v>2</v>
      </c>
      <c r="B118" s="214" t="s">
        <v>1238</v>
      </c>
      <c r="C118" s="152" t="s">
        <v>5</v>
      </c>
      <c r="D118" s="43" t="s">
        <v>1239</v>
      </c>
      <c r="E118" s="44" t="s">
        <v>489</v>
      </c>
      <c r="F118" s="43" t="s">
        <v>1240</v>
      </c>
      <c r="G118" s="153">
        <v>73066</v>
      </c>
      <c r="H118" s="153">
        <v>73066</v>
      </c>
      <c r="I118" s="72"/>
      <c r="J118" s="72"/>
      <c r="K118" s="72"/>
      <c r="L118" s="72"/>
      <c r="M118" s="72"/>
      <c r="N118" s="72"/>
      <c r="O118" s="72"/>
      <c r="P118" s="72"/>
      <c r="Q118" s="153">
        <v>73066</v>
      </c>
      <c r="R118" s="153">
        <v>73066</v>
      </c>
      <c r="S118" s="72"/>
      <c r="T118" s="72">
        <v>1000</v>
      </c>
      <c r="U118" s="72">
        <v>1000</v>
      </c>
      <c r="V118" s="72"/>
      <c r="W118" s="269"/>
      <c r="X118" s="356">
        <v>1000</v>
      </c>
      <c r="Y118" s="356">
        <v>1000</v>
      </c>
      <c r="Z118" s="356"/>
      <c r="AB118" s="5">
        <v>1</v>
      </c>
      <c r="AC118" s="72">
        <v>1000</v>
      </c>
    </row>
    <row r="119" spans="1:41" s="353" customFormat="1" ht="22.5" customHeight="1">
      <c r="A119" s="150">
        <v>3</v>
      </c>
      <c r="B119" s="214" t="s">
        <v>353</v>
      </c>
      <c r="C119" s="152" t="s">
        <v>354</v>
      </c>
      <c r="D119" s="152"/>
      <c r="E119" s="120" t="s">
        <v>355</v>
      </c>
      <c r="F119" s="152"/>
      <c r="G119" s="153">
        <v>120001</v>
      </c>
      <c r="H119" s="153">
        <v>120001</v>
      </c>
      <c r="I119" s="72"/>
      <c r="J119" s="72"/>
      <c r="K119" s="72"/>
      <c r="L119" s="72"/>
      <c r="M119" s="72"/>
      <c r="N119" s="72"/>
      <c r="O119" s="72"/>
      <c r="P119" s="72"/>
      <c r="Q119" s="153">
        <v>120001</v>
      </c>
      <c r="R119" s="153">
        <v>120001</v>
      </c>
      <c r="S119" s="72"/>
      <c r="T119" s="72">
        <v>1000</v>
      </c>
      <c r="U119" s="72">
        <v>1000</v>
      </c>
      <c r="V119" s="72"/>
      <c r="W119" s="24"/>
      <c r="X119" s="356">
        <v>1000</v>
      </c>
      <c r="Y119" s="356">
        <v>1000</v>
      </c>
      <c r="Z119" s="356"/>
      <c r="AA119" s="5"/>
      <c r="AB119" s="45">
        <f t="shared" ref="AB119:AO119" si="102">SUM(AB120,AB131,AB148,AB162)</f>
        <v>0</v>
      </c>
      <c r="AC119" s="45">
        <f t="shared" si="102"/>
        <v>0</v>
      </c>
      <c r="AD119" s="45">
        <f t="shared" si="102"/>
        <v>9</v>
      </c>
      <c r="AE119" s="45">
        <f t="shared" si="102"/>
        <v>114902</v>
      </c>
      <c r="AF119" s="45">
        <f t="shared" si="102"/>
        <v>0</v>
      </c>
      <c r="AG119" s="45">
        <f t="shared" si="102"/>
        <v>0</v>
      </c>
      <c r="AH119" s="45">
        <f t="shared" si="102"/>
        <v>7</v>
      </c>
      <c r="AI119" s="45">
        <f t="shared" si="102"/>
        <v>45400</v>
      </c>
      <c r="AJ119" s="45">
        <f t="shared" si="102"/>
        <v>0</v>
      </c>
      <c r="AK119" s="45">
        <f t="shared" si="102"/>
        <v>0</v>
      </c>
      <c r="AL119" s="45">
        <f t="shared" si="102"/>
        <v>6</v>
      </c>
      <c r="AM119" s="45">
        <f t="shared" si="102"/>
        <v>23000</v>
      </c>
      <c r="AN119" s="45">
        <f t="shared" si="102"/>
        <v>0</v>
      </c>
      <c r="AO119" s="45">
        <f t="shared" si="102"/>
        <v>0</v>
      </c>
    </row>
    <row r="120" spans="1:41" s="416" customFormat="1" ht="22.5" customHeight="1">
      <c r="A120" s="82"/>
      <c r="B120" s="357" t="s">
        <v>31</v>
      </c>
      <c r="C120" s="350"/>
      <c r="D120" s="414"/>
      <c r="E120" s="415"/>
      <c r="F120" s="414"/>
      <c r="G120" s="45">
        <f t="shared" ref="G120:V120" si="103">SUM(G121,G132,G149,G163)</f>
        <v>4261662</v>
      </c>
      <c r="H120" s="45">
        <f t="shared" si="103"/>
        <v>2413780</v>
      </c>
      <c r="I120" s="45">
        <f t="shared" si="103"/>
        <v>547005</v>
      </c>
      <c r="J120" s="45">
        <f t="shared" si="103"/>
        <v>311819</v>
      </c>
      <c r="K120" s="45">
        <f t="shared" si="103"/>
        <v>25521</v>
      </c>
      <c r="L120" s="45">
        <f t="shared" si="103"/>
        <v>25521</v>
      </c>
      <c r="M120" s="45">
        <f t="shared" si="103"/>
        <v>195491</v>
      </c>
      <c r="N120" s="45">
        <f t="shared" si="103"/>
        <v>47946</v>
      </c>
      <c r="O120" s="45">
        <f t="shared" si="103"/>
        <v>2105402</v>
      </c>
      <c r="P120" s="45">
        <f t="shared" si="103"/>
        <v>1050967</v>
      </c>
      <c r="Q120" s="45">
        <f t="shared" si="103"/>
        <v>2567230</v>
      </c>
      <c r="R120" s="45">
        <f t="shared" si="103"/>
        <v>1468416</v>
      </c>
      <c r="S120" s="45">
        <f t="shared" si="103"/>
        <v>0</v>
      </c>
      <c r="T120" s="45">
        <f t="shared" si="103"/>
        <v>502312</v>
      </c>
      <c r="U120" s="45">
        <f t="shared" si="103"/>
        <v>300342</v>
      </c>
      <c r="V120" s="45">
        <f t="shared" si="103"/>
        <v>0</v>
      </c>
      <c r="W120" s="352"/>
      <c r="X120" s="347">
        <f>SUM(X121,X132,X149,X163)</f>
        <v>763211</v>
      </c>
      <c r="Y120" s="347">
        <f>SUM(Y121,Y132,Y149,Y163)</f>
        <v>560502</v>
      </c>
      <c r="Z120" s="347">
        <f>SUM(Z121,Z132,Z149,Z163)</f>
        <v>0</v>
      </c>
      <c r="AA120" s="5"/>
      <c r="AB120" s="362">
        <f t="shared" ref="AB120:AK120" si="104">SUM(AB121,AB123)</f>
        <v>0</v>
      </c>
      <c r="AC120" s="362">
        <f t="shared" si="104"/>
        <v>0</v>
      </c>
      <c r="AD120" s="362">
        <f t="shared" si="104"/>
        <v>0</v>
      </c>
      <c r="AE120" s="362">
        <f t="shared" si="104"/>
        <v>0</v>
      </c>
      <c r="AF120" s="362">
        <f t="shared" si="104"/>
        <v>0</v>
      </c>
      <c r="AG120" s="362">
        <f t="shared" si="104"/>
        <v>0</v>
      </c>
      <c r="AH120" s="362">
        <f t="shared" si="104"/>
        <v>0</v>
      </c>
      <c r="AI120" s="362">
        <f t="shared" si="104"/>
        <v>0</v>
      </c>
      <c r="AJ120" s="362">
        <f t="shared" si="104"/>
        <v>0</v>
      </c>
      <c r="AK120" s="362">
        <f t="shared" si="104"/>
        <v>0</v>
      </c>
      <c r="AL120" s="362">
        <f>SUM(AL121,AL123)</f>
        <v>0</v>
      </c>
      <c r="AM120" s="362">
        <f>SUM(AM121,AM123)</f>
        <v>0</v>
      </c>
      <c r="AN120" s="362">
        <f>SUM(AN121,AN123)</f>
        <v>0</v>
      </c>
      <c r="AO120" s="362">
        <f>SUM(AO121,AO123)</f>
        <v>0</v>
      </c>
    </row>
    <row r="121" spans="1:41" s="416" customFormat="1" ht="36" customHeight="1">
      <c r="A121" s="417" t="s">
        <v>32</v>
      </c>
      <c r="B121" s="418" t="s">
        <v>33</v>
      </c>
      <c r="C121" s="409"/>
      <c r="D121" s="409"/>
      <c r="E121" s="419"/>
      <c r="F121" s="409"/>
      <c r="G121" s="362">
        <f>SUM(G122,G124)</f>
        <v>401547</v>
      </c>
      <c r="H121" s="362">
        <f t="shared" ref="H121:V121" si="105">SUM(H122,H124)</f>
        <v>395420</v>
      </c>
      <c r="I121" s="362">
        <f t="shared" si="105"/>
        <v>42577</v>
      </c>
      <c r="J121" s="362">
        <f t="shared" si="105"/>
        <v>42577</v>
      </c>
      <c r="K121" s="362">
        <f t="shared" si="105"/>
        <v>6917</v>
      </c>
      <c r="L121" s="362">
        <f t="shared" si="105"/>
        <v>6917</v>
      </c>
      <c r="M121" s="362">
        <f t="shared" si="105"/>
        <v>14077</v>
      </c>
      <c r="N121" s="362">
        <f t="shared" si="105"/>
        <v>14077</v>
      </c>
      <c r="O121" s="362">
        <f t="shared" si="105"/>
        <v>320180</v>
      </c>
      <c r="P121" s="362">
        <f t="shared" si="105"/>
        <v>320180</v>
      </c>
      <c r="Q121" s="362">
        <f t="shared" si="105"/>
        <v>42577</v>
      </c>
      <c r="R121" s="362">
        <f t="shared" si="105"/>
        <v>42577</v>
      </c>
      <c r="S121" s="362">
        <f t="shared" si="105"/>
        <v>0</v>
      </c>
      <c r="T121" s="362">
        <f t="shared" si="105"/>
        <v>0</v>
      </c>
      <c r="U121" s="362">
        <f t="shared" si="105"/>
        <v>0</v>
      </c>
      <c r="V121" s="362">
        <f t="shared" si="105"/>
        <v>0</v>
      </c>
      <c r="W121" s="363"/>
      <c r="X121" s="364">
        <f t="shared" ref="X121:Z121" si="106">SUM(X122,X124)</f>
        <v>0</v>
      </c>
      <c r="Y121" s="364">
        <f t="shared" si="106"/>
        <v>0</v>
      </c>
      <c r="Z121" s="364">
        <f t="shared" si="106"/>
        <v>0</v>
      </c>
      <c r="AA121" s="5"/>
      <c r="AB121" s="362">
        <f t="shared" ref="AB121:AK121" si="107">AB122</f>
        <v>0</v>
      </c>
      <c r="AC121" s="362">
        <f t="shared" si="107"/>
        <v>0</v>
      </c>
      <c r="AD121" s="362">
        <f t="shared" si="107"/>
        <v>0</v>
      </c>
      <c r="AE121" s="362">
        <f t="shared" si="107"/>
        <v>0</v>
      </c>
      <c r="AF121" s="362">
        <f t="shared" si="107"/>
        <v>0</v>
      </c>
      <c r="AG121" s="362">
        <f t="shared" si="107"/>
        <v>0</v>
      </c>
      <c r="AH121" s="362">
        <f t="shared" si="107"/>
        <v>0</v>
      </c>
      <c r="AI121" s="362">
        <f t="shared" si="107"/>
        <v>0</v>
      </c>
      <c r="AJ121" s="362">
        <f t="shared" si="107"/>
        <v>0</v>
      </c>
      <c r="AK121" s="362">
        <f t="shared" si="107"/>
        <v>0</v>
      </c>
      <c r="AL121" s="362">
        <f>AL122</f>
        <v>0</v>
      </c>
      <c r="AM121" s="362">
        <f>AM122</f>
        <v>0</v>
      </c>
      <c r="AN121" s="362">
        <f>AN122</f>
        <v>0</v>
      </c>
      <c r="AO121" s="362">
        <f>AO122</f>
        <v>0</v>
      </c>
    </row>
    <row r="122" spans="1:41" s="416" customFormat="1" ht="48.75" customHeight="1">
      <c r="A122" s="26" t="s">
        <v>47</v>
      </c>
      <c r="B122" s="27" t="s">
        <v>35</v>
      </c>
      <c r="C122" s="409"/>
      <c r="D122" s="409"/>
      <c r="E122" s="419"/>
      <c r="F122" s="409"/>
      <c r="G122" s="362">
        <f>G123</f>
        <v>336200</v>
      </c>
      <c r="H122" s="362">
        <f t="shared" ref="H122:Z122" si="108">H123</f>
        <v>336200</v>
      </c>
      <c r="I122" s="362">
        <f t="shared" si="108"/>
        <v>10500</v>
      </c>
      <c r="J122" s="362">
        <f t="shared" si="108"/>
        <v>10500</v>
      </c>
      <c r="K122" s="362">
        <f t="shared" si="108"/>
        <v>0</v>
      </c>
      <c r="L122" s="362">
        <f t="shared" si="108"/>
        <v>0</v>
      </c>
      <c r="M122" s="362">
        <f t="shared" si="108"/>
        <v>4174</v>
      </c>
      <c r="N122" s="362">
        <f t="shared" si="108"/>
        <v>4174</v>
      </c>
      <c r="O122" s="362">
        <f t="shared" si="108"/>
        <v>267857</v>
      </c>
      <c r="P122" s="362">
        <f t="shared" si="108"/>
        <v>267857</v>
      </c>
      <c r="Q122" s="362">
        <f t="shared" si="108"/>
        <v>10500</v>
      </c>
      <c r="R122" s="362">
        <f t="shared" si="108"/>
        <v>10500</v>
      </c>
      <c r="S122" s="362">
        <f t="shared" si="108"/>
        <v>0</v>
      </c>
      <c r="T122" s="362">
        <f t="shared" si="108"/>
        <v>0</v>
      </c>
      <c r="U122" s="362">
        <f t="shared" si="108"/>
        <v>0</v>
      </c>
      <c r="V122" s="362">
        <f t="shared" si="108"/>
        <v>0</v>
      </c>
      <c r="W122" s="363"/>
      <c r="X122" s="364">
        <f t="shared" si="108"/>
        <v>0</v>
      </c>
      <c r="Y122" s="364">
        <f t="shared" si="108"/>
        <v>0</v>
      </c>
      <c r="Z122" s="364">
        <f t="shared" si="108"/>
        <v>0</v>
      </c>
      <c r="AA122" s="5"/>
    </row>
    <row r="123" spans="1:41" s="416" customFormat="1" ht="36" customHeight="1">
      <c r="A123" s="97">
        <v>1</v>
      </c>
      <c r="B123" s="214" t="s">
        <v>363</v>
      </c>
      <c r="C123" s="152" t="s">
        <v>66</v>
      </c>
      <c r="D123" s="420" t="s">
        <v>364</v>
      </c>
      <c r="E123" s="163" t="s">
        <v>365</v>
      </c>
      <c r="F123" s="172" t="s">
        <v>366</v>
      </c>
      <c r="G123" s="421">
        <v>336200</v>
      </c>
      <c r="H123" s="421">
        <v>336200</v>
      </c>
      <c r="I123" s="421">
        <v>10500</v>
      </c>
      <c r="J123" s="421">
        <v>10500</v>
      </c>
      <c r="K123" s="421"/>
      <c r="L123" s="421"/>
      <c r="M123" s="421">
        <v>4174</v>
      </c>
      <c r="N123" s="421">
        <v>4174</v>
      </c>
      <c r="O123" s="421">
        <f>257357+10500</f>
        <v>267857</v>
      </c>
      <c r="P123" s="421">
        <f>257357+10500</f>
        <v>267857</v>
      </c>
      <c r="Q123" s="421">
        <v>10500</v>
      </c>
      <c r="R123" s="421">
        <v>10500</v>
      </c>
      <c r="S123" s="421"/>
      <c r="T123" s="421"/>
      <c r="U123" s="421"/>
      <c r="V123" s="421"/>
      <c r="W123" s="363"/>
      <c r="X123" s="422"/>
      <c r="Y123" s="422"/>
      <c r="Z123" s="422"/>
      <c r="AA123" s="5"/>
      <c r="AB123" s="362">
        <f t="shared" ref="AB123" si="109">SUM(AB124:AB130)</f>
        <v>0</v>
      </c>
      <c r="AC123" s="362">
        <f t="shared" ref="AC123:AK123" si="110">SUM(AC124:AC130)</f>
        <v>0</v>
      </c>
      <c r="AD123" s="362">
        <f t="shared" si="110"/>
        <v>0</v>
      </c>
      <c r="AE123" s="362">
        <f t="shared" si="110"/>
        <v>0</v>
      </c>
      <c r="AF123" s="362">
        <f t="shared" si="110"/>
        <v>0</v>
      </c>
      <c r="AG123" s="362">
        <f t="shared" si="110"/>
        <v>0</v>
      </c>
      <c r="AH123" s="362">
        <f t="shared" si="110"/>
        <v>0</v>
      </c>
      <c r="AI123" s="362">
        <f t="shared" si="110"/>
        <v>0</v>
      </c>
      <c r="AJ123" s="362">
        <f t="shared" si="110"/>
        <v>0</v>
      </c>
      <c r="AK123" s="362">
        <f t="shared" si="110"/>
        <v>0</v>
      </c>
      <c r="AL123" s="362">
        <f>SUM(AL124:AL130)</f>
        <v>0</v>
      </c>
      <c r="AM123" s="362">
        <f>SUM(AM124:AM130)</f>
        <v>0</v>
      </c>
      <c r="AN123" s="362">
        <f>SUM(AN124:AN130)</f>
        <v>0</v>
      </c>
      <c r="AO123" s="362">
        <f>SUM(AO124:AO130)</f>
        <v>0</v>
      </c>
    </row>
    <row r="124" spans="1:41" s="16" customFormat="1" ht="36" customHeight="1">
      <c r="A124" s="26" t="s">
        <v>273</v>
      </c>
      <c r="B124" s="27" t="s">
        <v>48</v>
      </c>
      <c r="C124" s="409"/>
      <c r="D124" s="409"/>
      <c r="E124" s="419"/>
      <c r="F124" s="409"/>
      <c r="G124" s="362">
        <f>SUM(G125:G131)</f>
        <v>65347</v>
      </c>
      <c r="H124" s="362">
        <f t="shared" ref="H124:V124" si="111">SUM(H125:H131)</f>
        <v>59220</v>
      </c>
      <c r="I124" s="362">
        <f t="shared" si="111"/>
        <v>32077</v>
      </c>
      <c r="J124" s="362">
        <f t="shared" si="111"/>
        <v>32077</v>
      </c>
      <c r="K124" s="362">
        <f t="shared" si="111"/>
        <v>6917</v>
      </c>
      <c r="L124" s="362">
        <f t="shared" si="111"/>
        <v>6917</v>
      </c>
      <c r="M124" s="362">
        <f t="shared" si="111"/>
        <v>9903</v>
      </c>
      <c r="N124" s="362">
        <f t="shared" si="111"/>
        <v>9903</v>
      </c>
      <c r="O124" s="362">
        <f t="shared" si="111"/>
        <v>52323</v>
      </c>
      <c r="P124" s="362">
        <f t="shared" si="111"/>
        <v>52323</v>
      </c>
      <c r="Q124" s="362">
        <f t="shared" si="111"/>
        <v>32077</v>
      </c>
      <c r="R124" s="362">
        <f t="shared" si="111"/>
        <v>32077</v>
      </c>
      <c r="S124" s="362">
        <f t="shared" si="111"/>
        <v>0</v>
      </c>
      <c r="T124" s="362">
        <f t="shared" si="111"/>
        <v>0</v>
      </c>
      <c r="U124" s="362">
        <f t="shared" si="111"/>
        <v>0</v>
      </c>
      <c r="V124" s="362">
        <f t="shared" si="111"/>
        <v>0</v>
      </c>
      <c r="W124" s="363"/>
      <c r="X124" s="364">
        <f t="shared" ref="X124:Z124" si="112">SUM(X125:X131)</f>
        <v>0</v>
      </c>
      <c r="Y124" s="364">
        <f t="shared" si="112"/>
        <v>0</v>
      </c>
      <c r="Z124" s="364">
        <f t="shared" si="112"/>
        <v>0</v>
      </c>
      <c r="AA124" s="5"/>
    </row>
    <row r="125" spans="1:41" s="16" customFormat="1" ht="36" customHeight="1">
      <c r="A125" s="97" t="s">
        <v>27</v>
      </c>
      <c r="B125" s="35" t="s">
        <v>367</v>
      </c>
      <c r="C125" s="423" t="s">
        <v>71</v>
      </c>
      <c r="D125" s="378" t="s">
        <v>368</v>
      </c>
      <c r="E125" s="424" t="s">
        <v>114</v>
      </c>
      <c r="F125" s="378" t="s">
        <v>369</v>
      </c>
      <c r="G125" s="425">
        <v>11408</v>
      </c>
      <c r="H125" s="425">
        <v>11408</v>
      </c>
      <c r="I125" s="425">
        <v>4000</v>
      </c>
      <c r="J125" s="425">
        <v>4000</v>
      </c>
      <c r="K125" s="170"/>
      <c r="L125" s="23"/>
      <c r="M125" s="23">
        <v>4</v>
      </c>
      <c r="N125" s="23">
        <v>4</v>
      </c>
      <c r="O125" s="23">
        <v>7246</v>
      </c>
      <c r="P125" s="23">
        <v>7246</v>
      </c>
      <c r="Q125" s="425">
        <v>4000</v>
      </c>
      <c r="R125" s="425">
        <v>4000</v>
      </c>
      <c r="S125" s="23"/>
      <c r="T125" s="23"/>
      <c r="U125" s="23"/>
      <c r="V125" s="23"/>
      <c r="W125" s="80"/>
      <c r="X125" s="371"/>
      <c r="Y125" s="371"/>
      <c r="Z125" s="371"/>
      <c r="AA125" s="5"/>
    </row>
    <row r="126" spans="1:41" s="16" customFormat="1" ht="36" customHeight="1">
      <c r="A126" s="97" t="s">
        <v>41</v>
      </c>
      <c r="B126" s="426" t="s">
        <v>370</v>
      </c>
      <c r="C126" s="172" t="s">
        <v>143</v>
      </c>
      <c r="D126" s="172" t="s">
        <v>371</v>
      </c>
      <c r="E126" s="163" t="s">
        <v>82</v>
      </c>
      <c r="F126" s="172" t="s">
        <v>372</v>
      </c>
      <c r="G126" s="173">
        <v>32687</v>
      </c>
      <c r="H126" s="173">
        <v>32687</v>
      </c>
      <c r="I126" s="173">
        <v>17000</v>
      </c>
      <c r="J126" s="173">
        <v>17000</v>
      </c>
      <c r="K126" s="23">
        <v>5571</v>
      </c>
      <c r="L126" s="23">
        <v>5571</v>
      </c>
      <c r="M126" s="23">
        <v>5479</v>
      </c>
      <c r="N126" s="23">
        <v>5479</v>
      </c>
      <c r="O126" s="23">
        <f>15000+17000</f>
        <v>32000</v>
      </c>
      <c r="P126" s="23">
        <f>15000+17000</f>
        <v>32000</v>
      </c>
      <c r="Q126" s="173">
        <v>17000</v>
      </c>
      <c r="R126" s="173">
        <v>17000</v>
      </c>
      <c r="S126" s="23"/>
      <c r="T126" s="23"/>
      <c r="U126" s="23"/>
      <c r="V126" s="23"/>
      <c r="W126" s="80"/>
      <c r="X126" s="371"/>
      <c r="Y126" s="371"/>
      <c r="Z126" s="371"/>
      <c r="AA126" s="5"/>
    </row>
    <row r="127" spans="1:41" s="16" customFormat="1" ht="36" customHeight="1">
      <c r="A127" s="97" t="s">
        <v>58</v>
      </c>
      <c r="B127" s="427" t="s">
        <v>373</v>
      </c>
      <c r="C127" s="423" t="s">
        <v>66</v>
      </c>
      <c r="D127" s="172" t="s">
        <v>374</v>
      </c>
      <c r="E127" s="163" t="s">
        <v>114</v>
      </c>
      <c r="F127" s="172" t="s">
        <v>375</v>
      </c>
      <c r="G127" s="173">
        <v>7912</v>
      </c>
      <c r="H127" s="173">
        <v>3956</v>
      </c>
      <c r="I127" s="173">
        <v>1000</v>
      </c>
      <c r="J127" s="23">
        <v>1000</v>
      </c>
      <c r="K127" s="23">
        <v>1346</v>
      </c>
      <c r="L127" s="23">
        <v>1346</v>
      </c>
      <c r="M127" s="23">
        <v>965</v>
      </c>
      <c r="N127" s="23">
        <v>965</v>
      </c>
      <c r="O127" s="23">
        <v>3000</v>
      </c>
      <c r="P127" s="23">
        <v>3000</v>
      </c>
      <c r="Q127" s="173">
        <v>1000</v>
      </c>
      <c r="R127" s="23">
        <v>1000</v>
      </c>
      <c r="S127" s="23"/>
      <c r="T127" s="23"/>
      <c r="U127" s="23"/>
      <c r="V127" s="23"/>
      <c r="W127" s="80"/>
      <c r="X127" s="371"/>
      <c r="Y127" s="371"/>
      <c r="Z127" s="371"/>
      <c r="AA127" s="5"/>
    </row>
    <row r="128" spans="1:41" s="16" customFormat="1" ht="36" customHeight="1">
      <c r="A128" s="97" t="s">
        <v>64</v>
      </c>
      <c r="B128" s="411" t="s">
        <v>376</v>
      </c>
      <c r="C128" s="172" t="s">
        <v>66</v>
      </c>
      <c r="D128" s="172" t="s">
        <v>377</v>
      </c>
      <c r="E128" s="163" t="s">
        <v>82</v>
      </c>
      <c r="F128" s="172" t="s">
        <v>378</v>
      </c>
      <c r="G128" s="173">
        <v>6933</v>
      </c>
      <c r="H128" s="173">
        <v>6933</v>
      </c>
      <c r="I128" s="23">
        <v>6000</v>
      </c>
      <c r="J128" s="23">
        <v>6000</v>
      </c>
      <c r="K128" s="23"/>
      <c r="L128" s="23"/>
      <c r="M128" s="23">
        <v>66</v>
      </c>
      <c r="N128" s="23">
        <v>66</v>
      </c>
      <c r="O128" s="23">
        <v>6000</v>
      </c>
      <c r="P128" s="23">
        <v>6000</v>
      </c>
      <c r="Q128" s="23">
        <v>6000</v>
      </c>
      <c r="R128" s="23">
        <v>6000</v>
      </c>
      <c r="S128" s="23"/>
      <c r="T128" s="23"/>
      <c r="U128" s="23"/>
      <c r="V128" s="23"/>
      <c r="W128" s="80"/>
      <c r="X128" s="371"/>
      <c r="Y128" s="371"/>
      <c r="Z128" s="371"/>
      <c r="AA128" s="5"/>
    </row>
    <row r="129" spans="1:41" s="16" customFormat="1" ht="36" customHeight="1">
      <c r="A129" s="97" t="s">
        <v>69</v>
      </c>
      <c r="B129" s="426" t="s">
        <v>379</v>
      </c>
      <c r="C129" s="172" t="s">
        <v>66</v>
      </c>
      <c r="D129" s="172" t="s">
        <v>380</v>
      </c>
      <c r="E129" s="163" t="s">
        <v>114</v>
      </c>
      <c r="F129" s="172" t="s">
        <v>381</v>
      </c>
      <c r="G129" s="173">
        <v>4549</v>
      </c>
      <c r="H129" s="173">
        <v>2378</v>
      </c>
      <c r="I129" s="173">
        <v>2301</v>
      </c>
      <c r="J129" s="23">
        <v>2301</v>
      </c>
      <c r="K129" s="23"/>
      <c r="L129" s="23"/>
      <c r="M129" s="173">
        <v>2301</v>
      </c>
      <c r="N129" s="23">
        <v>2301</v>
      </c>
      <c r="O129" s="23">
        <v>2301</v>
      </c>
      <c r="P129" s="23">
        <v>2301</v>
      </c>
      <c r="Q129" s="173">
        <v>2301</v>
      </c>
      <c r="R129" s="23">
        <v>2301</v>
      </c>
      <c r="S129" s="23"/>
      <c r="T129" s="23"/>
      <c r="U129" s="23"/>
      <c r="V129" s="23"/>
      <c r="W129" s="80"/>
      <c r="X129" s="371"/>
      <c r="Y129" s="371"/>
      <c r="Z129" s="371"/>
      <c r="AA129" s="5"/>
    </row>
    <row r="130" spans="1:41" s="375" customFormat="1" ht="30">
      <c r="A130" s="97" t="s">
        <v>74</v>
      </c>
      <c r="B130" s="411" t="s">
        <v>382</v>
      </c>
      <c r="C130" s="172" t="s">
        <v>60</v>
      </c>
      <c r="D130" s="172" t="s">
        <v>383</v>
      </c>
      <c r="E130" s="163" t="s">
        <v>166</v>
      </c>
      <c r="F130" s="172" t="s">
        <v>384</v>
      </c>
      <c r="G130" s="173">
        <v>1482</v>
      </c>
      <c r="H130" s="173">
        <v>1482</v>
      </c>
      <c r="I130" s="173">
        <v>1400</v>
      </c>
      <c r="J130" s="173">
        <v>1400</v>
      </c>
      <c r="K130" s="23"/>
      <c r="L130" s="23"/>
      <c r="M130" s="23">
        <v>893</v>
      </c>
      <c r="N130" s="23">
        <v>893</v>
      </c>
      <c r="O130" s="173">
        <v>1400</v>
      </c>
      <c r="P130" s="173">
        <v>1400</v>
      </c>
      <c r="Q130" s="173">
        <v>1400</v>
      </c>
      <c r="R130" s="173">
        <v>1400</v>
      </c>
      <c r="S130" s="23"/>
      <c r="T130" s="23"/>
      <c r="U130" s="23"/>
      <c r="V130" s="23"/>
      <c r="W130" s="80"/>
      <c r="X130" s="371"/>
      <c r="Y130" s="371"/>
      <c r="Z130" s="371"/>
      <c r="AA130" s="5"/>
    </row>
    <row r="131" spans="1:41" s="16" customFormat="1" ht="36" customHeight="1">
      <c r="A131" s="67">
        <v>7</v>
      </c>
      <c r="B131" s="411" t="s">
        <v>385</v>
      </c>
      <c r="C131" s="172" t="s">
        <v>5</v>
      </c>
      <c r="D131" s="172" t="s">
        <v>386</v>
      </c>
      <c r="E131" s="163">
        <v>2016</v>
      </c>
      <c r="F131" s="152" t="s">
        <v>387</v>
      </c>
      <c r="G131" s="173">
        <v>376</v>
      </c>
      <c r="H131" s="173">
        <v>376</v>
      </c>
      <c r="I131" s="173">
        <v>376</v>
      </c>
      <c r="J131" s="173">
        <v>376</v>
      </c>
      <c r="K131" s="175"/>
      <c r="L131" s="175"/>
      <c r="M131" s="175">
        <v>195</v>
      </c>
      <c r="N131" s="175">
        <v>195</v>
      </c>
      <c r="O131" s="173">
        <v>376</v>
      </c>
      <c r="P131" s="173">
        <v>376</v>
      </c>
      <c r="Q131" s="173">
        <v>376</v>
      </c>
      <c r="R131" s="173">
        <v>376</v>
      </c>
      <c r="S131" s="175"/>
      <c r="T131" s="175"/>
      <c r="U131" s="175"/>
      <c r="V131" s="373"/>
      <c r="W131" s="178"/>
      <c r="X131" s="428"/>
      <c r="Y131" s="428"/>
      <c r="Z131" s="374"/>
      <c r="AA131" s="5"/>
      <c r="AB131" s="15">
        <f t="shared" ref="AB131:AK131" si="113">SUM(AB132,AB137)</f>
        <v>0</v>
      </c>
      <c r="AC131" s="15">
        <f t="shared" si="113"/>
        <v>0</v>
      </c>
      <c r="AD131" s="15">
        <f t="shared" si="113"/>
        <v>9</v>
      </c>
      <c r="AE131" s="15">
        <f t="shared" si="113"/>
        <v>114902</v>
      </c>
      <c r="AF131" s="15">
        <f t="shared" si="113"/>
        <v>0</v>
      </c>
      <c r="AG131" s="15">
        <f t="shared" si="113"/>
        <v>0</v>
      </c>
      <c r="AH131" s="15">
        <f t="shared" si="113"/>
        <v>0</v>
      </c>
      <c r="AI131" s="15">
        <f t="shared" si="113"/>
        <v>0</v>
      </c>
      <c r="AJ131" s="15">
        <f t="shared" si="113"/>
        <v>0</v>
      </c>
      <c r="AK131" s="15">
        <f t="shared" si="113"/>
        <v>0</v>
      </c>
      <c r="AL131" s="15">
        <f>SUM(AL132,AL137)</f>
        <v>0</v>
      </c>
      <c r="AM131" s="15">
        <f>SUM(AM132,AM137)</f>
        <v>0</v>
      </c>
      <c r="AN131" s="15">
        <f>SUM(AN132,AN137)</f>
        <v>0</v>
      </c>
      <c r="AO131" s="15">
        <f>SUM(AO132,AO137)</f>
        <v>0</v>
      </c>
    </row>
    <row r="132" spans="1:41" s="31" customFormat="1" ht="31.5">
      <c r="A132" s="11" t="s">
        <v>78</v>
      </c>
      <c r="B132" s="12" t="s">
        <v>79</v>
      </c>
      <c r="C132" s="13"/>
      <c r="D132" s="13"/>
      <c r="E132" s="14"/>
      <c r="F132" s="13"/>
      <c r="G132" s="15">
        <f>SUM(G133,G141)</f>
        <v>2319399</v>
      </c>
      <c r="H132" s="15">
        <f t="shared" ref="H132:V132" si="114">SUM(H133,H141)</f>
        <v>1329766</v>
      </c>
      <c r="I132" s="15">
        <f t="shared" si="114"/>
        <v>349759</v>
      </c>
      <c r="J132" s="15">
        <f t="shared" si="114"/>
        <v>208242</v>
      </c>
      <c r="K132" s="15">
        <f t="shared" si="114"/>
        <v>18604</v>
      </c>
      <c r="L132" s="15">
        <f t="shared" si="114"/>
        <v>18604</v>
      </c>
      <c r="M132" s="15">
        <f t="shared" si="114"/>
        <v>127214</v>
      </c>
      <c r="N132" s="15">
        <f t="shared" si="114"/>
        <v>29508</v>
      </c>
      <c r="O132" s="15">
        <f t="shared" si="114"/>
        <v>1557452</v>
      </c>
      <c r="P132" s="15">
        <f t="shared" si="114"/>
        <v>668200</v>
      </c>
      <c r="Q132" s="15">
        <f t="shared" si="114"/>
        <v>1057706</v>
      </c>
      <c r="R132" s="15">
        <f t="shared" si="114"/>
        <v>810394</v>
      </c>
      <c r="S132" s="15">
        <f t="shared" si="114"/>
        <v>0</v>
      </c>
      <c r="T132" s="15">
        <f t="shared" si="114"/>
        <v>226212</v>
      </c>
      <c r="U132" s="15">
        <f t="shared" si="114"/>
        <v>158901</v>
      </c>
      <c r="V132" s="15">
        <f t="shared" si="114"/>
        <v>0</v>
      </c>
      <c r="W132" s="379"/>
      <c r="X132" s="429">
        <f t="shared" ref="X132:Z132" si="115">SUM(X133,X141)</f>
        <v>487111</v>
      </c>
      <c r="Y132" s="429">
        <f t="shared" si="115"/>
        <v>419061</v>
      </c>
      <c r="Z132" s="429">
        <f t="shared" si="115"/>
        <v>0</v>
      </c>
      <c r="AA132" s="5"/>
      <c r="AB132" s="30">
        <f t="shared" ref="AB132" si="116">SUM(AB133:AB136)</f>
        <v>0</v>
      </c>
      <c r="AC132" s="30">
        <f t="shared" ref="AC132:AK132" si="117">SUM(AC133:AC136)</f>
        <v>0</v>
      </c>
      <c r="AD132" s="30">
        <f t="shared" si="117"/>
        <v>3</v>
      </c>
      <c r="AE132" s="30">
        <f t="shared" si="117"/>
        <v>95000</v>
      </c>
      <c r="AF132" s="30">
        <f t="shared" si="117"/>
        <v>0</v>
      </c>
      <c r="AG132" s="30">
        <f t="shared" si="117"/>
        <v>0</v>
      </c>
      <c r="AH132" s="30">
        <f t="shared" si="117"/>
        <v>0</v>
      </c>
      <c r="AI132" s="30">
        <f t="shared" si="117"/>
        <v>0</v>
      </c>
      <c r="AJ132" s="30">
        <f t="shared" si="117"/>
        <v>0</v>
      </c>
      <c r="AK132" s="30">
        <f t="shared" si="117"/>
        <v>0</v>
      </c>
      <c r="AL132" s="30">
        <f>SUM(AL133:AL136)</f>
        <v>0</v>
      </c>
      <c r="AM132" s="30">
        <f>SUM(AM133:AM136)</f>
        <v>0</v>
      </c>
      <c r="AN132" s="30">
        <f>SUM(AN133:AN136)</f>
        <v>0</v>
      </c>
      <c r="AO132" s="30">
        <f>SUM(AO133:AO136)</f>
        <v>0</v>
      </c>
    </row>
    <row r="133" spans="1:41" s="25" customFormat="1" ht="36" customHeight="1">
      <c r="A133" s="26" t="s">
        <v>34</v>
      </c>
      <c r="B133" s="27" t="s">
        <v>35</v>
      </c>
      <c r="C133" s="28"/>
      <c r="D133" s="28"/>
      <c r="E133" s="29"/>
      <c r="F133" s="28"/>
      <c r="G133" s="30">
        <f>SUM(G134:G140)</f>
        <v>2284461</v>
      </c>
      <c r="H133" s="30">
        <f t="shared" ref="H133:Z133" si="118">SUM(H134:H140)</f>
        <v>1295810</v>
      </c>
      <c r="I133" s="30">
        <f t="shared" si="118"/>
        <v>331369</v>
      </c>
      <c r="J133" s="30">
        <f t="shared" si="118"/>
        <v>189852</v>
      </c>
      <c r="K133" s="30">
        <f t="shared" si="118"/>
        <v>18604</v>
      </c>
      <c r="L133" s="30">
        <f t="shared" si="118"/>
        <v>18604</v>
      </c>
      <c r="M133" s="30">
        <f t="shared" si="118"/>
        <v>126314</v>
      </c>
      <c r="N133" s="30">
        <f t="shared" si="118"/>
        <v>28608</v>
      </c>
      <c r="O133" s="30">
        <f t="shared" si="118"/>
        <v>1539062</v>
      </c>
      <c r="P133" s="30">
        <f t="shared" si="118"/>
        <v>649810</v>
      </c>
      <c r="Q133" s="30">
        <f t="shared" si="118"/>
        <v>1022768</v>
      </c>
      <c r="R133" s="30">
        <f t="shared" si="118"/>
        <v>776438</v>
      </c>
      <c r="S133" s="30">
        <f t="shared" si="118"/>
        <v>0</v>
      </c>
      <c r="T133" s="30">
        <f t="shared" si="118"/>
        <v>211064</v>
      </c>
      <c r="U133" s="30">
        <f t="shared" si="118"/>
        <v>143753</v>
      </c>
      <c r="V133" s="30">
        <f t="shared" si="118"/>
        <v>0</v>
      </c>
      <c r="W133" s="430"/>
      <c r="X133" s="431">
        <f t="shared" si="118"/>
        <v>471963</v>
      </c>
      <c r="Y133" s="431">
        <f t="shared" si="118"/>
        <v>403913</v>
      </c>
      <c r="Z133" s="431">
        <f t="shared" si="118"/>
        <v>0</v>
      </c>
      <c r="AA133" s="5"/>
      <c r="AD133" s="25">
        <v>1</v>
      </c>
      <c r="AE133" s="23">
        <v>25000</v>
      </c>
    </row>
    <row r="134" spans="1:41" s="25" customFormat="1" ht="31.5">
      <c r="A134" s="97" t="s">
        <v>27</v>
      </c>
      <c r="B134" s="426" t="s">
        <v>388</v>
      </c>
      <c r="C134" s="172" t="s">
        <v>389</v>
      </c>
      <c r="D134" s="172" t="s">
        <v>390</v>
      </c>
      <c r="E134" s="163" t="s">
        <v>235</v>
      </c>
      <c r="F134" s="172" t="s">
        <v>391</v>
      </c>
      <c r="G134" s="173">
        <v>262359</v>
      </c>
      <c r="H134" s="173">
        <v>231010</v>
      </c>
      <c r="I134" s="173">
        <f>+J134</f>
        <v>30000</v>
      </c>
      <c r="J134" s="23">
        <v>30000</v>
      </c>
      <c r="K134" s="23">
        <v>17274</v>
      </c>
      <c r="L134" s="23">
        <v>17274</v>
      </c>
      <c r="M134" s="23">
        <v>16233</v>
      </c>
      <c r="N134" s="23">
        <v>16233</v>
      </c>
      <c r="O134" s="23">
        <v>216942</v>
      </c>
      <c r="P134" s="23">
        <v>216942</v>
      </c>
      <c r="Q134" s="23">
        <f>G134-O134</f>
        <v>45417</v>
      </c>
      <c r="R134" s="23">
        <f>H134-P134</f>
        <v>14068</v>
      </c>
      <c r="S134" s="23"/>
      <c r="T134" s="23">
        <v>14068</v>
      </c>
      <c r="U134" s="23">
        <v>14068</v>
      </c>
      <c r="V134" s="23"/>
      <c r="W134" s="24"/>
      <c r="X134" s="371">
        <v>14068</v>
      </c>
      <c r="Y134" s="371">
        <v>14068</v>
      </c>
      <c r="Z134" s="371"/>
      <c r="AA134" s="5"/>
      <c r="AD134" s="25">
        <v>1</v>
      </c>
      <c r="AE134" s="104">
        <v>10000</v>
      </c>
    </row>
    <row r="135" spans="1:41" s="25" customFormat="1" ht="47.25">
      <c r="A135" s="92" t="s">
        <v>41</v>
      </c>
      <c r="B135" s="225" t="s">
        <v>392</v>
      </c>
      <c r="C135" s="152" t="s">
        <v>29</v>
      </c>
      <c r="D135" s="432" t="s">
        <v>393</v>
      </c>
      <c r="E135" s="433" t="s">
        <v>87</v>
      </c>
      <c r="F135" s="432" t="s">
        <v>394</v>
      </c>
      <c r="G135" s="365">
        <v>177888</v>
      </c>
      <c r="H135" s="365">
        <v>177888</v>
      </c>
      <c r="I135" s="365">
        <v>25000</v>
      </c>
      <c r="J135" s="104">
        <v>25000</v>
      </c>
      <c r="K135" s="104">
        <v>1330</v>
      </c>
      <c r="L135" s="104">
        <v>1330</v>
      </c>
      <c r="M135" s="104">
        <v>12375</v>
      </c>
      <c r="N135" s="104">
        <v>12375</v>
      </c>
      <c r="O135" s="434">
        <f>10622+17000+25000</f>
        <v>52622</v>
      </c>
      <c r="P135" s="434">
        <f>10622+17000+25000</f>
        <v>52622</v>
      </c>
      <c r="Q135" s="23">
        <f>G135-O135</f>
        <v>125266</v>
      </c>
      <c r="R135" s="23">
        <f>H135-P135</f>
        <v>125266</v>
      </c>
      <c r="S135" s="23"/>
      <c r="T135" s="104">
        <v>20000</v>
      </c>
      <c r="U135" s="104">
        <v>20000</v>
      </c>
      <c r="V135" s="23"/>
      <c r="W135" s="24"/>
      <c r="X135" s="372">
        <v>20000</v>
      </c>
      <c r="Y135" s="372">
        <v>20000</v>
      </c>
      <c r="Z135" s="371"/>
      <c r="AA135" s="5"/>
      <c r="AE135" s="175"/>
    </row>
    <row r="136" spans="1:41" s="25" customFormat="1" ht="31.5">
      <c r="A136" s="67">
        <v>3</v>
      </c>
      <c r="B136" s="435" t="s">
        <v>395</v>
      </c>
      <c r="C136" s="423" t="s">
        <v>29</v>
      </c>
      <c r="D136" s="420" t="s">
        <v>396</v>
      </c>
      <c r="E136" s="163" t="s">
        <v>94</v>
      </c>
      <c r="F136" s="172" t="s">
        <v>397</v>
      </c>
      <c r="G136" s="421">
        <v>114111</v>
      </c>
      <c r="H136" s="173">
        <v>106000</v>
      </c>
      <c r="I136" s="173">
        <v>106000</v>
      </c>
      <c r="J136" s="173">
        <v>106000</v>
      </c>
      <c r="K136" s="175"/>
      <c r="L136" s="175"/>
      <c r="M136" s="175"/>
      <c r="N136" s="175"/>
      <c r="O136" s="173">
        <v>106000</v>
      </c>
      <c r="P136" s="173">
        <v>106000</v>
      </c>
      <c r="Q136" s="421">
        <v>114111</v>
      </c>
      <c r="R136" s="173">
        <v>106000</v>
      </c>
      <c r="S136" s="175"/>
      <c r="T136" s="175">
        <v>8111</v>
      </c>
      <c r="U136" s="175"/>
      <c r="V136" s="373"/>
      <c r="W136" s="178"/>
      <c r="X136" s="428">
        <v>8111</v>
      </c>
      <c r="Y136" s="428"/>
      <c r="Z136" s="374"/>
      <c r="AA136" s="5"/>
      <c r="AD136" s="25">
        <v>1</v>
      </c>
      <c r="AE136" s="175">
        <v>60000</v>
      </c>
    </row>
    <row r="137" spans="1:41" s="25" customFormat="1" ht="31.5">
      <c r="A137" s="67">
        <v>4</v>
      </c>
      <c r="B137" s="214" t="s">
        <v>398</v>
      </c>
      <c r="C137" s="101" t="s">
        <v>5</v>
      </c>
      <c r="D137" s="101" t="s">
        <v>399</v>
      </c>
      <c r="E137" s="95" t="s">
        <v>400</v>
      </c>
      <c r="F137" s="152" t="s">
        <v>401</v>
      </c>
      <c r="G137" s="366">
        <v>83420</v>
      </c>
      <c r="H137" s="173">
        <v>83420</v>
      </c>
      <c r="I137" s="173"/>
      <c r="J137" s="173"/>
      <c r="K137" s="175"/>
      <c r="L137" s="175"/>
      <c r="M137" s="175"/>
      <c r="N137" s="175"/>
      <c r="O137" s="173">
        <v>13614</v>
      </c>
      <c r="P137" s="173">
        <v>13614</v>
      </c>
      <c r="Q137" s="23">
        <f>G137-O137</f>
        <v>69806</v>
      </c>
      <c r="R137" s="23">
        <f>H137-P137</f>
        <v>69806</v>
      </c>
      <c r="S137" s="175"/>
      <c r="T137" s="175">
        <v>30000</v>
      </c>
      <c r="U137" s="175">
        <v>30000</v>
      </c>
      <c r="V137" s="373"/>
      <c r="W137" s="178"/>
      <c r="X137" s="428">
        <v>60000</v>
      </c>
      <c r="Y137" s="428">
        <v>60000</v>
      </c>
      <c r="Z137" s="374"/>
      <c r="AA137" s="5"/>
      <c r="AB137" s="189">
        <f t="shared" ref="AB137:AK137" si="119">SUM(AB141:AB147)</f>
        <v>0</v>
      </c>
      <c r="AC137" s="189">
        <f t="shared" si="119"/>
        <v>0</v>
      </c>
      <c r="AD137" s="189">
        <f t="shared" si="119"/>
        <v>6</v>
      </c>
      <c r="AE137" s="189">
        <f t="shared" si="119"/>
        <v>19902</v>
      </c>
      <c r="AF137" s="189">
        <f t="shared" si="119"/>
        <v>0</v>
      </c>
      <c r="AG137" s="189">
        <f t="shared" si="119"/>
        <v>0</v>
      </c>
      <c r="AH137" s="189">
        <f t="shared" si="119"/>
        <v>0</v>
      </c>
      <c r="AI137" s="189">
        <f t="shared" si="119"/>
        <v>0</v>
      </c>
      <c r="AJ137" s="189">
        <f t="shared" si="119"/>
        <v>0</v>
      </c>
      <c r="AK137" s="189">
        <f t="shared" si="119"/>
        <v>0</v>
      </c>
      <c r="AL137" s="189">
        <f>SUM(AL141:AL147)</f>
        <v>0</v>
      </c>
      <c r="AM137" s="189">
        <f>SUM(AM141:AM147)</f>
        <v>0</v>
      </c>
      <c r="AN137" s="189">
        <f>SUM(AN141:AN147)</f>
        <v>0</v>
      </c>
      <c r="AO137" s="189">
        <f>SUM(AO141:AO147)</f>
        <v>0</v>
      </c>
    </row>
    <row r="138" spans="1:41" s="25" customFormat="1" ht="63">
      <c r="A138" s="67">
        <v>5</v>
      </c>
      <c r="B138" s="276" t="s">
        <v>402</v>
      </c>
      <c r="C138" s="70" t="s">
        <v>143</v>
      </c>
      <c r="D138" s="185" t="s">
        <v>403</v>
      </c>
      <c r="E138" s="186" t="s">
        <v>404</v>
      </c>
      <c r="F138" s="314" t="s">
        <v>405</v>
      </c>
      <c r="G138" s="187">
        <v>962215</v>
      </c>
      <c r="H138" s="23">
        <v>414980</v>
      </c>
      <c r="I138" s="23">
        <f>68835+28852</f>
        <v>97687</v>
      </c>
      <c r="J138" s="23">
        <v>28852</v>
      </c>
      <c r="K138" s="421"/>
      <c r="L138" s="421"/>
      <c r="M138" s="421">
        <v>68835</v>
      </c>
      <c r="N138" s="421"/>
      <c r="O138" s="23">
        <f>676748+28852</f>
        <v>705600</v>
      </c>
      <c r="P138" s="392">
        <v>158365</v>
      </c>
      <c r="Q138" s="23">
        <v>354302</v>
      </c>
      <c r="R138" s="421">
        <v>285467</v>
      </c>
      <c r="S138" s="392"/>
      <c r="T138" s="436">
        <f>+U138</f>
        <v>69685</v>
      </c>
      <c r="U138" s="436">
        <v>69685</v>
      </c>
      <c r="V138" s="392"/>
      <c r="W138" s="24"/>
      <c r="X138" s="437">
        <v>180000</v>
      </c>
      <c r="Y138" s="437">
        <v>180000</v>
      </c>
      <c r="Z138" s="396"/>
      <c r="AA138" s="5"/>
      <c r="AI138" s="392"/>
    </row>
    <row r="139" spans="1:41" s="25" customFormat="1" ht="30">
      <c r="A139" s="67">
        <v>6</v>
      </c>
      <c r="B139" s="276" t="s">
        <v>406</v>
      </c>
      <c r="C139" s="70" t="s">
        <v>85</v>
      </c>
      <c r="D139" s="70" t="s">
        <v>407</v>
      </c>
      <c r="E139" s="70" t="s">
        <v>404</v>
      </c>
      <c r="F139" s="70" t="s">
        <v>408</v>
      </c>
      <c r="G139" s="23">
        <v>571675</v>
      </c>
      <c r="H139" s="23">
        <v>238919</v>
      </c>
      <c r="I139" s="23">
        <v>52682</v>
      </c>
      <c r="J139" s="23"/>
      <c r="K139" s="421"/>
      <c r="L139" s="421"/>
      <c r="M139" s="421">
        <v>23260</v>
      </c>
      <c r="N139" s="421"/>
      <c r="O139" s="23">
        <v>358298</v>
      </c>
      <c r="P139" s="392">
        <v>71281</v>
      </c>
      <c r="Q139" s="23">
        <v>266059</v>
      </c>
      <c r="R139" s="421">
        <v>167638</v>
      </c>
      <c r="S139" s="392"/>
      <c r="T139" s="436">
        <v>55000</v>
      </c>
      <c r="U139" s="392">
        <v>10000</v>
      </c>
      <c r="V139" s="392"/>
      <c r="W139" s="24"/>
      <c r="X139" s="437">
        <v>175584</v>
      </c>
      <c r="Y139" s="396">
        <v>129845</v>
      </c>
      <c r="Z139" s="396"/>
      <c r="AA139" s="5"/>
      <c r="AI139" s="392"/>
    </row>
    <row r="140" spans="1:41" s="25" customFormat="1" ht="31.5">
      <c r="A140" s="67">
        <v>7</v>
      </c>
      <c r="B140" s="276" t="s">
        <v>409</v>
      </c>
      <c r="C140" s="70" t="s">
        <v>85</v>
      </c>
      <c r="D140" s="185" t="s">
        <v>410</v>
      </c>
      <c r="E140" s="186" t="s">
        <v>411</v>
      </c>
      <c r="F140" s="314" t="s">
        <v>412</v>
      </c>
      <c r="G140" s="187">
        <v>112793</v>
      </c>
      <c r="H140" s="23">
        <v>43593</v>
      </c>
      <c r="I140" s="23">
        <v>20000</v>
      </c>
      <c r="J140" s="23"/>
      <c r="K140" s="421"/>
      <c r="L140" s="421"/>
      <c r="M140" s="421">
        <v>5611</v>
      </c>
      <c r="N140" s="421"/>
      <c r="O140" s="23">
        <v>85986</v>
      </c>
      <c r="P140" s="392">
        <v>30986</v>
      </c>
      <c r="Q140" s="23">
        <v>47807</v>
      </c>
      <c r="R140" s="421">
        <v>8193</v>
      </c>
      <c r="S140" s="392"/>
      <c r="T140" s="23">
        <v>14200</v>
      </c>
      <c r="U140" s="421"/>
      <c r="V140" s="392"/>
      <c r="W140" s="24"/>
      <c r="X140" s="371">
        <v>14200</v>
      </c>
      <c r="Y140" s="422"/>
      <c r="Z140" s="396"/>
      <c r="AA140" s="5"/>
      <c r="AI140" s="392"/>
    </row>
    <row r="141" spans="1:41" s="25" customFormat="1" ht="15.75">
      <c r="A141" s="26" t="s">
        <v>273</v>
      </c>
      <c r="B141" s="27" t="s">
        <v>48</v>
      </c>
      <c r="C141" s="19"/>
      <c r="D141" s="19"/>
      <c r="E141" s="70"/>
      <c r="F141" s="119"/>
      <c r="G141" s="189">
        <f>SUM(G142:G148)</f>
        <v>34938</v>
      </c>
      <c r="H141" s="189">
        <f t="shared" ref="H141:V141" si="120">SUM(H142:H148)</f>
        <v>33956</v>
      </c>
      <c r="I141" s="189">
        <f t="shared" si="120"/>
        <v>18390</v>
      </c>
      <c r="J141" s="189">
        <f t="shared" si="120"/>
        <v>18390</v>
      </c>
      <c r="K141" s="189">
        <f t="shared" si="120"/>
        <v>0</v>
      </c>
      <c r="L141" s="189">
        <f t="shared" si="120"/>
        <v>0</v>
      </c>
      <c r="M141" s="189">
        <f t="shared" si="120"/>
        <v>900</v>
      </c>
      <c r="N141" s="189">
        <f t="shared" si="120"/>
        <v>900</v>
      </c>
      <c r="O141" s="189">
        <f t="shared" si="120"/>
        <v>18390</v>
      </c>
      <c r="P141" s="189">
        <f t="shared" si="120"/>
        <v>18390</v>
      </c>
      <c r="Q141" s="189">
        <f t="shared" si="120"/>
        <v>34938</v>
      </c>
      <c r="R141" s="189">
        <f t="shared" si="120"/>
        <v>33956</v>
      </c>
      <c r="S141" s="189">
        <f t="shared" si="120"/>
        <v>0</v>
      </c>
      <c r="T141" s="189">
        <f t="shared" si="120"/>
        <v>15148</v>
      </c>
      <c r="U141" s="189">
        <f t="shared" si="120"/>
        <v>15148</v>
      </c>
      <c r="V141" s="189">
        <f t="shared" si="120"/>
        <v>0</v>
      </c>
      <c r="W141" s="178"/>
      <c r="X141" s="438">
        <f t="shared" ref="X141:Z141" si="121">SUM(X142:X148)</f>
        <v>15148</v>
      </c>
      <c r="Y141" s="438">
        <f t="shared" si="121"/>
        <v>15148</v>
      </c>
      <c r="Z141" s="438">
        <f t="shared" si="121"/>
        <v>0</v>
      </c>
      <c r="AA141" s="5"/>
      <c r="AE141" s="175"/>
    </row>
    <row r="142" spans="1:41" s="375" customFormat="1" ht="47.25">
      <c r="A142" s="97" t="s">
        <v>27</v>
      </c>
      <c r="B142" s="212" t="s">
        <v>413</v>
      </c>
      <c r="C142" s="172" t="s">
        <v>85</v>
      </c>
      <c r="D142" s="172" t="s">
        <v>414</v>
      </c>
      <c r="E142" s="163" t="s">
        <v>30</v>
      </c>
      <c r="F142" s="172" t="s">
        <v>415</v>
      </c>
      <c r="G142" s="173">
        <v>6089</v>
      </c>
      <c r="H142" s="173">
        <v>5107</v>
      </c>
      <c r="I142" s="173">
        <v>5107</v>
      </c>
      <c r="J142" s="175">
        <v>5107</v>
      </c>
      <c r="K142" s="175"/>
      <c r="L142" s="175"/>
      <c r="M142" s="175">
        <v>900</v>
      </c>
      <c r="N142" s="175">
        <v>900</v>
      </c>
      <c r="O142" s="173">
        <v>5107</v>
      </c>
      <c r="P142" s="175">
        <v>5107</v>
      </c>
      <c r="Q142" s="173">
        <v>6089</v>
      </c>
      <c r="R142" s="175">
        <v>5107</v>
      </c>
      <c r="S142" s="175"/>
      <c r="T142" s="175"/>
      <c r="U142" s="175"/>
      <c r="V142" s="373"/>
      <c r="W142" s="178"/>
      <c r="X142" s="428"/>
      <c r="Y142" s="428"/>
      <c r="Z142" s="374"/>
      <c r="AA142" s="5"/>
      <c r="AD142" s="375">
        <v>1</v>
      </c>
      <c r="AE142" s="175">
        <v>3567</v>
      </c>
    </row>
    <row r="143" spans="1:41" s="375" customFormat="1" ht="45">
      <c r="A143" s="67">
        <v>2</v>
      </c>
      <c r="B143" s="435" t="s">
        <v>416</v>
      </c>
      <c r="C143" s="423" t="s">
        <v>66</v>
      </c>
      <c r="D143" s="172" t="s">
        <v>417</v>
      </c>
      <c r="E143" s="163" t="s">
        <v>166</v>
      </c>
      <c r="F143" s="172" t="s">
        <v>418</v>
      </c>
      <c r="G143" s="173">
        <v>5079</v>
      </c>
      <c r="H143" s="173">
        <v>5079</v>
      </c>
      <c r="I143" s="173">
        <v>1300</v>
      </c>
      <c r="J143" s="175">
        <v>1300</v>
      </c>
      <c r="K143" s="175"/>
      <c r="L143" s="175"/>
      <c r="M143" s="175"/>
      <c r="N143" s="175"/>
      <c r="O143" s="175">
        <v>1300</v>
      </c>
      <c r="P143" s="175">
        <v>1300</v>
      </c>
      <c r="Q143" s="173">
        <v>5079</v>
      </c>
      <c r="R143" s="173">
        <v>5079</v>
      </c>
      <c r="S143" s="175"/>
      <c r="T143" s="175">
        <f>5079-1300</f>
        <v>3779</v>
      </c>
      <c r="U143" s="175">
        <f>5079-1300</f>
        <v>3779</v>
      </c>
      <c r="V143" s="373"/>
      <c r="W143" s="178"/>
      <c r="X143" s="428">
        <f>5079-1300</f>
        <v>3779</v>
      </c>
      <c r="Y143" s="428">
        <f>5079-1300</f>
        <v>3779</v>
      </c>
      <c r="Z143" s="374"/>
      <c r="AA143" s="5"/>
      <c r="AD143" s="375">
        <v>1</v>
      </c>
      <c r="AE143" s="175">
        <v>1661</v>
      </c>
    </row>
    <row r="144" spans="1:41" s="375" customFormat="1" ht="30">
      <c r="A144" s="67">
        <v>3</v>
      </c>
      <c r="B144" s="214" t="s">
        <v>419</v>
      </c>
      <c r="C144" s="152" t="s">
        <v>66</v>
      </c>
      <c r="D144" s="420" t="s">
        <v>420</v>
      </c>
      <c r="E144" s="163" t="s">
        <v>30</v>
      </c>
      <c r="F144" s="172" t="s">
        <v>421</v>
      </c>
      <c r="G144" s="421">
        <v>3922</v>
      </c>
      <c r="H144" s="421">
        <v>3922</v>
      </c>
      <c r="I144" s="392">
        <v>3600</v>
      </c>
      <c r="J144" s="392">
        <v>3600</v>
      </c>
      <c r="K144" s="175"/>
      <c r="L144" s="175"/>
      <c r="M144" s="175"/>
      <c r="N144" s="175"/>
      <c r="O144" s="392">
        <v>3600</v>
      </c>
      <c r="P144" s="392">
        <v>3600</v>
      </c>
      <c r="Q144" s="421">
        <v>3922</v>
      </c>
      <c r="R144" s="421">
        <v>3922</v>
      </c>
      <c r="S144" s="175"/>
      <c r="T144" s="175">
        <f>3922-3600</f>
        <v>322</v>
      </c>
      <c r="U144" s="175">
        <f>3922-3600</f>
        <v>322</v>
      </c>
      <c r="V144" s="373"/>
      <c r="W144" s="178"/>
      <c r="X144" s="428">
        <f>3922-3600</f>
        <v>322</v>
      </c>
      <c r="Y144" s="428">
        <f>3922-3600</f>
        <v>322</v>
      </c>
      <c r="Z144" s="374"/>
      <c r="AA144" s="5"/>
      <c r="AD144" s="375">
        <v>1</v>
      </c>
      <c r="AE144" s="175">
        <v>1774</v>
      </c>
    </row>
    <row r="145" spans="1:41" s="375" customFormat="1" ht="30">
      <c r="A145" s="67">
        <v>4</v>
      </c>
      <c r="B145" s="214" t="s">
        <v>422</v>
      </c>
      <c r="C145" s="152" t="s">
        <v>66</v>
      </c>
      <c r="D145" s="420" t="s">
        <v>420</v>
      </c>
      <c r="E145" s="163" t="s">
        <v>30</v>
      </c>
      <c r="F145" s="172" t="s">
        <v>423</v>
      </c>
      <c r="G145" s="421">
        <v>4147</v>
      </c>
      <c r="H145" s="421">
        <v>4147</v>
      </c>
      <c r="I145" s="392">
        <v>3800</v>
      </c>
      <c r="J145" s="392">
        <v>3800</v>
      </c>
      <c r="K145" s="175"/>
      <c r="L145" s="175"/>
      <c r="M145" s="175"/>
      <c r="N145" s="175"/>
      <c r="O145" s="392">
        <v>3800</v>
      </c>
      <c r="P145" s="392">
        <v>3800</v>
      </c>
      <c r="Q145" s="421">
        <v>4147</v>
      </c>
      <c r="R145" s="421">
        <v>4147</v>
      </c>
      <c r="S145" s="175"/>
      <c r="T145" s="175">
        <f>4147-3800</f>
        <v>347</v>
      </c>
      <c r="U145" s="175">
        <f>4147-3800</f>
        <v>347</v>
      </c>
      <c r="V145" s="373"/>
      <c r="W145" s="178"/>
      <c r="X145" s="428">
        <f>4147-3800</f>
        <v>347</v>
      </c>
      <c r="Y145" s="428">
        <f>4147-3800</f>
        <v>347</v>
      </c>
      <c r="Z145" s="374"/>
      <c r="AA145" s="5"/>
      <c r="AD145" s="375">
        <v>1</v>
      </c>
      <c r="AE145" s="175">
        <v>3158</v>
      </c>
    </row>
    <row r="146" spans="1:41" s="375" customFormat="1" ht="30">
      <c r="A146" s="67">
        <v>5</v>
      </c>
      <c r="B146" s="214" t="s">
        <v>424</v>
      </c>
      <c r="C146" s="152" t="s">
        <v>66</v>
      </c>
      <c r="D146" s="420" t="s">
        <v>420</v>
      </c>
      <c r="E146" s="163" t="s">
        <v>30</v>
      </c>
      <c r="F146" s="172" t="s">
        <v>425</v>
      </c>
      <c r="G146" s="421">
        <v>3957</v>
      </c>
      <c r="H146" s="421">
        <v>3957</v>
      </c>
      <c r="I146" s="392">
        <v>1583</v>
      </c>
      <c r="J146" s="392">
        <v>1583</v>
      </c>
      <c r="K146" s="175"/>
      <c r="L146" s="175"/>
      <c r="M146" s="175"/>
      <c r="N146" s="175"/>
      <c r="O146" s="392">
        <v>1583</v>
      </c>
      <c r="P146" s="392">
        <v>1583</v>
      </c>
      <c r="Q146" s="421">
        <v>3957</v>
      </c>
      <c r="R146" s="421">
        <v>3957</v>
      </c>
      <c r="S146" s="175"/>
      <c r="T146" s="175">
        <v>2200</v>
      </c>
      <c r="U146" s="175">
        <v>2200</v>
      </c>
      <c r="V146" s="373"/>
      <c r="W146" s="178"/>
      <c r="X146" s="428">
        <v>2200</v>
      </c>
      <c r="Y146" s="428">
        <v>2200</v>
      </c>
      <c r="Z146" s="374"/>
      <c r="AA146" s="5"/>
      <c r="AD146" s="375">
        <v>1</v>
      </c>
      <c r="AE146" s="175">
        <v>5400</v>
      </c>
    </row>
    <row r="147" spans="1:41" s="375" customFormat="1" ht="30">
      <c r="A147" s="67">
        <v>6</v>
      </c>
      <c r="B147" s="214" t="s">
        <v>426</v>
      </c>
      <c r="C147" s="152" t="s">
        <v>66</v>
      </c>
      <c r="D147" s="420" t="s">
        <v>427</v>
      </c>
      <c r="E147" s="163" t="s">
        <v>30</v>
      </c>
      <c r="F147" s="172" t="s">
        <v>428</v>
      </c>
      <c r="G147" s="421">
        <v>6460</v>
      </c>
      <c r="H147" s="421">
        <v>6460</v>
      </c>
      <c r="I147" s="392">
        <v>1500</v>
      </c>
      <c r="J147" s="392">
        <v>1500</v>
      </c>
      <c r="K147" s="175"/>
      <c r="L147" s="175"/>
      <c r="M147" s="175"/>
      <c r="N147" s="175"/>
      <c r="O147" s="392">
        <v>1500</v>
      </c>
      <c r="P147" s="392">
        <v>1500</v>
      </c>
      <c r="Q147" s="421">
        <v>6460</v>
      </c>
      <c r="R147" s="421">
        <v>6460</v>
      </c>
      <c r="S147" s="175"/>
      <c r="T147" s="175">
        <v>5000</v>
      </c>
      <c r="U147" s="175">
        <v>5000</v>
      </c>
      <c r="V147" s="373"/>
      <c r="W147" s="178"/>
      <c r="X147" s="428">
        <v>5000</v>
      </c>
      <c r="Y147" s="428">
        <v>5000</v>
      </c>
      <c r="Z147" s="374"/>
      <c r="AA147" s="5"/>
      <c r="AD147" s="375">
        <v>1</v>
      </c>
      <c r="AE147" s="175">
        <v>4342</v>
      </c>
    </row>
    <row r="148" spans="1:41" s="16" customFormat="1" ht="36" customHeight="1">
      <c r="A148" s="67">
        <v>7</v>
      </c>
      <c r="B148" s="214" t="s">
        <v>429</v>
      </c>
      <c r="C148" s="152" t="s">
        <v>66</v>
      </c>
      <c r="D148" s="420" t="s">
        <v>427</v>
      </c>
      <c r="E148" s="163" t="s">
        <v>30</v>
      </c>
      <c r="F148" s="172" t="s">
        <v>430</v>
      </c>
      <c r="G148" s="421">
        <v>5284</v>
      </c>
      <c r="H148" s="421">
        <v>5284</v>
      </c>
      <c r="I148" s="392">
        <v>1500</v>
      </c>
      <c r="J148" s="392">
        <v>1500</v>
      </c>
      <c r="K148" s="175"/>
      <c r="L148" s="175"/>
      <c r="M148" s="175"/>
      <c r="N148" s="175"/>
      <c r="O148" s="392">
        <v>1500</v>
      </c>
      <c r="P148" s="392">
        <v>1500</v>
      </c>
      <c r="Q148" s="421">
        <v>5284</v>
      </c>
      <c r="R148" s="421">
        <v>5284</v>
      </c>
      <c r="S148" s="175"/>
      <c r="T148" s="175">
        <v>3500</v>
      </c>
      <c r="U148" s="175">
        <v>3500</v>
      </c>
      <c r="V148" s="373"/>
      <c r="W148" s="178"/>
      <c r="X148" s="428">
        <v>3500</v>
      </c>
      <c r="Y148" s="428">
        <v>3500</v>
      </c>
      <c r="Z148" s="374"/>
      <c r="AA148" s="5"/>
      <c r="AB148" s="15">
        <f t="shared" ref="AB148:AO148" si="122">SUM(AB149,AB155)</f>
        <v>0</v>
      </c>
      <c r="AC148" s="15">
        <f t="shared" si="122"/>
        <v>0</v>
      </c>
      <c r="AD148" s="15">
        <f t="shared" si="122"/>
        <v>0</v>
      </c>
      <c r="AE148" s="15">
        <f t="shared" si="122"/>
        <v>0</v>
      </c>
      <c r="AF148" s="15">
        <f t="shared" si="122"/>
        <v>0</v>
      </c>
      <c r="AG148" s="15">
        <f t="shared" si="122"/>
        <v>0</v>
      </c>
      <c r="AH148" s="15">
        <f t="shared" si="122"/>
        <v>7</v>
      </c>
      <c r="AI148" s="15">
        <f t="shared" si="122"/>
        <v>45400</v>
      </c>
      <c r="AJ148" s="15">
        <f t="shared" si="122"/>
        <v>0</v>
      </c>
      <c r="AK148" s="15">
        <f t="shared" si="122"/>
        <v>0</v>
      </c>
      <c r="AL148" s="15">
        <f t="shared" si="122"/>
        <v>0</v>
      </c>
      <c r="AM148" s="15">
        <f t="shared" si="122"/>
        <v>0</v>
      </c>
      <c r="AN148" s="15">
        <f t="shared" si="122"/>
        <v>0</v>
      </c>
      <c r="AO148" s="15">
        <f t="shared" si="122"/>
        <v>0</v>
      </c>
    </row>
    <row r="149" spans="1:41" s="16" customFormat="1" ht="31.5">
      <c r="A149" s="11" t="s">
        <v>116</v>
      </c>
      <c r="B149" s="12" t="s">
        <v>117</v>
      </c>
      <c r="C149" s="13"/>
      <c r="D149" s="13"/>
      <c r="E149" s="14"/>
      <c r="F149" s="13"/>
      <c r="G149" s="15">
        <f t="shared" ref="G149:V149" si="123">SUM(G150,G156)</f>
        <v>1375293</v>
      </c>
      <c r="H149" s="15">
        <f t="shared" si="123"/>
        <v>524639</v>
      </c>
      <c r="I149" s="15">
        <f t="shared" si="123"/>
        <v>154469</v>
      </c>
      <c r="J149" s="15">
        <f t="shared" si="123"/>
        <v>60800</v>
      </c>
      <c r="K149" s="15">
        <f t="shared" si="123"/>
        <v>0</v>
      </c>
      <c r="L149" s="15">
        <f t="shared" si="123"/>
        <v>0</v>
      </c>
      <c r="M149" s="15">
        <f t="shared" si="123"/>
        <v>54200</v>
      </c>
      <c r="N149" s="15">
        <f t="shared" si="123"/>
        <v>4361</v>
      </c>
      <c r="O149" s="15">
        <f t="shared" si="123"/>
        <v>227570</v>
      </c>
      <c r="P149" s="15">
        <f t="shared" si="123"/>
        <v>62387</v>
      </c>
      <c r="Q149" s="15">
        <f t="shared" si="123"/>
        <v>1301524</v>
      </c>
      <c r="R149" s="15">
        <f t="shared" si="123"/>
        <v>451490</v>
      </c>
      <c r="S149" s="15">
        <f t="shared" si="123"/>
        <v>0</v>
      </c>
      <c r="T149" s="15">
        <f t="shared" si="123"/>
        <v>255100</v>
      </c>
      <c r="U149" s="15">
        <f t="shared" si="123"/>
        <v>120441</v>
      </c>
      <c r="V149" s="15">
        <f t="shared" si="123"/>
        <v>0</v>
      </c>
      <c r="W149" s="379"/>
      <c r="X149" s="429">
        <f>SUM(X150,X156)</f>
        <v>255100</v>
      </c>
      <c r="Y149" s="429">
        <f>SUM(Y150,Y156)</f>
        <v>120441</v>
      </c>
      <c r="Z149" s="429">
        <f>SUM(Z150,Z156)</f>
        <v>0</v>
      </c>
      <c r="AA149" s="5"/>
      <c r="AB149" s="15">
        <f t="shared" ref="AB149:AO149" si="124">SUM(AB150,AB153:AB154)</f>
        <v>0</v>
      </c>
      <c r="AC149" s="15">
        <f t="shared" si="124"/>
        <v>0</v>
      </c>
      <c r="AD149" s="15">
        <f t="shared" si="124"/>
        <v>0</v>
      </c>
      <c r="AE149" s="15">
        <f t="shared" si="124"/>
        <v>0</v>
      </c>
      <c r="AF149" s="15">
        <f t="shared" si="124"/>
        <v>0</v>
      </c>
      <c r="AG149" s="15">
        <f t="shared" si="124"/>
        <v>0</v>
      </c>
      <c r="AH149" s="15">
        <f t="shared" si="124"/>
        <v>2</v>
      </c>
      <c r="AI149" s="15">
        <f t="shared" si="124"/>
        <v>20000</v>
      </c>
      <c r="AJ149" s="15">
        <f t="shared" si="124"/>
        <v>0</v>
      </c>
      <c r="AK149" s="15">
        <f t="shared" si="124"/>
        <v>0</v>
      </c>
      <c r="AL149" s="15">
        <f t="shared" si="124"/>
        <v>0</v>
      </c>
      <c r="AM149" s="15">
        <f t="shared" si="124"/>
        <v>0</v>
      </c>
      <c r="AN149" s="15">
        <f t="shared" si="124"/>
        <v>0</v>
      </c>
      <c r="AO149" s="15">
        <f t="shared" si="124"/>
        <v>0</v>
      </c>
    </row>
    <row r="150" spans="1:41" s="25" customFormat="1" ht="15.75">
      <c r="A150" s="26" t="s">
        <v>47</v>
      </c>
      <c r="B150" s="27" t="s">
        <v>35</v>
      </c>
      <c r="C150" s="13"/>
      <c r="D150" s="13"/>
      <c r="E150" s="14"/>
      <c r="F150" s="13"/>
      <c r="G150" s="15">
        <f>SUM(G151,G154:G155)</f>
        <v>1179104</v>
      </c>
      <c r="H150" s="15">
        <f t="shared" ref="H150:Z150" si="125">SUM(H151,H154:H155)</f>
        <v>363803</v>
      </c>
      <c r="I150" s="15">
        <f t="shared" si="125"/>
        <v>145669</v>
      </c>
      <c r="J150" s="15">
        <f t="shared" si="125"/>
        <v>52000</v>
      </c>
      <c r="K150" s="15">
        <f t="shared" si="125"/>
        <v>0</v>
      </c>
      <c r="L150" s="15">
        <f t="shared" si="125"/>
        <v>0</v>
      </c>
      <c r="M150" s="15">
        <f t="shared" si="125"/>
        <v>54104</v>
      </c>
      <c r="N150" s="15">
        <f t="shared" si="125"/>
        <v>4265</v>
      </c>
      <c r="O150" s="15">
        <f t="shared" si="125"/>
        <v>218371</v>
      </c>
      <c r="P150" s="15">
        <f t="shared" si="125"/>
        <v>53188</v>
      </c>
      <c r="Q150" s="15">
        <f t="shared" si="125"/>
        <v>1105335</v>
      </c>
      <c r="R150" s="15">
        <f t="shared" si="125"/>
        <v>290654</v>
      </c>
      <c r="S150" s="15">
        <f t="shared" si="125"/>
        <v>0</v>
      </c>
      <c r="T150" s="15">
        <f t="shared" si="125"/>
        <v>155000</v>
      </c>
      <c r="U150" s="15">
        <f t="shared" si="125"/>
        <v>40000</v>
      </c>
      <c r="V150" s="15">
        <f t="shared" si="125"/>
        <v>0</v>
      </c>
      <c r="W150" s="439"/>
      <c r="X150" s="429">
        <f t="shared" si="125"/>
        <v>155000</v>
      </c>
      <c r="Y150" s="429">
        <f t="shared" si="125"/>
        <v>40000</v>
      </c>
      <c r="Z150" s="429">
        <f t="shared" si="125"/>
        <v>0</v>
      </c>
      <c r="AA150" s="5"/>
      <c r="AI150" s="421">
        <f t="shared" ref="AI150" si="126">SUM(AI151:AI152)</f>
        <v>0</v>
      </c>
    </row>
    <row r="151" spans="1:41" s="25" customFormat="1" ht="78.75">
      <c r="A151" s="97" t="s">
        <v>27</v>
      </c>
      <c r="B151" s="214" t="s">
        <v>431</v>
      </c>
      <c r="C151" s="152" t="s">
        <v>432</v>
      </c>
      <c r="D151" s="420" t="s">
        <v>433</v>
      </c>
      <c r="E151" s="163" t="s">
        <v>338</v>
      </c>
      <c r="F151" s="172" t="s">
        <v>1241</v>
      </c>
      <c r="G151" s="421">
        <f>SUM(G152:G153)</f>
        <v>994699</v>
      </c>
      <c r="H151" s="421">
        <f t="shared" ref="H151:V151" si="127">SUM(H152:H153)</f>
        <v>226807</v>
      </c>
      <c r="I151" s="421">
        <f t="shared" si="127"/>
        <v>123769</v>
      </c>
      <c r="J151" s="421">
        <v>35000</v>
      </c>
      <c r="K151" s="421">
        <f t="shared" si="127"/>
        <v>0</v>
      </c>
      <c r="L151" s="421">
        <f t="shared" si="127"/>
        <v>0</v>
      </c>
      <c r="M151" s="421">
        <f t="shared" si="127"/>
        <v>49839</v>
      </c>
      <c r="N151" s="421">
        <f t="shared" si="127"/>
        <v>0</v>
      </c>
      <c r="O151" s="421">
        <f>36188+70000+90283</f>
        <v>196471</v>
      </c>
      <c r="P151" s="421">
        <f>170+1018+35000</f>
        <v>36188</v>
      </c>
      <c r="Q151" s="421">
        <f t="shared" si="127"/>
        <v>920930</v>
      </c>
      <c r="R151" s="421">
        <f t="shared" si="127"/>
        <v>153658</v>
      </c>
      <c r="S151" s="421">
        <f t="shared" si="127"/>
        <v>0</v>
      </c>
      <c r="T151" s="421">
        <f t="shared" si="127"/>
        <v>115000</v>
      </c>
      <c r="U151" s="421">
        <f t="shared" si="127"/>
        <v>10000</v>
      </c>
      <c r="V151" s="421">
        <f t="shared" si="127"/>
        <v>0</v>
      </c>
      <c r="W151" s="24"/>
      <c r="X151" s="422">
        <f t="shared" ref="X151:Z151" si="128">SUM(X152:X153)</f>
        <v>115000</v>
      </c>
      <c r="Y151" s="422">
        <f t="shared" si="128"/>
        <v>10000</v>
      </c>
      <c r="Z151" s="422">
        <f t="shared" si="128"/>
        <v>0</v>
      </c>
      <c r="AA151" s="5"/>
      <c r="AI151" s="392"/>
    </row>
    <row r="152" spans="1:41" s="25" customFormat="1" ht="36" customHeight="1">
      <c r="A152" s="190"/>
      <c r="B152" s="214" t="s">
        <v>435</v>
      </c>
      <c r="C152" s="152" t="s">
        <v>60</v>
      </c>
      <c r="D152" s="420"/>
      <c r="E152" s="163" t="s">
        <v>94</v>
      </c>
      <c r="F152" s="172" t="s">
        <v>436</v>
      </c>
      <c r="G152" s="421">
        <v>348233</v>
      </c>
      <c r="H152" s="421">
        <v>73658</v>
      </c>
      <c r="I152" s="421">
        <f>23769+50000</f>
        <v>73769</v>
      </c>
      <c r="J152" s="421">
        <v>23769</v>
      </c>
      <c r="K152" s="421"/>
      <c r="L152" s="421"/>
      <c r="M152" s="421">
        <v>49839</v>
      </c>
      <c r="N152" s="421"/>
      <c r="O152" s="421">
        <v>134052</v>
      </c>
      <c r="P152" s="392"/>
      <c r="Q152" s="392">
        <f>G152-I152</f>
        <v>274464</v>
      </c>
      <c r="R152" s="392">
        <f>H152-P152</f>
        <v>73658</v>
      </c>
      <c r="S152" s="392"/>
      <c r="T152" s="392">
        <v>65000</v>
      </c>
      <c r="U152" s="392">
        <v>10000</v>
      </c>
      <c r="V152" s="392"/>
      <c r="W152" s="24"/>
      <c r="X152" s="396">
        <v>65000</v>
      </c>
      <c r="Y152" s="396">
        <v>10000</v>
      </c>
      <c r="Z152" s="396"/>
      <c r="AA152" s="5"/>
      <c r="AI152" s="392"/>
    </row>
    <row r="153" spans="1:41" s="25" customFormat="1" ht="36" customHeight="1">
      <c r="A153" s="190"/>
      <c r="B153" s="214" t="s">
        <v>437</v>
      </c>
      <c r="C153" s="152" t="s">
        <v>432</v>
      </c>
      <c r="D153" s="420"/>
      <c r="E153" s="163" t="s">
        <v>120</v>
      </c>
      <c r="F153" s="172" t="s">
        <v>438</v>
      </c>
      <c r="G153" s="421">
        <v>646466</v>
      </c>
      <c r="H153" s="421">
        <f>646466-493317</f>
        <v>153149</v>
      </c>
      <c r="I153" s="421">
        <v>50000</v>
      </c>
      <c r="J153" s="421"/>
      <c r="K153" s="421"/>
      <c r="L153" s="421"/>
      <c r="M153" s="421"/>
      <c r="N153" s="421"/>
      <c r="O153" s="421">
        <f>50000+11231</f>
        <v>61231</v>
      </c>
      <c r="P153" s="392">
        <v>35000</v>
      </c>
      <c r="Q153" s="421">
        <v>646466</v>
      </c>
      <c r="R153" s="421">
        <v>80000</v>
      </c>
      <c r="S153" s="392"/>
      <c r="T153" s="392">
        <v>50000</v>
      </c>
      <c r="U153" s="392"/>
      <c r="V153" s="392"/>
      <c r="W153" s="24"/>
      <c r="X153" s="396">
        <v>50000</v>
      </c>
      <c r="Y153" s="396"/>
      <c r="Z153" s="396"/>
      <c r="AA153" s="5"/>
      <c r="AH153" s="25">
        <v>1</v>
      </c>
      <c r="AI153" s="392">
        <v>10000</v>
      </c>
    </row>
    <row r="154" spans="1:41" s="25" customFormat="1" ht="49.5" customHeight="1">
      <c r="A154" s="190" t="s">
        <v>69</v>
      </c>
      <c r="B154" s="411" t="s">
        <v>439</v>
      </c>
      <c r="C154" s="172" t="s">
        <v>66</v>
      </c>
      <c r="D154" s="172" t="s">
        <v>440</v>
      </c>
      <c r="E154" s="120" t="s">
        <v>120</v>
      </c>
      <c r="F154" s="172" t="s">
        <v>441</v>
      </c>
      <c r="G154" s="173">
        <v>96996</v>
      </c>
      <c r="H154" s="173">
        <v>96996</v>
      </c>
      <c r="I154" s="173">
        <v>7000</v>
      </c>
      <c r="J154" s="173">
        <v>7000</v>
      </c>
      <c r="K154" s="421"/>
      <c r="L154" s="421"/>
      <c r="M154" s="421">
        <v>4155</v>
      </c>
      <c r="N154" s="421">
        <v>4155</v>
      </c>
      <c r="O154" s="173">
        <v>7000</v>
      </c>
      <c r="P154" s="173">
        <v>7000</v>
      </c>
      <c r="Q154" s="173">
        <v>96996</v>
      </c>
      <c r="R154" s="173">
        <v>96996</v>
      </c>
      <c r="S154" s="392"/>
      <c r="T154" s="392">
        <v>20000</v>
      </c>
      <c r="U154" s="392">
        <v>20000</v>
      </c>
      <c r="V154" s="392"/>
      <c r="W154" s="24"/>
      <c r="X154" s="396">
        <v>20000</v>
      </c>
      <c r="Y154" s="396">
        <v>20000</v>
      </c>
      <c r="Z154" s="396"/>
      <c r="AA154" s="5"/>
      <c r="AH154" s="25">
        <v>1</v>
      </c>
      <c r="AI154" s="392">
        <v>10000</v>
      </c>
    </row>
    <row r="155" spans="1:41" s="25" customFormat="1" ht="47.25">
      <c r="A155" s="190" t="s">
        <v>74</v>
      </c>
      <c r="B155" s="435" t="s">
        <v>442</v>
      </c>
      <c r="C155" s="191" t="s">
        <v>29</v>
      </c>
      <c r="D155" s="420" t="s">
        <v>443</v>
      </c>
      <c r="E155" s="163" t="s">
        <v>120</v>
      </c>
      <c r="F155" s="172" t="s">
        <v>444</v>
      </c>
      <c r="G155" s="421">
        <v>87409</v>
      </c>
      <c r="H155" s="173">
        <v>40000</v>
      </c>
      <c r="I155" s="421">
        <v>14900</v>
      </c>
      <c r="J155" s="421">
        <v>10000</v>
      </c>
      <c r="K155" s="421"/>
      <c r="L155" s="421"/>
      <c r="M155" s="421">
        <v>110</v>
      </c>
      <c r="N155" s="421">
        <v>110</v>
      </c>
      <c r="O155" s="421">
        <v>14900</v>
      </c>
      <c r="P155" s="421">
        <v>10000</v>
      </c>
      <c r="Q155" s="421">
        <v>87409</v>
      </c>
      <c r="R155" s="173">
        <v>40000</v>
      </c>
      <c r="S155" s="392"/>
      <c r="T155" s="392">
        <v>20000</v>
      </c>
      <c r="U155" s="392">
        <v>10000</v>
      </c>
      <c r="V155" s="392"/>
      <c r="W155" s="24"/>
      <c r="X155" s="396">
        <v>20000</v>
      </c>
      <c r="Y155" s="396">
        <v>10000</v>
      </c>
      <c r="Z155" s="396"/>
      <c r="AA155" s="5"/>
      <c r="AB155" s="15">
        <f t="shared" ref="AB155" si="129">SUM(AB156:AB161)</f>
        <v>0</v>
      </c>
      <c r="AC155" s="15">
        <f t="shared" ref="AC155:AK155" si="130">SUM(AC156:AC161)</f>
        <v>0</v>
      </c>
      <c r="AD155" s="15">
        <f t="shared" si="130"/>
        <v>0</v>
      </c>
      <c r="AE155" s="15">
        <f t="shared" si="130"/>
        <v>0</v>
      </c>
      <c r="AF155" s="15">
        <f t="shared" si="130"/>
        <v>0</v>
      </c>
      <c r="AG155" s="15">
        <f t="shared" si="130"/>
        <v>0</v>
      </c>
      <c r="AH155" s="15">
        <f t="shared" si="130"/>
        <v>5</v>
      </c>
      <c r="AI155" s="15">
        <f t="shared" si="130"/>
        <v>25400</v>
      </c>
      <c r="AJ155" s="15">
        <f t="shared" si="130"/>
        <v>0</v>
      </c>
      <c r="AK155" s="15">
        <f t="shared" si="130"/>
        <v>0</v>
      </c>
      <c r="AL155" s="15">
        <f>SUM(AL156:AL161)</f>
        <v>0</v>
      </c>
      <c r="AM155" s="15">
        <f>SUM(AM156:AM161)</f>
        <v>0</v>
      </c>
      <c r="AN155" s="15">
        <f>SUM(AN156:AN161)</f>
        <v>0</v>
      </c>
      <c r="AO155" s="15">
        <f>SUM(AO156:AO161)</f>
        <v>0</v>
      </c>
    </row>
    <row r="156" spans="1:41" s="25" customFormat="1" ht="36" customHeight="1">
      <c r="A156" s="26" t="s">
        <v>273</v>
      </c>
      <c r="B156" s="27" t="s">
        <v>48</v>
      </c>
      <c r="C156" s="13"/>
      <c r="D156" s="13"/>
      <c r="E156" s="14"/>
      <c r="F156" s="13"/>
      <c r="G156" s="15">
        <f>SUM(G157:G162)</f>
        <v>196189</v>
      </c>
      <c r="H156" s="15">
        <f t="shared" ref="H156:V156" si="131">SUM(H157:H162)</f>
        <v>160836</v>
      </c>
      <c r="I156" s="15">
        <f t="shared" si="131"/>
        <v>8800</v>
      </c>
      <c r="J156" s="15">
        <f t="shared" si="131"/>
        <v>8800</v>
      </c>
      <c r="K156" s="15">
        <f t="shared" si="131"/>
        <v>0</v>
      </c>
      <c r="L156" s="15">
        <f t="shared" si="131"/>
        <v>0</v>
      </c>
      <c r="M156" s="15">
        <f t="shared" si="131"/>
        <v>96</v>
      </c>
      <c r="N156" s="15">
        <f t="shared" si="131"/>
        <v>96</v>
      </c>
      <c r="O156" s="15">
        <f t="shared" si="131"/>
        <v>9199</v>
      </c>
      <c r="P156" s="15">
        <f t="shared" si="131"/>
        <v>9199</v>
      </c>
      <c r="Q156" s="15">
        <f t="shared" si="131"/>
        <v>196189</v>
      </c>
      <c r="R156" s="15">
        <f t="shared" si="131"/>
        <v>160836</v>
      </c>
      <c r="S156" s="15">
        <f t="shared" si="131"/>
        <v>0</v>
      </c>
      <c r="T156" s="15">
        <f t="shared" si="131"/>
        <v>100100</v>
      </c>
      <c r="U156" s="15">
        <f t="shared" si="131"/>
        <v>80441</v>
      </c>
      <c r="V156" s="15">
        <f t="shared" si="131"/>
        <v>0</v>
      </c>
      <c r="W156" s="379"/>
      <c r="X156" s="429">
        <f t="shared" ref="X156:Z156" si="132">SUM(X157:X162)</f>
        <v>100100</v>
      </c>
      <c r="Y156" s="429">
        <f t="shared" si="132"/>
        <v>80441</v>
      </c>
      <c r="Z156" s="429">
        <f t="shared" si="132"/>
        <v>0</v>
      </c>
      <c r="AA156" s="5"/>
      <c r="AH156" s="25">
        <v>1</v>
      </c>
      <c r="AI156" s="392">
        <v>5000</v>
      </c>
    </row>
    <row r="157" spans="1:41" s="25" customFormat="1" ht="36" customHeight="1">
      <c r="A157" s="190" t="s">
        <v>27</v>
      </c>
      <c r="B157" s="426" t="s">
        <v>445</v>
      </c>
      <c r="C157" s="172" t="s">
        <v>85</v>
      </c>
      <c r="D157" s="172" t="s">
        <v>446</v>
      </c>
      <c r="E157" s="163" t="s">
        <v>30</v>
      </c>
      <c r="F157" s="172" t="s">
        <v>447</v>
      </c>
      <c r="G157" s="173">
        <v>42248</v>
      </c>
      <c r="H157" s="173">
        <v>42248</v>
      </c>
      <c r="I157" s="392">
        <v>300</v>
      </c>
      <c r="J157" s="392">
        <v>300</v>
      </c>
      <c r="K157" s="392"/>
      <c r="L157" s="392"/>
      <c r="M157" s="392">
        <v>96</v>
      </c>
      <c r="N157" s="392">
        <v>96</v>
      </c>
      <c r="O157" s="392">
        <v>699</v>
      </c>
      <c r="P157" s="392">
        <v>699</v>
      </c>
      <c r="Q157" s="173">
        <v>42248</v>
      </c>
      <c r="R157" s="173">
        <v>42248</v>
      </c>
      <c r="S157" s="392"/>
      <c r="T157" s="392">
        <v>5000</v>
      </c>
      <c r="U157" s="392">
        <v>5000</v>
      </c>
      <c r="V157" s="392"/>
      <c r="W157" s="24"/>
      <c r="X157" s="396">
        <v>5000</v>
      </c>
      <c r="Y157" s="396">
        <v>5000</v>
      </c>
      <c r="Z157" s="396"/>
      <c r="AA157" s="5"/>
      <c r="AI157" s="392"/>
    </row>
    <row r="158" spans="1:41" s="25" customFormat="1" ht="51" customHeight="1">
      <c r="A158" s="190" t="s">
        <v>41</v>
      </c>
      <c r="B158" s="435" t="s">
        <v>448</v>
      </c>
      <c r="C158" s="191" t="s">
        <v>29</v>
      </c>
      <c r="D158" s="420" t="s">
        <v>449</v>
      </c>
      <c r="E158" s="163" t="s">
        <v>30</v>
      </c>
      <c r="F158" s="172" t="s">
        <v>450</v>
      </c>
      <c r="G158" s="421">
        <v>22711</v>
      </c>
      <c r="H158" s="421">
        <v>5141</v>
      </c>
      <c r="I158" s="421"/>
      <c r="J158" s="421"/>
      <c r="K158" s="392"/>
      <c r="L158" s="392"/>
      <c r="M158" s="392"/>
      <c r="N158" s="392"/>
      <c r="O158" s="421"/>
      <c r="P158" s="421"/>
      <c r="Q158" s="421">
        <v>22711</v>
      </c>
      <c r="R158" s="421">
        <v>5141</v>
      </c>
      <c r="S158" s="392"/>
      <c r="T158" s="392">
        <v>10000</v>
      </c>
      <c r="U158" s="392">
        <v>5141</v>
      </c>
      <c r="V158" s="392"/>
      <c r="W158" s="24"/>
      <c r="X158" s="396">
        <v>10000</v>
      </c>
      <c r="Y158" s="396">
        <v>5141</v>
      </c>
      <c r="Z158" s="396"/>
      <c r="AA158" s="5"/>
      <c r="AH158" s="25">
        <v>1</v>
      </c>
      <c r="AI158" s="392">
        <v>5400</v>
      </c>
    </row>
    <row r="159" spans="1:41" s="25" customFormat="1" ht="36" customHeight="1">
      <c r="A159" s="190" t="s">
        <v>58</v>
      </c>
      <c r="B159" s="214" t="s">
        <v>451</v>
      </c>
      <c r="C159" s="152"/>
      <c r="D159" s="420" t="s">
        <v>452</v>
      </c>
      <c r="E159" s="163" t="s">
        <v>30</v>
      </c>
      <c r="F159" s="172" t="s">
        <v>453</v>
      </c>
      <c r="G159" s="421">
        <v>32583</v>
      </c>
      <c r="H159" s="173">
        <v>14800</v>
      </c>
      <c r="I159" s="421"/>
      <c r="J159" s="421"/>
      <c r="K159" s="392"/>
      <c r="L159" s="392"/>
      <c r="M159" s="392"/>
      <c r="N159" s="392"/>
      <c r="O159" s="421"/>
      <c r="P159" s="421"/>
      <c r="Q159" s="392">
        <f>G159-O159</f>
        <v>32583</v>
      </c>
      <c r="R159" s="392">
        <f>H159-P159</f>
        <v>14800</v>
      </c>
      <c r="S159" s="392"/>
      <c r="T159" s="392">
        <v>29600</v>
      </c>
      <c r="U159" s="392">
        <v>14800</v>
      </c>
      <c r="V159" s="392"/>
      <c r="W159" s="24"/>
      <c r="X159" s="396">
        <v>29600</v>
      </c>
      <c r="Y159" s="396">
        <v>14800</v>
      </c>
      <c r="Z159" s="396"/>
      <c r="AA159" s="5"/>
      <c r="AH159" s="25">
        <v>1</v>
      </c>
      <c r="AI159" s="392">
        <v>5000</v>
      </c>
    </row>
    <row r="160" spans="1:41" s="25" customFormat="1" ht="36" customHeight="1">
      <c r="A160" s="190" t="s">
        <v>64</v>
      </c>
      <c r="B160" s="214" t="s">
        <v>454</v>
      </c>
      <c r="C160" s="172" t="s">
        <v>71</v>
      </c>
      <c r="D160" s="420" t="s">
        <v>455</v>
      </c>
      <c r="E160" s="163" t="s">
        <v>30</v>
      </c>
      <c r="F160" s="172" t="s">
        <v>456</v>
      </c>
      <c r="G160" s="421">
        <v>37999</v>
      </c>
      <c r="H160" s="421">
        <v>37999</v>
      </c>
      <c r="I160" s="421">
        <v>2000</v>
      </c>
      <c r="J160" s="421">
        <v>2000</v>
      </c>
      <c r="K160" s="392"/>
      <c r="L160" s="392"/>
      <c r="M160" s="392"/>
      <c r="N160" s="392"/>
      <c r="O160" s="421">
        <v>2000</v>
      </c>
      <c r="P160" s="421">
        <v>2000</v>
      </c>
      <c r="Q160" s="421">
        <v>37999</v>
      </c>
      <c r="R160" s="421">
        <v>37999</v>
      </c>
      <c r="S160" s="392"/>
      <c r="T160" s="392">
        <v>17000</v>
      </c>
      <c r="U160" s="392">
        <v>17000</v>
      </c>
      <c r="V160" s="392"/>
      <c r="W160" s="24"/>
      <c r="X160" s="396">
        <v>17000</v>
      </c>
      <c r="Y160" s="396">
        <v>17000</v>
      </c>
      <c r="Z160" s="396"/>
      <c r="AA160" s="5"/>
      <c r="AH160" s="25">
        <v>1</v>
      </c>
      <c r="AI160" s="392">
        <v>5000</v>
      </c>
    </row>
    <row r="161" spans="1:41" s="25" customFormat="1" ht="30">
      <c r="A161" s="190" t="s">
        <v>69</v>
      </c>
      <c r="B161" s="214" t="s">
        <v>457</v>
      </c>
      <c r="C161" s="172" t="s">
        <v>60</v>
      </c>
      <c r="D161" s="420" t="s">
        <v>458</v>
      </c>
      <c r="E161" s="163" t="s">
        <v>30</v>
      </c>
      <c r="F161" s="172" t="s">
        <v>459</v>
      </c>
      <c r="G161" s="421">
        <v>18528</v>
      </c>
      <c r="H161" s="421">
        <v>18528</v>
      </c>
      <c r="I161" s="421">
        <v>1000</v>
      </c>
      <c r="J161" s="421">
        <v>1000</v>
      </c>
      <c r="K161" s="392"/>
      <c r="L161" s="392"/>
      <c r="M161" s="392"/>
      <c r="N161" s="392"/>
      <c r="O161" s="421">
        <v>1000</v>
      </c>
      <c r="P161" s="421">
        <v>1000</v>
      </c>
      <c r="Q161" s="421">
        <v>18528</v>
      </c>
      <c r="R161" s="421">
        <v>18528</v>
      </c>
      <c r="S161" s="392"/>
      <c r="T161" s="392">
        <v>8500</v>
      </c>
      <c r="U161" s="392">
        <v>8500</v>
      </c>
      <c r="V161" s="392"/>
      <c r="W161" s="24"/>
      <c r="X161" s="396">
        <v>8500</v>
      </c>
      <c r="Y161" s="396">
        <v>8500</v>
      </c>
      <c r="Z161" s="396"/>
      <c r="AA161" s="5"/>
      <c r="AH161" s="25">
        <v>1</v>
      </c>
      <c r="AI161" s="392">
        <v>5000</v>
      </c>
    </row>
    <row r="162" spans="1:41" s="416" customFormat="1" ht="47.25">
      <c r="A162" s="190" t="s">
        <v>74</v>
      </c>
      <c r="B162" s="214" t="s">
        <v>460</v>
      </c>
      <c r="C162" s="172" t="s">
        <v>29</v>
      </c>
      <c r="D162" s="420" t="s">
        <v>461</v>
      </c>
      <c r="E162" s="163" t="s">
        <v>462</v>
      </c>
      <c r="F162" s="172" t="s">
        <v>463</v>
      </c>
      <c r="G162" s="421">
        <v>42120</v>
      </c>
      <c r="H162" s="421">
        <v>42120</v>
      </c>
      <c r="I162" s="421">
        <v>5500</v>
      </c>
      <c r="J162" s="421">
        <v>5500</v>
      </c>
      <c r="K162" s="392"/>
      <c r="L162" s="392"/>
      <c r="M162" s="392"/>
      <c r="N162" s="392"/>
      <c r="O162" s="421">
        <v>5500</v>
      </c>
      <c r="P162" s="421">
        <v>5500</v>
      </c>
      <c r="Q162" s="421">
        <v>42120</v>
      </c>
      <c r="R162" s="421">
        <v>42120</v>
      </c>
      <c r="S162" s="392"/>
      <c r="T162" s="392">
        <v>30000</v>
      </c>
      <c r="U162" s="392">
        <v>30000</v>
      </c>
      <c r="V162" s="392"/>
      <c r="W162" s="24"/>
      <c r="X162" s="396">
        <v>30000</v>
      </c>
      <c r="Y162" s="396">
        <v>30000</v>
      </c>
      <c r="Z162" s="396"/>
      <c r="AA162" s="5"/>
      <c r="AB162" s="362">
        <f t="shared" ref="AB162:AK162" si="133">AB163+AB166</f>
        <v>0</v>
      </c>
      <c r="AC162" s="362">
        <f t="shared" si="133"/>
        <v>0</v>
      </c>
      <c r="AD162" s="362">
        <f t="shared" si="133"/>
        <v>0</v>
      </c>
      <c r="AE162" s="362">
        <f t="shared" si="133"/>
        <v>0</v>
      </c>
      <c r="AF162" s="362">
        <f t="shared" si="133"/>
        <v>0</v>
      </c>
      <c r="AG162" s="362">
        <f t="shared" si="133"/>
        <v>0</v>
      </c>
      <c r="AH162" s="362">
        <f t="shared" si="133"/>
        <v>0</v>
      </c>
      <c r="AI162" s="362">
        <f t="shared" si="133"/>
        <v>0</v>
      </c>
      <c r="AJ162" s="362">
        <f t="shared" si="133"/>
        <v>0</v>
      </c>
      <c r="AK162" s="362">
        <f t="shared" si="133"/>
        <v>0</v>
      </c>
      <c r="AL162" s="362">
        <f>AL163+AL166</f>
        <v>6</v>
      </c>
      <c r="AM162" s="362">
        <f>AM163+AM166</f>
        <v>23000</v>
      </c>
      <c r="AN162" s="362">
        <f>AN163+AN166</f>
        <v>0</v>
      </c>
      <c r="AO162" s="362">
        <f>AO163+AO166</f>
        <v>0</v>
      </c>
    </row>
    <row r="163" spans="1:41" s="416" customFormat="1" ht="31.5">
      <c r="A163" s="440" t="s">
        <v>150</v>
      </c>
      <c r="B163" s="418" t="s">
        <v>151</v>
      </c>
      <c r="C163" s="409"/>
      <c r="D163" s="409"/>
      <c r="E163" s="419"/>
      <c r="F163" s="409"/>
      <c r="G163" s="362">
        <f t="shared" ref="G163:V163" si="134">G164+G166</f>
        <v>165423</v>
      </c>
      <c r="H163" s="362">
        <f t="shared" si="134"/>
        <v>163955</v>
      </c>
      <c r="I163" s="362">
        <f t="shared" si="134"/>
        <v>200</v>
      </c>
      <c r="J163" s="362">
        <f t="shared" si="134"/>
        <v>200</v>
      </c>
      <c r="K163" s="362">
        <f t="shared" si="134"/>
        <v>0</v>
      </c>
      <c r="L163" s="362">
        <f t="shared" si="134"/>
        <v>0</v>
      </c>
      <c r="M163" s="362">
        <f t="shared" si="134"/>
        <v>0</v>
      </c>
      <c r="N163" s="362">
        <f t="shared" si="134"/>
        <v>0</v>
      </c>
      <c r="O163" s="362">
        <f t="shared" si="134"/>
        <v>200</v>
      </c>
      <c r="P163" s="362">
        <f t="shared" si="134"/>
        <v>200</v>
      </c>
      <c r="Q163" s="362">
        <f t="shared" si="134"/>
        <v>165423</v>
      </c>
      <c r="R163" s="362">
        <f t="shared" si="134"/>
        <v>163955</v>
      </c>
      <c r="S163" s="362">
        <f t="shared" si="134"/>
        <v>0</v>
      </c>
      <c r="T163" s="362">
        <f t="shared" si="134"/>
        <v>21000</v>
      </c>
      <c r="U163" s="362">
        <f t="shared" si="134"/>
        <v>21000</v>
      </c>
      <c r="V163" s="362">
        <f t="shared" si="134"/>
        <v>0</v>
      </c>
      <c r="W163" s="363"/>
      <c r="X163" s="364">
        <f t="shared" ref="X163:Z163" si="135">X164+X166</f>
        <v>21000</v>
      </c>
      <c r="Y163" s="364">
        <f t="shared" si="135"/>
        <v>21000</v>
      </c>
      <c r="Z163" s="364">
        <f t="shared" si="135"/>
        <v>0</v>
      </c>
      <c r="AA163" s="5"/>
      <c r="AB163" s="362">
        <f t="shared" ref="AB163:AK163" si="136">SUM(AB164:AB165)</f>
        <v>0</v>
      </c>
      <c r="AC163" s="362">
        <f t="shared" si="136"/>
        <v>0</v>
      </c>
      <c r="AD163" s="362">
        <f t="shared" si="136"/>
        <v>0</v>
      </c>
      <c r="AE163" s="362">
        <f t="shared" si="136"/>
        <v>0</v>
      </c>
      <c r="AF163" s="362">
        <f t="shared" si="136"/>
        <v>0</v>
      </c>
      <c r="AG163" s="362">
        <f t="shared" si="136"/>
        <v>0</v>
      </c>
      <c r="AH163" s="362">
        <f t="shared" si="136"/>
        <v>0</v>
      </c>
      <c r="AI163" s="362">
        <f t="shared" si="136"/>
        <v>0</v>
      </c>
      <c r="AJ163" s="362">
        <f t="shared" si="136"/>
        <v>0</v>
      </c>
      <c r="AK163" s="362">
        <f t="shared" si="136"/>
        <v>0</v>
      </c>
      <c r="AL163" s="362">
        <f>SUM(AL164:AL165)</f>
        <v>2</v>
      </c>
      <c r="AM163" s="362">
        <f>SUM(AM164:AM165)</f>
        <v>6000</v>
      </c>
      <c r="AN163" s="362">
        <f>SUM(AN164:AN165)</f>
        <v>0</v>
      </c>
      <c r="AO163" s="362">
        <f>SUM(AO164:AO165)</f>
        <v>0</v>
      </c>
    </row>
    <row r="164" spans="1:41" s="25" customFormat="1" ht="15.75">
      <c r="A164" s="26" t="s">
        <v>34</v>
      </c>
      <c r="B164" s="27" t="s">
        <v>35</v>
      </c>
      <c r="C164" s="409"/>
      <c r="D164" s="409"/>
      <c r="E164" s="419"/>
      <c r="F164" s="409"/>
      <c r="G164" s="362">
        <f t="shared" ref="G164:Z164" si="137">SUM(G165:G165)</f>
        <v>80211</v>
      </c>
      <c r="H164" s="362">
        <f t="shared" si="137"/>
        <v>80211</v>
      </c>
      <c r="I164" s="362">
        <f t="shared" si="137"/>
        <v>0</v>
      </c>
      <c r="J164" s="362">
        <f t="shared" si="137"/>
        <v>0</v>
      </c>
      <c r="K164" s="362">
        <f t="shared" si="137"/>
        <v>0</v>
      </c>
      <c r="L164" s="362">
        <f t="shared" si="137"/>
        <v>0</v>
      </c>
      <c r="M164" s="362">
        <f t="shared" si="137"/>
        <v>0</v>
      </c>
      <c r="N164" s="362">
        <f t="shared" si="137"/>
        <v>0</v>
      </c>
      <c r="O164" s="362">
        <f t="shared" si="137"/>
        <v>0</v>
      </c>
      <c r="P164" s="362">
        <f t="shared" si="137"/>
        <v>0</v>
      </c>
      <c r="Q164" s="362">
        <f t="shared" si="137"/>
        <v>80211</v>
      </c>
      <c r="R164" s="362">
        <f t="shared" si="137"/>
        <v>80211</v>
      </c>
      <c r="S164" s="362">
        <f t="shared" si="137"/>
        <v>0</v>
      </c>
      <c r="T164" s="362">
        <f t="shared" si="137"/>
        <v>5000</v>
      </c>
      <c r="U164" s="362">
        <f t="shared" si="137"/>
        <v>5000</v>
      </c>
      <c r="V164" s="362">
        <f t="shared" si="137"/>
        <v>0</v>
      </c>
      <c r="W164" s="363"/>
      <c r="X164" s="364">
        <f t="shared" si="137"/>
        <v>5000</v>
      </c>
      <c r="Y164" s="364">
        <f t="shared" si="137"/>
        <v>5000</v>
      </c>
      <c r="Z164" s="364">
        <f t="shared" si="137"/>
        <v>0</v>
      </c>
      <c r="AA164" s="5"/>
      <c r="AL164" s="25">
        <v>1</v>
      </c>
      <c r="AM164" s="72">
        <v>5000</v>
      </c>
    </row>
    <row r="165" spans="1:41" s="25" customFormat="1" ht="47.25">
      <c r="A165" s="150">
        <v>1</v>
      </c>
      <c r="B165" s="411" t="s">
        <v>464</v>
      </c>
      <c r="C165" s="172" t="s">
        <v>66</v>
      </c>
      <c r="D165" s="172" t="s">
        <v>465</v>
      </c>
      <c r="E165" s="163" t="s">
        <v>120</v>
      </c>
      <c r="F165" s="314" t="s">
        <v>466</v>
      </c>
      <c r="G165" s="153">
        <v>80211</v>
      </c>
      <c r="H165" s="193">
        <v>80211</v>
      </c>
      <c r="I165" s="72"/>
      <c r="J165" s="72"/>
      <c r="K165" s="72"/>
      <c r="L165" s="72"/>
      <c r="M165" s="72"/>
      <c r="N165" s="72"/>
      <c r="O165" s="72"/>
      <c r="P165" s="72"/>
      <c r="Q165" s="72">
        <f>G165-O165</f>
        <v>80211</v>
      </c>
      <c r="R165" s="72">
        <f>H165-P165</f>
        <v>80211</v>
      </c>
      <c r="S165" s="72"/>
      <c r="T165" s="72">
        <v>5000</v>
      </c>
      <c r="U165" s="72">
        <v>5000</v>
      </c>
      <c r="V165" s="72"/>
      <c r="W165" s="24"/>
      <c r="X165" s="356">
        <v>5000</v>
      </c>
      <c r="Y165" s="356">
        <v>5000</v>
      </c>
      <c r="Z165" s="356"/>
      <c r="AA165" s="5"/>
      <c r="AL165" s="25">
        <v>1</v>
      </c>
      <c r="AM165" s="72">
        <v>1000</v>
      </c>
    </row>
    <row r="166" spans="1:41" s="416" customFormat="1" ht="15.75">
      <c r="A166" s="26" t="s">
        <v>47</v>
      </c>
      <c r="B166" s="27" t="s">
        <v>48</v>
      </c>
      <c r="C166" s="409"/>
      <c r="D166" s="409"/>
      <c r="E166" s="419"/>
      <c r="F166" s="409"/>
      <c r="G166" s="362">
        <f>SUM(G167:G170)</f>
        <v>85212</v>
      </c>
      <c r="H166" s="362">
        <f t="shared" ref="H166:V166" si="138">SUM(H167:H170)</f>
        <v>83744</v>
      </c>
      <c r="I166" s="362">
        <f t="shared" si="138"/>
        <v>200</v>
      </c>
      <c r="J166" s="362">
        <f t="shared" si="138"/>
        <v>200</v>
      </c>
      <c r="K166" s="362">
        <f t="shared" si="138"/>
        <v>0</v>
      </c>
      <c r="L166" s="362">
        <f t="shared" si="138"/>
        <v>0</v>
      </c>
      <c r="M166" s="362">
        <f t="shared" si="138"/>
        <v>0</v>
      </c>
      <c r="N166" s="362">
        <f t="shared" si="138"/>
        <v>0</v>
      </c>
      <c r="O166" s="362">
        <f t="shared" si="138"/>
        <v>200</v>
      </c>
      <c r="P166" s="362">
        <f t="shared" si="138"/>
        <v>200</v>
      </c>
      <c r="Q166" s="362">
        <f t="shared" si="138"/>
        <v>85212</v>
      </c>
      <c r="R166" s="362">
        <f t="shared" si="138"/>
        <v>83744</v>
      </c>
      <c r="S166" s="362">
        <f t="shared" si="138"/>
        <v>0</v>
      </c>
      <c r="T166" s="362">
        <f t="shared" si="138"/>
        <v>16000</v>
      </c>
      <c r="U166" s="362">
        <f t="shared" si="138"/>
        <v>16000</v>
      </c>
      <c r="V166" s="362">
        <f t="shared" si="138"/>
        <v>0</v>
      </c>
      <c r="W166" s="363"/>
      <c r="X166" s="364">
        <f t="shared" ref="X166:Z166" si="139">SUM(X167:X170)</f>
        <v>16000</v>
      </c>
      <c r="Y166" s="364">
        <f t="shared" si="139"/>
        <v>16000</v>
      </c>
      <c r="Z166" s="364">
        <f t="shared" si="139"/>
        <v>0</v>
      </c>
      <c r="AA166" s="5"/>
      <c r="AB166" s="362">
        <f t="shared" ref="AB166:AK166" si="140">SUM(AB167:AB170)</f>
        <v>0</v>
      </c>
      <c r="AC166" s="362">
        <f t="shared" si="140"/>
        <v>0</v>
      </c>
      <c r="AD166" s="362">
        <f t="shared" si="140"/>
        <v>0</v>
      </c>
      <c r="AE166" s="362">
        <f t="shared" si="140"/>
        <v>0</v>
      </c>
      <c r="AF166" s="362">
        <f t="shared" si="140"/>
        <v>0</v>
      </c>
      <c r="AG166" s="362">
        <f t="shared" si="140"/>
        <v>0</v>
      </c>
      <c r="AH166" s="362">
        <f t="shared" si="140"/>
        <v>0</v>
      </c>
      <c r="AI166" s="362">
        <f t="shared" si="140"/>
        <v>0</v>
      </c>
      <c r="AJ166" s="362">
        <f t="shared" si="140"/>
        <v>0</v>
      </c>
      <c r="AK166" s="362">
        <f t="shared" si="140"/>
        <v>0</v>
      </c>
      <c r="AL166" s="362">
        <f>SUM(AL167:AL170)</f>
        <v>4</v>
      </c>
      <c r="AM166" s="362">
        <f t="shared" ref="AM166" si="141">SUM(AM167:AM170)</f>
        <v>17000</v>
      </c>
      <c r="AN166" s="362">
        <f>SUM(AN167:AN170)</f>
        <v>0</v>
      </c>
      <c r="AO166" s="362">
        <f>SUM(AO167:AO170)</f>
        <v>0</v>
      </c>
    </row>
    <row r="167" spans="1:41" s="25" customFormat="1" ht="45">
      <c r="A167" s="150">
        <v>1</v>
      </c>
      <c r="B167" s="411" t="s">
        <v>477</v>
      </c>
      <c r="C167" s="172" t="s">
        <v>112</v>
      </c>
      <c r="D167" s="172" t="s">
        <v>1242</v>
      </c>
      <c r="E167" s="163" t="s">
        <v>154</v>
      </c>
      <c r="F167" s="172" t="s">
        <v>1243</v>
      </c>
      <c r="G167" s="173">
        <v>5733</v>
      </c>
      <c r="H167" s="173">
        <v>5733</v>
      </c>
      <c r="I167" s="173">
        <v>100</v>
      </c>
      <c r="J167" s="72">
        <v>100</v>
      </c>
      <c r="K167" s="72"/>
      <c r="L167" s="72"/>
      <c r="M167" s="72"/>
      <c r="N167" s="72"/>
      <c r="O167" s="72">
        <v>100</v>
      </c>
      <c r="P167" s="72">
        <v>100</v>
      </c>
      <c r="Q167" s="173">
        <v>5733</v>
      </c>
      <c r="R167" s="173">
        <v>5733</v>
      </c>
      <c r="S167" s="72"/>
      <c r="T167" s="72">
        <v>2000</v>
      </c>
      <c r="U167" s="72">
        <v>2000</v>
      </c>
      <c r="V167" s="72"/>
      <c r="W167" s="24"/>
      <c r="X167" s="356">
        <v>2000</v>
      </c>
      <c r="Y167" s="356">
        <v>2000</v>
      </c>
      <c r="Z167" s="356"/>
      <c r="AA167" s="5"/>
      <c r="AL167" s="25">
        <v>1</v>
      </c>
      <c r="AM167" s="72">
        <v>5000</v>
      </c>
    </row>
    <row r="168" spans="1:41" s="25" customFormat="1" ht="63">
      <c r="A168" s="150">
        <v>2</v>
      </c>
      <c r="B168" s="411" t="s">
        <v>480</v>
      </c>
      <c r="C168" s="172" t="s">
        <v>112</v>
      </c>
      <c r="D168" s="172" t="s">
        <v>481</v>
      </c>
      <c r="E168" s="163" t="s">
        <v>154</v>
      </c>
      <c r="F168" s="172" t="s">
        <v>482</v>
      </c>
      <c r="G168" s="173">
        <v>12030</v>
      </c>
      <c r="H168" s="173">
        <v>12030</v>
      </c>
      <c r="I168" s="173">
        <v>100</v>
      </c>
      <c r="J168" s="72">
        <v>100</v>
      </c>
      <c r="K168" s="72"/>
      <c r="L168" s="72"/>
      <c r="M168" s="72"/>
      <c r="N168" s="72"/>
      <c r="O168" s="72">
        <v>100</v>
      </c>
      <c r="P168" s="72">
        <v>100</v>
      </c>
      <c r="Q168" s="173">
        <v>12030</v>
      </c>
      <c r="R168" s="173">
        <v>12030</v>
      </c>
      <c r="S168" s="72"/>
      <c r="T168" s="72">
        <v>2000</v>
      </c>
      <c r="U168" s="72">
        <v>2000</v>
      </c>
      <c r="V168" s="72"/>
      <c r="W168" s="24"/>
      <c r="X168" s="356">
        <v>2000</v>
      </c>
      <c r="Y168" s="356">
        <v>2000</v>
      </c>
      <c r="Z168" s="356"/>
      <c r="AA168" s="5"/>
      <c r="AL168" s="25">
        <v>1</v>
      </c>
      <c r="AM168" s="72">
        <v>5000</v>
      </c>
    </row>
    <row r="169" spans="1:41" s="5" customFormat="1" ht="63">
      <c r="A169" s="67">
        <v>3</v>
      </c>
      <c r="B169" s="214" t="s">
        <v>483</v>
      </c>
      <c r="C169" s="94" t="s">
        <v>484</v>
      </c>
      <c r="D169" s="101" t="s">
        <v>1244</v>
      </c>
      <c r="E169" s="137" t="s">
        <v>30</v>
      </c>
      <c r="F169" s="354"/>
      <c r="G169" s="355">
        <v>6873</v>
      </c>
      <c r="H169" s="72">
        <v>5405</v>
      </c>
      <c r="I169" s="72"/>
      <c r="J169" s="72"/>
      <c r="K169" s="72"/>
      <c r="L169" s="72"/>
      <c r="M169" s="72"/>
      <c r="N169" s="72"/>
      <c r="O169" s="72"/>
      <c r="P169" s="72"/>
      <c r="Q169" s="355">
        <v>6873</v>
      </c>
      <c r="R169" s="72">
        <v>5405</v>
      </c>
      <c r="S169" s="72"/>
      <c r="T169" s="72">
        <v>2000</v>
      </c>
      <c r="U169" s="72">
        <v>2000</v>
      </c>
      <c r="V169" s="72"/>
      <c r="W169" s="269"/>
      <c r="X169" s="356">
        <v>2000</v>
      </c>
      <c r="Y169" s="356">
        <v>2000</v>
      </c>
      <c r="Z169" s="356"/>
      <c r="AL169" s="25">
        <v>1</v>
      </c>
      <c r="AM169" s="72">
        <v>2000</v>
      </c>
    </row>
    <row r="170" spans="1:41" s="25" customFormat="1" ht="75">
      <c r="A170" s="150">
        <v>4</v>
      </c>
      <c r="B170" s="411" t="s">
        <v>468</v>
      </c>
      <c r="C170" s="172" t="s">
        <v>71</v>
      </c>
      <c r="D170" s="172" t="s">
        <v>469</v>
      </c>
      <c r="E170" s="163" t="s">
        <v>163</v>
      </c>
      <c r="F170" s="172"/>
      <c r="G170" s="173">
        <v>60576</v>
      </c>
      <c r="H170" s="173">
        <v>60576</v>
      </c>
      <c r="I170" s="72"/>
      <c r="J170" s="72"/>
      <c r="K170" s="72"/>
      <c r="L170" s="72"/>
      <c r="M170" s="72"/>
      <c r="N170" s="72"/>
      <c r="O170" s="72"/>
      <c r="P170" s="72"/>
      <c r="Q170" s="173">
        <v>60576</v>
      </c>
      <c r="R170" s="173">
        <v>60576</v>
      </c>
      <c r="S170" s="72"/>
      <c r="T170" s="72">
        <v>10000</v>
      </c>
      <c r="U170" s="72">
        <v>10000</v>
      </c>
      <c r="V170" s="72"/>
      <c r="W170" s="24"/>
      <c r="X170" s="356">
        <v>10000</v>
      </c>
      <c r="Y170" s="356">
        <v>10000</v>
      </c>
      <c r="Z170" s="356"/>
      <c r="AA170" s="5"/>
      <c r="AL170" s="25">
        <v>1</v>
      </c>
      <c r="AM170" s="72">
        <v>5000</v>
      </c>
    </row>
    <row r="171" spans="1:41" s="25" customFormat="1" ht="15.75">
      <c r="A171" s="150"/>
      <c r="B171" s="411"/>
      <c r="C171" s="172"/>
      <c r="D171" s="172"/>
      <c r="E171" s="163"/>
      <c r="F171" s="172"/>
      <c r="G171" s="173"/>
      <c r="H171" s="173"/>
      <c r="I171" s="72"/>
      <c r="J171" s="72">
        <f>112006-J172</f>
        <v>0</v>
      </c>
      <c r="K171" s="72"/>
      <c r="L171" s="72"/>
      <c r="M171" s="72"/>
      <c r="N171" s="72"/>
      <c r="O171" s="72"/>
      <c r="P171" s="72"/>
      <c r="Q171" s="72"/>
      <c r="R171" s="72"/>
      <c r="S171" s="72"/>
      <c r="T171" s="72"/>
      <c r="U171" s="72"/>
      <c r="V171" s="72"/>
      <c r="W171" s="24"/>
      <c r="X171" s="356"/>
      <c r="Y171" s="356"/>
      <c r="Z171" s="356"/>
      <c r="AA171" s="5"/>
    </row>
    <row r="172" spans="1:41" s="208" customFormat="1" ht="31.5">
      <c r="A172" s="147" t="s">
        <v>498</v>
      </c>
      <c r="B172" s="209" t="s">
        <v>1245</v>
      </c>
      <c r="C172" s="126"/>
      <c r="D172" s="126"/>
      <c r="E172" s="127"/>
      <c r="F172" s="126"/>
      <c r="G172" s="63">
        <f>G173</f>
        <v>2985262</v>
      </c>
      <c r="H172" s="63">
        <f t="shared" ref="H172:Z172" si="142">H173</f>
        <v>653451</v>
      </c>
      <c r="I172" s="63">
        <f t="shared" si="142"/>
        <v>236976</v>
      </c>
      <c r="J172" s="63">
        <f t="shared" si="142"/>
        <v>112006</v>
      </c>
      <c r="K172" s="63">
        <f t="shared" si="142"/>
        <v>8311</v>
      </c>
      <c r="L172" s="63">
        <f t="shared" si="142"/>
        <v>868</v>
      </c>
      <c r="M172" s="63">
        <f t="shared" si="142"/>
        <v>62301</v>
      </c>
      <c r="N172" s="63">
        <f t="shared" si="142"/>
        <v>25105</v>
      </c>
      <c r="O172" s="63">
        <f t="shared" si="142"/>
        <v>680090</v>
      </c>
      <c r="P172" s="63">
        <f t="shared" si="142"/>
        <v>200584</v>
      </c>
      <c r="Q172" s="63">
        <f t="shared" si="142"/>
        <v>2374295</v>
      </c>
      <c r="R172" s="63">
        <f t="shared" si="142"/>
        <v>568719</v>
      </c>
      <c r="S172" s="63">
        <f t="shared" si="142"/>
        <v>0</v>
      </c>
      <c r="T172" s="63">
        <f t="shared" si="142"/>
        <v>660688</v>
      </c>
      <c r="U172" s="63">
        <f t="shared" si="142"/>
        <v>116038</v>
      </c>
      <c r="V172" s="63">
        <f t="shared" si="142"/>
        <v>0</v>
      </c>
      <c r="W172" s="410"/>
      <c r="X172" s="347">
        <f t="shared" si="142"/>
        <v>692459</v>
      </c>
      <c r="Y172" s="347">
        <f t="shared" si="142"/>
        <v>147809</v>
      </c>
      <c r="Z172" s="347">
        <f t="shared" si="142"/>
        <v>0</v>
      </c>
      <c r="AA172" s="348">
        <f>+U172/(2704380-258412-300000)*100</f>
        <v>5.4072567717691973</v>
      </c>
      <c r="AB172" s="63">
        <f t="shared" ref="AB172:AK172" si="143">AB173</f>
        <v>0</v>
      </c>
      <c r="AC172" s="63">
        <f t="shared" si="143"/>
        <v>0</v>
      </c>
      <c r="AD172" s="63">
        <f t="shared" si="143"/>
        <v>2</v>
      </c>
      <c r="AE172" s="63">
        <f t="shared" si="143"/>
        <v>10000</v>
      </c>
      <c r="AF172" s="63">
        <f t="shared" si="143"/>
        <v>0</v>
      </c>
      <c r="AG172" s="63">
        <f t="shared" si="143"/>
        <v>0</v>
      </c>
      <c r="AH172" s="63">
        <f t="shared" si="143"/>
        <v>2</v>
      </c>
      <c r="AI172" s="63">
        <f t="shared" si="143"/>
        <v>77371</v>
      </c>
      <c r="AJ172" s="63">
        <f t="shared" si="143"/>
        <v>0</v>
      </c>
      <c r="AK172" s="63">
        <f t="shared" si="143"/>
        <v>0</v>
      </c>
      <c r="AL172" s="63">
        <f>AL173</f>
        <v>0</v>
      </c>
      <c r="AM172" s="63">
        <f>AM173</f>
        <v>0</v>
      </c>
      <c r="AN172" s="63">
        <f>AN173</f>
        <v>0</v>
      </c>
      <c r="AO172" s="63">
        <f>AO173</f>
        <v>0</v>
      </c>
    </row>
    <row r="173" spans="1:41" s="5" customFormat="1" ht="36" customHeight="1">
      <c r="A173" s="82" t="s">
        <v>499</v>
      </c>
      <c r="B173" s="213" t="s">
        <v>31</v>
      </c>
      <c r="C173" s="43"/>
      <c r="D173" s="43"/>
      <c r="E173" s="44"/>
      <c r="F173" s="43"/>
      <c r="G173" s="45">
        <f>G174+G191+G177</f>
        <v>2985262</v>
      </c>
      <c r="H173" s="45">
        <f t="shared" ref="H173:V173" si="144">H174+H191+H177</f>
        <v>653451</v>
      </c>
      <c r="I173" s="45">
        <f t="shared" si="144"/>
        <v>236976</v>
      </c>
      <c r="J173" s="45">
        <f t="shared" si="144"/>
        <v>112006</v>
      </c>
      <c r="K173" s="45">
        <f t="shared" si="144"/>
        <v>8311</v>
      </c>
      <c r="L173" s="45">
        <f t="shared" si="144"/>
        <v>868</v>
      </c>
      <c r="M173" s="45">
        <f t="shared" si="144"/>
        <v>62301</v>
      </c>
      <c r="N173" s="45">
        <f t="shared" si="144"/>
        <v>25105</v>
      </c>
      <c r="O173" s="45">
        <f t="shared" si="144"/>
        <v>680090</v>
      </c>
      <c r="P173" s="45">
        <f t="shared" si="144"/>
        <v>200584</v>
      </c>
      <c r="Q173" s="45">
        <f t="shared" si="144"/>
        <v>2374295</v>
      </c>
      <c r="R173" s="45">
        <f t="shared" si="144"/>
        <v>568719</v>
      </c>
      <c r="S173" s="45">
        <f t="shared" si="144"/>
        <v>0</v>
      </c>
      <c r="T173" s="45">
        <f t="shared" si="144"/>
        <v>660688</v>
      </c>
      <c r="U173" s="45">
        <f t="shared" si="144"/>
        <v>116038</v>
      </c>
      <c r="V173" s="45">
        <f t="shared" si="144"/>
        <v>0</v>
      </c>
      <c r="W173" s="269"/>
      <c r="X173" s="347">
        <f t="shared" ref="X173:Z173" si="145">X174+X191+X177</f>
        <v>692459</v>
      </c>
      <c r="Y173" s="347">
        <f t="shared" si="145"/>
        <v>147809</v>
      </c>
      <c r="Z173" s="347">
        <f t="shared" si="145"/>
        <v>0</v>
      </c>
      <c r="AB173" s="45">
        <f t="shared" ref="AB173:AK173" si="146">AB174+AB191+AB177</f>
        <v>0</v>
      </c>
      <c r="AC173" s="45">
        <f t="shared" si="146"/>
        <v>0</v>
      </c>
      <c r="AD173" s="45">
        <f t="shared" si="146"/>
        <v>2</v>
      </c>
      <c r="AE173" s="45">
        <f t="shared" si="146"/>
        <v>10000</v>
      </c>
      <c r="AF173" s="45">
        <f t="shared" si="146"/>
        <v>0</v>
      </c>
      <c r="AG173" s="45">
        <f t="shared" si="146"/>
        <v>0</v>
      </c>
      <c r="AH173" s="45">
        <f t="shared" si="146"/>
        <v>2</v>
      </c>
      <c r="AI173" s="45">
        <f t="shared" si="146"/>
        <v>77371</v>
      </c>
      <c r="AJ173" s="45">
        <f t="shared" si="146"/>
        <v>0</v>
      </c>
      <c r="AK173" s="45">
        <f t="shared" si="146"/>
        <v>0</v>
      </c>
      <c r="AL173" s="45">
        <f>AL174+AL191+AL177</f>
        <v>0</v>
      </c>
      <c r="AM173" s="45">
        <f>AM174+AM191+AM177</f>
        <v>0</v>
      </c>
      <c r="AN173" s="45">
        <f>AN174+AN191+AN177</f>
        <v>0</v>
      </c>
      <c r="AO173" s="45">
        <f>AO174+AO191+AO177</f>
        <v>0</v>
      </c>
    </row>
    <row r="174" spans="1:41" s="25" customFormat="1" ht="47.25">
      <c r="A174" s="417" t="s">
        <v>32</v>
      </c>
      <c r="B174" s="418" t="s">
        <v>33</v>
      </c>
      <c r="C174" s="198"/>
      <c r="D174" s="19"/>
      <c r="E174" s="95"/>
      <c r="F174" s="19"/>
      <c r="G174" s="441">
        <f>G175</f>
        <v>311095</v>
      </c>
      <c r="H174" s="441">
        <f t="shared" ref="H174:X175" si="147">H175</f>
        <v>54559</v>
      </c>
      <c r="I174" s="441">
        <f t="shared" si="147"/>
        <v>31771</v>
      </c>
      <c r="J174" s="441">
        <f t="shared" si="147"/>
        <v>31771</v>
      </c>
      <c r="K174" s="441">
        <f t="shared" si="147"/>
        <v>7382</v>
      </c>
      <c r="L174" s="441">
        <f t="shared" si="147"/>
        <v>0</v>
      </c>
      <c r="M174" s="441">
        <f t="shared" si="147"/>
        <v>1565</v>
      </c>
      <c r="N174" s="441">
        <f t="shared" si="147"/>
        <v>789</v>
      </c>
      <c r="O174" s="441">
        <f t="shared" si="147"/>
        <v>298424</v>
      </c>
      <c r="P174" s="441">
        <f t="shared" si="147"/>
        <v>41888</v>
      </c>
      <c r="Q174" s="441">
        <f t="shared" si="147"/>
        <v>78227</v>
      </c>
      <c r="R174" s="441">
        <f t="shared" si="147"/>
        <v>47435</v>
      </c>
      <c r="S174" s="441">
        <f t="shared" si="147"/>
        <v>0</v>
      </c>
      <c r="T174" s="441">
        <f t="shared" si="147"/>
        <v>46456</v>
      </c>
      <c r="U174" s="441">
        <f t="shared" si="147"/>
        <v>15664</v>
      </c>
      <c r="V174" s="441">
        <f t="shared" si="147"/>
        <v>0</v>
      </c>
      <c r="W174" s="24"/>
      <c r="X174" s="442">
        <f t="shared" si="147"/>
        <v>78227</v>
      </c>
      <c r="Y174" s="442">
        <f t="shared" ref="X174:Z175" si="148">Y175</f>
        <v>47435</v>
      </c>
      <c r="Z174" s="442">
        <f t="shared" si="148"/>
        <v>0</v>
      </c>
      <c r="AA174" s="5"/>
      <c r="AB174" s="441">
        <f t="shared" ref="AB174:AO175" si="149">AB175</f>
        <v>0</v>
      </c>
      <c r="AC174" s="441">
        <f t="shared" si="149"/>
        <v>0</v>
      </c>
      <c r="AD174" s="441">
        <f t="shared" si="149"/>
        <v>0</v>
      </c>
      <c r="AE174" s="441">
        <f t="shared" si="149"/>
        <v>0</v>
      </c>
      <c r="AF174" s="441">
        <f t="shared" si="149"/>
        <v>0</v>
      </c>
      <c r="AG174" s="441">
        <f t="shared" si="149"/>
        <v>0</v>
      </c>
      <c r="AH174" s="441">
        <f t="shared" si="149"/>
        <v>0</v>
      </c>
      <c r="AI174" s="441">
        <f t="shared" si="149"/>
        <v>0</v>
      </c>
      <c r="AJ174" s="441">
        <f t="shared" si="149"/>
        <v>0</v>
      </c>
      <c r="AK174" s="441">
        <f t="shared" si="149"/>
        <v>0</v>
      </c>
      <c r="AL174" s="441">
        <f t="shared" si="149"/>
        <v>0</v>
      </c>
      <c r="AM174" s="441">
        <f t="shared" si="149"/>
        <v>0</v>
      </c>
      <c r="AN174" s="441">
        <f t="shared" si="149"/>
        <v>0</v>
      </c>
      <c r="AO174" s="441">
        <f t="shared" si="149"/>
        <v>0</v>
      </c>
    </row>
    <row r="175" spans="1:41" s="445" customFormat="1" ht="15.75">
      <c r="A175" s="200" t="s">
        <v>47</v>
      </c>
      <c r="B175" s="275" t="s">
        <v>35</v>
      </c>
      <c r="C175" s="201"/>
      <c r="D175" s="201"/>
      <c r="E175" s="202"/>
      <c r="F175" s="201"/>
      <c r="G175" s="443">
        <f>G176</f>
        <v>311095</v>
      </c>
      <c r="H175" s="443">
        <f t="shared" si="147"/>
        <v>54559</v>
      </c>
      <c r="I175" s="443">
        <f t="shared" si="147"/>
        <v>31771</v>
      </c>
      <c r="J175" s="443">
        <f t="shared" si="147"/>
        <v>31771</v>
      </c>
      <c r="K175" s="443">
        <f t="shared" si="147"/>
        <v>7382</v>
      </c>
      <c r="L175" s="443">
        <f t="shared" si="147"/>
        <v>0</v>
      </c>
      <c r="M175" s="443">
        <f t="shared" si="147"/>
        <v>1565</v>
      </c>
      <c r="N175" s="443">
        <f t="shared" si="147"/>
        <v>789</v>
      </c>
      <c r="O175" s="443">
        <f t="shared" si="147"/>
        <v>298424</v>
      </c>
      <c r="P175" s="443">
        <f t="shared" si="147"/>
        <v>41888</v>
      </c>
      <c r="Q175" s="443">
        <f t="shared" si="147"/>
        <v>78227</v>
      </c>
      <c r="R175" s="443">
        <f t="shared" si="147"/>
        <v>47435</v>
      </c>
      <c r="S175" s="443">
        <f t="shared" si="147"/>
        <v>0</v>
      </c>
      <c r="T175" s="443">
        <f t="shared" si="147"/>
        <v>46456</v>
      </c>
      <c r="U175" s="443">
        <f t="shared" si="147"/>
        <v>15664</v>
      </c>
      <c r="V175" s="443">
        <f t="shared" si="147"/>
        <v>0</v>
      </c>
      <c r="W175" s="444"/>
      <c r="X175" s="386">
        <f t="shared" si="148"/>
        <v>78227</v>
      </c>
      <c r="Y175" s="386">
        <f t="shared" si="148"/>
        <v>47435</v>
      </c>
      <c r="Z175" s="386">
        <f t="shared" si="148"/>
        <v>0</v>
      </c>
      <c r="AA175" s="5"/>
      <c r="AB175" s="443">
        <f t="shared" si="149"/>
        <v>0</v>
      </c>
      <c r="AC175" s="443">
        <f t="shared" si="149"/>
        <v>0</v>
      </c>
      <c r="AD175" s="443">
        <f t="shared" si="149"/>
        <v>0</v>
      </c>
      <c r="AE175" s="443">
        <f t="shared" si="149"/>
        <v>0</v>
      </c>
      <c r="AF175" s="443">
        <f t="shared" si="149"/>
        <v>0</v>
      </c>
      <c r="AG175" s="443">
        <f t="shared" si="149"/>
        <v>0</v>
      </c>
      <c r="AH175" s="443">
        <f t="shared" si="149"/>
        <v>0</v>
      </c>
      <c r="AI175" s="443">
        <f t="shared" si="149"/>
        <v>0</v>
      </c>
      <c r="AJ175" s="443">
        <f t="shared" si="149"/>
        <v>0</v>
      </c>
      <c r="AK175" s="443">
        <f t="shared" si="149"/>
        <v>0</v>
      </c>
      <c r="AL175" s="443">
        <f t="shared" si="149"/>
        <v>0</v>
      </c>
      <c r="AM175" s="443">
        <f t="shared" si="149"/>
        <v>0</v>
      </c>
      <c r="AN175" s="443">
        <f t="shared" si="149"/>
        <v>0</v>
      </c>
      <c r="AO175" s="443">
        <f t="shared" si="149"/>
        <v>0</v>
      </c>
    </row>
    <row r="176" spans="1:41" s="25" customFormat="1" ht="31.5">
      <c r="A176" s="97" t="s">
        <v>27</v>
      </c>
      <c r="B176" s="212" t="s">
        <v>1246</v>
      </c>
      <c r="C176" s="19" t="s">
        <v>43</v>
      </c>
      <c r="D176" s="19" t="s">
        <v>1247</v>
      </c>
      <c r="E176" s="70" t="s">
        <v>82</v>
      </c>
      <c r="F176" s="19" t="s">
        <v>1248</v>
      </c>
      <c r="G176" s="366">
        <v>311095</v>
      </c>
      <c r="H176" s="366">
        <v>54559</v>
      </c>
      <c r="I176" s="366">
        <v>31771</v>
      </c>
      <c r="J176" s="366">
        <v>31771</v>
      </c>
      <c r="K176" s="366">
        <v>7382</v>
      </c>
      <c r="L176" s="366"/>
      <c r="M176" s="366">
        <f>776+789</f>
        <v>1565</v>
      </c>
      <c r="N176" s="366">
        <v>789</v>
      </c>
      <c r="O176" s="366">
        <f>266653+31771</f>
        <v>298424</v>
      </c>
      <c r="P176" s="366">
        <v>41888</v>
      </c>
      <c r="Q176" s="446">
        <v>78227</v>
      </c>
      <c r="R176" s="446">
        <f>31771+15664</f>
        <v>47435</v>
      </c>
      <c r="S176" s="366"/>
      <c r="T176" s="446">
        <v>46456</v>
      </c>
      <c r="U176" s="447">
        <v>15664</v>
      </c>
      <c r="V176" s="366"/>
      <c r="W176" s="24"/>
      <c r="X176" s="448">
        <v>78227</v>
      </c>
      <c r="Y176" s="448">
        <f>31771+15664</f>
        <v>47435</v>
      </c>
      <c r="Z176" s="367"/>
      <c r="AA176" s="5"/>
    </row>
    <row r="177" spans="1:41" s="25" customFormat="1" ht="31.5">
      <c r="A177" s="64" t="s">
        <v>78</v>
      </c>
      <c r="B177" s="213" t="s">
        <v>79</v>
      </c>
      <c r="C177" s="198"/>
      <c r="D177" s="19"/>
      <c r="E177" s="95"/>
      <c r="F177" s="19"/>
      <c r="G177" s="441">
        <f t="shared" ref="G177:V177" si="150">G178+G180</f>
        <v>158531</v>
      </c>
      <c r="H177" s="441">
        <f t="shared" si="150"/>
        <v>117176</v>
      </c>
      <c r="I177" s="441">
        <f t="shared" si="150"/>
        <v>20235</v>
      </c>
      <c r="J177" s="441">
        <f t="shared" si="150"/>
        <v>20235</v>
      </c>
      <c r="K177" s="441">
        <f t="shared" si="150"/>
        <v>868</v>
      </c>
      <c r="L177" s="441">
        <f t="shared" si="150"/>
        <v>868</v>
      </c>
      <c r="M177" s="441">
        <f t="shared" si="150"/>
        <v>6252</v>
      </c>
      <c r="N177" s="441">
        <f t="shared" si="150"/>
        <v>6252</v>
      </c>
      <c r="O177" s="441">
        <f t="shared" si="150"/>
        <v>72251</v>
      </c>
      <c r="P177" s="441">
        <f t="shared" si="150"/>
        <v>72251</v>
      </c>
      <c r="Q177" s="441">
        <f t="shared" si="150"/>
        <v>97868</v>
      </c>
      <c r="R177" s="441">
        <f t="shared" si="150"/>
        <v>66013</v>
      </c>
      <c r="S177" s="441">
        <f t="shared" si="150"/>
        <v>0</v>
      </c>
      <c r="T177" s="441">
        <f t="shared" si="150"/>
        <v>23003</v>
      </c>
      <c r="U177" s="441">
        <f t="shared" si="150"/>
        <v>23003</v>
      </c>
      <c r="V177" s="441">
        <f t="shared" si="150"/>
        <v>0</v>
      </c>
      <c r="W177" s="24"/>
      <c r="X177" s="442">
        <f t="shared" ref="X177:Z177" si="151">X178+X180</f>
        <v>23003</v>
      </c>
      <c r="Y177" s="442">
        <f t="shared" si="151"/>
        <v>23003</v>
      </c>
      <c r="Z177" s="442">
        <f t="shared" si="151"/>
        <v>0</v>
      </c>
      <c r="AA177" s="5"/>
      <c r="AB177" s="441">
        <f t="shared" ref="AB177:AO177" si="152">AB178+AB180</f>
        <v>0</v>
      </c>
      <c r="AC177" s="441">
        <f t="shared" si="152"/>
        <v>0</v>
      </c>
      <c r="AD177" s="441">
        <f t="shared" si="152"/>
        <v>2</v>
      </c>
      <c r="AE177" s="441">
        <f t="shared" si="152"/>
        <v>10000</v>
      </c>
      <c r="AF177" s="441">
        <f t="shared" si="152"/>
        <v>0</v>
      </c>
      <c r="AG177" s="441">
        <f t="shared" si="152"/>
        <v>0</v>
      </c>
      <c r="AH177" s="441">
        <f t="shared" si="152"/>
        <v>0</v>
      </c>
      <c r="AI177" s="441">
        <f t="shared" si="152"/>
        <v>0</v>
      </c>
      <c r="AJ177" s="441">
        <f t="shared" si="152"/>
        <v>0</v>
      </c>
      <c r="AK177" s="441">
        <f t="shared" si="152"/>
        <v>0</v>
      </c>
      <c r="AL177" s="441">
        <f t="shared" si="152"/>
        <v>0</v>
      </c>
      <c r="AM177" s="441">
        <f t="shared" si="152"/>
        <v>0</v>
      </c>
      <c r="AN177" s="441">
        <f t="shared" si="152"/>
        <v>0</v>
      </c>
      <c r="AO177" s="441">
        <f t="shared" si="152"/>
        <v>0</v>
      </c>
    </row>
    <row r="178" spans="1:41" s="445" customFormat="1" ht="15.75">
      <c r="A178" s="200" t="s">
        <v>273</v>
      </c>
      <c r="B178" s="275" t="s">
        <v>35</v>
      </c>
      <c r="C178" s="201"/>
      <c r="D178" s="201"/>
      <c r="E178" s="202"/>
      <c r="F178" s="201"/>
      <c r="G178" s="443">
        <f t="shared" ref="G178:Z178" si="153">SUM(G179:G179)</f>
        <v>101712</v>
      </c>
      <c r="H178" s="443">
        <f t="shared" si="153"/>
        <v>101712</v>
      </c>
      <c r="I178" s="443">
        <f t="shared" si="153"/>
        <v>18000</v>
      </c>
      <c r="J178" s="443">
        <f t="shared" si="153"/>
        <v>18000</v>
      </c>
      <c r="K178" s="443">
        <f t="shared" si="153"/>
        <v>128</v>
      </c>
      <c r="L178" s="443">
        <f t="shared" si="153"/>
        <v>128</v>
      </c>
      <c r="M178" s="443">
        <f t="shared" si="153"/>
        <v>5917</v>
      </c>
      <c r="N178" s="443">
        <f t="shared" si="153"/>
        <v>5917</v>
      </c>
      <c r="O178" s="443">
        <f t="shared" si="153"/>
        <v>69024</v>
      </c>
      <c r="P178" s="443">
        <f t="shared" si="153"/>
        <v>69024</v>
      </c>
      <c r="Q178" s="443">
        <f t="shared" si="153"/>
        <v>50688</v>
      </c>
      <c r="R178" s="443">
        <f t="shared" si="153"/>
        <v>50688</v>
      </c>
      <c r="S178" s="443">
        <f t="shared" si="153"/>
        <v>0</v>
      </c>
      <c r="T178" s="443">
        <f t="shared" si="153"/>
        <v>11000</v>
      </c>
      <c r="U178" s="443">
        <f t="shared" si="153"/>
        <v>11000</v>
      </c>
      <c r="V178" s="443">
        <f t="shared" si="153"/>
        <v>0</v>
      </c>
      <c r="W178" s="444"/>
      <c r="X178" s="386">
        <f t="shared" si="153"/>
        <v>11000</v>
      </c>
      <c r="Y178" s="386">
        <f t="shared" si="153"/>
        <v>11000</v>
      </c>
      <c r="Z178" s="386">
        <f t="shared" si="153"/>
        <v>0</v>
      </c>
      <c r="AA178" s="5"/>
      <c r="AB178" s="443">
        <f t="shared" ref="AB178:AO178" si="154">SUM(AB179:AB179)</f>
        <v>0</v>
      </c>
      <c r="AC178" s="443">
        <f t="shared" si="154"/>
        <v>0</v>
      </c>
      <c r="AD178" s="443">
        <f t="shared" si="154"/>
        <v>1</v>
      </c>
      <c r="AE178" s="443">
        <f t="shared" si="154"/>
        <v>5000</v>
      </c>
      <c r="AF178" s="443">
        <f t="shared" si="154"/>
        <v>0</v>
      </c>
      <c r="AG178" s="443">
        <f t="shared" si="154"/>
        <v>0</v>
      </c>
      <c r="AH178" s="443">
        <f t="shared" si="154"/>
        <v>0</v>
      </c>
      <c r="AI178" s="443">
        <f t="shared" si="154"/>
        <v>0</v>
      </c>
      <c r="AJ178" s="443">
        <f t="shared" si="154"/>
        <v>0</v>
      </c>
      <c r="AK178" s="443">
        <f t="shared" si="154"/>
        <v>0</v>
      </c>
      <c r="AL178" s="443">
        <f t="shared" si="154"/>
        <v>0</v>
      </c>
      <c r="AM178" s="443">
        <f t="shared" si="154"/>
        <v>0</v>
      </c>
      <c r="AN178" s="443">
        <f t="shared" si="154"/>
        <v>0</v>
      </c>
      <c r="AO178" s="443">
        <f t="shared" si="154"/>
        <v>0</v>
      </c>
    </row>
    <row r="179" spans="1:41" s="25" customFormat="1" ht="31.5">
      <c r="A179" s="97" t="s">
        <v>27</v>
      </c>
      <c r="B179" s="212" t="s">
        <v>500</v>
      </c>
      <c r="C179" s="19" t="s">
        <v>112</v>
      </c>
      <c r="D179" s="19" t="s">
        <v>501</v>
      </c>
      <c r="E179" s="70" t="s">
        <v>235</v>
      </c>
      <c r="F179" s="19" t="s">
        <v>502</v>
      </c>
      <c r="G179" s="366">
        <v>101712</v>
      </c>
      <c r="H179" s="366">
        <v>101712</v>
      </c>
      <c r="I179" s="366">
        <v>18000</v>
      </c>
      <c r="J179" s="366">
        <v>18000</v>
      </c>
      <c r="K179" s="366">
        <v>128</v>
      </c>
      <c r="L179" s="366">
        <v>128</v>
      </c>
      <c r="M179" s="366">
        <v>5917</v>
      </c>
      <c r="N179" s="366">
        <v>5917</v>
      </c>
      <c r="O179" s="366">
        <f>51024+18000</f>
        <v>69024</v>
      </c>
      <c r="P179" s="366">
        <f>51024+18000</f>
        <v>69024</v>
      </c>
      <c r="Q179" s="366">
        <f>+G179-51024</f>
        <v>50688</v>
      </c>
      <c r="R179" s="366">
        <f>H179-51024</f>
        <v>50688</v>
      </c>
      <c r="S179" s="366"/>
      <c r="T179" s="366">
        <v>11000</v>
      </c>
      <c r="U179" s="366">
        <v>11000</v>
      </c>
      <c r="V179" s="366"/>
      <c r="W179" s="24"/>
      <c r="X179" s="367">
        <v>11000</v>
      </c>
      <c r="Y179" s="367">
        <v>11000</v>
      </c>
      <c r="Z179" s="367"/>
      <c r="AA179" s="5"/>
      <c r="AD179" s="25">
        <v>1</v>
      </c>
      <c r="AE179" s="366">
        <v>5000</v>
      </c>
    </row>
    <row r="180" spans="1:41" s="375" customFormat="1" ht="15.75">
      <c r="A180" s="26" t="s">
        <v>273</v>
      </c>
      <c r="B180" s="27" t="s">
        <v>48</v>
      </c>
      <c r="C180" s="135"/>
      <c r="D180" s="135"/>
      <c r="E180" s="136"/>
      <c r="F180" s="135"/>
      <c r="G180" s="384">
        <f>SUM(G181:G190)</f>
        <v>56819</v>
      </c>
      <c r="H180" s="384">
        <f t="shared" ref="H180:V180" si="155">SUM(H181:H190)</f>
        <v>15464</v>
      </c>
      <c r="I180" s="384">
        <f t="shared" si="155"/>
        <v>2235</v>
      </c>
      <c r="J180" s="384">
        <f t="shared" si="155"/>
        <v>2235</v>
      </c>
      <c r="K180" s="384">
        <f t="shared" si="155"/>
        <v>740</v>
      </c>
      <c r="L180" s="384">
        <f t="shared" si="155"/>
        <v>740</v>
      </c>
      <c r="M180" s="384">
        <f t="shared" si="155"/>
        <v>335</v>
      </c>
      <c r="N180" s="384">
        <f t="shared" si="155"/>
        <v>335</v>
      </c>
      <c r="O180" s="384">
        <f t="shared" si="155"/>
        <v>3227</v>
      </c>
      <c r="P180" s="384">
        <f t="shared" si="155"/>
        <v>3227</v>
      </c>
      <c r="Q180" s="384">
        <f t="shared" si="155"/>
        <v>47180</v>
      </c>
      <c r="R180" s="384">
        <f t="shared" si="155"/>
        <v>15325</v>
      </c>
      <c r="S180" s="384">
        <f t="shared" si="155"/>
        <v>0</v>
      </c>
      <c r="T180" s="384">
        <f t="shared" si="155"/>
        <v>12003</v>
      </c>
      <c r="U180" s="384">
        <f t="shared" si="155"/>
        <v>12003</v>
      </c>
      <c r="V180" s="384">
        <f t="shared" si="155"/>
        <v>0</v>
      </c>
      <c r="W180" s="449"/>
      <c r="X180" s="386">
        <f t="shared" ref="X180:Z180" si="156">SUM(X181:X190)</f>
        <v>12003</v>
      </c>
      <c r="Y180" s="386">
        <f t="shared" si="156"/>
        <v>12003</v>
      </c>
      <c r="Z180" s="386">
        <f t="shared" si="156"/>
        <v>0</v>
      </c>
      <c r="AA180" s="5"/>
      <c r="AB180" s="384">
        <f t="shared" ref="AB180:AK180" si="157">AB181+AB182</f>
        <v>0</v>
      </c>
      <c r="AC180" s="384">
        <f t="shared" si="157"/>
        <v>0</v>
      </c>
      <c r="AD180" s="384">
        <f t="shared" si="157"/>
        <v>1</v>
      </c>
      <c r="AE180" s="384">
        <f t="shared" si="157"/>
        <v>5000</v>
      </c>
      <c r="AF180" s="384">
        <f t="shared" si="157"/>
        <v>0</v>
      </c>
      <c r="AG180" s="384">
        <f t="shared" si="157"/>
        <v>0</v>
      </c>
      <c r="AH180" s="384">
        <f t="shared" si="157"/>
        <v>0</v>
      </c>
      <c r="AI180" s="384">
        <f t="shared" si="157"/>
        <v>0</v>
      </c>
      <c r="AJ180" s="384">
        <f t="shared" si="157"/>
        <v>0</v>
      </c>
      <c r="AK180" s="384">
        <f t="shared" si="157"/>
        <v>0</v>
      </c>
      <c r="AL180" s="384">
        <f>AL181+AL182</f>
        <v>0</v>
      </c>
      <c r="AM180" s="384">
        <f>AM181+AM182</f>
        <v>0</v>
      </c>
      <c r="AN180" s="384">
        <f>AN181+AN182</f>
        <v>0</v>
      </c>
      <c r="AO180" s="384">
        <f>AO181+AO182</f>
        <v>0</v>
      </c>
    </row>
    <row r="181" spans="1:41" s="25" customFormat="1" ht="36" customHeight="1">
      <c r="A181" s="97" t="s">
        <v>27</v>
      </c>
      <c r="B181" s="212" t="s">
        <v>503</v>
      </c>
      <c r="C181" s="19" t="s">
        <v>29</v>
      </c>
      <c r="D181" s="19" t="s">
        <v>504</v>
      </c>
      <c r="E181" s="70"/>
      <c r="F181" s="19" t="s">
        <v>505</v>
      </c>
      <c r="G181" s="366">
        <v>2762</v>
      </c>
      <c r="H181" s="366">
        <f>+G181</f>
        <v>2762</v>
      </c>
      <c r="I181" s="366">
        <f>J181</f>
        <v>0</v>
      </c>
      <c r="J181" s="366"/>
      <c r="K181" s="366">
        <f>L181</f>
        <v>540</v>
      </c>
      <c r="L181" s="366">
        <v>540</v>
      </c>
      <c r="M181" s="366"/>
      <c r="N181" s="366"/>
      <c r="O181" s="366">
        <f>157+570</f>
        <v>727</v>
      </c>
      <c r="P181" s="366">
        <f>157+570</f>
        <v>727</v>
      </c>
      <c r="Q181" s="366">
        <f>R181</f>
        <v>2623</v>
      </c>
      <c r="R181" s="366">
        <f>+G181-139</f>
        <v>2623</v>
      </c>
      <c r="S181" s="366"/>
      <c r="T181" s="366">
        <v>1800</v>
      </c>
      <c r="U181" s="366">
        <v>1800</v>
      </c>
      <c r="V181" s="366"/>
      <c r="W181" s="24"/>
      <c r="X181" s="367">
        <v>1800</v>
      </c>
      <c r="Y181" s="367">
        <v>1800</v>
      </c>
      <c r="Z181" s="367"/>
      <c r="AA181" s="5"/>
    </row>
    <row r="182" spans="1:41" s="25" customFormat="1" ht="51">
      <c r="A182" s="97" t="s">
        <v>41</v>
      </c>
      <c r="B182" s="212" t="s">
        <v>506</v>
      </c>
      <c r="C182" s="19" t="s">
        <v>143</v>
      </c>
      <c r="D182" s="19" t="s">
        <v>507</v>
      </c>
      <c r="E182" s="70" t="s">
        <v>30</v>
      </c>
      <c r="F182" s="19" t="s">
        <v>508</v>
      </c>
      <c r="G182" s="366">
        <v>12000</v>
      </c>
      <c r="H182" s="366">
        <v>2500</v>
      </c>
      <c r="I182" s="366">
        <v>2235</v>
      </c>
      <c r="J182" s="366">
        <v>2235</v>
      </c>
      <c r="K182" s="366">
        <v>200</v>
      </c>
      <c r="L182" s="366">
        <v>200</v>
      </c>
      <c r="M182" s="366">
        <v>335</v>
      </c>
      <c r="N182" s="366">
        <v>335</v>
      </c>
      <c r="O182" s="366">
        <v>2500</v>
      </c>
      <c r="P182" s="366">
        <v>2500</v>
      </c>
      <c r="Q182" s="366">
        <v>2500</v>
      </c>
      <c r="R182" s="366">
        <v>2500</v>
      </c>
      <c r="S182" s="366"/>
      <c r="T182" s="366"/>
      <c r="U182" s="366"/>
      <c r="V182" s="366"/>
      <c r="W182" s="24" t="s">
        <v>509</v>
      </c>
      <c r="X182" s="367"/>
      <c r="Y182" s="367"/>
      <c r="Z182" s="367"/>
      <c r="AA182" s="5"/>
      <c r="AD182" s="25">
        <v>1</v>
      </c>
      <c r="AE182" s="366">
        <v>5000</v>
      </c>
    </row>
    <row r="183" spans="1:41" s="375" customFormat="1" ht="31.5">
      <c r="A183" s="97" t="s">
        <v>58</v>
      </c>
      <c r="B183" s="212" t="s">
        <v>517</v>
      </c>
      <c r="C183" s="143" t="s">
        <v>173</v>
      </c>
      <c r="D183" s="143" t="s">
        <v>518</v>
      </c>
      <c r="E183" s="204" t="s">
        <v>519</v>
      </c>
      <c r="F183" s="233"/>
      <c r="G183" s="177">
        <v>7241</v>
      </c>
      <c r="H183" s="205">
        <v>1768.5</v>
      </c>
      <c r="I183" s="206"/>
      <c r="J183" s="72"/>
      <c r="K183" s="72"/>
      <c r="L183" s="72"/>
      <c r="M183" s="72"/>
      <c r="N183" s="72"/>
      <c r="O183" s="72"/>
      <c r="P183" s="72"/>
      <c r="Q183" s="205">
        <f t="shared" ref="Q183:R190" si="158">+G183</f>
        <v>7241</v>
      </c>
      <c r="R183" s="205">
        <f t="shared" si="158"/>
        <v>1768.5</v>
      </c>
      <c r="S183" s="72"/>
      <c r="T183" s="205">
        <v>1769</v>
      </c>
      <c r="U183" s="205">
        <v>1769</v>
      </c>
      <c r="V183" s="72"/>
      <c r="W183" s="24"/>
      <c r="X183" s="450">
        <v>1769</v>
      </c>
      <c r="Y183" s="450">
        <v>1769</v>
      </c>
      <c r="Z183" s="356"/>
      <c r="AA183" s="5"/>
      <c r="AB183" s="384">
        <f t="shared" ref="AB183:AK183" si="159">AB184+AB185</f>
        <v>0</v>
      </c>
      <c r="AC183" s="384">
        <f t="shared" si="159"/>
        <v>0</v>
      </c>
      <c r="AD183" s="384">
        <f t="shared" si="159"/>
        <v>1</v>
      </c>
      <c r="AE183" s="384">
        <f t="shared" si="159"/>
        <v>5000</v>
      </c>
      <c r="AF183" s="384">
        <f t="shared" si="159"/>
        <v>0</v>
      </c>
      <c r="AG183" s="384">
        <f t="shared" si="159"/>
        <v>0</v>
      </c>
      <c r="AH183" s="384">
        <f t="shared" si="159"/>
        <v>0</v>
      </c>
      <c r="AI183" s="384">
        <f t="shared" si="159"/>
        <v>0</v>
      </c>
      <c r="AJ183" s="384">
        <f t="shared" si="159"/>
        <v>0</v>
      </c>
      <c r="AK183" s="384">
        <f t="shared" si="159"/>
        <v>0</v>
      </c>
      <c r="AL183" s="384">
        <f>AL184+AL185</f>
        <v>0</v>
      </c>
      <c r="AM183" s="384">
        <f>AM184+AM185</f>
        <v>0</v>
      </c>
      <c r="AN183" s="384">
        <f>AN184+AN185</f>
        <v>0</v>
      </c>
      <c r="AO183" s="384">
        <f>AO184+AO185</f>
        <v>0</v>
      </c>
    </row>
    <row r="184" spans="1:41" s="25" customFormat="1" ht="36" customHeight="1">
      <c r="A184" s="97" t="s">
        <v>64</v>
      </c>
      <c r="B184" s="212" t="s">
        <v>510</v>
      </c>
      <c r="C184" s="143" t="s">
        <v>66</v>
      </c>
      <c r="D184" s="143" t="s">
        <v>511</v>
      </c>
      <c r="E184" s="144" t="s">
        <v>45</v>
      </c>
      <c r="F184" s="19" t="s">
        <v>512</v>
      </c>
      <c r="G184" s="205">
        <v>2492</v>
      </c>
      <c r="H184" s="205">
        <v>725</v>
      </c>
      <c r="I184" s="366"/>
      <c r="J184" s="366"/>
      <c r="K184" s="366"/>
      <c r="L184" s="366"/>
      <c r="M184" s="366"/>
      <c r="N184" s="366"/>
      <c r="O184" s="366"/>
      <c r="P184" s="366"/>
      <c r="Q184" s="205">
        <f t="shared" si="158"/>
        <v>2492</v>
      </c>
      <c r="R184" s="205">
        <f t="shared" si="158"/>
        <v>725</v>
      </c>
      <c r="S184" s="366"/>
      <c r="T184" s="366">
        <v>725</v>
      </c>
      <c r="U184" s="366">
        <v>725</v>
      </c>
      <c r="V184" s="366"/>
      <c r="W184" s="24"/>
      <c r="X184" s="367">
        <v>725</v>
      </c>
      <c r="Y184" s="367">
        <v>725</v>
      </c>
      <c r="Z184" s="367"/>
      <c r="AA184" s="5"/>
    </row>
    <row r="185" spans="1:41" s="25" customFormat="1" ht="31.5">
      <c r="A185" s="97" t="s">
        <v>69</v>
      </c>
      <c r="B185" s="212" t="s">
        <v>520</v>
      </c>
      <c r="C185" s="143" t="s">
        <v>260</v>
      </c>
      <c r="D185" s="143" t="s">
        <v>521</v>
      </c>
      <c r="E185" s="144" t="s">
        <v>166</v>
      </c>
      <c r="F185" s="19"/>
      <c r="G185" s="77">
        <v>4794</v>
      </c>
      <c r="H185" s="205">
        <v>1403.5</v>
      </c>
      <c r="I185" s="366"/>
      <c r="J185" s="366"/>
      <c r="K185" s="366"/>
      <c r="L185" s="366"/>
      <c r="M185" s="366"/>
      <c r="N185" s="366"/>
      <c r="O185" s="366"/>
      <c r="P185" s="366"/>
      <c r="Q185" s="205">
        <f t="shared" si="158"/>
        <v>4794</v>
      </c>
      <c r="R185" s="205">
        <f t="shared" si="158"/>
        <v>1403.5</v>
      </c>
      <c r="S185" s="366"/>
      <c r="T185" s="366">
        <v>1404</v>
      </c>
      <c r="U185" s="366">
        <v>1404</v>
      </c>
      <c r="V185" s="366"/>
      <c r="W185" s="24"/>
      <c r="X185" s="367">
        <v>1404</v>
      </c>
      <c r="Y185" s="367">
        <v>1404</v>
      </c>
      <c r="Z185" s="367"/>
      <c r="AA185" s="5"/>
      <c r="AD185" s="25">
        <v>1</v>
      </c>
      <c r="AE185" s="366">
        <v>5000</v>
      </c>
    </row>
    <row r="186" spans="1:41" s="25" customFormat="1" ht="36" customHeight="1">
      <c r="A186" s="97" t="s">
        <v>74</v>
      </c>
      <c r="B186" s="212" t="s">
        <v>1249</v>
      </c>
      <c r="C186" s="143" t="s">
        <v>1250</v>
      </c>
      <c r="D186" s="143" t="s">
        <v>1251</v>
      </c>
      <c r="E186" s="144" t="s">
        <v>94</v>
      </c>
      <c r="F186" s="19" t="s">
        <v>1252</v>
      </c>
      <c r="G186" s="77">
        <v>5929</v>
      </c>
      <c r="H186" s="205">
        <v>1250</v>
      </c>
      <c r="I186" s="366"/>
      <c r="J186" s="366"/>
      <c r="K186" s="366"/>
      <c r="L186" s="366"/>
      <c r="M186" s="366"/>
      <c r="N186" s="366"/>
      <c r="O186" s="366"/>
      <c r="P186" s="366"/>
      <c r="Q186" s="205">
        <f t="shared" si="158"/>
        <v>5929</v>
      </c>
      <c r="R186" s="205">
        <f t="shared" si="158"/>
        <v>1250</v>
      </c>
      <c r="S186" s="366"/>
      <c r="T186" s="366">
        <v>1250</v>
      </c>
      <c r="U186" s="366">
        <v>1250</v>
      </c>
      <c r="V186" s="366"/>
      <c r="W186" s="24"/>
      <c r="X186" s="367">
        <v>1250</v>
      </c>
      <c r="Y186" s="367">
        <v>1250</v>
      </c>
      <c r="Z186" s="367"/>
      <c r="AA186" s="5"/>
      <c r="AB186" s="441">
        <f t="shared" ref="AB186:AK186" si="160">AB187</f>
        <v>0</v>
      </c>
      <c r="AC186" s="441">
        <f t="shared" si="160"/>
        <v>0</v>
      </c>
      <c r="AD186" s="441">
        <f t="shared" si="160"/>
        <v>0</v>
      </c>
      <c r="AE186" s="441">
        <f t="shared" si="160"/>
        <v>0</v>
      </c>
      <c r="AF186" s="441">
        <f t="shared" si="160"/>
        <v>0</v>
      </c>
      <c r="AG186" s="441">
        <f t="shared" si="160"/>
        <v>0</v>
      </c>
      <c r="AH186" s="441">
        <f t="shared" si="160"/>
        <v>2</v>
      </c>
      <c r="AI186" s="441">
        <f t="shared" si="160"/>
        <v>77371</v>
      </c>
      <c r="AJ186" s="441">
        <f t="shared" si="160"/>
        <v>0</v>
      </c>
      <c r="AK186" s="441">
        <f t="shared" si="160"/>
        <v>0</v>
      </c>
      <c r="AL186" s="441">
        <f>AL187</f>
        <v>0</v>
      </c>
      <c r="AM186" s="441">
        <f>AM187</f>
        <v>0</v>
      </c>
      <c r="AN186" s="441">
        <f>AN187</f>
        <v>0</v>
      </c>
      <c r="AO186" s="441">
        <f>AO187</f>
        <v>0</v>
      </c>
    </row>
    <row r="187" spans="1:41" s="375" customFormat="1" ht="31.5">
      <c r="A187" s="97" t="s">
        <v>141</v>
      </c>
      <c r="B187" s="212" t="s">
        <v>513</v>
      </c>
      <c r="C187" s="143" t="s">
        <v>5</v>
      </c>
      <c r="D187" s="143" t="s">
        <v>514</v>
      </c>
      <c r="E187" s="144" t="s">
        <v>94</v>
      </c>
      <c r="F187" s="19"/>
      <c r="G187" s="77">
        <v>4569</v>
      </c>
      <c r="H187" s="205">
        <v>2500</v>
      </c>
      <c r="I187" s="366"/>
      <c r="J187" s="366"/>
      <c r="K187" s="366"/>
      <c r="L187" s="366"/>
      <c r="M187" s="366"/>
      <c r="N187" s="366"/>
      <c r="O187" s="366"/>
      <c r="P187" s="366"/>
      <c r="Q187" s="205">
        <f t="shared" si="158"/>
        <v>4569</v>
      </c>
      <c r="R187" s="205">
        <f t="shared" si="158"/>
        <v>2500</v>
      </c>
      <c r="S187" s="366"/>
      <c r="T187" s="366">
        <v>2500</v>
      </c>
      <c r="U187" s="366">
        <v>2500</v>
      </c>
      <c r="V187" s="366"/>
      <c r="W187" s="24"/>
      <c r="X187" s="367">
        <v>2500</v>
      </c>
      <c r="Y187" s="367">
        <v>2500</v>
      </c>
      <c r="Z187" s="367"/>
      <c r="AA187" s="5"/>
      <c r="AB187" s="384">
        <f t="shared" ref="AB187:AD187" si="161">AB188+AB189</f>
        <v>0</v>
      </c>
      <c r="AC187" s="384">
        <f t="shared" si="161"/>
        <v>0</v>
      </c>
      <c r="AD187" s="384">
        <f t="shared" si="161"/>
        <v>0</v>
      </c>
      <c r="AE187" s="384">
        <f>AE188+AE189</f>
        <v>0</v>
      </c>
      <c r="AF187" s="384">
        <f t="shared" ref="AF187:AH187" si="162">AF188+AF189</f>
        <v>0</v>
      </c>
      <c r="AG187" s="384">
        <f t="shared" si="162"/>
        <v>0</v>
      </c>
      <c r="AH187" s="384">
        <f t="shared" si="162"/>
        <v>2</v>
      </c>
      <c r="AI187" s="384">
        <f>AI188+AI189</f>
        <v>77371</v>
      </c>
      <c r="AJ187" s="384">
        <f t="shared" ref="AJ187:AO187" si="163">AJ188+AJ189</f>
        <v>0</v>
      </c>
      <c r="AK187" s="384">
        <f t="shared" si="163"/>
        <v>0</v>
      </c>
      <c r="AL187" s="384">
        <f t="shared" si="163"/>
        <v>0</v>
      </c>
      <c r="AM187" s="384">
        <f t="shared" si="163"/>
        <v>0</v>
      </c>
      <c r="AN187" s="384">
        <f t="shared" si="163"/>
        <v>0</v>
      </c>
      <c r="AO187" s="384">
        <f t="shared" si="163"/>
        <v>0</v>
      </c>
    </row>
    <row r="188" spans="1:41" s="25" customFormat="1" ht="36" customHeight="1">
      <c r="A188" s="97" t="s">
        <v>146</v>
      </c>
      <c r="B188" s="212" t="s">
        <v>1253</v>
      </c>
      <c r="C188" s="143" t="s">
        <v>173</v>
      </c>
      <c r="D188" s="143" t="s">
        <v>523</v>
      </c>
      <c r="E188" s="144"/>
      <c r="F188" s="19" t="s">
        <v>1254</v>
      </c>
      <c r="G188" s="77">
        <v>3624</v>
      </c>
      <c r="H188" s="205">
        <v>1355</v>
      </c>
      <c r="I188" s="366"/>
      <c r="J188" s="366"/>
      <c r="K188" s="366"/>
      <c r="L188" s="366"/>
      <c r="M188" s="366"/>
      <c r="N188" s="366"/>
      <c r="O188" s="366"/>
      <c r="P188" s="366"/>
      <c r="Q188" s="205">
        <f t="shared" si="158"/>
        <v>3624</v>
      </c>
      <c r="R188" s="205">
        <f t="shared" si="158"/>
        <v>1355</v>
      </c>
      <c r="S188" s="366"/>
      <c r="T188" s="205">
        <v>1355</v>
      </c>
      <c r="U188" s="205">
        <v>1355</v>
      </c>
      <c r="V188" s="366"/>
      <c r="W188" s="24"/>
      <c r="X188" s="450">
        <v>1355</v>
      </c>
      <c r="Y188" s="450">
        <v>1355</v>
      </c>
      <c r="Z188" s="367"/>
      <c r="AA188" s="5"/>
      <c r="AE188" s="366"/>
      <c r="AH188" s="25">
        <v>1</v>
      </c>
      <c r="AI188" s="366">
        <v>57371</v>
      </c>
    </row>
    <row r="189" spans="1:41" s="25" customFormat="1" ht="36" customHeight="1">
      <c r="A189" s="97" t="s">
        <v>179</v>
      </c>
      <c r="B189" s="212" t="s">
        <v>522</v>
      </c>
      <c r="C189" s="143" t="s">
        <v>173</v>
      </c>
      <c r="D189" s="143" t="s">
        <v>523</v>
      </c>
      <c r="E189" s="70"/>
      <c r="F189" s="19"/>
      <c r="G189" s="366">
        <v>6704</v>
      </c>
      <c r="H189" s="366">
        <v>600</v>
      </c>
      <c r="I189" s="366"/>
      <c r="J189" s="366"/>
      <c r="K189" s="366"/>
      <c r="L189" s="366"/>
      <c r="M189" s="366"/>
      <c r="N189" s="366"/>
      <c r="O189" s="366"/>
      <c r="P189" s="366"/>
      <c r="Q189" s="366">
        <f t="shared" si="158"/>
        <v>6704</v>
      </c>
      <c r="R189" s="366">
        <f t="shared" si="158"/>
        <v>600</v>
      </c>
      <c r="S189" s="366"/>
      <c r="T189" s="366">
        <v>600</v>
      </c>
      <c r="U189" s="366">
        <v>600</v>
      </c>
      <c r="V189" s="366"/>
      <c r="W189" s="24"/>
      <c r="X189" s="367">
        <v>600</v>
      </c>
      <c r="Y189" s="367">
        <v>600</v>
      </c>
      <c r="Z189" s="367"/>
      <c r="AA189" s="5"/>
      <c r="AE189" s="366"/>
      <c r="AH189" s="25">
        <v>1</v>
      </c>
      <c r="AI189" s="366">
        <v>20000</v>
      </c>
    </row>
    <row r="190" spans="1:41" s="25" customFormat="1" ht="15.75">
      <c r="A190" s="97" t="s">
        <v>182</v>
      </c>
      <c r="B190" s="212" t="s">
        <v>1255</v>
      </c>
      <c r="C190" s="143" t="s">
        <v>173</v>
      </c>
      <c r="D190" s="143" t="s">
        <v>523</v>
      </c>
      <c r="E190" s="70"/>
      <c r="F190" s="19"/>
      <c r="G190" s="366">
        <v>6704</v>
      </c>
      <c r="H190" s="366">
        <v>600</v>
      </c>
      <c r="I190" s="366"/>
      <c r="J190" s="366"/>
      <c r="K190" s="366"/>
      <c r="L190" s="366"/>
      <c r="M190" s="366"/>
      <c r="N190" s="366"/>
      <c r="O190" s="366"/>
      <c r="P190" s="366"/>
      <c r="Q190" s="366">
        <f t="shared" si="158"/>
        <v>6704</v>
      </c>
      <c r="R190" s="366">
        <f t="shared" si="158"/>
        <v>600</v>
      </c>
      <c r="S190" s="23"/>
      <c r="T190" s="23">
        <v>600</v>
      </c>
      <c r="U190" s="23">
        <v>600</v>
      </c>
      <c r="V190" s="23"/>
      <c r="W190" s="24"/>
      <c r="X190" s="371">
        <v>600</v>
      </c>
      <c r="Y190" s="371">
        <v>600</v>
      </c>
      <c r="Z190" s="371"/>
      <c r="AA190" s="5"/>
    </row>
    <row r="191" spans="1:41" s="25" customFormat="1" ht="36" customHeight="1">
      <c r="A191" s="64" t="s">
        <v>116</v>
      </c>
      <c r="B191" s="213" t="s">
        <v>516</v>
      </c>
      <c r="C191" s="198"/>
      <c r="D191" s="19"/>
      <c r="E191" s="95"/>
      <c r="F191" s="19"/>
      <c r="G191" s="441">
        <f>G192</f>
        <v>2515636</v>
      </c>
      <c r="H191" s="441">
        <f t="shared" ref="H191:Z191" si="164">H192</f>
        <v>481716</v>
      </c>
      <c r="I191" s="441">
        <f t="shared" si="164"/>
        <v>184970</v>
      </c>
      <c r="J191" s="441">
        <f t="shared" si="164"/>
        <v>60000</v>
      </c>
      <c r="K191" s="441">
        <f t="shared" si="164"/>
        <v>61</v>
      </c>
      <c r="L191" s="441">
        <f t="shared" si="164"/>
        <v>0</v>
      </c>
      <c r="M191" s="441">
        <f t="shared" si="164"/>
        <v>54484</v>
      </c>
      <c r="N191" s="441">
        <f t="shared" si="164"/>
        <v>18064</v>
      </c>
      <c r="O191" s="441">
        <f t="shared" si="164"/>
        <v>309415</v>
      </c>
      <c r="P191" s="441">
        <f t="shared" si="164"/>
        <v>86445</v>
      </c>
      <c r="Q191" s="441">
        <f t="shared" si="164"/>
        <v>2198200</v>
      </c>
      <c r="R191" s="441">
        <f t="shared" si="164"/>
        <v>455271</v>
      </c>
      <c r="S191" s="441">
        <f t="shared" si="164"/>
        <v>0</v>
      </c>
      <c r="T191" s="441">
        <f t="shared" si="164"/>
        <v>591229</v>
      </c>
      <c r="U191" s="441">
        <f t="shared" si="164"/>
        <v>77371</v>
      </c>
      <c r="V191" s="441">
        <f t="shared" si="164"/>
        <v>0</v>
      </c>
      <c r="W191" s="24"/>
      <c r="X191" s="442">
        <f t="shared" si="164"/>
        <v>591229</v>
      </c>
      <c r="Y191" s="442">
        <f t="shared" si="164"/>
        <v>77371</v>
      </c>
      <c r="Z191" s="442">
        <f t="shared" si="164"/>
        <v>0</v>
      </c>
      <c r="AA191" s="5"/>
      <c r="AB191" s="441">
        <f t="shared" ref="AB191:AK191" si="165">AB192</f>
        <v>0</v>
      </c>
      <c r="AC191" s="441">
        <f t="shared" si="165"/>
        <v>0</v>
      </c>
      <c r="AD191" s="441">
        <f t="shared" si="165"/>
        <v>0</v>
      </c>
      <c r="AE191" s="441">
        <f t="shared" si="165"/>
        <v>0</v>
      </c>
      <c r="AF191" s="441">
        <f t="shared" si="165"/>
        <v>0</v>
      </c>
      <c r="AG191" s="441">
        <f t="shared" si="165"/>
        <v>0</v>
      </c>
      <c r="AH191" s="441">
        <f t="shared" si="165"/>
        <v>2</v>
      </c>
      <c r="AI191" s="441">
        <f t="shared" si="165"/>
        <v>77371</v>
      </c>
      <c r="AJ191" s="441">
        <f t="shared" si="165"/>
        <v>0</v>
      </c>
      <c r="AK191" s="441">
        <f t="shared" si="165"/>
        <v>0</v>
      </c>
      <c r="AL191" s="441">
        <f>AL192</f>
        <v>0</v>
      </c>
      <c r="AM191" s="441">
        <f>AM192</f>
        <v>0</v>
      </c>
      <c r="AN191" s="441">
        <f>AN192</f>
        <v>0</v>
      </c>
      <c r="AO191" s="441">
        <f>AO192</f>
        <v>0</v>
      </c>
    </row>
    <row r="192" spans="1:41" s="375" customFormat="1" ht="15.75">
      <c r="A192" s="26" t="s">
        <v>273</v>
      </c>
      <c r="B192" s="27" t="s">
        <v>35</v>
      </c>
      <c r="C192" s="135"/>
      <c r="D192" s="135"/>
      <c r="E192" s="136"/>
      <c r="F192" s="135"/>
      <c r="G192" s="384">
        <f t="shared" ref="G192:U192" si="166">G193+G194</f>
        <v>2515636</v>
      </c>
      <c r="H192" s="384">
        <f t="shared" si="166"/>
        <v>481716</v>
      </c>
      <c r="I192" s="384">
        <f t="shared" si="166"/>
        <v>184970</v>
      </c>
      <c r="J192" s="384">
        <f t="shared" si="166"/>
        <v>60000</v>
      </c>
      <c r="K192" s="384">
        <f t="shared" si="166"/>
        <v>61</v>
      </c>
      <c r="L192" s="384">
        <f t="shared" si="166"/>
        <v>0</v>
      </c>
      <c r="M192" s="384">
        <f t="shared" si="166"/>
        <v>54484</v>
      </c>
      <c r="N192" s="384">
        <f t="shared" si="166"/>
        <v>18064</v>
      </c>
      <c r="O192" s="384">
        <f t="shared" si="166"/>
        <v>309415</v>
      </c>
      <c r="P192" s="384">
        <f t="shared" si="166"/>
        <v>86445</v>
      </c>
      <c r="Q192" s="384">
        <f t="shared" si="166"/>
        <v>2198200</v>
      </c>
      <c r="R192" s="384">
        <f t="shared" si="166"/>
        <v>455271</v>
      </c>
      <c r="S192" s="384">
        <f t="shared" si="166"/>
        <v>0</v>
      </c>
      <c r="T192" s="384">
        <f t="shared" si="166"/>
        <v>591229</v>
      </c>
      <c r="U192" s="384">
        <f t="shared" si="166"/>
        <v>77371</v>
      </c>
      <c r="V192" s="384">
        <f>V193+V194</f>
        <v>0</v>
      </c>
      <c r="W192" s="449"/>
      <c r="X192" s="386">
        <f t="shared" ref="X192:Y192" si="167">X193+X194</f>
        <v>591229</v>
      </c>
      <c r="Y192" s="386">
        <f t="shared" si="167"/>
        <v>77371</v>
      </c>
      <c r="Z192" s="386">
        <f>Z193+Z194</f>
        <v>0</v>
      </c>
      <c r="AA192" s="5"/>
      <c r="AB192" s="384">
        <f t="shared" ref="AB192:AD192" si="168">AB193+AB194</f>
        <v>0</v>
      </c>
      <c r="AC192" s="384">
        <f t="shared" si="168"/>
        <v>0</v>
      </c>
      <c r="AD192" s="384">
        <f t="shared" si="168"/>
        <v>0</v>
      </c>
      <c r="AE192" s="384">
        <f>AE193+AE194</f>
        <v>0</v>
      </c>
      <c r="AF192" s="384">
        <f t="shared" ref="AF192:AH192" si="169">AF193+AF194</f>
        <v>0</v>
      </c>
      <c r="AG192" s="384">
        <f t="shared" si="169"/>
        <v>0</v>
      </c>
      <c r="AH192" s="384">
        <f t="shared" si="169"/>
        <v>2</v>
      </c>
      <c r="AI192" s="384">
        <f>AI193+AI194</f>
        <v>77371</v>
      </c>
      <c r="AJ192" s="384">
        <f t="shared" ref="AJ192:AO192" si="170">AJ193+AJ194</f>
        <v>0</v>
      </c>
      <c r="AK192" s="384">
        <f t="shared" si="170"/>
        <v>0</v>
      </c>
      <c r="AL192" s="384">
        <f t="shared" si="170"/>
        <v>0</v>
      </c>
      <c r="AM192" s="384">
        <f t="shared" si="170"/>
        <v>0</v>
      </c>
      <c r="AN192" s="384">
        <f t="shared" si="170"/>
        <v>0</v>
      </c>
      <c r="AO192" s="384">
        <f t="shared" si="170"/>
        <v>0</v>
      </c>
    </row>
    <row r="193" spans="1:41" s="25" customFormat="1" ht="36" customHeight="1">
      <c r="A193" s="97" t="s">
        <v>27</v>
      </c>
      <c r="B193" s="212" t="s">
        <v>1177</v>
      </c>
      <c r="C193" s="19" t="s">
        <v>29</v>
      </c>
      <c r="D193" s="19" t="s">
        <v>1178</v>
      </c>
      <c r="E193" s="70" t="s">
        <v>1179</v>
      </c>
      <c r="F193" s="19" t="s">
        <v>1180</v>
      </c>
      <c r="G193" s="366">
        <v>1344841</v>
      </c>
      <c r="H193" s="366">
        <v>200921</v>
      </c>
      <c r="I193" s="366">
        <f>J193+124970</f>
        <v>184970</v>
      </c>
      <c r="J193" s="366">
        <v>60000</v>
      </c>
      <c r="K193" s="366">
        <v>61</v>
      </c>
      <c r="L193" s="366"/>
      <c r="M193" s="366">
        <f>N193+36359+61</f>
        <v>54484</v>
      </c>
      <c r="N193" s="366">
        <v>18064</v>
      </c>
      <c r="O193" s="366">
        <f>P193+5000+23000+25000+10000+25000+10000+124970</f>
        <v>309415</v>
      </c>
      <c r="P193" s="366">
        <f>623+19438+5500+60000+884</f>
        <v>86445</v>
      </c>
      <c r="Q193" s="366">
        <v>1027405</v>
      </c>
      <c r="R193" s="366">
        <v>174476</v>
      </c>
      <c r="S193" s="366"/>
      <c r="T193" s="366">
        <v>471229</v>
      </c>
      <c r="U193" s="366">
        <v>57371</v>
      </c>
      <c r="V193" s="366"/>
      <c r="W193" s="24"/>
      <c r="X193" s="367">
        <v>471229</v>
      </c>
      <c r="Y193" s="367">
        <v>57371</v>
      </c>
      <c r="Z193" s="367"/>
      <c r="AA193" s="5"/>
      <c r="AE193" s="366"/>
      <c r="AH193" s="25">
        <v>1</v>
      </c>
      <c r="AI193" s="366">
        <v>57371</v>
      </c>
    </row>
    <row r="194" spans="1:41" s="25" customFormat="1" ht="36" customHeight="1">
      <c r="A194" s="97" t="s">
        <v>41</v>
      </c>
      <c r="B194" s="212" t="s">
        <v>1181</v>
      </c>
      <c r="C194" s="19" t="s">
        <v>29</v>
      </c>
      <c r="D194" s="19"/>
      <c r="E194" s="70" t="s">
        <v>120</v>
      </c>
      <c r="F194" s="19" t="s">
        <v>1256</v>
      </c>
      <c r="G194" s="366">
        <v>1170795</v>
      </c>
      <c r="H194" s="366">
        <v>280795</v>
      </c>
      <c r="I194" s="366"/>
      <c r="J194" s="366"/>
      <c r="K194" s="366"/>
      <c r="L194" s="366"/>
      <c r="M194" s="366"/>
      <c r="N194" s="366"/>
      <c r="O194" s="366"/>
      <c r="P194" s="366"/>
      <c r="Q194" s="366">
        <v>1170795</v>
      </c>
      <c r="R194" s="366">
        <v>280795</v>
      </c>
      <c r="S194" s="366"/>
      <c r="T194" s="366">
        <v>120000</v>
      </c>
      <c r="U194" s="366">
        <v>20000</v>
      </c>
      <c r="V194" s="366"/>
      <c r="W194" s="24"/>
      <c r="X194" s="367">
        <v>120000</v>
      </c>
      <c r="Y194" s="367">
        <v>20000</v>
      </c>
      <c r="Z194" s="367"/>
      <c r="AA194" s="5"/>
      <c r="AE194" s="366"/>
      <c r="AH194" s="25">
        <v>1</v>
      </c>
      <c r="AI194" s="366">
        <v>20000</v>
      </c>
    </row>
    <row r="195" spans="1:41" s="25" customFormat="1" ht="15.75">
      <c r="A195" s="97"/>
      <c r="B195" s="212"/>
      <c r="C195" s="19"/>
      <c r="D195" s="19"/>
      <c r="E195" s="70"/>
      <c r="F195" s="19"/>
      <c r="G195" s="366"/>
      <c r="H195" s="366"/>
      <c r="I195" s="366"/>
      <c r="J195" s="366">
        <f>35270-J196</f>
        <v>0</v>
      </c>
      <c r="K195" s="366"/>
      <c r="L195" s="366"/>
      <c r="M195" s="366"/>
      <c r="N195" s="366"/>
      <c r="O195" s="366"/>
      <c r="P195" s="366"/>
      <c r="Q195" s="366"/>
      <c r="R195" s="366"/>
      <c r="S195" s="366"/>
      <c r="T195" s="366"/>
      <c r="U195" s="366"/>
      <c r="V195" s="366"/>
      <c r="W195" s="24"/>
      <c r="X195" s="367"/>
      <c r="Y195" s="367"/>
      <c r="Z195" s="367"/>
      <c r="AA195" s="5"/>
    </row>
    <row r="196" spans="1:41" s="208" customFormat="1" ht="26.25" customHeight="1">
      <c r="A196" s="147" t="s">
        <v>524</v>
      </c>
      <c r="B196" s="209" t="s">
        <v>1257</v>
      </c>
      <c r="C196" s="126"/>
      <c r="D196" s="126"/>
      <c r="E196" s="127"/>
      <c r="F196" s="126"/>
      <c r="G196" s="210">
        <f t="shared" ref="G196:V196" si="171">SUM(G197,G199)</f>
        <v>298469</v>
      </c>
      <c r="H196" s="210">
        <f t="shared" si="171"/>
        <v>153096.6</v>
      </c>
      <c r="I196" s="210">
        <f t="shared" si="171"/>
        <v>35270</v>
      </c>
      <c r="J196" s="210">
        <f t="shared" si="171"/>
        <v>35270</v>
      </c>
      <c r="K196" s="210">
        <f t="shared" si="171"/>
        <v>6557</v>
      </c>
      <c r="L196" s="210">
        <f t="shared" si="171"/>
        <v>6557</v>
      </c>
      <c r="M196" s="210">
        <f t="shared" si="171"/>
        <v>8046</v>
      </c>
      <c r="N196" s="210">
        <f t="shared" si="171"/>
        <v>8046</v>
      </c>
      <c r="O196" s="210">
        <f t="shared" si="171"/>
        <v>51513</v>
      </c>
      <c r="P196" s="210">
        <f t="shared" si="171"/>
        <v>50253</v>
      </c>
      <c r="Q196" s="210">
        <f t="shared" si="171"/>
        <v>259187.5</v>
      </c>
      <c r="R196" s="210">
        <f t="shared" si="171"/>
        <v>138757.6</v>
      </c>
      <c r="S196" s="210">
        <f t="shared" si="171"/>
        <v>0</v>
      </c>
      <c r="T196" s="210">
        <f t="shared" si="171"/>
        <v>122029</v>
      </c>
      <c r="U196" s="210">
        <f t="shared" si="171"/>
        <v>59289</v>
      </c>
      <c r="V196" s="210">
        <f t="shared" si="171"/>
        <v>0</v>
      </c>
      <c r="W196" s="410"/>
      <c r="X196" s="429">
        <f t="shared" ref="X196:Z196" si="172">SUM(X197,X199)</f>
        <v>122529</v>
      </c>
      <c r="Y196" s="429">
        <f t="shared" si="172"/>
        <v>59789</v>
      </c>
      <c r="Z196" s="429">
        <f t="shared" si="172"/>
        <v>0</v>
      </c>
      <c r="AA196" s="348">
        <f>+U196/(2704380-258412-300000)*100</f>
        <v>2.7628091378809003</v>
      </c>
      <c r="AB196" s="210">
        <f t="shared" ref="AB196:AK196" si="173">SUM(AB197,AB199)</f>
        <v>1</v>
      </c>
      <c r="AC196" s="210">
        <f t="shared" si="173"/>
        <v>200</v>
      </c>
      <c r="AD196" s="210">
        <f t="shared" si="173"/>
        <v>7</v>
      </c>
      <c r="AE196" s="210">
        <f t="shared" si="173"/>
        <v>20432</v>
      </c>
      <c r="AF196" s="210">
        <f t="shared" si="173"/>
        <v>0</v>
      </c>
      <c r="AG196" s="210">
        <f t="shared" si="173"/>
        <v>0</v>
      </c>
      <c r="AH196" s="210">
        <f t="shared" si="173"/>
        <v>0</v>
      </c>
      <c r="AI196" s="210">
        <f t="shared" si="173"/>
        <v>0</v>
      </c>
      <c r="AJ196" s="210">
        <f t="shared" si="173"/>
        <v>0</v>
      </c>
      <c r="AK196" s="210">
        <f t="shared" si="173"/>
        <v>0</v>
      </c>
      <c r="AL196" s="210">
        <f>SUM(AL197,AL199)</f>
        <v>13</v>
      </c>
      <c r="AM196" s="210">
        <f>SUM(AM197,AM199)</f>
        <v>37485</v>
      </c>
      <c r="AN196" s="210">
        <f>SUM(AN197,AN199)</f>
        <v>0</v>
      </c>
      <c r="AO196" s="210">
        <f>SUM(AO197,AO199)</f>
        <v>0</v>
      </c>
    </row>
    <row r="197" spans="1:41" s="353" customFormat="1" ht="24.75" customHeight="1">
      <c r="A197" s="82" t="s">
        <v>525</v>
      </c>
      <c r="B197" s="12" t="s">
        <v>26</v>
      </c>
      <c r="C197" s="350"/>
      <c r="D197" s="350"/>
      <c r="E197" s="351"/>
      <c r="F197" s="350"/>
      <c r="G197" s="45">
        <f>SUM(G198:G198)</f>
        <v>0</v>
      </c>
      <c r="H197" s="45">
        <f t="shared" ref="H197:Z197" si="174">SUM(H198:H198)</f>
        <v>0</v>
      </c>
      <c r="I197" s="45">
        <f t="shared" si="174"/>
        <v>0</v>
      </c>
      <c r="J197" s="45">
        <f t="shared" si="174"/>
        <v>0</v>
      </c>
      <c r="K197" s="45">
        <f t="shared" si="174"/>
        <v>0</v>
      </c>
      <c r="L197" s="45">
        <f t="shared" si="174"/>
        <v>0</v>
      </c>
      <c r="M197" s="45">
        <f t="shared" si="174"/>
        <v>0</v>
      </c>
      <c r="N197" s="45">
        <f t="shared" si="174"/>
        <v>0</v>
      </c>
      <c r="O197" s="45">
        <f t="shared" si="174"/>
        <v>0</v>
      </c>
      <c r="P197" s="45">
        <f t="shared" si="174"/>
        <v>0</v>
      </c>
      <c r="Q197" s="45">
        <f t="shared" si="174"/>
        <v>0</v>
      </c>
      <c r="R197" s="45">
        <f t="shared" si="174"/>
        <v>0</v>
      </c>
      <c r="S197" s="45">
        <f t="shared" si="174"/>
        <v>0</v>
      </c>
      <c r="T197" s="45">
        <f t="shared" si="174"/>
        <v>200</v>
      </c>
      <c r="U197" s="45">
        <f t="shared" si="174"/>
        <v>200</v>
      </c>
      <c r="V197" s="45">
        <f t="shared" si="174"/>
        <v>0</v>
      </c>
      <c r="W197" s="352"/>
      <c r="X197" s="347">
        <f t="shared" si="174"/>
        <v>200</v>
      </c>
      <c r="Y197" s="347">
        <f t="shared" si="174"/>
        <v>200</v>
      </c>
      <c r="Z197" s="347">
        <f t="shared" si="174"/>
        <v>0</v>
      </c>
      <c r="AA197" s="5"/>
      <c r="AB197" s="45">
        <f t="shared" ref="AB197:AK197" si="175">SUM(AB198:AB198)</f>
        <v>1</v>
      </c>
      <c r="AC197" s="45">
        <f t="shared" si="175"/>
        <v>200</v>
      </c>
      <c r="AD197" s="45">
        <f t="shared" si="175"/>
        <v>0</v>
      </c>
      <c r="AE197" s="45">
        <f t="shared" si="175"/>
        <v>0</v>
      </c>
      <c r="AF197" s="45">
        <f t="shared" si="175"/>
        <v>0</v>
      </c>
      <c r="AG197" s="45">
        <f t="shared" si="175"/>
        <v>0</v>
      </c>
      <c r="AH197" s="45">
        <f t="shared" si="175"/>
        <v>0</v>
      </c>
      <c r="AI197" s="45">
        <f t="shared" si="175"/>
        <v>0</v>
      </c>
      <c r="AJ197" s="45">
        <f t="shared" si="175"/>
        <v>0</v>
      </c>
      <c r="AK197" s="45">
        <f t="shared" si="175"/>
        <v>0</v>
      </c>
      <c r="AL197" s="45">
        <f>SUM(AL198:AL198)</f>
        <v>0</v>
      </c>
      <c r="AM197" s="45">
        <f>SUM(AM198:AM198)</f>
        <v>0</v>
      </c>
      <c r="AN197" s="45">
        <f>SUM(AN198:AN198)</f>
        <v>0</v>
      </c>
      <c r="AO197" s="45">
        <f>SUM(AO198:AO198)</f>
        <v>0</v>
      </c>
    </row>
    <row r="198" spans="1:41" s="5" customFormat="1" ht="51">
      <c r="A198" s="138">
        <v>1</v>
      </c>
      <c r="B198" s="214" t="s">
        <v>1258</v>
      </c>
      <c r="C198" s="19" t="s">
        <v>260</v>
      </c>
      <c r="D198" s="43"/>
      <c r="E198" s="44" t="s">
        <v>163</v>
      </c>
      <c r="F198" s="318"/>
      <c r="G198" s="72"/>
      <c r="H198" s="72"/>
      <c r="I198" s="175"/>
      <c r="J198" s="72"/>
      <c r="K198" s="72"/>
      <c r="L198" s="72"/>
      <c r="M198" s="72"/>
      <c r="N198" s="72"/>
      <c r="O198" s="72"/>
      <c r="P198" s="72"/>
      <c r="Q198" s="72"/>
      <c r="R198" s="72"/>
      <c r="S198" s="72"/>
      <c r="T198" s="72">
        <v>200</v>
      </c>
      <c r="U198" s="72">
        <v>200</v>
      </c>
      <c r="V198" s="72"/>
      <c r="W198" s="269" t="s">
        <v>1259</v>
      </c>
      <c r="X198" s="356">
        <v>200</v>
      </c>
      <c r="Y198" s="356">
        <v>200</v>
      </c>
      <c r="Z198" s="356"/>
      <c r="AB198" s="5">
        <v>1</v>
      </c>
      <c r="AC198" s="72">
        <v>200</v>
      </c>
    </row>
    <row r="199" spans="1:41" s="5" customFormat="1" ht="22.5" customHeight="1">
      <c r="A199" s="82" t="s">
        <v>499</v>
      </c>
      <c r="B199" s="213" t="s">
        <v>31</v>
      </c>
      <c r="C199" s="43"/>
      <c r="D199" s="43"/>
      <c r="E199" s="44"/>
      <c r="F199" s="43"/>
      <c r="G199" s="45">
        <f t="shared" ref="G199:V199" si="176">SUM(G200,G207,G217)</f>
        <v>298469</v>
      </c>
      <c r="H199" s="45">
        <f t="shared" si="176"/>
        <v>153096.6</v>
      </c>
      <c r="I199" s="45">
        <f t="shared" si="176"/>
        <v>35270</v>
      </c>
      <c r="J199" s="45">
        <f t="shared" si="176"/>
        <v>35270</v>
      </c>
      <c r="K199" s="45">
        <f t="shared" si="176"/>
        <v>6557</v>
      </c>
      <c r="L199" s="45">
        <f t="shared" si="176"/>
        <v>6557</v>
      </c>
      <c r="M199" s="45">
        <f t="shared" si="176"/>
        <v>8046</v>
      </c>
      <c r="N199" s="45">
        <f t="shared" si="176"/>
        <v>8046</v>
      </c>
      <c r="O199" s="45">
        <f t="shared" si="176"/>
        <v>51513</v>
      </c>
      <c r="P199" s="45">
        <f t="shared" si="176"/>
        <v>50253</v>
      </c>
      <c r="Q199" s="45">
        <f t="shared" si="176"/>
        <v>259187.5</v>
      </c>
      <c r="R199" s="45">
        <f t="shared" si="176"/>
        <v>138757.6</v>
      </c>
      <c r="S199" s="45">
        <f t="shared" si="176"/>
        <v>0</v>
      </c>
      <c r="T199" s="45">
        <f t="shared" si="176"/>
        <v>121829</v>
      </c>
      <c r="U199" s="45">
        <f t="shared" si="176"/>
        <v>59089</v>
      </c>
      <c r="V199" s="45">
        <f t="shared" si="176"/>
        <v>0</v>
      </c>
      <c r="W199" s="269"/>
      <c r="X199" s="347">
        <f t="shared" ref="X199:Z199" si="177">SUM(X200,X207,X217)</f>
        <v>122329</v>
      </c>
      <c r="Y199" s="347">
        <f t="shared" si="177"/>
        <v>59589</v>
      </c>
      <c r="Z199" s="347">
        <f t="shared" si="177"/>
        <v>0</v>
      </c>
      <c r="AB199" s="45">
        <f t="shared" ref="AB199:AK199" si="178">SUM(AB200,AB207,AB217)</f>
        <v>0</v>
      </c>
      <c r="AC199" s="45">
        <f t="shared" si="178"/>
        <v>0</v>
      </c>
      <c r="AD199" s="45">
        <f t="shared" si="178"/>
        <v>7</v>
      </c>
      <c r="AE199" s="45">
        <f t="shared" si="178"/>
        <v>20432</v>
      </c>
      <c r="AF199" s="45">
        <f t="shared" si="178"/>
        <v>0</v>
      </c>
      <c r="AG199" s="45">
        <f t="shared" si="178"/>
        <v>0</v>
      </c>
      <c r="AH199" s="45">
        <f t="shared" si="178"/>
        <v>0</v>
      </c>
      <c r="AI199" s="45">
        <f t="shared" si="178"/>
        <v>0</v>
      </c>
      <c r="AJ199" s="45">
        <f t="shared" si="178"/>
        <v>0</v>
      </c>
      <c r="AK199" s="45">
        <f t="shared" si="178"/>
        <v>0</v>
      </c>
      <c r="AL199" s="45">
        <f>SUM(AL200,AL207,AL217)</f>
        <v>13</v>
      </c>
      <c r="AM199" s="45">
        <f>SUM(AM200,AM207,AM217)</f>
        <v>37485</v>
      </c>
      <c r="AN199" s="45">
        <f>SUM(AN200,AN207,AN217)</f>
        <v>0</v>
      </c>
      <c r="AO199" s="45">
        <f>SUM(AO200,AO207,AO217)</f>
        <v>0</v>
      </c>
    </row>
    <row r="200" spans="1:41" s="416" customFormat="1" ht="47.25">
      <c r="A200" s="417" t="s">
        <v>32</v>
      </c>
      <c r="B200" s="418" t="s">
        <v>33</v>
      </c>
      <c r="C200" s="409"/>
      <c r="D200" s="409"/>
      <c r="E200" s="419"/>
      <c r="F200" s="409"/>
      <c r="G200" s="362">
        <f>G201</f>
        <v>44978</v>
      </c>
      <c r="H200" s="362">
        <f t="shared" ref="H200:Z200" si="179">H201</f>
        <v>18897</v>
      </c>
      <c r="I200" s="362">
        <f t="shared" si="179"/>
        <v>6818</v>
      </c>
      <c r="J200" s="362">
        <f t="shared" si="179"/>
        <v>6818</v>
      </c>
      <c r="K200" s="362">
        <f t="shared" si="179"/>
        <v>6557</v>
      </c>
      <c r="L200" s="362">
        <f t="shared" si="179"/>
        <v>6557</v>
      </c>
      <c r="M200" s="362">
        <f t="shared" si="179"/>
        <v>3734</v>
      </c>
      <c r="N200" s="362">
        <f t="shared" si="179"/>
        <v>3734</v>
      </c>
      <c r="O200" s="362">
        <f t="shared" si="179"/>
        <v>16900</v>
      </c>
      <c r="P200" s="362">
        <f t="shared" si="179"/>
        <v>16600</v>
      </c>
      <c r="Q200" s="362">
        <f t="shared" si="179"/>
        <v>23963.1</v>
      </c>
      <c r="R200" s="362">
        <f t="shared" si="179"/>
        <v>9569</v>
      </c>
      <c r="S200" s="362">
        <f t="shared" si="179"/>
        <v>0</v>
      </c>
      <c r="T200" s="362">
        <f t="shared" si="179"/>
        <v>11300</v>
      </c>
      <c r="U200" s="362">
        <f t="shared" si="179"/>
        <v>2200</v>
      </c>
      <c r="V200" s="362">
        <f t="shared" si="179"/>
        <v>0</v>
      </c>
      <c r="W200" s="363"/>
      <c r="X200" s="364">
        <f t="shared" si="179"/>
        <v>11300</v>
      </c>
      <c r="Y200" s="364">
        <f t="shared" si="179"/>
        <v>2200</v>
      </c>
      <c r="Z200" s="364">
        <f t="shared" si="179"/>
        <v>0</v>
      </c>
      <c r="AA200" s="5"/>
      <c r="AB200" s="362">
        <f t="shared" ref="AB200:AK200" si="180">AB201</f>
        <v>0</v>
      </c>
      <c r="AC200" s="362">
        <f t="shared" si="180"/>
        <v>0</v>
      </c>
      <c r="AD200" s="362">
        <f t="shared" si="180"/>
        <v>0</v>
      </c>
      <c r="AE200" s="362">
        <f t="shared" si="180"/>
        <v>0</v>
      </c>
      <c r="AF200" s="362">
        <f t="shared" si="180"/>
        <v>0</v>
      </c>
      <c r="AG200" s="362">
        <f t="shared" si="180"/>
        <v>0</v>
      </c>
      <c r="AH200" s="362">
        <f t="shared" si="180"/>
        <v>0</v>
      </c>
      <c r="AI200" s="362">
        <f t="shared" si="180"/>
        <v>0</v>
      </c>
      <c r="AJ200" s="362">
        <f t="shared" si="180"/>
        <v>0</v>
      </c>
      <c r="AK200" s="362">
        <f t="shared" si="180"/>
        <v>0</v>
      </c>
      <c r="AL200" s="362">
        <f>AL201</f>
        <v>0</v>
      </c>
      <c r="AM200" s="362">
        <f>AM201</f>
        <v>0</v>
      </c>
      <c r="AN200" s="362">
        <f>AN201</f>
        <v>0</v>
      </c>
      <c r="AO200" s="362">
        <f>AO201</f>
        <v>0</v>
      </c>
    </row>
    <row r="201" spans="1:41" s="416" customFormat="1" ht="15.75">
      <c r="A201" s="26" t="s">
        <v>47</v>
      </c>
      <c r="B201" s="27" t="s">
        <v>48</v>
      </c>
      <c r="C201" s="409"/>
      <c r="D201" s="409"/>
      <c r="E201" s="419"/>
      <c r="F201" s="409"/>
      <c r="G201" s="362">
        <f>SUM(G202:G206)</f>
        <v>44978</v>
      </c>
      <c r="H201" s="362">
        <f t="shared" ref="H201:V201" si="181">SUM(H202:H206)</f>
        <v>18897</v>
      </c>
      <c r="I201" s="362">
        <f t="shared" si="181"/>
        <v>6818</v>
      </c>
      <c r="J201" s="362">
        <f t="shared" si="181"/>
        <v>6818</v>
      </c>
      <c r="K201" s="362">
        <f t="shared" si="181"/>
        <v>6557</v>
      </c>
      <c r="L201" s="362">
        <f t="shared" si="181"/>
        <v>6557</v>
      </c>
      <c r="M201" s="362">
        <f t="shared" si="181"/>
        <v>3734</v>
      </c>
      <c r="N201" s="362">
        <f t="shared" si="181"/>
        <v>3734</v>
      </c>
      <c r="O201" s="362">
        <f t="shared" si="181"/>
        <v>16900</v>
      </c>
      <c r="P201" s="362">
        <f t="shared" si="181"/>
        <v>16600</v>
      </c>
      <c r="Q201" s="362">
        <f t="shared" si="181"/>
        <v>23963.1</v>
      </c>
      <c r="R201" s="362">
        <f t="shared" si="181"/>
        <v>9569</v>
      </c>
      <c r="S201" s="362">
        <f t="shared" si="181"/>
        <v>0</v>
      </c>
      <c r="T201" s="362">
        <f t="shared" si="181"/>
        <v>11300</v>
      </c>
      <c r="U201" s="362">
        <f t="shared" si="181"/>
        <v>2200</v>
      </c>
      <c r="V201" s="362">
        <f t="shared" si="181"/>
        <v>0</v>
      </c>
      <c r="W201" s="363"/>
      <c r="X201" s="364">
        <f t="shared" ref="X201:Z201" si="182">SUM(X202:X206)</f>
        <v>11300</v>
      </c>
      <c r="Y201" s="364">
        <f t="shared" si="182"/>
        <v>2200</v>
      </c>
      <c r="Z201" s="364">
        <f t="shared" si="182"/>
        <v>0</v>
      </c>
      <c r="AA201" s="5"/>
      <c r="AB201" s="362">
        <f t="shared" ref="AB201:AK201" si="183">SUM(AB202:AB205)</f>
        <v>0</v>
      </c>
      <c r="AC201" s="362">
        <f t="shared" si="183"/>
        <v>0</v>
      </c>
      <c r="AD201" s="362">
        <f t="shared" si="183"/>
        <v>0</v>
      </c>
      <c r="AE201" s="362">
        <f t="shared" si="183"/>
        <v>0</v>
      </c>
      <c r="AF201" s="362">
        <f t="shared" si="183"/>
        <v>0</v>
      </c>
      <c r="AG201" s="362">
        <f t="shared" si="183"/>
        <v>0</v>
      </c>
      <c r="AH201" s="362">
        <f t="shared" si="183"/>
        <v>0</v>
      </c>
      <c r="AI201" s="362">
        <f t="shared" si="183"/>
        <v>0</v>
      </c>
      <c r="AJ201" s="362">
        <f t="shared" si="183"/>
        <v>0</v>
      </c>
      <c r="AK201" s="362">
        <f t="shared" si="183"/>
        <v>0</v>
      </c>
      <c r="AL201" s="362">
        <f>SUM(AL202:AL205)</f>
        <v>0</v>
      </c>
      <c r="AM201" s="362">
        <f>SUM(AM202:AM205)</f>
        <v>0</v>
      </c>
      <c r="AN201" s="362">
        <f>SUM(AN202:AN205)</f>
        <v>0</v>
      </c>
      <c r="AO201" s="362">
        <f>SUM(AO202:AO205)</f>
        <v>0</v>
      </c>
    </row>
    <row r="202" spans="1:41" s="25" customFormat="1" ht="36" customHeight="1">
      <c r="A202" s="97" t="s">
        <v>27</v>
      </c>
      <c r="B202" s="212" t="s">
        <v>596</v>
      </c>
      <c r="C202" s="94" t="s">
        <v>112</v>
      </c>
      <c r="D202" s="19" t="s">
        <v>597</v>
      </c>
      <c r="E202" s="70" t="s">
        <v>114</v>
      </c>
      <c r="F202" s="19" t="s">
        <v>598</v>
      </c>
      <c r="G202" s="23">
        <v>17604</v>
      </c>
      <c r="H202" s="23">
        <v>6223</v>
      </c>
      <c r="I202" s="175">
        <v>0</v>
      </c>
      <c r="J202" s="175">
        <v>0</v>
      </c>
      <c r="K202" s="23">
        <v>1247</v>
      </c>
      <c r="L202" s="23">
        <v>1247</v>
      </c>
      <c r="M202" s="175">
        <v>0</v>
      </c>
      <c r="N202" s="23">
        <v>0</v>
      </c>
      <c r="O202" s="175">
        <v>3972</v>
      </c>
      <c r="P202" s="23">
        <f>3972</f>
        <v>3972</v>
      </c>
      <c r="Q202" s="175">
        <f>G202-H202</f>
        <v>11381</v>
      </c>
      <c r="R202" s="175">
        <f>H202-P202</f>
        <v>2251</v>
      </c>
      <c r="S202" s="23"/>
      <c r="T202" s="175">
        <v>11300</v>
      </c>
      <c r="U202" s="175">
        <v>2200</v>
      </c>
      <c r="V202" s="23"/>
      <c r="W202" s="24"/>
      <c r="X202" s="428">
        <v>11300</v>
      </c>
      <c r="Y202" s="428">
        <v>2200</v>
      </c>
      <c r="Z202" s="371"/>
      <c r="AA202" s="5"/>
    </row>
    <row r="203" spans="1:41" s="25" customFormat="1" ht="36" customHeight="1">
      <c r="A203" s="97" t="s">
        <v>41</v>
      </c>
      <c r="B203" s="212" t="s">
        <v>1260</v>
      </c>
      <c r="C203" s="94" t="s">
        <v>173</v>
      </c>
      <c r="D203" s="19" t="s">
        <v>600</v>
      </c>
      <c r="E203" s="70" t="s">
        <v>114</v>
      </c>
      <c r="F203" s="19" t="s">
        <v>601</v>
      </c>
      <c r="G203" s="23">
        <v>7735</v>
      </c>
      <c r="H203" s="23">
        <v>3674</v>
      </c>
      <c r="I203" s="175">
        <f t="shared" ref="I203:I205" si="184">+J203</f>
        <v>1060</v>
      </c>
      <c r="J203" s="175">
        <v>1060</v>
      </c>
      <c r="K203" s="23">
        <v>2610</v>
      </c>
      <c r="L203" s="23">
        <v>2610</v>
      </c>
      <c r="M203" s="175"/>
      <c r="N203" s="23"/>
      <c r="O203" s="175">
        <v>3670</v>
      </c>
      <c r="P203" s="23">
        <v>3670</v>
      </c>
      <c r="Q203" s="23">
        <v>1060</v>
      </c>
      <c r="R203" s="23">
        <v>1060</v>
      </c>
      <c r="S203" s="23"/>
      <c r="T203" s="175"/>
      <c r="U203" s="175"/>
      <c r="V203" s="23"/>
      <c r="W203" s="24"/>
      <c r="X203" s="428"/>
      <c r="Y203" s="428"/>
      <c r="Z203" s="371"/>
      <c r="AA203" s="5"/>
    </row>
    <row r="204" spans="1:41" s="25" customFormat="1" ht="36" customHeight="1">
      <c r="A204" s="97" t="s">
        <v>58</v>
      </c>
      <c r="B204" s="212" t="s">
        <v>1261</v>
      </c>
      <c r="C204" s="94" t="s">
        <v>173</v>
      </c>
      <c r="D204" s="19" t="s">
        <v>603</v>
      </c>
      <c r="E204" s="70" t="s">
        <v>114</v>
      </c>
      <c r="F204" s="19" t="s">
        <v>604</v>
      </c>
      <c r="G204" s="23">
        <v>7981</v>
      </c>
      <c r="H204" s="23">
        <v>3739</v>
      </c>
      <c r="I204" s="175">
        <f t="shared" si="184"/>
        <v>1039</v>
      </c>
      <c r="J204" s="175">
        <v>1039</v>
      </c>
      <c r="K204" s="23">
        <v>2700</v>
      </c>
      <c r="L204" s="23">
        <v>2700</v>
      </c>
      <c r="M204" s="175">
        <v>1039</v>
      </c>
      <c r="N204" s="23">
        <v>1039</v>
      </c>
      <c r="O204" s="175">
        <v>3739</v>
      </c>
      <c r="P204" s="23">
        <v>3739</v>
      </c>
      <c r="Q204" s="23">
        <v>1039</v>
      </c>
      <c r="R204" s="23">
        <v>1039</v>
      </c>
      <c r="S204" s="23"/>
      <c r="T204" s="175"/>
      <c r="U204" s="175"/>
      <c r="V204" s="23"/>
      <c r="W204" s="24"/>
      <c r="X204" s="428"/>
      <c r="Y204" s="428"/>
      <c r="Z204" s="371"/>
      <c r="AA204" s="5"/>
    </row>
    <row r="205" spans="1:41" s="25" customFormat="1" ht="36" customHeight="1">
      <c r="A205" s="97" t="s">
        <v>64</v>
      </c>
      <c r="B205" s="212" t="s">
        <v>605</v>
      </c>
      <c r="C205" s="94" t="s">
        <v>5</v>
      </c>
      <c r="D205" s="19" t="s">
        <v>606</v>
      </c>
      <c r="E205" s="70" t="s">
        <v>30</v>
      </c>
      <c r="F205" s="19" t="s">
        <v>607</v>
      </c>
      <c r="G205" s="23">
        <v>10759</v>
      </c>
      <c r="H205" s="23">
        <v>4719</v>
      </c>
      <c r="I205" s="175">
        <f t="shared" si="184"/>
        <v>4719</v>
      </c>
      <c r="J205" s="175">
        <v>4719</v>
      </c>
      <c r="K205" s="23">
        <v>0</v>
      </c>
      <c r="L205" s="23">
        <v>0</v>
      </c>
      <c r="M205" s="175">
        <v>2695</v>
      </c>
      <c r="N205" s="23">
        <v>2695</v>
      </c>
      <c r="O205" s="175">
        <v>4719</v>
      </c>
      <c r="P205" s="23">
        <v>4719</v>
      </c>
      <c r="Q205" s="23">
        <f>G205-G205*10%</f>
        <v>9683.1</v>
      </c>
      <c r="R205" s="23">
        <v>4719</v>
      </c>
      <c r="S205" s="23"/>
      <c r="T205" s="175">
        <v>0</v>
      </c>
      <c r="U205" s="175">
        <v>0</v>
      </c>
      <c r="V205" s="23">
        <v>0</v>
      </c>
      <c r="W205" s="24"/>
      <c r="X205" s="428">
        <v>0</v>
      </c>
      <c r="Y205" s="428">
        <v>0</v>
      </c>
      <c r="Z205" s="371">
        <v>0</v>
      </c>
      <c r="AA205" s="5"/>
    </row>
    <row r="206" spans="1:41" s="25" customFormat="1" ht="36" customHeight="1">
      <c r="A206" s="97" t="s">
        <v>69</v>
      </c>
      <c r="B206" s="212" t="s">
        <v>608</v>
      </c>
      <c r="C206" s="94" t="s">
        <v>29</v>
      </c>
      <c r="D206" s="19" t="s">
        <v>609</v>
      </c>
      <c r="E206" s="70" t="s">
        <v>166</v>
      </c>
      <c r="F206" s="19" t="s">
        <v>610</v>
      </c>
      <c r="G206" s="23">
        <v>899</v>
      </c>
      <c r="H206" s="23">
        <v>542</v>
      </c>
      <c r="I206" s="175"/>
      <c r="J206" s="175"/>
      <c r="K206" s="23"/>
      <c r="L206" s="23"/>
      <c r="M206" s="175"/>
      <c r="N206" s="175"/>
      <c r="O206" s="175">
        <v>800</v>
      </c>
      <c r="P206" s="175">
        <v>500</v>
      </c>
      <c r="Q206" s="175">
        <v>800</v>
      </c>
      <c r="R206" s="175">
        <v>500</v>
      </c>
      <c r="S206" s="23"/>
      <c r="T206" s="175"/>
      <c r="U206" s="175"/>
      <c r="V206" s="23"/>
      <c r="W206" s="24"/>
      <c r="X206" s="428"/>
      <c r="Y206" s="428"/>
      <c r="Z206" s="371"/>
      <c r="AA206" s="5"/>
    </row>
    <row r="207" spans="1:41" s="25" customFormat="1" ht="36.75" customHeight="1">
      <c r="A207" s="64" t="s">
        <v>78</v>
      </c>
      <c r="B207" s="213" t="s">
        <v>611</v>
      </c>
      <c r="C207" s="198"/>
      <c r="D207" s="19"/>
      <c r="E207" s="95"/>
      <c r="F207" s="19"/>
      <c r="G207" s="441">
        <f>G208</f>
        <v>91262</v>
      </c>
      <c r="H207" s="441">
        <f t="shared" ref="H207:Z207" si="185">H208</f>
        <v>53337</v>
      </c>
      <c r="I207" s="441">
        <f t="shared" si="185"/>
        <v>27500</v>
      </c>
      <c r="J207" s="441">
        <f t="shared" si="185"/>
        <v>27500</v>
      </c>
      <c r="K207" s="441">
        <f t="shared" si="185"/>
        <v>0</v>
      </c>
      <c r="L207" s="441">
        <f t="shared" si="185"/>
        <v>0</v>
      </c>
      <c r="M207" s="441">
        <f t="shared" si="185"/>
        <v>3914</v>
      </c>
      <c r="N207" s="441">
        <f t="shared" si="185"/>
        <v>3914</v>
      </c>
      <c r="O207" s="441">
        <f t="shared" si="185"/>
        <v>33660</v>
      </c>
      <c r="P207" s="441">
        <f t="shared" si="185"/>
        <v>32700</v>
      </c>
      <c r="Q207" s="441">
        <f t="shared" si="185"/>
        <v>79829.900000000009</v>
      </c>
      <c r="R207" s="441">
        <f t="shared" si="185"/>
        <v>48326</v>
      </c>
      <c r="S207" s="441">
        <f t="shared" si="185"/>
        <v>0</v>
      </c>
      <c r="T207" s="441">
        <f t="shared" si="185"/>
        <v>58314</v>
      </c>
      <c r="U207" s="441">
        <f t="shared" si="185"/>
        <v>20389</v>
      </c>
      <c r="V207" s="441">
        <f t="shared" si="185"/>
        <v>0</v>
      </c>
      <c r="W207" s="24"/>
      <c r="X207" s="442">
        <f t="shared" si="185"/>
        <v>58814</v>
      </c>
      <c r="Y207" s="442">
        <f t="shared" si="185"/>
        <v>20889</v>
      </c>
      <c r="Z207" s="442">
        <f t="shared" si="185"/>
        <v>0</v>
      </c>
      <c r="AA207" s="5"/>
      <c r="AB207" s="441">
        <f t="shared" ref="AB207:AK207" si="186">AB208</f>
        <v>0</v>
      </c>
      <c r="AC207" s="441">
        <f t="shared" si="186"/>
        <v>0</v>
      </c>
      <c r="AD207" s="441">
        <f t="shared" si="186"/>
        <v>7</v>
      </c>
      <c r="AE207" s="441">
        <f t="shared" si="186"/>
        <v>20432</v>
      </c>
      <c r="AF207" s="441">
        <f t="shared" si="186"/>
        <v>0</v>
      </c>
      <c r="AG207" s="441">
        <f t="shared" si="186"/>
        <v>0</v>
      </c>
      <c r="AH207" s="441">
        <f t="shared" si="186"/>
        <v>0</v>
      </c>
      <c r="AI207" s="441">
        <f t="shared" si="186"/>
        <v>0</v>
      </c>
      <c r="AJ207" s="441">
        <f t="shared" si="186"/>
        <v>0</v>
      </c>
      <c r="AK207" s="441">
        <f t="shared" si="186"/>
        <v>0</v>
      </c>
      <c r="AL207" s="441">
        <f>AL208</f>
        <v>0</v>
      </c>
      <c r="AM207" s="441">
        <f>AM208</f>
        <v>0</v>
      </c>
      <c r="AN207" s="441">
        <f>AN208</f>
        <v>0</v>
      </c>
      <c r="AO207" s="441">
        <f>AO208</f>
        <v>0</v>
      </c>
    </row>
    <row r="208" spans="1:41" s="375" customFormat="1" ht="15.75">
      <c r="A208" s="26" t="s">
        <v>273</v>
      </c>
      <c r="B208" s="27" t="s">
        <v>48</v>
      </c>
      <c r="C208" s="135"/>
      <c r="D208" s="135"/>
      <c r="E208" s="136"/>
      <c r="F208" s="135"/>
      <c r="G208" s="384">
        <f>SUM(G209:G216)</f>
        <v>91262</v>
      </c>
      <c r="H208" s="384">
        <f t="shared" ref="H208:V208" si="187">SUM(H209:H216)</f>
        <v>53337</v>
      </c>
      <c r="I208" s="384">
        <f t="shared" si="187"/>
        <v>27500</v>
      </c>
      <c r="J208" s="384">
        <f t="shared" si="187"/>
        <v>27500</v>
      </c>
      <c r="K208" s="384">
        <f t="shared" si="187"/>
        <v>0</v>
      </c>
      <c r="L208" s="384">
        <f t="shared" si="187"/>
        <v>0</v>
      </c>
      <c r="M208" s="384">
        <f t="shared" si="187"/>
        <v>3914</v>
      </c>
      <c r="N208" s="384">
        <f t="shared" si="187"/>
        <v>3914</v>
      </c>
      <c r="O208" s="384">
        <f t="shared" si="187"/>
        <v>33660</v>
      </c>
      <c r="P208" s="384">
        <f t="shared" si="187"/>
        <v>32700</v>
      </c>
      <c r="Q208" s="384">
        <f t="shared" si="187"/>
        <v>79829.900000000009</v>
      </c>
      <c r="R208" s="384">
        <f t="shared" si="187"/>
        <v>48326</v>
      </c>
      <c r="S208" s="384">
        <f t="shared" si="187"/>
        <v>0</v>
      </c>
      <c r="T208" s="384">
        <f t="shared" si="187"/>
        <v>58314</v>
      </c>
      <c r="U208" s="384">
        <f t="shared" si="187"/>
        <v>20389</v>
      </c>
      <c r="V208" s="384">
        <f t="shared" si="187"/>
        <v>0</v>
      </c>
      <c r="W208" s="449"/>
      <c r="X208" s="386">
        <f t="shared" ref="X208:Z208" si="188">SUM(X209:X216)</f>
        <v>58814</v>
      </c>
      <c r="Y208" s="386">
        <f t="shared" si="188"/>
        <v>20889</v>
      </c>
      <c r="Z208" s="386">
        <f t="shared" si="188"/>
        <v>0</v>
      </c>
      <c r="AA208" s="5"/>
      <c r="AB208" s="384">
        <f t="shared" ref="AB208:AK208" si="189">SUM(AB209:AB216)</f>
        <v>0</v>
      </c>
      <c r="AC208" s="384">
        <f t="shared" si="189"/>
        <v>0</v>
      </c>
      <c r="AD208" s="384">
        <f t="shared" si="189"/>
        <v>7</v>
      </c>
      <c r="AE208" s="384">
        <f t="shared" si="189"/>
        <v>20432</v>
      </c>
      <c r="AF208" s="384">
        <f t="shared" si="189"/>
        <v>0</v>
      </c>
      <c r="AG208" s="384">
        <f t="shared" si="189"/>
        <v>0</v>
      </c>
      <c r="AH208" s="384">
        <f t="shared" si="189"/>
        <v>0</v>
      </c>
      <c r="AI208" s="384">
        <f t="shared" si="189"/>
        <v>0</v>
      </c>
      <c r="AJ208" s="384">
        <f t="shared" si="189"/>
        <v>0</v>
      </c>
      <c r="AK208" s="384">
        <f t="shared" si="189"/>
        <v>0</v>
      </c>
      <c r="AL208" s="384">
        <f>SUM(AL209:AL216)</f>
        <v>0</v>
      </c>
      <c r="AM208" s="384">
        <f>SUM(AM209:AM216)</f>
        <v>0</v>
      </c>
      <c r="AN208" s="384">
        <f>SUM(AN209:AN216)</f>
        <v>0</v>
      </c>
      <c r="AO208" s="384">
        <f>SUM(AO209:AO216)</f>
        <v>0</v>
      </c>
    </row>
    <row r="209" spans="1:41" s="25" customFormat="1" ht="31.5">
      <c r="A209" s="97" t="s">
        <v>27</v>
      </c>
      <c r="B209" s="212" t="s">
        <v>612</v>
      </c>
      <c r="C209" s="94" t="s">
        <v>66</v>
      </c>
      <c r="D209" s="19" t="s">
        <v>613</v>
      </c>
      <c r="E209" s="70" t="s">
        <v>114</v>
      </c>
      <c r="F209" s="19" t="s">
        <v>614</v>
      </c>
      <c r="G209" s="23">
        <v>14667</v>
      </c>
      <c r="H209" s="23">
        <v>14667</v>
      </c>
      <c r="I209" s="175">
        <f>+J209</f>
        <v>6000</v>
      </c>
      <c r="J209" s="175">
        <v>6000</v>
      </c>
      <c r="K209" s="23"/>
      <c r="L209" s="23"/>
      <c r="M209" s="175">
        <v>1614</v>
      </c>
      <c r="N209" s="23">
        <v>1614</v>
      </c>
      <c r="O209" s="175">
        <v>11200</v>
      </c>
      <c r="P209" s="23">
        <v>11200</v>
      </c>
      <c r="Q209" s="23">
        <v>9656</v>
      </c>
      <c r="R209" s="23">
        <v>9656</v>
      </c>
      <c r="S209" s="23"/>
      <c r="T209" s="175">
        <v>3219</v>
      </c>
      <c r="U209" s="175">
        <v>3219</v>
      </c>
      <c r="V209" s="23"/>
      <c r="W209" s="24"/>
      <c r="X209" s="428">
        <v>3219</v>
      </c>
      <c r="Y209" s="428">
        <v>3219</v>
      </c>
      <c r="Z209" s="371"/>
      <c r="AA209" s="5"/>
      <c r="AD209" s="25">
        <v>1</v>
      </c>
      <c r="AE209" s="175">
        <v>3219</v>
      </c>
    </row>
    <row r="210" spans="1:41" s="25" customFormat="1" ht="60">
      <c r="A210" s="97" t="s">
        <v>41</v>
      </c>
      <c r="B210" s="212" t="s">
        <v>615</v>
      </c>
      <c r="C210" s="94" t="s">
        <v>5</v>
      </c>
      <c r="D210" s="19" t="s">
        <v>616</v>
      </c>
      <c r="E210" s="70" t="s">
        <v>30</v>
      </c>
      <c r="F210" s="19" t="s">
        <v>617</v>
      </c>
      <c r="G210" s="23">
        <v>11179</v>
      </c>
      <c r="H210" s="23">
        <v>5368</v>
      </c>
      <c r="I210" s="175">
        <f t="shared" ref="I210:I215" si="190">+J210</f>
        <v>3000</v>
      </c>
      <c r="J210" s="175">
        <v>3000</v>
      </c>
      <c r="K210" s="23">
        <v>0</v>
      </c>
      <c r="L210" s="23">
        <v>0</v>
      </c>
      <c r="M210" s="175">
        <v>2300</v>
      </c>
      <c r="N210" s="23">
        <v>2300</v>
      </c>
      <c r="O210" s="175">
        <v>3000</v>
      </c>
      <c r="P210" s="23">
        <v>3000</v>
      </c>
      <c r="Q210" s="23">
        <f t="shared" ref="Q210:Q215" si="191">G210-G210*10%</f>
        <v>10061.1</v>
      </c>
      <c r="R210" s="23">
        <v>5368</v>
      </c>
      <c r="S210" s="23"/>
      <c r="T210" s="175">
        <f t="shared" ref="T210:T216" si="192">G210-H210+U210</f>
        <v>8179</v>
      </c>
      <c r="U210" s="175">
        <f>H210-P210</f>
        <v>2368</v>
      </c>
      <c r="V210" s="23"/>
      <c r="W210" s="24"/>
      <c r="X210" s="428">
        <v>8179</v>
      </c>
      <c r="Y210" s="428">
        <v>2368</v>
      </c>
      <c r="Z210" s="371"/>
      <c r="AA210" s="5"/>
      <c r="AD210" s="25">
        <v>1</v>
      </c>
      <c r="AE210" s="175">
        <v>1653</v>
      </c>
    </row>
    <row r="211" spans="1:41" s="25" customFormat="1" ht="60">
      <c r="A211" s="97" t="s">
        <v>58</v>
      </c>
      <c r="B211" s="212" t="s">
        <v>618</v>
      </c>
      <c r="C211" s="94" t="s">
        <v>112</v>
      </c>
      <c r="D211" s="19" t="s">
        <v>616</v>
      </c>
      <c r="E211" s="70" t="s">
        <v>30</v>
      </c>
      <c r="F211" s="19" t="s">
        <v>1262</v>
      </c>
      <c r="G211" s="23">
        <v>12879</v>
      </c>
      <c r="H211" s="23">
        <v>6527</v>
      </c>
      <c r="I211" s="175">
        <v>2000</v>
      </c>
      <c r="J211" s="175">
        <v>2000</v>
      </c>
      <c r="K211" s="23"/>
      <c r="L211" s="23"/>
      <c r="M211" s="175">
        <v>0</v>
      </c>
      <c r="N211" s="23"/>
      <c r="O211" s="175">
        <v>2000</v>
      </c>
      <c r="P211" s="175">
        <v>2000</v>
      </c>
      <c r="Q211" s="23">
        <f t="shared" si="191"/>
        <v>11591.1</v>
      </c>
      <c r="R211" s="23">
        <v>6527</v>
      </c>
      <c r="S211" s="23"/>
      <c r="T211" s="175">
        <f t="shared" si="192"/>
        <v>10879</v>
      </c>
      <c r="U211" s="175">
        <f>H211-J211</f>
        <v>4527</v>
      </c>
      <c r="V211" s="23"/>
      <c r="W211" s="24"/>
      <c r="X211" s="428">
        <v>10879</v>
      </c>
      <c r="Y211" s="428">
        <v>4527</v>
      </c>
      <c r="Z211" s="371"/>
      <c r="AA211" s="5"/>
      <c r="AD211" s="25">
        <v>1</v>
      </c>
      <c r="AE211" s="175">
        <v>4500</v>
      </c>
    </row>
    <row r="212" spans="1:41" s="25" customFormat="1" ht="60">
      <c r="A212" s="97" t="s">
        <v>64</v>
      </c>
      <c r="B212" s="212" t="s">
        <v>620</v>
      </c>
      <c r="C212" s="94" t="s">
        <v>71</v>
      </c>
      <c r="D212" s="19" t="s">
        <v>616</v>
      </c>
      <c r="E212" s="70" t="s">
        <v>30</v>
      </c>
      <c r="F212" s="19" t="s">
        <v>621</v>
      </c>
      <c r="G212" s="23">
        <v>11197</v>
      </c>
      <c r="H212" s="23">
        <v>5363</v>
      </c>
      <c r="I212" s="175">
        <f t="shared" si="190"/>
        <v>3000</v>
      </c>
      <c r="J212" s="175">
        <v>3000</v>
      </c>
      <c r="K212" s="23"/>
      <c r="L212" s="23"/>
      <c r="M212" s="175"/>
      <c r="N212" s="23"/>
      <c r="O212" s="175">
        <f t="shared" ref="O212:O214" si="193">+P212</f>
        <v>3000</v>
      </c>
      <c r="P212" s="175">
        <v>3000</v>
      </c>
      <c r="Q212" s="23">
        <f t="shared" si="191"/>
        <v>10077.299999999999</v>
      </c>
      <c r="R212" s="23">
        <v>5363</v>
      </c>
      <c r="S212" s="23"/>
      <c r="T212" s="175">
        <f t="shared" si="192"/>
        <v>8197</v>
      </c>
      <c r="U212" s="175">
        <f>+H212-P212</f>
        <v>2363</v>
      </c>
      <c r="V212" s="23"/>
      <c r="W212" s="24"/>
      <c r="X212" s="428">
        <v>8197</v>
      </c>
      <c r="Y212" s="428">
        <v>2363</v>
      </c>
      <c r="Z212" s="371"/>
      <c r="AA212" s="5"/>
      <c r="AD212" s="25">
        <v>1</v>
      </c>
      <c r="AE212" s="175">
        <f>+O212-W212</f>
        <v>3000</v>
      </c>
    </row>
    <row r="213" spans="1:41" s="25" customFormat="1" ht="60">
      <c r="A213" s="97" t="s">
        <v>69</v>
      </c>
      <c r="B213" s="212" t="s">
        <v>622</v>
      </c>
      <c r="C213" s="94" t="s">
        <v>143</v>
      </c>
      <c r="D213" s="19" t="s">
        <v>616</v>
      </c>
      <c r="E213" s="70" t="s">
        <v>30</v>
      </c>
      <c r="F213" s="19" t="s">
        <v>623</v>
      </c>
      <c r="G213" s="23">
        <v>7767</v>
      </c>
      <c r="H213" s="23">
        <v>5812</v>
      </c>
      <c r="I213" s="175">
        <f t="shared" si="190"/>
        <v>3500</v>
      </c>
      <c r="J213" s="175">
        <v>3500</v>
      </c>
      <c r="K213" s="23"/>
      <c r="L213" s="23"/>
      <c r="M213" s="175"/>
      <c r="N213" s="23"/>
      <c r="O213" s="175">
        <f t="shared" si="193"/>
        <v>3500</v>
      </c>
      <c r="P213" s="175">
        <v>3500</v>
      </c>
      <c r="Q213" s="23">
        <f t="shared" si="191"/>
        <v>6990.3</v>
      </c>
      <c r="R213" s="23">
        <v>5812</v>
      </c>
      <c r="S213" s="23"/>
      <c r="T213" s="175">
        <f t="shared" si="192"/>
        <v>4267</v>
      </c>
      <c r="U213" s="175">
        <f>+H213-P213</f>
        <v>2312</v>
      </c>
      <c r="V213" s="23"/>
      <c r="W213" s="24"/>
      <c r="X213" s="428">
        <v>4767</v>
      </c>
      <c r="Y213" s="428">
        <v>2812</v>
      </c>
      <c r="Z213" s="371"/>
      <c r="AA213" s="5"/>
      <c r="AE213" s="175">
        <f>+AB213-W213</f>
        <v>0</v>
      </c>
    </row>
    <row r="214" spans="1:41" s="25" customFormat="1" ht="45">
      <c r="A214" s="97" t="s">
        <v>74</v>
      </c>
      <c r="B214" s="212" t="s">
        <v>624</v>
      </c>
      <c r="C214" s="94" t="s">
        <v>173</v>
      </c>
      <c r="D214" s="19" t="s">
        <v>625</v>
      </c>
      <c r="E214" s="70" t="s">
        <v>30</v>
      </c>
      <c r="F214" s="19" t="s">
        <v>626</v>
      </c>
      <c r="G214" s="23">
        <v>11527</v>
      </c>
      <c r="H214" s="23">
        <v>5402</v>
      </c>
      <c r="I214" s="175">
        <f t="shared" si="190"/>
        <v>3000</v>
      </c>
      <c r="J214" s="175">
        <v>3000</v>
      </c>
      <c r="K214" s="23"/>
      <c r="L214" s="23"/>
      <c r="M214" s="175"/>
      <c r="N214" s="23"/>
      <c r="O214" s="175">
        <f t="shared" si="193"/>
        <v>3000</v>
      </c>
      <c r="P214" s="175">
        <v>3000</v>
      </c>
      <c r="Q214" s="23">
        <f t="shared" si="191"/>
        <v>10374.299999999999</v>
      </c>
      <c r="R214" s="23">
        <v>5402</v>
      </c>
      <c r="S214" s="23"/>
      <c r="T214" s="175">
        <f t="shared" si="192"/>
        <v>8527</v>
      </c>
      <c r="U214" s="175">
        <f>+H214-P214</f>
        <v>2402</v>
      </c>
      <c r="V214" s="23"/>
      <c r="W214" s="24"/>
      <c r="X214" s="428">
        <v>8527</v>
      </c>
      <c r="Y214" s="428">
        <v>2402</v>
      </c>
      <c r="Z214" s="371"/>
      <c r="AA214" s="5"/>
      <c r="AD214" s="25">
        <v>1</v>
      </c>
      <c r="AE214" s="175">
        <v>2400</v>
      </c>
    </row>
    <row r="215" spans="1:41" s="25" customFormat="1" ht="60">
      <c r="A215" s="97" t="s">
        <v>141</v>
      </c>
      <c r="B215" s="212" t="s">
        <v>627</v>
      </c>
      <c r="C215" s="94" t="s">
        <v>260</v>
      </c>
      <c r="D215" s="19" t="s">
        <v>606</v>
      </c>
      <c r="E215" s="70" t="s">
        <v>30</v>
      </c>
      <c r="F215" s="19" t="s">
        <v>628</v>
      </c>
      <c r="G215" s="23">
        <v>9662</v>
      </c>
      <c r="H215" s="23">
        <v>4358</v>
      </c>
      <c r="I215" s="175">
        <f t="shared" si="190"/>
        <v>3000</v>
      </c>
      <c r="J215" s="175">
        <v>3000</v>
      </c>
      <c r="K215" s="23"/>
      <c r="L215" s="23"/>
      <c r="M215" s="175"/>
      <c r="N215" s="23"/>
      <c r="O215" s="175">
        <v>3960</v>
      </c>
      <c r="P215" s="23">
        <v>3000</v>
      </c>
      <c r="Q215" s="23">
        <f t="shared" si="191"/>
        <v>8695.7999999999993</v>
      </c>
      <c r="R215" s="23">
        <v>4358</v>
      </c>
      <c r="S215" s="23"/>
      <c r="T215" s="175">
        <f t="shared" si="192"/>
        <v>6662</v>
      </c>
      <c r="U215" s="175">
        <f>+H215-P215</f>
        <v>1358</v>
      </c>
      <c r="V215" s="23"/>
      <c r="W215" s="24"/>
      <c r="X215" s="428">
        <v>6662</v>
      </c>
      <c r="Y215" s="428">
        <v>1358</v>
      </c>
      <c r="Z215" s="371"/>
      <c r="AA215" s="5"/>
      <c r="AD215" s="25">
        <v>1</v>
      </c>
      <c r="AE215" s="175">
        <f>+O215-W215</f>
        <v>3960</v>
      </c>
    </row>
    <row r="216" spans="1:41" s="25" customFormat="1" ht="31.5">
      <c r="A216" s="97" t="s">
        <v>146</v>
      </c>
      <c r="B216" s="212" t="s">
        <v>629</v>
      </c>
      <c r="C216" s="94" t="s">
        <v>66</v>
      </c>
      <c r="D216" s="19" t="s">
        <v>630</v>
      </c>
      <c r="E216" s="70" t="s">
        <v>30</v>
      </c>
      <c r="F216" s="19" t="s">
        <v>631</v>
      </c>
      <c r="G216" s="23">
        <v>12384</v>
      </c>
      <c r="H216" s="23">
        <v>5840</v>
      </c>
      <c r="I216" s="175">
        <v>4000</v>
      </c>
      <c r="J216" s="175">
        <v>4000</v>
      </c>
      <c r="K216" s="23"/>
      <c r="L216" s="23"/>
      <c r="M216" s="175"/>
      <c r="N216" s="23"/>
      <c r="O216" s="175">
        <v>4000</v>
      </c>
      <c r="P216" s="175">
        <v>4000</v>
      </c>
      <c r="Q216" s="23">
        <v>12384</v>
      </c>
      <c r="R216" s="23">
        <v>5840</v>
      </c>
      <c r="S216" s="23"/>
      <c r="T216" s="175">
        <f t="shared" si="192"/>
        <v>8384</v>
      </c>
      <c r="U216" s="175">
        <f>+H216-P216</f>
        <v>1840</v>
      </c>
      <c r="V216" s="23"/>
      <c r="W216" s="24"/>
      <c r="X216" s="428">
        <v>8384</v>
      </c>
      <c r="Y216" s="428">
        <v>1840</v>
      </c>
      <c r="Z216" s="371"/>
      <c r="AA216" s="5"/>
      <c r="AD216" s="25">
        <v>1</v>
      </c>
      <c r="AE216" s="175">
        <v>1700</v>
      </c>
    </row>
    <row r="217" spans="1:41" s="25" customFormat="1" ht="36" customHeight="1">
      <c r="A217" s="64" t="s">
        <v>150</v>
      </c>
      <c r="B217" s="213" t="s">
        <v>632</v>
      </c>
      <c r="C217" s="198"/>
      <c r="D217" s="19"/>
      <c r="E217" s="95"/>
      <c r="F217" s="19"/>
      <c r="G217" s="441">
        <f>G218+G220</f>
        <v>162229</v>
      </c>
      <c r="H217" s="441">
        <f t="shared" ref="H217:V217" si="194">H218+H220</f>
        <v>80862.600000000006</v>
      </c>
      <c r="I217" s="441">
        <f t="shared" si="194"/>
        <v>952</v>
      </c>
      <c r="J217" s="441">
        <f t="shared" si="194"/>
        <v>952</v>
      </c>
      <c r="K217" s="441">
        <f t="shared" si="194"/>
        <v>0</v>
      </c>
      <c r="L217" s="441">
        <f t="shared" si="194"/>
        <v>0</v>
      </c>
      <c r="M217" s="441">
        <f t="shared" si="194"/>
        <v>398</v>
      </c>
      <c r="N217" s="441">
        <f t="shared" si="194"/>
        <v>398</v>
      </c>
      <c r="O217" s="441">
        <f t="shared" si="194"/>
        <v>953</v>
      </c>
      <c r="P217" s="441">
        <f t="shared" si="194"/>
        <v>953</v>
      </c>
      <c r="Q217" s="441">
        <f t="shared" si="194"/>
        <v>155394.5</v>
      </c>
      <c r="R217" s="441">
        <f t="shared" si="194"/>
        <v>80862.600000000006</v>
      </c>
      <c r="S217" s="441">
        <f t="shared" si="194"/>
        <v>0</v>
      </c>
      <c r="T217" s="441">
        <f t="shared" si="194"/>
        <v>52215</v>
      </c>
      <c r="U217" s="441">
        <f t="shared" si="194"/>
        <v>36500</v>
      </c>
      <c r="V217" s="441">
        <f t="shared" si="194"/>
        <v>0</v>
      </c>
      <c r="W217" s="24"/>
      <c r="X217" s="442">
        <f t="shared" ref="X217:Z217" si="195">X218+X220</f>
        <v>52215</v>
      </c>
      <c r="Y217" s="442">
        <f t="shared" si="195"/>
        <v>36500</v>
      </c>
      <c r="Z217" s="442">
        <f t="shared" si="195"/>
        <v>0</v>
      </c>
      <c r="AA217" s="5"/>
      <c r="AB217" s="441">
        <f t="shared" ref="AB217:AK217" si="196">AB218+AB220</f>
        <v>0</v>
      </c>
      <c r="AC217" s="441">
        <f t="shared" si="196"/>
        <v>0</v>
      </c>
      <c r="AD217" s="441">
        <f t="shared" si="196"/>
        <v>0</v>
      </c>
      <c r="AE217" s="441">
        <f t="shared" si="196"/>
        <v>0</v>
      </c>
      <c r="AF217" s="441">
        <f t="shared" si="196"/>
        <v>0</v>
      </c>
      <c r="AG217" s="441">
        <f t="shared" si="196"/>
        <v>0</v>
      </c>
      <c r="AH217" s="441">
        <f t="shared" si="196"/>
        <v>0</v>
      </c>
      <c r="AI217" s="441">
        <f t="shared" si="196"/>
        <v>0</v>
      </c>
      <c r="AJ217" s="441">
        <f t="shared" si="196"/>
        <v>0</v>
      </c>
      <c r="AK217" s="441">
        <f t="shared" si="196"/>
        <v>0</v>
      </c>
      <c r="AL217" s="441">
        <f>AL218+AL220</f>
        <v>13</v>
      </c>
      <c r="AM217" s="441">
        <f>AM218+AM220</f>
        <v>37485</v>
      </c>
      <c r="AN217" s="441">
        <f>AN218+AN220</f>
        <v>0</v>
      </c>
      <c r="AO217" s="441">
        <f>AO218+AO220</f>
        <v>0</v>
      </c>
    </row>
    <row r="218" spans="1:41" s="375" customFormat="1" ht="15.75">
      <c r="A218" s="26" t="s">
        <v>47</v>
      </c>
      <c r="B218" s="27" t="s">
        <v>849</v>
      </c>
      <c r="C218" s="135"/>
      <c r="D218" s="135"/>
      <c r="E218" s="136"/>
      <c r="F218" s="135"/>
      <c r="G218" s="384">
        <f t="shared" ref="G218:U218" si="197">SUM(G219:G219)</f>
        <v>55263</v>
      </c>
      <c r="H218" s="384">
        <f t="shared" si="197"/>
        <v>5263</v>
      </c>
      <c r="I218" s="384">
        <f t="shared" si="197"/>
        <v>0</v>
      </c>
      <c r="J218" s="384">
        <f t="shared" si="197"/>
        <v>0</v>
      </c>
      <c r="K218" s="384">
        <f t="shared" si="197"/>
        <v>0</v>
      </c>
      <c r="L218" s="384">
        <f t="shared" si="197"/>
        <v>0</v>
      </c>
      <c r="M218" s="384">
        <f t="shared" si="197"/>
        <v>0</v>
      </c>
      <c r="N218" s="384">
        <f t="shared" si="197"/>
        <v>0</v>
      </c>
      <c r="O218" s="384">
        <f t="shared" si="197"/>
        <v>0</v>
      </c>
      <c r="P218" s="384">
        <f t="shared" si="197"/>
        <v>0</v>
      </c>
      <c r="Q218" s="384">
        <f t="shared" si="197"/>
        <v>55263</v>
      </c>
      <c r="R218" s="384">
        <f t="shared" si="197"/>
        <v>5263</v>
      </c>
      <c r="S218" s="384">
        <f t="shared" si="197"/>
        <v>0</v>
      </c>
      <c r="T218" s="384">
        <f t="shared" si="197"/>
        <v>10000</v>
      </c>
      <c r="U218" s="384">
        <f t="shared" si="197"/>
        <v>5000</v>
      </c>
      <c r="V218" s="384">
        <f>SUM(V219:V219)</f>
        <v>0</v>
      </c>
      <c r="W218" s="449"/>
      <c r="X218" s="386">
        <f t="shared" ref="X218:Y218" si="198">SUM(X219:X219)</f>
        <v>10000</v>
      </c>
      <c r="Y218" s="386">
        <f t="shared" si="198"/>
        <v>5000</v>
      </c>
      <c r="Z218" s="386">
        <f>SUM(Z219:Z219)</f>
        <v>0</v>
      </c>
      <c r="AA218" s="5"/>
      <c r="AB218" s="384">
        <f t="shared" ref="AB218:AO218" si="199">SUM(AB219:AB219)</f>
        <v>0</v>
      </c>
      <c r="AC218" s="384">
        <f t="shared" si="199"/>
        <v>0</v>
      </c>
      <c r="AD218" s="384">
        <f t="shared" si="199"/>
        <v>0</v>
      </c>
      <c r="AE218" s="384">
        <f t="shared" si="199"/>
        <v>0</v>
      </c>
      <c r="AF218" s="384">
        <f t="shared" si="199"/>
        <v>0</v>
      </c>
      <c r="AG218" s="384">
        <f t="shared" si="199"/>
        <v>0</v>
      </c>
      <c r="AH218" s="384">
        <f t="shared" si="199"/>
        <v>0</v>
      </c>
      <c r="AI218" s="384">
        <f t="shared" si="199"/>
        <v>0</v>
      </c>
      <c r="AJ218" s="384">
        <f t="shared" si="199"/>
        <v>0</v>
      </c>
      <c r="AK218" s="384">
        <f t="shared" si="199"/>
        <v>0</v>
      </c>
      <c r="AL218" s="384">
        <f t="shared" si="199"/>
        <v>1</v>
      </c>
      <c r="AM218" s="384">
        <f t="shared" si="199"/>
        <v>5000</v>
      </c>
      <c r="AN218" s="384">
        <f t="shared" si="199"/>
        <v>0</v>
      </c>
      <c r="AO218" s="384">
        <f t="shared" si="199"/>
        <v>0</v>
      </c>
    </row>
    <row r="219" spans="1:41" s="25" customFormat="1" ht="76.5">
      <c r="A219" s="97" t="s">
        <v>27</v>
      </c>
      <c r="B219" s="212" t="s">
        <v>592</v>
      </c>
      <c r="C219" s="94" t="s">
        <v>29</v>
      </c>
      <c r="D219" s="19" t="s">
        <v>593</v>
      </c>
      <c r="E219" s="95" t="s">
        <v>355</v>
      </c>
      <c r="F219" s="19"/>
      <c r="G219" s="355">
        <v>55263</v>
      </c>
      <c r="H219" s="355">
        <v>5263</v>
      </c>
      <c r="I219" s="175"/>
      <c r="J219" s="175"/>
      <c r="K219" s="23"/>
      <c r="L219" s="23"/>
      <c r="M219" s="175"/>
      <c r="N219" s="23"/>
      <c r="O219" s="175"/>
      <c r="P219" s="23"/>
      <c r="Q219" s="355">
        <v>55263</v>
      </c>
      <c r="R219" s="355">
        <v>5263</v>
      </c>
      <c r="S219" s="23"/>
      <c r="T219" s="175">
        <v>10000</v>
      </c>
      <c r="U219" s="175">
        <v>5000</v>
      </c>
      <c r="V219" s="23"/>
      <c r="W219" s="269" t="s">
        <v>1078</v>
      </c>
      <c r="X219" s="428">
        <v>10000</v>
      </c>
      <c r="Y219" s="428">
        <v>5000</v>
      </c>
      <c r="Z219" s="371"/>
      <c r="AA219" s="5"/>
      <c r="AI219" s="175"/>
      <c r="AL219" s="25">
        <v>1</v>
      </c>
      <c r="AM219" s="175">
        <v>5000</v>
      </c>
    </row>
    <row r="220" spans="1:41" s="375" customFormat="1" ht="15.75">
      <c r="A220" s="26" t="s">
        <v>273</v>
      </c>
      <c r="B220" s="27" t="s">
        <v>48</v>
      </c>
      <c r="C220" s="135"/>
      <c r="D220" s="135"/>
      <c r="E220" s="136"/>
      <c r="F220" s="135"/>
      <c r="G220" s="384">
        <f>SUM(G221:G238)</f>
        <v>106966</v>
      </c>
      <c r="H220" s="384">
        <f t="shared" ref="H220:V220" si="200">SUM(H221:H238)</f>
        <v>75599.600000000006</v>
      </c>
      <c r="I220" s="384">
        <f t="shared" si="200"/>
        <v>952</v>
      </c>
      <c r="J220" s="384">
        <f t="shared" si="200"/>
        <v>952</v>
      </c>
      <c r="K220" s="384">
        <f t="shared" si="200"/>
        <v>0</v>
      </c>
      <c r="L220" s="384">
        <f t="shared" si="200"/>
        <v>0</v>
      </c>
      <c r="M220" s="384">
        <f t="shared" si="200"/>
        <v>398</v>
      </c>
      <c r="N220" s="384">
        <f t="shared" si="200"/>
        <v>398</v>
      </c>
      <c r="O220" s="384">
        <f t="shared" si="200"/>
        <v>953</v>
      </c>
      <c r="P220" s="384">
        <f t="shared" si="200"/>
        <v>953</v>
      </c>
      <c r="Q220" s="384">
        <f t="shared" si="200"/>
        <v>100131.5</v>
      </c>
      <c r="R220" s="384">
        <f t="shared" si="200"/>
        <v>75599.600000000006</v>
      </c>
      <c r="S220" s="384">
        <f t="shared" si="200"/>
        <v>0</v>
      </c>
      <c r="T220" s="384">
        <f t="shared" si="200"/>
        <v>42215</v>
      </c>
      <c r="U220" s="384">
        <f t="shared" si="200"/>
        <v>31500</v>
      </c>
      <c r="V220" s="384">
        <f t="shared" si="200"/>
        <v>0</v>
      </c>
      <c r="W220" s="449"/>
      <c r="X220" s="386">
        <f t="shared" ref="X220:Z220" si="201">SUM(X221:X238)</f>
        <v>42215</v>
      </c>
      <c r="Y220" s="386">
        <f t="shared" si="201"/>
        <v>31500</v>
      </c>
      <c r="Z220" s="386">
        <f t="shared" si="201"/>
        <v>0</v>
      </c>
      <c r="AA220" s="5"/>
      <c r="AB220" s="384">
        <f t="shared" ref="AB220:AK220" si="202">SUM(AB221:AB232)</f>
        <v>0</v>
      </c>
      <c r="AC220" s="384">
        <f t="shared" si="202"/>
        <v>0</v>
      </c>
      <c r="AD220" s="384">
        <f t="shared" si="202"/>
        <v>0</v>
      </c>
      <c r="AE220" s="384">
        <f t="shared" si="202"/>
        <v>0</v>
      </c>
      <c r="AF220" s="384">
        <f t="shared" si="202"/>
        <v>0</v>
      </c>
      <c r="AG220" s="384">
        <f t="shared" si="202"/>
        <v>0</v>
      </c>
      <c r="AH220" s="384">
        <f t="shared" si="202"/>
        <v>0</v>
      </c>
      <c r="AI220" s="384">
        <f t="shared" si="202"/>
        <v>0</v>
      </c>
      <c r="AJ220" s="384">
        <f t="shared" si="202"/>
        <v>0</v>
      </c>
      <c r="AK220" s="384">
        <f t="shared" si="202"/>
        <v>0</v>
      </c>
      <c r="AL220" s="384">
        <f>SUM(AL221:AL232)</f>
        <v>12</v>
      </c>
      <c r="AM220" s="384">
        <f t="shared" ref="AM220" si="203">SUM(AM221:AM232)</f>
        <v>32485</v>
      </c>
      <c r="AN220" s="384">
        <f>SUM(AN221:AN232)</f>
        <v>0</v>
      </c>
      <c r="AO220" s="384">
        <f>SUM(AO221:AO232)</f>
        <v>0</v>
      </c>
    </row>
    <row r="221" spans="1:41" s="25" customFormat="1" ht="45">
      <c r="A221" s="97" t="s">
        <v>27</v>
      </c>
      <c r="B221" s="212" t="s">
        <v>633</v>
      </c>
      <c r="C221" s="94" t="s">
        <v>29</v>
      </c>
      <c r="D221" s="19" t="s">
        <v>634</v>
      </c>
      <c r="E221" s="95" t="s">
        <v>635</v>
      </c>
      <c r="F221" s="19" t="s">
        <v>636</v>
      </c>
      <c r="G221" s="355">
        <v>6855</v>
      </c>
      <c r="H221" s="355">
        <v>6855</v>
      </c>
      <c r="I221" s="175">
        <f t="shared" ref="I221:I226" si="204">+J221</f>
        <v>235</v>
      </c>
      <c r="J221" s="175">
        <v>235</v>
      </c>
      <c r="K221" s="23"/>
      <c r="L221" s="23"/>
      <c r="M221" s="175">
        <v>100</v>
      </c>
      <c r="N221" s="23">
        <v>100</v>
      </c>
      <c r="O221" s="175">
        <v>235</v>
      </c>
      <c r="P221" s="23">
        <v>235</v>
      </c>
      <c r="Q221" s="23">
        <v>6855</v>
      </c>
      <c r="R221" s="23">
        <v>6855</v>
      </c>
      <c r="S221" s="23"/>
      <c r="T221" s="175">
        <v>3000</v>
      </c>
      <c r="U221" s="175">
        <v>3000</v>
      </c>
      <c r="V221" s="23"/>
      <c r="W221" s="24"/>
      <c r="X221" s="428">
        <v>3000</v>
      </c>
      <c r="Y221" s="428">
        <v>3000</v>
      </c>
      <c r="Z221" s="371"/>
      <c r="AA221" s="5"/>
      <c r="AI221" s="175"/>
      <c r="AL221" s="25">
        <v>1</v>
      </c>
      <c r="AM221" s="175">
        <v>3235</v>
      </c>
    </row>
    <row r="222" spans="1:41" s="25" customFormat="1" ht="60">
      <c r="A222" s="97" t="s">
        <v>41</v>
      </c>
      <c r="B222" s="212" t="s">
        <v>637</v>
      </c>
      <c r="C222" s="94" t="s">
        <v>60</v>
      </c>
      <c r="D222" s="19" t="s">
        <v>638</v>
      </c>
      <c r="E222" s="95" t="s">
        <v>154</v>
      </c>
      <c r="F222" s="19" t="s">
        <v>639</v>
      </c>
      <c r="G222" s="355">
        <v>2698</v>
      </c>
      <c r="H222" s="355">
        <v>2698</v>
      </c>
      <c r="I222" s="175">
        <v>98</v>
      </c>
      <c r="J222" s="175">
        <v>98</v>
      </c>
      <c r="K222" s="23"/>
      <c r="L222" s="23"/>
      <c r="M222" s="175">
        <v>98</v>
      </c>
      <c r="N222" s="175">
        <v>98</v>
      </c>
      <c r="O222" s="175">
        <v>98</v>
      </c>
      <c r="P222" s="175">
        <v>98</v>
      </c>
      <c r="Q222" s="355">
        <v>2698</v>
      </c>
      <c r="R222" s="355">
        <v>2698</v>
      </c>
      <c r="S222" s="23"/>
      <c r="T222" s="175">
        <v>1000</v>
      </c>
      <c r="U222" s="175">
        <v>1000</v>
      </c>
      <c r="V222" s="23"/>
      <c r="W222" s="24"/>
      <c r="X222" s="428">
        <v>1000</v>
      </c>
      <c r="Y222" s="428">
        <v>1000</v>
      </c>
      <c r="Z222" s="371"/>
      <c r="AA222" s="5"/>
      <c r="AI222" s="175"/>
      <c r="AL222" s="25">
        <v>1</v>
      </c>
      <c r="AM222" s="175">
        <v>2750</v>
      </c>
    </row>
    <row r="223" spans="1:41" s="25" customFormat="1" ht="60">
      <c r="A223" s="97" t="s">
        <v>58</v>
      </c>
      <c r="B223" s="212" t="s">
        <v>640</v>
      </c>
      <c r="C223" s="94" t="s">
        <v>85</v>
      </c>
      <c r="D223" s="19" t="s">
        <v>641</v>
      </c>
      <c r="E223" s="95" t="s">
        <v>154</v>
      </c>
      <c r="F223" s="19" t="s">
        <v>642</v>
      </c>
      <c r="G223" s="355">
        <v>3399</v>
      </c>
      <c r="H223" s="355">
        <v>3399</v>
      </c>
      <c r="I223" s="175">
        <f t="shared" si="204"/>
        <v>100</v>
      </c>
      <c r="J223" s="175">
        <v>100</v>
      </c>
      <c r="K223" s="23"/>
      <c r="L223" s="23"/>
      <c r="M223" s="175">
        <v>100</v>
      </c>
      <c r="N223" s="175">
        <v>100</v>
      </c>
      <c r="O223" s="175">
        <v>100</v>
      </c>
      <c r="P223" s="175">
        <v>100</v>
      </c>
      <c r="Q223" s="355">
        <v>3399</v>
      </c>
      <c r="R223" s="355">
        <v>3399</v>
      </c>
      <c r="S223" s="23"/>
      <c r="T223" s="175">
        <v>1000</v>
      </c>
      <c r="U223" s="175">
        <v>1000</v>
      </c>
      <c r="V223" s="23"/>
      <c r="W223" s="24"/>
      <c r="X223" s="428">
        <v>1000</v>
      </c>
      <c r="Y223" s="428">
        <v>1000</v>
      </c>
      <c r="Z223" s="371"/>
      <c r="AA223" s="5"/>
      <c r="AI223" s="175"/>
      <c r="AL223" s="25">
        <v>1</v>
      </c>
      <c r="AM223" s="175">
        <v>2877</v>
      </c>
    </row>
    <row r="224" spans="1:41" s="25" customFormat="1" ht="31.5">
      <c r="A224" s="97" t="s">
        <v>64</v>
      </c>
      <c r="B224" s="212" t="s">
        <v>643</v>
      </c>
      <c r="C224" s="94" t="s">
        <v>173</v>
      </c>
      <c r="D224" s="19" t="s">
        <v>644</v>
      </c>
      <c r="E224" s="95" t="s">
        <v>645</v>
      </c>
      <c r="F224" s="19" t="s">
        <v>1263</v>
      </c>
      <c r="G224" s="355">
        <v>3027</v>
      </c>
      <c r="H224" s="355">
        <v>3027</v>
      </c>
      <c r="I224" s="175">
        <f t="shared" si="204"/>
        <v>99</v>
      </c>
      <c r="J224" s="175">
        <v>99</v>
      </c>
      <c r="K224" s="23"/>
      <c r="L224" s="23"/>
      <c r="M224" s="175">
        <v>100</v>
      </c>
      <c r="N224" s="175">
        <v>100</v>
      </c>
      <c r="O224" s="175">
        <v>100</v>
      </c>
      <c r="P224" s="175">
        <v>100</v>
      </c>
      <c r="Q224" s="23">
        <v>3027</v>
      </c>
      <c r="R224" s="23">
        <v>3027</v>
      </c>
      <c r="S224" s="23"/>
      <c r="T224" s="175">
        <v>1000</v>
      </c>
      <c r="U224" s="175">
        <v>1000</v>
      </c>
      <c r="V224" s="23"/>
      <c r="W224" s="24"/>
      <c r="X224" s="428">
        <v>1000</v>
      </c>
      <c r="Y224" s="428">
        <v>1000</v>
      </c>
      <c r="Z224" s="371"/>
      <c r="AA224" s="5"/>
      <c r="AI224" s="175"/>
      <c r="AL224" s="25">
        <v>1</v>
      </c>
      <c r="AM224" s="175">
        <v>2027</v>
      </c>
    </row>
    <row r="225" spans="1:41" s="5" customFormat="1" ht="105">
      <c r="A225" s="97" t="s">
        <v>69</v>
      </c>
      <c r="B225" s="212" t="s">
        <v>647</v>
      </c>
      <c r="C225" s="101" t="s">
        <v>1264</v>
      </c>
      <c r="D225" s="101" t="s">
        <v>649</v>
      </c>
      <c r="E225" s="95" t="s">
        <v>635</v>
      </c>
      <c r="F225" s="19" t="s">
        <v>650</v>
      </c>
      <c r="G225" s="175">
        <v>3208</v>
      </c>
      <c r="H225" s="175">
        <v>3208</v>
      </c>
      <c r="I225" s="175">
        <f t="shared" si="204"/>
        <v>20</v>
      </c>
      <c r="J225" s="72">
        <v>20</v>
      </c>
      <c r="K225" s="72"/>
      <c r="L225" s="72"/>
      <c r="M225" s="72"/>
      <c r="N225" s="72"/>
      <c r="O225" s="72">
        <v>20</v>
      </c>
      <c r="P225" s="72">
        <v>20</v>
      </c>
      <c r="Q225" s="72">
        <v>3208</v>
      </c>
      <c r="R225" s="72">
        <v>3208</v>
      </c>
      <c r="S225" s="72"/>
      <c r="T225" s="175">
        <v>2000</v>
      </c>
      <c r="U225" s="175">
        <v>2000</v>
      </c>
      <c r="V225" s="72"/>
      <c r="W225" s="269"/>
      <c r="X225" s="428">
        <v>2000</v>
      </c>
      <c r="Y225" s="428">
        <v>2000</v>
      </c>
      <c r="Z225" s="356"/>
      <c r="AI225" s="175"/>
      <c r="AL225" s="25">
        <v>1</v>
      </c>
      <c r="AM225" s="175">
        <v>2896</v>
      </c>
    </row>
    <row r="226" spans="1:41" s="25" customFormat="1" ht="36" customHeight="1">
      <c r="A226" s="97" t="s">
        <v>74</v>
      </c>
      <c r="B226" s="212" t="s">
        <v>651</v>
      </c>
      <c r="C226" s="94" t="s">
        <v>112</v>
      </c>
      <c r="D226" s="19"/>
      <c r="E226" s="70" t="s">
        <v>30</v>
      </c>
      <c r="F226" s="19"/>
      <c r="G226" s="23">
        <v>9983</v>
      </c>
      <c r="H226" s="23">
        <v>9983</v>
      </c>
      <c r="I226" s="175">
        <f t="shared" si="204"/>
        <v>300</v>
      </c>
      <c r="J226" s="175">
        <v>300</v>
      </c>
      <c r="K226" s="23"/>
      <c r="L226" s="23"/>
      <c r="M226" s="175"/>
      <c r="N226" s="23"/>
      <c r="O226" s="175">
        <f t="shared" ref="O226" si="205">+P226</f>
        <v>300</v>
      </c>
      <c r="P226" s="175">
        <v>300</v>
      </c>
      <c r="Q226" s="23">
        <v>9983</v>
      </c>
      <c r="R226" s="23">
        <v>9983</v>
      </c>
      <c r="S226" s="23"/>
      <c r="T226" s="175">
        <v>3000</v>
      </c>
      <c r="U226" s="175">
        <v>3000</v>
      </c>
      <c r="V226" s="23"/>
      <c r="W226" s="24"/>
      <c r="X226" s="428">
        <v>3000</v>
      </c>
      <c r="Y226" s="428">
        <v>3000</v>
      </c>
      <c r="Z226" s="371"/>
      <c r="AA226" s="5"/>
      <c r="AI226" s="175"/>
      <c r="AL226" s="25">
        <v>1</v>
      </c>
      <c r="AM226" s="175">
        <v>3000</v>
      </c>
    </row>
    <row r="227" spans="1:41" s="25" customFormat="1" ht="36" customHeight="1">
      <c r="A227" s="97" t="s">
        <v>141</v>
      </c>
      <c r="B227" s="214" t="s">
        <v>653</v>
      </c>
      <c r="C227" s="19" t="s">
        <v>66</v>
      </c>
      <c r="D227" s="43"/>
      <c r="E227" s="44" t="s">
        <v>163</v>
      </c>
      <c r="F227" s="318"/>
      <c r="G227" s="72">
        <v>6740</v>
      </c>
      <c r="H227" s="72">
        <v>6740</v>
      </c>
      <c r="I227" s="175">
        <v>100</v>
      </c>
      <c r="J227" s="72">
        <v>100</v>
      </c>
      <c r="K227" s="72"/>
      <c r="L227" s="72"/>
      <c r="M227" s="72">
        <v>0</v>
      </c>
      <c r="N227" s="72">
        <v>0</v>
      </c>
      <c r="O227" s="72">
        <v>100</v>
      </c>
      <c r="P227" s="72">
        <v>100</v>
      </c>
      <c r="Q227" s="72">
        <v>6740</v>
      </c>
      <c r="R227" s="72">
        <v>6740</v>
      </c>
      <c r="S227" s="72"/>
      <c r="T227" s="72">
        <v>2000</v>
      </c>
      <c r="U227" s="72">
        <v>2000</v>
      </c>
      <c r="V227" s="72"/>
      <c r="W227" s="269" t="s">
        <v>1081</v>
      </c>
      <c r="X227" s="356">
        <v>2000</v>
      </c>
      <c r="Y227" s="356">
        <v>2000</v>
      </c>
      <c r="Z227" s="356"/>
      <c r="AA227" s="5"/>
      <c r="AI227" s="175"/>
      <c r="AL227" s="25">
        <v>1</v>
      </c>
      <c r="AM227" s="175">
        <v>6000</v>
      </c>
    </row>
    <row r="228" spans="1:41" s="25" customFormat="1" ht="31.5">
      <c r="A228" s="97" t="s">
        <v>146</v>
      </c>
      <c r="B228" s="212" t="s">
        <v>654</v>
      </c>
      <c r="C228" s="94" t="s">
        <v>5</v>
      </c>
      <c r="D228" s="19" t="s">
        <v>655</v>
      </c>
      <c r="E228" s="70" t="s">
        <v>355</v>
      </c>
      <c r="F228" s="19"/>
      <c r="G228" s="23">
        <v>14325</v>
      </c>
      <c r="H228" s="23">
        <v>6941</v>
      </c>
      <c r="I228" s="175">
        <v>0</v>
      </c>
      <c r="J228" s="175">
        <v>0</v>
      </c>
      <c r="K228" s="23">
        <v>0</v>
      </c>
      <c r="L228" s="23">
        <v>0</v>
      </c>
      <c r="M228" s="175">
        <v>0</v>
      </c>
      <c r="N228" s="23">
        <v>0</v>
      </c>
      <c r="O228" s="175">
        <v>0</v>
      </c>
      <c r="P228" s="23">
        <v>0</v>
      </c>
      <c r="Q228" s="23">
        <v>14325</v>
      </c>
      <c r="R228" s="23">
        <v>6941</v>
      </c>
      <c r="S228" s="23"/>
      <c r="T228" s="175">
        <v>4000</v>
      </c>
      <c r="U228" s="175">
        <v>2000</v>
      </c>
      <c r="V228" s="23"/>
      <c r="W228" s="24"/>
      <c r="X228" s="428">
        <v>4000</v>
      </c>
      <c r="Y228" s="428">
        <v>2000</v>
      </c>
      <c r="Z228" s="371"/>
      <c r="AA228" s="5"/>
      <c r="AI228" s="175"/>
      <c r="AL228" s="25">
        <v>1</v>
      </c>
      <c r="AM228" s="175">
        <v>2000</v>
      </c>
    </row>
    <row r="229" spans="1:41" s="25" customFormat="1" ht="31.5">
      <c r="A229" s="97" t="s">
        <v>179</v>
      </c>
      <c r="B229" s="212" t="s">
        <v>657</v>
      </c>
      <c r="C229" s="94" t="s">
        <v>66</v>
      </c>
      <c r="D229" s="19" t="s">
        <v>658</v>
      </c>
      <c r="E229" s="70" t="s">
        <v>120</v>
      </c>
      <c r="F229" s="19" t="s">
        <v>1265</v>
      </c>
      <c r="G229" s="23">
        <v>11848</v>
      </c>
      <c r="H229" s="23">
        <v>5704</v>
      </c>
      <c r="I229" s="175"/>
      <c r="J229" s="175"/>
      <c r="K229" s="23"/>
      <c r="L229" s="23"/>
      <c r="M229" s="175"/>
      <c r="N229" s="23"/>
      <c r="O229" s="175"/>
      <c r="P229" s="23"/>
      <c r="Q229" s="23">
        <v>5704</v>
      </c>
      <c r="R229" s="23">
        <v>5704</v>
      </c>
      <c r="S229" s="23"/>
      <c r="T229" s="175">
        <v>3000</v>
      </c>
      <c r="U229" s="175">
        <v>1700</v>
      </c>
      <c r="V229" s="23"/>
      <c r="W229" s="24"/>
      <c r="X229" s="428">
        <v>3000</v>
      </c>
      <c r="Y229" s="428">
        <v>1700</v>
      </c>
      <c r="Z229" s="371"/>
      <c r="AA229" s="5"/>
      <c r="AI229" s="175"/>
      <c r="AL229" s="25">
        <v>1</v>
      </c>
      <c r="AM229" s="175">
        <v>1700</v>
      </c>
    </row>
    <row r="230" spans="1:41" s="25" customFormat="1" ht="45">
      <c r="A230" s="97" t="s">
        <v>182</v>
      </c>
      <c r="B230" s="212" t="s">
        <v>1266</v>
      </c>
      <c r="C230" s="94" t="s">
        <v>173</v>
      </c>
      <c r="D230" s="19" t="s">
        <v>625</v>
      </c>
      <c r="E230" s="70" t="s">
        <v>30</v>
      </c>
      <c r="F230" s="19" t="s">
        <v>1267</v>
      </c>
      <c r="G230" s="23">
        <v>5725</v>
      </c>
      <c r="H230" s="23">
        <v>3500</v>
      </c>
      <c r="I230" s="175"/>
      <c r="J230" s="175"/>
      <c r="K230" s="23"/>
      <c r="L230" s="23"/>
      <c r="M230" s="175"/>
      <c r="N230" s="23"/>
      <c r="O230" s="175"/>
      <c r="P230" s="23"/>
      <c r="Q230" s="23">
        <v>5725</v>
      </c>
      <c r="R230" s="23">
        <v>3500</v>
      </c>
      <c r="S230" s="23"/>
      <c r="T230" s="175">
        <v>3000</v>
      </c>
      <c r="U230" s="175">
        <v>2000</v>
      </c>
      <c r="V230" s="23"/>
      <c r="W230" s="24"/>
      <c r="X230" s="428">
        <v>3000</v>
      </c>
      <c r="Y230" s="428">
        <v>2000</v>
      </c>
      <c r="Z230" s="371"/>
      <c r="AA230" s="5"/>
      <c r="AI230" s="175"/>
      <c r="AL230" s="25">
        <v>1</v>
      </c>
      <c r="AM230" s="175">
        <v>2000</v>
      </c>
    </row>
    <row r="231" spans="1:41" s="25" customFormat="1" ht="60">
      <c r="A231" s="97" t="s">
        <v>187</v>
      </c>
      <c r="B231" s="212" t="s">
        <v>660</v>
      </c>
      <c r="C231" s="94" t="s">
        <v>484</v>
      </c>
      <c r="D231" s="19" t="s">
        <v>1268</v>
      </c>
      <c r="E231" s="70" t="s">
        <v>120</v>
      </c>
      <c r="F231" s="19"/>
      <c r="G231" s="23">
        <v>16087</v>
      </c>
      <c r="H231" s="23">
        <v>8045</v>
      </c>
      <c r="I231" s="175"/>
      <c r="J231" s="175"/>
      <c r="K231" s="23"/>
      <c r="L231" s="23"/>
      <c r="M231" s="175"/>
      <c r="N231" s="23"/>
      <c r="O231" s="175"/>
      <c r="P231" s="23"/>
      <c r="Q231" s="23">
        <f>G231</f>
        <v>16087</v>
      </c>
      <c r="R231" s="23">
        <f>H231</f>
        <v>8045</v>
      </c>
      <c r="S231" s="23"/>
      <c r="T231" s="175">
        <v>4000</v>
      </c>
      <c r="U231" s="175">
        <v>2000</v>
      </c>
      <c r="V231" s="23"/>
      <c r="W231" s="24"/>
      <c r="X231" s="428">
        <v>4000</v>
      </c>
      <c r="Y231" s="428">
        <v>2000</v>
      </c>
      <c r="Z231" s="371"/>
      <c r="AA231" s="5"/>
      <c r="AI231" s="175"/>
      <c r="AL231" s="25">
        <v>1</v>
      </c>
      <c r="AM231" s="175">
        <v>2000</v>
      </c>
    </row>
    <row r="232" spans="1:41" s="25" customFormat="1" ht="31.5">
      <c r="A232" s="97" t="s">
        <v>191</v>
      </c>
      <c r="B232" s="212" t="s">
        <v>663</v>
      </c>
      <c r="C232" s="94" t="s">
        <v>260</v>
      </c>
      <c r="D232" s="19" t="s">
        <v>664</v>
      </c>
      <c r="E232" s="70" t="s">
        <v>120</v>
      </c>
      <c r="F232" s="19" t="s">
        <v>1269</v>
      </c>
      <c r="G232" s="23">
        <v>11166</v>
      </c>
      <c r="H232" s="23">
        <f>+G232*0.6</f>
        <v>6699.5999999999995</v>
      </c>
      <c r="I232" s="175"/>
      <c r="J232" s="175"/>
      <c r="K232" s="23"/>
      <c r="L232" s="23"/>
      <c r="M232" s="175"/>
      <c r="N232" s="23"/>
      <c r="O232" s="175"/>
      <c r="P232" s="23"/>
      <c r="Q232" s="23">
        <v>11166</v>
      </c>
      <c r="R232" s="23">
        <f>+Q232*0.6</f>
        <v>6699.5999999999995</v>
      </c>
      <c r="S232" s="23"/>
      <c r="T232" s="175">
        <v>4000</v>
      </c>
      <c r="U232" s="175">
        <v>2000</v>
      </c>
      <c r="V232" s="23"/>
      <c r="W232" s="24"/>
      <c r="X232" s="428">
        <v>4000</v>
      </c>
      <c r="Y232" s="428">
        <v>2000</v>
      </c>
      <c r="Z232" s="371"/>
      <c r="AA232" s="5"/>
      <c r="AI232" s="175"/>
      <c r="AL232" s="25">
        <v>1</v>
      </c>
      <c r="AM232" s="175">
        <v>2000</v>
      </c>
    </row>
    <row r="233" spans="1:41" s="25" customFormat="1" ht="31.5">
      <c r="A233" s="97" t="s">
        <v>195</v>
      </c>
      <c r="B233" s="212" t="s">
        <v>1270</v>
      </c>
      <c r="C233" s="94" t="s">
        <v>85</v>
      </c>
      <c r="D233" s="19"/>
      <c r="E233" s="70"/>
      <c r="F233" s="19"/>
      <c r="G233" s="23">
        <v>1000</v>
      </c>
      <c r="H233" s="23">
        <v>1000</v>
      </c>
      <c r="I233" s="175"/>
      <c r="J233" s="175"/>
      <c r="K233" s="23"/>
      <c r="L233" s="23"/>
      <c r="M233" s="175"/>
      <c r="N233" s="23"/>
      <c r="O233" s="175"/>
      <c r="P233" s="23"/>
      <c r="Q233" s="23">
        <v>1000</v>
      </c>
      <c r="R233" s="23">
        <v>1000</v>
      </c>
      <c r="S233" s="23"/>
      <c r="T233" s="175">
        <v>1000</v>
      </c>
      <c r="U233" s="175">
        <v>1000</v>
      </c>
      <c r="V233" s="23"/>
      <c r="W233" s="24"/>
      <c r="X233" s="428">
        <v>1000</v>
      </c>
      <c r="Y233" s="428">
        <v>1000</v>
      </c>
      <c r="Z233" s="371"/>
      <c r="AA233" s="5"/>
      <c r="AI233" s="451"/>
      <c r="AM233" s="451"/>
    </row>
    <row r="234" spans="1:41" s="25" customFormat="1" ht="31.5">
      <c r="A234" s="97" t="s">
        <v>590</v>
      </c>
      <c r="B234" s="212" t="s">
        <v>667</v>
      </c>
      <c r="C234" s="94" t="s">
        <v>71</v>
      </c>
      <c r="D234" s="19" t="s">
        <v>668</v>
      </c>
      <c r="E234" s="70" t="s">
        <v>30</v>
      </c>
      <c r="F234" s="19" t="s">
        <v>1271</v>
      </c>
      <c r="G234" s="23">
        <v>6905</v>
      </c>
      <c r="H234" s="23">
        <v>3800</v>
      </c>
      <c r="I234" s="175"/>
      <c r="J234" s="175"/>
      <c r="K234" s="23"/>
      <c r="L234" s="23"/>
      <c r="M234" s="175"/>
      <c r="N234" s="23"/>
      <c r="O234" s="175"/>
      <c r="P234" s="23"/>
      <c r="Q234" s="23">
        <f>G234-G234*10%</f>
        <v>6214.5</v>
      </c>
      <c r="R234" s="23">
        <v>3800</v>
      </c>
      <c r="S234" s="23"/>
      <c r="T234" s="175">
        <v>6215</v>
      </c>
      <c r="U234" s="175">
        <v>3800</v>
      </c>
      <c r="V234" s="23"/>
      <c r="W234" s="24"/>
      <c r="X234" s="428">
        <v>6215</v>
      </c>
      <c r="Y234" s="428">
        <v>3800</v>
      </c>
      <c r="Z234" s="371"/>
      <c r="AA234" s="5"/>
      <c r="AI234" s="451"/>
      <c r="AM234" s="451"/>
    </row>
    <row r="235" spans="1:41" s="25" customFormat="1" ht="31.5">
      <c r="A235" s="97" t="s">
        <v>591</v>
      </c>
      <c r="B235" s="212" t="s">
        <v>1272</v>
      </c>
      <c r="C235" s="94" t="s">
        <v>60</v>
      </c>
      <c r="D235" s="19"/>
      <c r="E235" s="70"/>
      <c r="F235" s="19"/>
      <c r="G235" s="23">
        <v>1000</v>
      </c>
      <c r="H235" s="23">
        <v>1000</v>
      </c>
      <c r="I235" s="175"/>
      <c r="J235" s="175"/>
      <c r="K235" s="23"/>
      <c r="L235" s="23"/>
      <c r="M235" s="175"/>
      <c r="N235" s="23"/>
      <c r="O235" s="175"/>
      <c r="P235" s="23"/>
      <c r="Q235" s="23">
        <v>1000</v>
      </c>
      <c r="R235" s="23">
        <v>1000</v>
      </c>
      <c r="S235" s="23"/>
      <c r="T235" s="175">
        <v>1000</v>
      </c>
      <c r="U235" s="175">
        <v>1000</v>
      </c>
      <c r="V235" s="23"/>
      <c r="W235" s="24"/>
      <c r="X235" s="428">
        <v>1000</v>
      </c>
      <c r="Y235" s="428">
        <v>1000</v>
      </c>
      <c r="Z235" s="371"/>
      <c r="AA235" s="5"/>
      <c r="AI235" s="451"/>
      <c r="AM235" s="451"/>
    </row>
    <row r="236" spans="1:41" s="25" customFormat="1" ht="31.5">
      <c r="A236" s="97" t="s">
        <v>916</v>
      </c>
      <c r="B236" s="212" t="s">
        <v>1273</v>
      </c>
      <c r="C236" s="94" t="s">
        <v>173</v>
      </c>
      <c r="D236" s="19"/>
      <c r="E236" s="70"/>
      <c r="F236" s="19"/>
      <c r="G236" s="23">
        <v>1000</v>
      </c>
      <c r="H236" s="23">
        <v>1000</v>
      </c>
      <c r="I236" s="175"/>
      <c r="J236" s="175"/>
      <c r="K236" s="23"/>
      <c r="L236" s="23"/>
      <c r="M236" s="175"/>
      <c r="N236" s="23"/>
      <c r="O236" s="175"/>
      <c r="P236" s="23"/>
      <c r="Q236" s="23">
        <v>1000</v>
      </c>
      <c r="R236" s="23">
        <v>1000</v>
      </c>
      <c r="S236" s="23"/>
      <c r="T236" s="175">
        <v>1000</v>
      </c>
      <c r="U236" s="175">
        <v>1000</v>
      </c>
      <c r="V236" s="23"/>
      <c r="W236" s="24"/>
      <c r="X236" s="428">
        <v>1000</v>
      </c>
      <c r="Y236" s="428">
        <v>1000</v>
      </c>
      <c r="Z236" s="371"/>
      <c r="AA236" s="5"/>
      <c r="AI236" s="451"/>
      <c r="AM236" s="451"/>
    </row>
    <row r="237" spans="1:41" s="25" customFormat="1" ht="31.5">
      <c r="A237" s="97" t="s">
        <v>919</v>
      </c>
      <c r="B237" s="212" t="s">
        <v>1274</v>
      </c>
      <c r="C237" s="94" t="s">
        <v>173</v>
      </c>
      <c r="D237" s="19"/>
      <c r="E237" s="70"/>
      <c r="F237" s="19"/>
      <c r="G237" s="23">
        <v>1000</v>
      </c>
      <c r="H237" s="23">
        <v>1000</v>
      </c>
      <c r="I237" s="175"/>
      <c r="J237" s="175"/>
      <c r="K237" s="23"/>
      <c r="L237" s="23"/>
      <c r="M237" s="175"/>
      <c r="N237" s="23"/>
      <c r="O237" s="175"/>
      <c r="P237" s="23"/>
      <c r="Q237" s="23">
        <v>1000</v>
      </c>
      <c r="R237" s="23">
        <v>1000</v>
      </c>
      <c r="S237" s="23"/>
      <c r="T237" s="175">
        <v>1000</v>
      </c>
      <c r="U237" s="175">
        <v>1000</v>
      </c>
      <c r="V237" s="23"/>
      <c r="W237" s="24"/>
      <c r="X237" s="428">
        <v>1000</v>
      </c>
      <c r="Y237" s="428">
        <v>1000</v>
      </c>
      <c r="Z237" s="371"/>
      <c r="AA237" s="5"/>
      <c r="AI237" s="451"/>
      <c r="AM237" s="451"/>
    </row>
    <row r="238" spans="1:41" s="25" customFormat="1" ht="31.5">
      <c r="A238" s="97" t="s">
        <v>671</v>
      </c>
      <c r="B238" s="212" t="s">
        <v>1275</v>
      </c>
      <c r="C238" s="94" t="s">
        <v>66</v>
      </c>
      <c r="D238" s="19"/>
      <c r="E238" s="70"/>
      <c r="F238" s="19"/>
      <c r="G238" s="23">
        <v>1000</v>
      </c>
      <c r="H238" s="23">
        <v>1000</v>
      </c>
      <c r="I238" s="175"/>
      <c r="J238" s="175"/>
      <c r="K238" s="23"/>
      <c r="L238" s="23"/>
      <c r="M238" s="175"/>
      <c r="N238" s="23"/>
      <c r="O238" s="175"/>
      <c r="P238" s="23"/>
      <c r="Q238" s="23">
        <v>1000</v>
      </c>
      <c r="R238" s="23">
        <v>1000</v>
      </c>
      <c r="S238" s="23"/>
      <c r="T238" s="175">
        <v>1000</v>
      </c>
      <c r="U238" s="175">
        <v>1000</v>
      </c>
      <c r="V238" s="23"/>
      <c r="W238" s="24"/>
      <c r="X238" s="428">
        <v>1000</v>
      </c>
      <c r="Y238" s="428">
        <v>1000</v>
      </c>
      <c r="Z238" s="371"/>
      <c r="AA238" s="5"/>
      <c r="AI238" s="451"/>
      <c r="AM238" s="451"/>
    </row>
    <row r="239" spans="1:41" s="25" customFormat="1" ht="15.75">
      <c r="A239" s="97"/>
      <c r="B239" s="212"/>
      <c r="C239" s="94"/>
      <c r="D239" s="19"/>
      <c r="E239" s="70"/>
      <c r="F239" s="19"/>
      <c r="G239" s="23"/>
      <c r="H239" s="23"/>
      <c r="I239" s="175"/>
      <c r="J239" s="175">
        <f>36780-J240</f>
        <v>0</v>
      </c>
      <c r="K239" s="23"/>
      <c r="L239" s="23"/>
      <c r="M239" s="175"/>
      <c r="N239" s="23"/>
      <c r="O239" s="175"/>
      <c r="P239" s="23"/>
      <c r="Q239" s="23"/>
      <c r="R239" s="23"/>
      <c r="S239" s="23"/>
      <c r="T239" s="175"/>
      <c r="U239" s="175"/>
      <c r="V239" s="23"/>
      <c r="W239" s="24"/>
      <c r="X239" s="428"/>
      <c r="Y239" s="428"/>
      <c r="Z239" s="371"/>
      <c r="AA239" s="5"/>
    </row>
    <row r="240" spans="1:41" s="208" customFormat="1" ht="27" customHeight="1">
      <c r="A240" s="147" t="s">
        <v>526</v>
      </c>
      <c r="B240" s="209" t="s">
        <v>1276</v>
      </c>
      <c r="C240" s="126"/>
      <c r="D240" s="126"/>
      <c r="E240" s="127"/>
      <c r="F240" s="126"/>
      <c r="G240" s="210">
        <f t="shared" ref="G240:V240" si="206">SUM(G241,G242)</f>
        <v>577415</v>
      </c>
      <c r="H240" s="210">
        <f t="shared" si="206"/>
        <v>409965</v>
      </c>
      <c r="I240" s="210">
        <f t="shared" si="206"/>
        <v>36780</v>
      </c>
      <c r="J240" s="210">
        <f t="shared" si="206"/>
        <v>36780</v>
      </c>
      <c r="K240" s="210">
        <f t="shared" si="206"/>
        <v>8480</v>
      </c>
      <c r="L240" s="210">
        <f t="shared" si="206"/>
        <v>4480</v>
      </c>
      <c r="M240" s="210">
        <f t="shared" si="206"/>
        <v>24172</v>
      </c>
      <c r="N240" s="210">
        <f t="shared" si="206"/>
        <v>21693</v>
      </c>
      <c r="O240" s="210">
        <f t="shared" si="206"/>
        <v>94311</v>
      </c>
      <c r="P240" s="210">
        <f t="shared" si="206"/>
        <v>69271</v>
      </c>
      <c r="Q240" s="210">
        <f t="shared" si="206"/>
        <v>511214</v>
      </c>
      <c r="R240" s="210">
        <f t="shared" si="206"/>
        <v>368792</v>
      </c>
      <c r="S240" s="210">
        <f t="shared" si="206"/>
        <v>0</v>
      </c>
      <c r="T240" s="210">
        <f t="shared" si="206"/>
        <v>88300</v>
      </c>
      <c r="U240" s="210">
        <f t="shared" si="206"/>
        <v>72800</v>
      </c>
      <c r="V240" s="210">
        <f t="shared" si="206"/>
        <v>0</v>
      </c>
      <c r="W240" s="410"/>
      <c r="X240" s="429">
        <f t="shared" ref="X240:Z240" si="207">SUM(X241,X242)</f>
        <v>88300</v>
      </c>
      <c r="Y240" s="429">
        <f t="shared" si="207"/>
        <v>72800</v>
      </c>
      <c r="Z240" s="429">
        <f t="shared" si="207"/>
        <v>0</v>
      </c>
      <c r="AA240" s="348">
        <f>+U240/(2704380-258412-300000)*100</f>
        <v>3.3924084608903766</v>
      </c>
      <c r="AB240" s="210" t="e">
        <f t="shared" ref="AB240:AO240" si="208">SUM(AB241,AB242)</f>
        <v>#REF!</v>
      </c>
      <c r="AC240" s="210" t="e">
        <f t="shared" si="208"/>
        <v>#REF!</v>
      </c>
      <c r="AD240" s="210" t="e">
        <f t="shared" si="208"/>
        <v>#REF!</v>
      </c>
      <c r="AE240" s="210" t="e">
        <f t="shared" si="208"/>
        <v>#REF!</v>
      </c>
      <c r="AF240" s="210" t="e">
        <f t="shared" si="208"/>
        <v>#REF!</v>
      </c>
      <c r="AG240" s="210" t="e">
        <f t="shared" si="208"/>
        <v>#REF!</v>
      </c>
      <c r="AH240" s="210" t="e">
        <f t="shared" si="208"/>
        <v>#REF!</v>
      </c>
      <c r="AI240" s="210" t="e">
        <f t="shared" si="208"/>
        <v>#REF!</v>
      </c>
      <c r="AJ240" s="210" t="e">
        <f t="shared" si="208"/>
        <v>#REF!</v>
      </c>
      <c r="AK240" s="210" t="e">
        <f t="shared" si="208"/>
        <v>#REF!</v>
      </c>
      <c r="AL240" s="210" t="e">
        <f t="shared" si="208"/>
        <v>#REF!</v>
      </c>
      <c r="AM240" s="210" t="e">
        <f t="shared" si="208"/>
        <v>#REF!</v>
      </c>
      <c r="AN240" s="210" t="e">
        <f t="shared" si="208"/>
        <v>#REF!</v>
      </c>
      <c r="AO240" s="210" t="e">
        <f t="shared" si="208"/>
        <v>#REF!</v>
      </c>
    </row>
    <row r="241" spans="1:41" s="353" customFormat="1" ht="24" customHeight="1">
      <c r="A241" s="82" t="s">
        <v>525</v>
      </c>
      <c r="B241" s="12" t="s">
        <v>26</v>
      </c>
      <c r="C241" s="350"/>
      <c r="D241" s="350"/>
      <c r="E241" s="351"/>
      <c r="F241" s="350"/>
      <c r="G241" s="45"/>
      <c r="H241" s="45"/>
      <c r="I241" s="45"/>
      <c r="J241" s="45"/>
      <c r="K241" s="45"/>
      <c r="L241" s="45"/>
      <c r="M241" s="45"/>
      <c r="N241" s="45"/>
      <c r="O241" s="45"/>
      <c r="P241" s="45"/>
      <c r="Q241" s="45"/>
      <c r="R241" s="45"/>
      <c r="S241" s="45"/>
      <c r="T241" s="45"/>
      <c r="U241" s="45"/>
      <c r="V241" s="45"/>
      <c r="W241" s="352"/>
      <c r="X241" s="347"/>
      <c r="Y241" s="347"/>
      <c r="Z241" s="347"/>
      <c r="AA241" s="5"/>
      <c r="AB241" s="45" t="e">
        <f>SUM(#REF!)</f>
        <v>#REF!</v>
      </c>
      <c r="AC241" s="45" t="e">
        <f>SUM(#REF!)</f>
        <v>#REF!</v>
      </c>
      <c r="AD241" s="45" t="e">
        <f>SUM(#REF!)</f>
        <v>#REF!</v>
      </c>
      <c r="AE241" s="45" t="e">
        <f>SUM(#REF!)</f>
        <v>#REF!</v>
      </c>
      <c r="AF241" s="45" t="e">
        <f>SUM(#REF!)</f>
        <v>#REF!</v>
      </c>
      <c r="AG241" s="45" t="e">
        <f>SUM(#REF!)</f>
        <v>#REF!</v>
      </c>
      <c r="AH241" s="45" t="e">
        <f>SUM(#REF!)</f>
        <v>#REF!</v>
      </c>
      <c r="AI241" s="45" t="e">
        <f>SUM(#REF!)</f>
        <v>#REF!</v>
      </c>
      <c r="AJ241" s="45" t="e">
        <f>SUM(#REF!)</f>
        <v>#REF!</v>
      </c>
      <c r="AK241" s="45" t="e">
        <f>SUM(#REF!)</f>
        <v>#REF!</v>
      </c>
      <c r="AL241" s="45" t="e">
        <f>SUM(#REF!)</f>
        <v>#REF!</v>
      </c>
      <c r="AM241" s="45" t="e">
        <f>SUM(#REF!)</f>
        <v>#REF!</v>
      </c>
      <c r="AN241" s="45" t="e">
        <f>SUM(#REF!)</f>
        <v>#REF!</v>
      </c>
      <c r="AO241" s="45" t="e">
        <f>SUM(#REF!)</f>
        <v>#REF!</v>
      </c>
    </row>
    <row r="242" spans="1:41" s="5" customFormat="1" ht="24" customHeight="1">
      <c r="A242" s="82" t="s">
        <v>499</v>
      </c>
      <c r="B242" s="213" t="s">
        <v>31</v>
      </c>
      <c r="C242" s="43"/>
      <c r="D242" s="43"/>
      <c r="E242" s="44"/>
      <c r="F242" s="43"/>
      <c r="G242" s="45">
        <f>SUM(G243,G248,G256)</f>
        <v>577415</v>
      </c>
      <c r="H242" s="45">
        <f t="shared" ref="H242:V242" si="209">SUM(H243,H248,H256)</f>
        <v>409965</v>
      </c>
      <c r="I242" s="45">
        <f t="shared" si="209"/>
        <v>36780</v>
      </c>
      <c r="J242" s="45">
        <f t="shared" si="209"/>
        <v>36780</v>
      </c>
      <c r="K242" s="45">
        <f t="shared" si="209"/>
        <v>8480</v>
      </c>
      <c r="L242" s="45">
        <f t="shared" si="209"/>
        <v>4480</v>
      </c>
      <c r="M242" s="45">
        <f t="shared" si="209"/>
        <v>24172</v>
      </c>
      <c r="N242" s="45">
        <f t="shared" si="209"/>
        <v>21693</v>
      </c>
      <c r="O242" s="45">
        <f t="shared" si="209"/>
        <v>94311</v>
      </c>
      <c r="P242" s="45">
        <f t="shared" si="209"/>
        <v>69271</v>
      </c>
      <c r="Q242" s="45">
        <f t="shared" si="209"/>
        <v>511214</v>
      </c>
      <c r="R242" s="45">
        <f t="shared" si="209"/>
        <v>368792</v>
      </c>
      <c r="S242" s="45">
        <f t="shared" si="209"/>
        <v>0</v>
      </c>
      <c r="T242" s="45">
        <f t="shared" si="209"/>
        <v>88300</v>
      </c>
      <c r="U242" s="45">
        <f t="shared" si="209"/>
        <v>72800</v>
      </c>
      <c r="V242" s="45">
        <f t="shared" si="209"/>
        <v>0</v>
      </c>
      <c r="W242" s="269"/>
      <c r="X242" s="347">
        <f t="shared" ref="X242:Z242" si="210">SUM(X243,X248,X256)</f>
        <v>88300</v>
      </c>
      <c r="Y242" s="347">
        <f t="shared" si="210"/>
        <v>72800</v>
      </c>
      <c r="Z242" s="347">
        <f t="shared" si="210"/>
        <v>0</v>
      </c>
      <c r="AB242" s="45">
        <f t="shared" ref="AB242:AK242" si="211">SUM(AB243,AB248,AB256)</f>
        <v>0</v>
      </c>
      <c r="AC242" s="45">
        <f t="shared" si="211"/>
        <v>0</v>
      </c>
      <c r="AD242" s="45">
        <f t="shared" si="211"/>
        <v>5</v>
      </c>
      <c r="AE242" s="45">
        <f t="shared" si="211"/>
        <v>31385</v>
      </c>
      <c r="AF242" s="45">
        <f t="shared" si="211"/>
        <v>0</v>
      </c>
      <c r="AG242" s="45">
        <f t="shared" si="211"/>
        <v>0</v>
      </c>
      <c r="AH242" s="45">
        <f t="shared" si="211"/>
        <v>0</v>
      </c>
      <c r="AI242" s="45">
        <f t="shared" si="211"/>
        <v>0</v>
      </c>
      <c r="AJ242" s="45">
        <f t="shared" si="211"/>
        <v>0</v>
      </c>
      <c r="AK242" s="45">
        <f t="shared" si="211"/>
        <v>0</v>
      </c>
      <c r="AL242" s="45">
        <f>SUM(AL243,AL248,AL256)</f>
        <v>8</v>
      </c>
      <c r="AM242" s="45">
        <f>SUM(AM243,AM248,AM256)</f>
        <v>69300</v>
      </c>
      <c r="AN242" s="45">
        <f>SUM(AN243,AN248,AN256)</f>
        <v>0</v>
      </c>
      <c r="AO242" s="45">
        <f>SUM(AO243,AO248,AO256)</f>
        <v>0</v>
      </c>
    </row>
    <row r="243" spans="1:41" s="5" customFormat="1" ht="36" customHeight="1">
      <c r="A243" s="64" t="s">
        <v>32</v>
      </c>
      <c r="B243" s="213" t="s">
        <v>678</v>
      </c>
      <c r="C243" s="43"/>
      <c r="D243" s="43"/>
      <c r="E243" s="44"/>
      <c r="F243" s="43"/>
      <c r="G243" s="45">
        <f>G244</f>
        <v>51972</v>
      </c>
      <c r="H243" s="45">
        <f t="shared" ref="H243:Z243" si="212">H244</f>
        <v>26944</v>
      </c>
      <c r="I243" s="45">
        <f t="shared" si="212"/>
        <v>6233</v>
      </c>
      <c r="J243" s="45">
        <f t="shared" si="212"/>
        <v>6233</v>
      </c>
      <c r="K243" s="45">
        <f t="shared" si="212"/>
        <v>4000</v>
      </c>
      <c r="L243" s="45">
        <f t="shared" si="212"/>
        <v>0</v>
      </c>
      <c r="M243" s="45">
        <f t="shared" si="212"/>
        <v>4876</v>
      </c>
      <c r="N243" s="45">
        <f t="shared" si="212"/>
        <v>3031</v>
      </c>
      <c r="O243" s="45">
        <f t="shared" si="212"/>
        <v>41256</v>
      </c>
      <c r="P243" s="45">
        <f t="shared" si="212"/>
        <v>16869</v>
      </c>
      <c r="Q243" s="45">
        <f t="shared" si="212"/>
        <v>16001</v>
      </c>
      <c r="R243" s="45">
        <f t="shared" si="212"/>
        <v>16001</v>
      </c>
      <c r="S243" s="45">
        <f t="shared" si="212"/>
        <v>0</v>
      </c>
      <c r="T243" s="45">
        <f t="shared" si="212"/>
        <v>0</v>
      </c>
      <c r="U243" s="45">
        <f t="shared" si="212"/>
        <v>0</v>
      </c>
      <c r="V243" s="45">
        <f t="shared" si="212"/>
        <v>0</v>
      </c>
      <c r="W243" s="269"/>
      <c r="X243" s="347">
        <f t="shared" si="212"/>
        <v>0</v>
      </c>
      <c r="Y243" s="347">
        <f t="shared" si="212"/>
        <v>0</v>
      </c>
      <c r="Z243" s="347">
        <f t="shared" si="212"/>
        <v>0</v>
      </c>
      <c r="AB243" s="45">
        <f t="shared" ref="AB243:AK243" si="213">AB244</f>
        <v>0</v>
      </c>
      <c r="AC243" s="45">
        <f t="shared" si="213"/>
        <v>0</v>
      </c>
      <c r="AD243" s="45">
        <f t="shared" si="213"/>
        <v>0</v>
      </c>
      <c r="AE243" s="45">
        <f t="shared" si="213"/>
        <v>0</v>
      </c>
      <c r="AF243" s="45">
        <f t="shared" si="213"/>
        <v>0</v>
      </c>
      <c r="AG243" s="45">
        <f t="shared" si="213"/>
        <v>0</v>
      </c>
      <c r="AH243" s="45">
        <f t="shared" si="213"/>
        <v>0</v>
      </c>
      <c r="AI243" s="45">
        <f t="shared" si="213"/>
        <v>0</v>
      </c>
      <c r="AJ243" s="45">
        <f t="shared" si="213"/>
        <v>0</v>
      </c>
      <c r="AK243" s="45">
        <f t="shared" si="213"/>
        <v>0</v>
      </c>
      <c r="AL243" s="45">
        <f>AL244</f>
        <v>0</v>
      </c>
      <c r="AM243" s="45">
        <f>AM244</f>
        <v>0</v>
      </c>
      <c r="AN243" s="45">
        <f>AN244</f>
        <v>0</v>
      </c>
      <c r="AO243" s="45">
        <f>AO244</f>
        <v>0</v>
      </c>
    </row>
    <row r="244" spans="1:41" s="445" customFormat="1" ht="15.75">
      <c r="A244" s="200" t="s">
        <v>273</v>
      </c>
      <c r="B244" s="275" t="s">
        <v>48</v>
      </c>
      <c r="C244" s="201"/>
      <c r="D244" s="201"/>
      <c r="E244" s="202"/>
      <c r="F244" s="201"/>
      <c r="G244" s="443">
        <f>SUM(G245:G247)</f>
        <v>51972</v>
      </c>
      <c r="H244" s="443">
        <f t="shared" ref="H244:V244" si="214">SUM(H245:H247)</f>
        <v>26944</v>
      </c>
      <c r="I244" s="443">
        <f t="shared" si="214"/>
        <v>6233</v>
      </c>
      <c r="J244" s="443">
        <f t="shared" si="214"/>
        <v>6233</v>
      </c>
      <c r="K244" s="443">
        <f t="shared" si="214"/>
        <v>4000</v>
      </c>
      <c r="L244" s="443">
        <f t="shared" si="214"/>
        <v>0</v>
      </c>
      <c r="M244" s="443">
        <f t="shared" si="214"/>
        <v>4876</v>
      </c>
      <c r="N244" s="443">
        <f t="shared" si="214"/>
        <v>3031</v>
      </c>
      <c r="O244" s="443">
        <f t="shared" si="214"/>
        <v>41256</v>
      </c>
      <c r="P244" s="443">
        <f t="shared" si="214"/>
        <v>16869</v>
      </c>
      <c r="Q244" s="443">
        <f t="shared" si="214"/>
        <v>16001</v>
      </c>
      <c r="R244" s="443">
        <f t="shared" si="214"/>
        <v>16001</v>
      </c>
      <c r="S244" s="443">
        <f t="shared" si="214"/>
        <v>0</v>
      </c>
      <c r="T244" s="443">
        <f t="shared" si="214"/>
        <v>0</v>
      </c>
      <c r="U244" s="443">
        <f t="shared" si="214"/>
        <v>0</v>
      </c>
      <c r="V244" s="443">
        <f t="shared" si="214"/>
        <v>0</v>
      </c>
      <c r="W244" s="444"/>
      <c r="X244" s="386">
        <f t="shared" ref="X244:Z244" si="215">SUM(X245:X247)</f>
        <v>0</v>
      </c>
      <c r="Y244" s="386">
        <f t="shared" si="215"/>
        <v>0</v>
      </c>
      <c r="Z244" s="386">
        <f t="shared" si="215"/>
        <v>0</v>
      </c>
      <c r="AA244" s="5"/>
      <c r="AB244" s="443">
        <f t="shared" ref="AB244:AK244" si="216">SUM(AB245:AB247)</f>
        <v>0</v>
      </c>
      <c r="AC244" s="443">
        <f t="shared" si="216"/>
        <v>0</v>
      </c>
      <c r="AD244" s="443">
        <f t="shared" si="216"/>
        <v>0</v>
      </c>
      <c r="AE244" s="443">
        <f t="shared" si="216"/>
        <v>0</v>
      </c>
      <c r="AF244" s="443">
        <f t="shared" si="216"/>
        <v>0</v>
      </c>
      <c r="AG244" s="443">
        <f t="shared" si="216"/>
        <v>0</v>
      </c>
      <c r="AH244" s="443">
        <f t="shared" si="216"/>
        <v>0</v>
      </c>
      <c r="AI244" s="443">
        <f t="shared" si="216"/>
        <v>0</v>
      </c>
      <c r="AJ244" s="443">
        <f t="shared" si="216"/>
        <v>0</v>
      </c>
      <c r="AK244" s="443">
        <f t="shared" si="216"/>
        <v>0</v>
      </c>
      <c r="AL244" s="443">
        <f>SUM(AL245:AL247)</f>
        <v>0</v>
      </c>
      <c r="AM244" s="443">
        <f>SUM(AM245:AM247)</f>
        <v>0</v>
      </c>
      <c r="AN244" s="443">
        <f>SUM(AN245:AN247)</f>
        <v>0</v>
      </c>
      <c r="AO244" s="443">
        <f>SUM(AO245:AO247)</f>
        <v>0</v>
      </c>
    </row>
    <row r="245" spans="1:41" s="25" customFormat="1" ht="31.5">
      <c r="A245" s="78">
        <v>1</v>
      </c>
      <c r="B245" s="212" t="s">
        <v>679</v>
      </c>
      <c r="C245" s="94" t="s">
        <v>43</v>
      </c>
      <c r="D245" s="101" t="s">
        <v>1277</v>
      </c>
      <c r="E245" s="95" t="s">
        <v>82</v>
      </c>
      <c r="F245" s="101" t="s">
        <v>1278</v>
      </c>
      <c r="G245" s="175">
        <v>45500</v>
      </c>
      <c r="H245" s="175">
        <v>20472</v>
      </c>
      <c r="I245" s="23">
        <f t="shared" ref="I245:I247" si="217">+J245</f>
        <v>1138</v>
      </c>
      <c r="J245" s="23">
        <v>1138</v>
      </c>
      <c r="K245" s="23">
        <v>4000</v>
      </c>
      <c r="L245" s="23"/>
      <c r="M245" s="23">
        <v>1845</v>
      </c>
      <c r="N245" s="23"/>
      <c r="O245" s="23">
        <f>33953+1138</f>
        <v>35091</v>
      </c>
      <c r="P245" s="23">
        <f>9566+1138</f>
        <v>10704</v>
      </c>
      <c r="Q245" s="23">
        <f t="shared" ref="Q245:Q247" si="218">+R245</f>
        <v>10906</v>
      </c>
      <c r="R245" s="23">
        <v>10906</v>
      </c>
      <c r="S245" s="23"/>
      <c r="T245" s="23"/>
      <c r="U245" s="23"/>
      <c r="V245" s="23"/>
      <c r="W245" s="24"/>
      <c r="X245" s="371"/>
      <c r="Y245" s="371"/>
      <c r="Z245" s="371"/>
      <c r="AA245" s="5"/>
    </row>
    <row r="246" spans="1:41" s="25" customFormat="1" ht="31.5">
      <c r="A246" s="78">
        <v>2</v>
      </c>
      <c r="B246" s="212" t="s">
        <v>682</v>
      </c>
      <c r="C246" s="94" t="s">
        <v>29</v>
      </c>
      <c r="D246" s="101" t="s">
        <v>683</v>
      </c>
      <c r="E246" s="95" t="s">
        <v>82</v>
      </c>
      <c r="F246" s="101" t="s">
        <v>684</v>
      </c>
      <c r="G246" s="175">
        <v>2289</v>
      </c>
      <c r="H246" s="175">
        <v>2289</v>
      </c>
      <c r="I246" s="23">
        <f t="shared" si="217"/>
        <v>1264</v>
      </c>
      <c r="J246" s="23">
        <v>1264</v>
      </c>
      <c r="K246" s="23"/>
      <c r="L246" s="23"/>
      <c r="M246" s="23">
        <v>1213</v>
      </c>
      <c r="N246" s="23">
        <v>1213</v>
      </c>
      <c r="O246" s="23">
        <f>870+1264</f>
        <v>2134</v>
      </c>
      <c r="P246" s="23">
        <f>870+1264</f>
        <v>2134</v>
      </c>
      <c r="Q246" s="23">
        <f t="shared" si="218"/>
        <v>1264</v>
      </c>
      <c r="R246" s="23">
        <v>1264</v>
      </c>
      <c r="S246" s="23"/>
      <c r="T246" s="175"/>
      <c r="U246" s="175"/>
      <c r="V246" s="23"/>
      <c r="W246" s="24"/>
      <c r="X246" s="428"/>
      <c r="Y246" s="428"/>
      <c r="Z246" s="371"/>
      <c r="AA246" s="5"/>
    </row>
    <row r="247" spans="1:41" s="25" customFormat="1" ht="31.5">
      <c r="A247" s="78">
        <v>3</v>
      </c>
      <c r="B247" s="212" t="s">
        <v>685</v>
      </c>
      <c r="C247" s="94" t="s">
        <v>143</v>
      </c>
      <c r="D247" s="101" t="s">
        <v>686</v>
      </c>
      <c r="E247" s="95" t="s">
        <v>30</v>
      </c>
      <c r="F247" s="101" t="s">
        <v>687</v>
      </c>
      <c r="G247" s="175">
        <v>4183</v>
      </c>
      <c r="H247" s="175">
        <v>4183</v>
      </c>
      <c r="I247" s="23">
        <f t="shared" si="217"/>
        <v>3831</v>
      </c>
      <c r="J247" s="23">
        <v>3831</v>
      </c>
      <c r="K247" s="23"/>
      <c r="L247" s="23"/>
      <c r="M247" s="23">
        <v>1818</v>
      </c>
      <c r="N247" s="23">
        <v>1818</v>
      </c>
      <c r="O247" s="23">
        <f>+P247</f>
        <v>4031</v>
      </c>
      <c r="P247" s="23">
        <f>J247+200</f>
        <v>4031</v>
      </c>
      <c r="Q247" s="23">
        <f t="shared" si="218"/>
        <v>3831</v>
      </c>
      <c r="R247" s="23">
        <v>3831</v>
      </c>
      <c r="S247" s="23"/>
      <c r="T247" s="175"/>
      <c r="U247" s="175"/>
      <c r="V247" s="23"/>
      <c r="W247" s="24"/>
      <c r="X247" s="428"/>
      <c r="Y247" s="428"/>
      <c r="Z247" s="371"/>
      <c r="AA247" s="5"/>
    </row>
    <row r="248" spans="1:41" s="5" customFormat="1" ht="36" customHeight="1">
      <c r="A248" s="64" t="s">
        <v>78</v>
      </c>
      <c r="B248" s="213" t="s">
        <v>79</v>
      </c>
      <c r="C248" s="43"/>
      <c r="D248" s="43"/>
      <c r="E248" s="44"/>
      <c r="F248" s="43"/>
      <c r="G248" s="45">
        <f>G251+G249</f>
        <v>90689</v>
      </c>
      <c r="H248" s="45">
        <f t="shared" ref="H248:V248" si="219">H251+H249</f>
        <v>84517</v>
      </c>
      <c r="I248" s="45">
        <f t="shared" si="219"/>
        <v>28441</v>
      </c>
      <c r="J248" s="45">
        <f t="shared" si="219"/>
        <v>28441</v>
      </c>
      <c r="K248" s="45">
        <f t="shared" si="219"/>
        <v>4280</v>
      </c>
      <c r="L248" s="45">
        <f t="shared" si="219"/>
        <v>4280</v>
      </c>
      <c r="M248" s="45">
        <f t="shared" si="219"/>
        <v>19021</v>
      </c>
      <c r="N248" s="45">
        <f t="shared" si="219"/>
        <v>18487</v>
      </c>
      <c r="O248" s="45">
        <f t="shared" si="219"/>
        <v>50749</v>
      </c>
      <c r="P248" s="45">
        <f t="shared" si="219"/>
        <v>50096</v>
      </c>
      <c r="Q248" s="45">
        <f t="shared" si="219"/>
        <v>60459</v>
      </c>
      <c r="R248" s="45">
        <f t="shared" si="219"/>
        <v>54287</v>
      </c>
      <c r="S248" s="45">
        <f t="shared" si="219"/>
        <v>0</v>
      </c>
      <c r="T248" s="45">
        <f t="shared" si="219"/>
        <v>17300</v>
      </c>
      <c r="U248" s="45">
        <f t="shared" si="219"/>
        <v>11800</v>
      </c>
      <c r="V248" s="45">
        <f t="shared" si="219"/>
        <v>0</v>
      </c>
      <c r="W248" s="269"/>
      <c r="X248" s="347">
        <f t="shared" ref="X248:Z248" si="220">X251+X249</f>
        <v>17300</v>
      </c>
      <c r="Y248" s="347">
        <f t="shared" si="220"/>
        <v>11800</v>
      </c>
      <c r="Z248" s="347">
        <f t="shared" si="220"/>
        <v>0</v>
      </c>
      <c r="AB248" s="45">
        <f t="shared" ref="AB248:AK248" si="221">AB251+AB249</f>
        <v>0</v>
      </c>
      <c r="AC248" s="45">
        <f t="shared" si="221"/>
        <v>0</v>
      </c>
      <c r="AD248" s="45">
        <f t="shared" si="221"/>
        <v>5</v>
      </c>
      <c r="AE248" s="45">
        <f t="shared" si="221"/>
        <v>31385</v>
      </c>
      <c r="AF248" s="45">
        <f t="shared" si="221"/>
        <v>0</v>
      </c>
      <c r="AG248" s="45">
        <f t="shared" si="221"/>
        <v>0</v>
      </c>
      <c r="AH248" s="45">
        <f t="shared" si="221"/>
        <v>0</v>
      </c>
      <c r="AI248" s="45">
        <f t="shared" si="221"/>
        <v>0</v>
      </c>
      <c r="AJ248" s="45">
        <f t="shared" si="221"/>
        <v>0</v>
      </c>
      <c r="AK248" s="45">
        <f t="shared" si="221"/>
        <v>0</v>
      </c>
      <c r="AL248" s="45">
        <f>AL251+AL249</f>
        <v>0</v>
      </c>
      <c r="AM248" s="45">
        <f>AM251+AM249</f>
        <v>0</v>
      </c>
      <c r="AN248" s="45">
        <f>AN251+AN249</f>
        <v>0</v>
      </c>
      <c r="AO248" s="45">
        <f>AO251+AO249</f>
        <v>0</v>
      </c>
    </row>
    <row r="249" spans="1:41" s="375" customFormat="1" ht="15.75">
      <c r="A249" s="26" t="s">
        <v>47</v>
      </c>
      <c r="B249" s="27" t="s">
        <v>35</v>
      </c>
      <c r="C249" s="135"/>
      <c r="D249" s="135"/>
      <c r="E249" s="136"/>
      <c r="F249" s="135"/>
      <c r="G249" s="384">
        <f>G250</f>
        <v>50581</v>
      </c>
      <c r="H249" s="384">
        <f t="shared" ref="H249:Z249" si="222">H250</f>
        <v>50581</v>
      </c>
      <c r="I249" s="384">
        <f t="shared" si="222"/>
        <v>13000</v>
      </c>
      <c r="J249" s="384">
        <f t="shared" si="222"/>
        <v>13000</v>
      </c>
      <c r="K249" s="384">
        <f t="shared" si="222"/>
        <v>4173</v>
      </c>
      <c r="L249" s="384">
        <f t="shared" si="222"/>
        <v>4173</v>
      </c>
      <c r="M249" s="384">
        <f t="shared" si="222"/>
        <v>8933</v>
      </c>
      <c r="N249" s="384">
        <f t="shared" si="222"/>
        <v>8933</v>
      </c>
      <c r="O249" s="384">
        <f t="shared" si="222"/>
        <v>31400</v>
      </c>
      <c r="P249" s="384">
        <f t="shared" si="222"/>
        <v>31400</v>
      </c>
      <c r="Q249" s="384">
        <f t="shared" si="222"/>
        <v>32181</v>
      </c>
      <c r="R249" s="384">
        <f t="shared" si="222"/>
        <v>32181</v>
      </c>
      <c r="S249" s="384">
        <f t="shared" si="222"/>
        <v>0</v>
      </c>
      <c r="T249" s="384">
        <f t="shared" si="222"/>
        <v>6000</v>
      </c>
      <c r="U249" s="384">
        <f t="shared" si="222"/>
        <v>6000</v>
      </c>
      <c r="V249" s="384">
        <f t="shared" si="222"/>
        <v>0</v>
      </c>
      <c r="W249" s="449"/>
      <c r="X249" s="386">
        <f t="shared" si="222"/>
        <v>6000</v>
      </c>
      <c r="Y249" s="386">
        <f t="shared" si="222"/>
        <v>6000</v>
      </c>
      <c r="Z249" s="386">
        <f t="shared" si="222"/>
        <v>0</v>
      </c>
      <c r="AA249" s="5"/>
      <c r="AB249" s="384">
        <f t="shared" ref="AB249:AK249" si="223">AB250</f>
        <v>0</v>
      </c>
      <c r="AC249" s="384">
        <f t="shared" si="223"/>
        <v>0</v>
      </c>
      <c r="AD249" s="384">
        <f t="shared" si="223"/>
        <v>1</v>
      </c>
      <c r="AE249" s="384">
        <f t="shared" si="223"/>
        <v>15000</v>
      </c>
      <c r="AF249" s="384">
        <f t="shared" si="223"/>
        <v>0</v>
      </c>
      <c r="AG249" s="384">
        <f t="shared" si="223"/>
        <v>0</v>
      </c>
      <c r="AH249" s="384">
        <f t="shared" si="223"/>
        <v>0</v>
      </c>
      <c r="AI249" s="384">
        <f t="shared" si="223"/>
        <v>0</v>
      </c>
      <c r="AJ249" s="384">
        <f t="shared" si="223"/>
        <v>0</v>
      </c>
      <c r="AK249" s="384">
        <f t="shared" si="223"/>
        <v>0</v>
      </c>
      <c r="AL249" s="384">
        <f>AL250</f>
        <v>0</v>
      </c>
      <c r="AM249" s="384">
        <f>AM250</f>
        <v>0</v>
      </c>
      <c r="AN249" s="384">
        <f>AN250</f>
        <v>0</v>
      </c>
      <c r="AO249" s="384">
        <f>AO250</f>
        <v>0</v>
      </c>
    </row>
    <row r="250" spans="1:41" s="25" customFormat="1" ht="30">
      <c r="A250" s="78">
        <v>1</v>
      </c>
      <c r="B250" s="212" t="s">
        <v>688</v>
      </c>
      <c r="C250" s="94" t="s">
        <v>143</v>
      </c>
      <c r="D250" s="101" t="s">
        <v>689</v>
      </c>
      <c r="E250" s="95" t="s">
        <v>235</v>
      </c>
      <c r="F250" s="101" t="s">
        <v>690</v>
      </c>
      <c r="G250" s="175">
        <v>50581</v>
      </c>
      <c r="H250" s="175">
        <v>50581</v>
      </c>
      <c r="I250" s="23">
        <f>+J250</f>
        <v>13000</v>
      </c>
      <c r="J250" s="23">
        <v>13000</v>
      </c>
      <c r="K250" s="23">
        <v>4173</v>
      </c>
      <c r="L250" s="23">
        <v>4173</v>
      </c>
      <c r="M250" s="23">
        <v>8933</v>
      </c>
      <c r="N250" s="23">
        <f>1768+7165</f>
        <v>8933</v>
      </c>
      <c r="O250" s="23">
        <f>18400+13000</f>
        <v>31400</v>
      </c>
      <c r="P250" s="23">
        <f>18400+13000</f>
        <v>31400</v>
      </c>
      <c r="Q250" s="23">
        <f>G250-18400</f>
        <v>32181</v>
      </c>
      <c r="R250" s="23">
        <f>+H250-18400</f>
        <v>32181</v>
      </c>
      <c r="S250" s="23"/>
      <c r="T250" s="175">
        <v>6000</v>
      </c>
      <c r="U250" s="175">
        <v>6000</v>
      </c>
      <c r="V250" s="23"/>
      <c r="W250" s="24"/>
      <c r="X250" s="428">
        <v>6000</v>
      </c>
      <c r="Y250" s="428">
        <v>6000</v>
      </c>
      <c r="Z250" s="371"/>
      <c r="AA250" s="5"/>
      <c r="AD250" s="25">
        <v>1</v>
      </c>
      <c r="AE250" s="175">
        <v>15000</v>
      </c>
    </row>
    <row r="251" spans="1:41" s="375" customFormat="1" ht="15.75">
      <c r="A251" s="26" t="s">
        <v>273</v>
      </c>
      <c r="B251" s="27" t="s">
        <v>48</v>
      </c>
      <c r="C251" s="135"/>
      <c r="D251" s="135"/>
      <c r="E251" s="136"/>
      <c r="F251" s="135"/>
      <c r="G251" s="384">
        <f>SUM(G252:G255)</f>
        <v>40108</v>
      </c>
      <c r="H251" s="384">
        <f t="shared" ref="H251:V251" si="224">SUM(H252:H255)</f>
        <v>33936</v>
      </c>
      <c r="I251" s="384">
        <f t="shared" si="224"/>
        <v>15441</v>
      </c>
      <c r="J251" s="384">
        <f t="shared" si="224"/>
        <v>15441</v>
      </c>
      <c r="K251" s="384">
        <f t="shared" si="224"/>
        <v>107</v>
      </c>
      <c r="L251" s="384">
        <f t="shared" si="224"/>
        <v>107</v>
      </c>
      <c r="M251" s="384">
        <f t="shared" si="224"/>
        <v>10088</v>
      </c>
      <c r="N251" s="384">
        <f t="shared" si="224"/>
        <v>9554</v>
      </c>
      <c r="O251" s="384">
        <f t="shared" si="224"/>
        <v>19349</v>
      </c>
      <c r="P251" s="384">
        <f t="shared" si="224"/>
        <v>18696</v>
      </c>
      <c r="Q251" s="384">
        <f t="shared" si="224"/>
        <v>28278</v>
      </c>
      <c r="R251" s="384">
        <f t="shared" si="224"/>
        <v>22106</v>
      </c>
      <c r="S251" s="384">
        <f t="shared" si="224"/>
        <v>0</v>
      </c>
      <c r="T251" s="384">
        <f t="shared" si="224"/>
        <v>11300</v>
      </c>
      <c r="U251" s="384">
        <f t="shared" si="224"/>
        <v>5800</v>
      </c>
      <c r="V251" s="384">
        <f t="shared" si="224"/>
        <v>0</v>
      </c>
      <c r="W251" s="449"/>
      <c r="X251" s="386">
        <f t="shared" ref="X251:Z251" si="225">SUM(X252:X255)</f>
        <v>11300</v>
      </c>
      <c r="Y251" s="386">
        <f t="shared" si="225"/>
        <v>5800</v>
      </c>
      <c r="Z251" s="386">
        <f t="shared" si="225"/>
        <v>0</v>
      </c>
      <c r="AA251" s="5"/>
      <c r="AB251" s="384">
        <f t="shared" ref="AB251:AK251" si="226">SUM(AB252:AB255)</f>
        <v>0</v>
      </c>
      <c r="AC251" s="384">
        <f t="shared" si="226"/>
        <v>0</v>
      </c>
      <c r="AD251" s="384">
        <f t="shared" si="226"/>
        <v>4</v>
      </c>
      <c r="AE251" s="384">
        <f t="shared" si="226"/>
        <v>16385</v>
      </c>
      <c r="AF251" s="384">
        <f t="shared" si="226"/>
        <v>0</v>
      </c>
      <c r="AG251" s="384">
        <f t="shared" si="226"/>
        <v>0</v>
      </c>
      <c r="AH251" s="384">
        <f t="shared" si="226"/>
        <v>0</v>
      </c>
      <c r="AI251" s="384">
        <f t="shared" si="226"/>
        <v>0</v>
      </c>
      <c r="AJ251" s="384">
        <f t="shared" si="226"/>
        <v>0</v>
      </c>
      <c r="AK251" s="384">
        <f t="shared" si="226"/>
        <v>0</v>
      </c>
      <c r="AL251" s="384">
        <f>SUM(AL252:AL255)</f>
        <v>0</v>
      </c>
      <c r="AM251" s="384">
        <f>SUM(AM252:AM255)</f>
        <v>0</v>
      </c>
      <c r="AN251" s="384">
        <f>SUM(AN252:AN255)</f>
        <v>0</v>
      </c>
      <c r="AO251" s="384">
        <f>SUM(AO252:AO255)</f>
        <v>0</v>
      </c>
    </row>
    <row r="252" spans="1:41" s="25" customFormat="1" ht="36" customHeight="1">
      <c r="A252" s="78">
        <v>1</v>
      </c>
      <c r="B252" s="214" t="s">
        <v>1279</v>
      </c>
      <c r="C252" s="94" t="s">
        <v>143</v>
      </c>
      <c r="D252" s="19" t="s">
        <v>37</v>
      </c>
      <c r="E252" s="95" t="s">
        <v>692</v>
      </c>
      <c r="F252" s="19" t="s">
        <v>693</v>
      </c>
      <c r="G252" s="355">
        <v>14384</v>
      </c>
      <c r="H252" s="355">
        <v>14384</v>
      </c>
      <c r="I252" s="23">
        <f t="shared" ref="I252:I255" si="227">+J252</f>
        <v>8523</v>
      </c>
      <c r="J252" s="23">
        <v>8523</v>
      </c>
      <c r="K252" s="175"/>
      <c r="L252" s="23"/>
      <c r="M252" s="175">
        <v>5449</v>
      </c>
      <c r="N252" s="175">
        <v>5449</v>
      </c>
      <c r="O252" s="23">
        <f t="shared" ref="O252" si="228">+P252</f>
        <v>8523</v>
      </c>
      <c r="P252" s="23">
        <v>8523</v>
      </c>
      <c r="Q252" s="23">
        <v>5809</v>
      </c>
      <c r="R252" s="23">
        <v>5809</v>
      </c>
      <c r="S252" s="23"/>
      <c r="T252" s="175"/>
      <c r="U252" s="175"/>
      <c r="V252" s="23"/>
      <c r="W252" s="24"/>
      <c r="X252" s="428"/>
      <c r="Y252" s="428"/>
      <c r="Z252" s="371"/>
      <c r="AA252" s="5"/>
      <c r="AD252" s="25">
        <v>1</v>
      </c>
      <c r="AE252" s="175">
        <v>5809</v>
      </c>
    </row>
    <row r="253" spans="1:41" s="25" customFormat="1" ht="36" customHeight="1">
      <c r="A253" s="78">
        <v>2</v>
      </c>
      <c r="B253" s="452" t="s">
        <v>694</v>
      </c>
      <c r="C253" s="94" t="s">
        <v>60</v>
      </c>
      <c r="D253" s="19" t="s">
        <v>37</v>
      </c>
      <c r="E253" s="95" t="s">
        <v>692</v>
      </c>
      <c r="F253" s="19" t="s">
        <v>696</v>
      </c>
      <c r="G253" s="355">
        <v>10227</v>
      </c>
      <c r="H253" s="355">
        <v>10227</v>
      </c>
      <c r="I253" s="23">
        <f t="shared" si="227"/>
        <v>3478</v>
      </c>
      <c r="J253" s="23">
        <v>3478</v>
      </c>
      <c r="K253" s="175">
        <f>L253</f>
        <v>107</v>
      </c>
      <c r="L253" s="23">
        <v>107</v>
      </c>
      <c r="M253" s="23">
        <f>2402+107</f>
        <v>2509</v>
      </c>
      <c r="N253" s="23">
        <f>2402+107</f>
        <v>2509</v>
      </c>
      <c r="O253" s="175">
        <f>3255+I253</f>
        <v>6733</v>
      </c>
      <c r="P253" s="175">
        <f>3255+J253</f>
        <v>6733</v>
      </c>
      <c r="Q253" s="23">
        <f>G253-3255</f>
        <v>6972</v>
      </c>
      <c r="R253" s="23">
        <v>6972</v>
      </c>
      <c r="S253" s="23"/>
      <c r="T253" s="175"/>
      <c r="U253" s="175"/>
      <c r="V253" s="23"/>
      <c r="W253" s="24"/>
      <c r="X253" s="428"/>
      <c r="Y253" s="428"/>
      <c r="Z253" s="371"/>
      <c r="AA253" s="5"/>
      <c r="AD253" s="25">
        <v>1</v>
      </c>
      <c r="AE253" s="175">
        <v>2878</v>
      </c>
    </row>
    <row r="254" spans="1:41" s="25" customFormat="1" ht="36" customHeight="1">
      <c r="A254" s="78">
        <v>3</v>
      </c>
      <c r="B254" s="214" t="s">
        <v>697</v>
      </c>
      <c r="C254" s="198" t="s">
        <v>112</v>
      </c>
      <c r="D254" s="19" t="s">
        <v>698</v>
      </c>
      <c r="E254" s="95" t="s">
        <v>699</v>
      </c>
      <c r="F254" s="19" t="s">
        <v>700</v>
      </c>
      <c r="G254" s="355">
        <v>9063</v>
      </c>
      <c r="H254" s="355">
        <v>5537</v>
      </c>
      <c r="I254" s="23">
        <f t="shared" si="227"/>
        <v>2035</v>
      </c>
      <c r="J254" s="23">
        <v>2035</v>
      </c>
      <c r="K254" s="23"/>
      <c r="L254" s="23"/>
      <c r="M254" s="175">
        <f>N254+61</f>
        <v>982</v>
      </c>
      <c r="N254" s="175">
        <v>921</v>
      </c>
      <c r="O254" s="175">
        <f>P254+153</f>
        <v>2188</v>
      </c>
      <c r="P254" s="175">
        <v>2035</v>
      </c>
      <c r="Q254" s="23">
        <v>9063</v>
      </c>
      <c r="R254" s="23">
        <v>5537</v>
      </c>
      <c r="S254" s="23"/>
      <c r="T254" s="175">
        <v>6800</v>
      </c>
      <c r="U254" s="175">
        <v>3500</v>
      </c>
      <c r="V254" s="23"/>
      <c r="W254" s="24"/>
      <c r="X254" s="428">
        <v>6800</v>
      </c>
      <c r="Y254" s="428">
        <v>3500</v>
      </c>
      <c r="Z254" s="371"/>
      <c r="AA254" s="5"/>
      <c r="AD254" s="25">
        <v>1</v>
      </c>
      <c r="AE254" s="175">
        <v>3910</v>
      </c>
    </row>
    <row r="255" spans="1:41" s="25" customFormat="1" ht="36" customHeight="1">
      <c r="A255" s="78">
        <v>4</v>
      </c>
      <c r="B255" s="214" t="s">
        <v>701</v>
      </c>
      <c r="C255" s="94" t="s">
        <v>260</v>
      </c>
      <c r="D255" s="19" t="s">
        <v>698</v>
      </c>
      <c r="E255" s="95" t="s">
        <v>699</v>
      </c>
      <c r="F255" s="19" t="s">
        <v>702</v>
      </c>
      <c r="G255" s="355">
        <v>6434</v>
      </c>
      <c r="H255" s="355">
        <v>3788</v>
      </c>
      <c r="I255" s="23">
        <f t="shared" si="227"/>
        <v>1405</v>
      </c>
      <c r="J255" s="23">
        <v>1405</v>
      </c>
      <c r="K255" s="23"/>
      <c r="L255" s="23"/>
      <c r="M255" s="175">
        <f>N255+473</f>
        <v>1148</v>
      </c>
      <c r="N255" s="175">
        <v>675</v>
      </c>
      <c r="O255" s="175">
        <f>P255+500</f>
        <v>1905</v>
      </c>
      <c r="P255" s="23">
        <v>1405</v>
      </c>
      <c r="Q255" s="23">
        <v>6434</v>
      </c>
      <c r="R255" s="23">
        <v>3788</v>
      </c>
      <c r="S255" s="23"/>
      <c r="T255" s="175">
        <v>4500</v>
      </c>
      <c r="U255" s="175">
        <v>2300</v>
      </c>
      <c r="V255" s="23"/>
      <c r="W255" s="24"/>
      <c r="X255" s="428">
        <v>4500</v>
      </c>
      <c r="Y255" s="428">
        <v>2300</v>
      </c>
      <c r="Z255" s="371"/>
      <c r="AA255" s="5"/>
      <c r="AD255" s="25">
        <v>1</v>
      </c>
      <c r="AE255" s="175">
        <v>3788</v>
      </c>
    </row>
    <row r="256" spans="1:41" s="25" customFormat="1" ht="36" customHeight="1">
      <c r="A256" s="64" t="s">
        <v>150</v>
      </c>
      <c r="B256" s="213" t="s">
        <v>632</v>
      </c>
      <c r="C256" s="198"/>
      <c r="D256" s="19"/>
      <c r="E256" s="95"/>
      <c r="F256" s="19"/>
      <c r="G256" s="441">
        <f>SUM(G260,G257)</f>
        <v>434754</v>
      </c>
      <c r="H256" s="441">
        <f t="shared" ref="H256:V256" si="229">SUM(H260,H257)</f>
        <v>298504</v>
      </c>
      <c r="I256" s="441">
        <f t="shared" si="229"/>
        <v>2106</v>
      </c>
      <c r="J256" s="441">
        <f t="shared" si="229"/>
        <v>2106</v>
      </c>
      <c r="K256" s="441">
        <f t="shared" si="229"/>
        <v>200</v>
      </c>
      <c r="L256" s="441">
        <f t="shared" si="229"/>
        <v>200</v>
      </c>
      <c r="M256" s="441">
        <f t="shared" si="229"/>
        <v>275</v>
      </c>
      <c r="N256" s="441">
        <f t="shared" si="229"/>
        <v>175</v>
      </c>
      <c r="O256" s="441">
        <f t="shared" si="229"/>
        <v>2306</v>
      </c>
      <c r="P256" s="441">
        <f t="shared" si="229"/>
        <v>2306</v>
      </c>
      <c r="Q256" s="441">
        <f t="shared" si="229"/>
        <v>434754</v>
      </c>
      <c r="R256" s="441">
        <f t="shared" si="229"/>
        <v>298504</v>
      </c>
      <c r="S256" s="441">
        <f t="shared" si="229"/>
        <v>0</v>
      </c>
      <c r="T256" s="441">
        <f t="shared" si="229"/>
        <v>71000</v>
      </c>
      <c r="U256" s="441">
        <f t="shared" si="229"/>
        <v>61000</v>
      </c>
      <c r="V256" s="441">
        <f t="shared" si="229"/>
        <v>0</v>
      </c>
      <c r="W256" s="24"/>
      <c r="X256" s="442">
        <f t="shared" ref="X256:Z256" si="230">SUM(X260,X257)</f>
        <v>71000</v>
      </c>
      <c r="Y256" s="442">
        <f t="shared" si="230"/>
        <v>61000</v>
      </c>
      <c r="Z256" s="442">
        <f t="shared" si="230"/>
        <v>0</v>
      </c>
      <c r="AA256" s="5"/>
      <c r="AB256" s="441">
        <f t="shared" ref="AB256:AK256" si="231">SUM(AB260,AB257)</f>
        <v>0</v>
      </c>
      <c r="AC256" s="441">
        <f t="shared" si="231"/>
        <v>0</v>
      </c>
      <c r="AD256" s="441">
        <f t="shared" si="231"/>
        <v>0</v>
      </c>
      <c r="AE256" s="441">
        <f t="shared" si="231"/>
        <v>0</v>
      </c>
      <c r="AF256" s="441">
        <f t="shared" si="231"/>
        <v>0</v>
      </c>
      <c r="AG256" s="441">
        <f t="shared" si="231"/>
        <v>0</v>
      </c>
      <c r="AH256" s="441">
        <f t="shared" si="231"/>
        <v>0</v>
      </c>
      <c r="AI256" s="441">
        <f t="shared" si="231"/>
        <v>0</v>
      </c>
      <c r="AJ256" s="441">
        <f t="shared" si="231"/>
        <v>0</v>
      </c>
      <c r="AK256" s="441">
        <f t="shared" si="231"/>
        <v>0</v>
      </c>
      <c r="AL256" s="441">
        <f>SUM(AL260,AL257)</f>
        <v>8</v>
      </c>
      <c r="AM256" s="441">
        <f>SUM(AM260,AM257)</f>
        <v>69300</v>
      </c>
      <c r="AN256" s="441">
        <f>SUM(AN260,AN257)</f>
        <v>0</v>
      </c>
      <c r="AO256" s="441">
        <f>SUM(AO260,AO257)</f>
        <v>0</v>
      </c>
    </row>
    <row r="257" spans="1:41" s="375" customFormat="1" ht="15.75">
      <c r="A257" s="26" t="s">
        <v>273</v>
      </c>
      <c r="B257" s="27" t="s">
        <v>35</v>
      </c>
      <c r="C257" s="135"/>
      <c r="D257" s="135"/>
      <c r="E257" s="136"/>
      <c r="F257" s="135"/>
      <c r="G257" s="384">
        <f>SUM(G258:G259)</f>
        <v>174748</v>
      </c>
      <c r="H257" s="384">
        <f t="shared" ref="H257:V257" si="232">SUM(H258:H259)</f>
        <v>111293</v>
      </c>
      <c r="I257" s="384">
        <f t="shared" si="232"/>
        <v>225</v>
      </c>
      <c r="J257" s="384">
        <f t="shared" si="232"/>
        <v>225</v>
      </c>
      <c r="K257" s="384">
        <f t="shared" si="232"/>
        <v>0</v>
      </c>
      <c r="L257" s="384">
        <f t="shared" si="232"/>
        <v>0</v>
      </c>
      <c r="M257" s="384">
        <f t="shared" si="232"/>
        <v>100</v>
      </c>
      <c r="N257" s="384">
        <f t="shared" si="232"/>
        <v>0</v>
      </c>
      <c r="O257" s="384">
        <f t="shared" si="232"/>
        <v>225</v>
      </c>
      <c r="P257" s="384">
        <f t="shared" si="232"/>
        <v>225</v>
      </c>
      <c r="Q257" s="384">
        <f t="shared" si="232"/>
        <v>174748</v>
      </c>
      <c r="R257" s="384">
        <f t="shared" si="232"/>
        <v>111293</v>
      </c>
      <c r="S257" s="384">
        <f t="shared" si="232"/>
        <v>0</v>
      </c>
      <c r="T257" s="384">
        <f t="shared" si="232"/>
        <v>20000</v>
      </c>
      <c r="U257" s="384">
        <f t="shared" si="232"/>
        <v>20000</v>
      </c>
      <c r="V257" s="384">
        <f t="shared" si="232"/>
        <v>0</v>
      </c>
      <c r="W257" s="449"/>
      <c r="X257" s="386">
        <f t="shared" ref="X257:Z257" si="233">SUM(X258:X259)</f>
        <v>20000</v>
      </c>
      <c r="Y257" s="386">
        <f t="shared" si="233"/>
        <v>20000</v>
      </c>
      <c r="Z257" s="386">
        <f t="shared" si="233"/>
        <v>0</v>
      </c>
      <c r="AA257" s="5"/>
      <c r="AB257" s="384">
        <f t="shared" ref="AB257:AK257" si="234">SUM(AB258:AB259)</f>
        <v>0</v>
      </c>
      <c r="AC257" s="384">
        <f t="shared" si="234"/>
        <v>0</v>
      </c>
      <c r="AD257" s="384">
        <f t="shared" si="234"/>
        <v>0</v>
      </c>
      <c r="AE257" s="384">
        <f t="shared" si="234"/>
        <v>0</v>
      </c>
      <c r="AF257" s="384">
        <f t="shared" si="234"/>
        <v>0</v>
      </c>
      <c r="AG257" s="384">
        <f t="shared" si="234"/>
        <v>0</v>
      </c>
      <c r="AH257" s="384">
        <f t="shared" si="234"/>
        <v>0</v>
      </c>
      <c r="AI257" s="384">
        <f t="shared" si="234"/>
        <v>0</v>
      </c>
      <c r="AJ257" s="384">
        <f t="shared" si="234"/>
        <v>0</v>
      </c>
      <c r="AK257" s="384">
        <f t="shared" si="234"/>
        <v>0</v>
      </c>
      <c r="AL257" s="384">
        <f>SUM(AL258:AL259)</f>
        <v>2</v>
      </c>
      <c r="AM257" s="384">
        <f>SUM(AM258:AM259)</f>
        <v>20000</v>
      </c>
      <c r="AN257" s="384">
        <f>SUM(AN258:AN259)</f>
        <v>0</v>
      </c>
      <c r="AO257" s="384">
        <f>SUM(AO258:AO259)</f>
        <v>0</v>
      </c>
    </row>
    <row r="258" spans="1:41" s="25" customFormat="1" ht="31.5">
      <c r="A258" s="78">
        <v>1</v>
      </c>
      <c r="B258" s="212" t="s">
        <v>703</v>
      </c>
      <c r="C258" s="94" t="s">
        <v>29</v>
      </c>
      <c r="D258" s="19" t="s">
        <v>704</v>
      </c>
      <c r="E258" s="95" t="s">
        <v>645</v>
      </c>
      <c r="F258" s="19" t="s">
        <v>705</v>
      </c>
      <c r="G258" s="355">
        <v>48293</v>
      </c>
      <c r="H258" s="355">
        <v>48293</v>
      </c>
      <c r="I258" s="23">
        <f>+J258</f>
        <v>225</v>
      </c>
      <c r="J258" s="23">
        <v>225</v>
      </c>
      <c r="K258" s="23"/>
      <c r="L258" s="23"/>
      <c r="M258" s="175">
        <v>100</v>
      </c>
      <c r="N258" s="23"/>
      <c r="O258" s="23">
        <v>225</v>
      </c>
      <c r="P258" s="23">
        <v>225</v>
      </c>
      <c r="Q258" s="23">
        <v>48293</v>
      </c>
      <c r="R258" s="23">
        <v>48293</v>
      </c>
      <c r="S258" s="23"/>
      <c r="T258" s="175">
        <v>10000</v>
      </c>
      <c r="U258" s="175">
        <v>10000</v>
      </c>
      <c r="V258" s="23"/>
      <c r="W258" s="24"/>
      <c r="X258" s="428">
        <v>10000</v>
      </c>
      <c r="Y258" s="428">
        <v>10000</v>
      </c>
      <c r="Z258" s="371"/>
      <c r="AA258" s="5"/>
      <c r="AL258" s="25">
        <v>1</v>
      </c>
      <c r="AM258" s="175">
        <v>10000</v>
      </c>
    </row>
    <row r="259" spans="1:41" s="25" customFormat="1" ht="30">
      <c r="A259" s="78">
        <v>2</v>
      </c>
      <c r="B259" s="212" t="s">
        <v>706</v>
      </c>
      <c r="C259" s="94" t="s">
        <v>43</v>
      </c>
      <c r="D259" s="19" t="s">
        <v>708</v>
      </c>
      <c r="E259" s="95" t="s">
        <v>709</v>
      </c>
      <c r="F259" s="19" t="s">
        <v>710</v>
      </c>
      <c r="G259" s="355">
        <v>126455</v>
      </c>
      <c r="H259" s="355">
        <v>63000</v>
      </c>
      <c r="I259" s="23">
        <v>0</v>
      </c>
      <c r="J259" s="23">
        <v>0</v>
      </c>
      <c r="K259" s="23">
        <v>0</v>
      </c>
      <c r="L259" s="23">
        <v>0</v>
      </c>
      <c r="M259" s="175">
        <v>0</v>
      </c>
      <c r="N259" s="23">
        <v>0</v>
      </c>
      <c r="O259" s="23">
        <v>0</v>
      </c>
      <c r="P259" s="23">
        <v>0</v>
      </c>
      <c r="Q259" s="355">
        <v>126455</v>
      </c>
      <c r="R259" s="355">
        <v>63000</v>
      </c>
      <c r="S259" s="23"/>
      <c r="T259" s="175">
        <v>10000</v>
      </c>
      <c r="U259" s="175">
        <v>10000</v>
      </c>
      <c r="V259" s="23"/>
      <c r="W259" s="24"/>
      <c r="X259" s="428">
        <v>10000</v>
      </c>
      <c r="Y259" s="428">
        <v>10000</v>
      </c>
      <c r="Z259" s="371"/>
      <c r="AA259" s="5"/>
      <c r="AL259" s="25">
        <v>1</v>
      </c>
      <c r="AM259" s="175">
        <v>10000</v>
      </c>
    </row>
    <row r="260" spans="1:41" s="375" customFormat="1" ht="15.75">
      <c r="A260" s="26" t="s">
        <v>273</v>
      </c>
      <c r="B260" s="27" t="s">
        <v>48</v>
      </c>
      <c r="C260" s="135"/>
      <c r="D260" s="135"/>
      <c r="E260" s="136"/>
      <c r="F260" s="135"/>
      <c r="G260" s="384">
        <f>SUM(G261:G265,G269)</f>
        <v>260006</v>
      </c>
      <c r="H260" s="384">
        <f t="shared" ref="H260:V260" si="235">SUM(H261:H265,H269)</f>
        <v>187211</v>
      </c>
      <c r="I260" s="384">
        <f t="shared" si="235"/>
        <v>1881</v>
      </c>
      <c r="J260" s="384">
        <f t="shared" si="235"/>
        <v>1881</v>
      </c>
      <c r="K260" s="384">
        <f t="shared" si="235"/>
        <v>200</v>
      </c>
      <c r="L260" s="384">
        <f t="shared" si="235"/>
        <v>200</v>
      </c>
      <c r="M260" s="384">
        <f t="shared" si="235"/>
        <v>175</v>
      </c>
      <c r="N260" s="384">
        <f t="shared" si="235"/>
        <v>175</v>
      </c>
      <c r="O260" s="384">
        <f t="shared" si="235"/>
        <v>2081</v>
      </c>
      <c r="P260" s="384">
        <f t="shared" si="235"/>
        <v>2081</v>
      </c>
      <c r="Q260" s="384">
        <f t="shared" si="235"/>
        <v>260006</v>
      </c>
      <c r="R260" s="384">
        <f t="shared" si="235"/>
        <v>187211</v>
      </c>
      <c r="S260" s="384">
        <f t="shared" si="235"/>
        <v>0</v>
      </c>
      <c r="T260" s="384">
        <f t="shared" si="235"/>
        <v>51000</v>
      </c>
      <c r="U260" s="384">
        <f t="shared" si="235"/>
        <v>41000</v>
      </c>
      <c r="V260" s="384">
        <f t="shared" si="235"/>
        <v>0</v>
      </c>
      <c r="W260" s="449"/>
      <c r="X260" s="386">
        <f t="shared" ref="X260:Z260" si="236">SUM(X261:X265,X269)</f>
        <v>51000</v>
      </c>
      <c r="Y260" s="386">
        <f t="shared" si="236"/>
        <v>41000</v>
      </c>
      <c r="Z260" s="386">
        <f t="shared" si="236"/>
        <v>0</v>
      </c>
      <c r="AA260" s="5"/>
      <c r="AB260" s="384">
        <f t="shared" ref="AB260:AO260" si="237">SUM(AB261:AB265,AB269:AB269)</f>
        <v>0</v>
      </c>
      <c r="AC260" s="384">
        <f t="shared" si="237"/>
        <v>0</v>
      </c>
      <c r="AD260" s="384">
        <f t="shared" si="237"/>
        <v>0</v>
      </c>
      <c r="AE260" s="384">
        <f t="shared" si="237"/>
        <v>0</v>
      </c>
      <c r="AF260" s="384">
        <f t="shared" si="237"/>
        <v>0</v>
      </c>
      <c r="AG260" s="384">
        <f t="shared" si="237"/>
        <v>0</v>
      </c>
      <c r="AH260" s="384">
        <f t="shared" si="237"/>
        <v>0</v>
      </c>
      <c r="AI260" s="384">
        <f t="shared" si="237"/>
        <v>0</v>
      </c>
      <c r="AJ260" s="384">
        <f t="shared" si="237"/>
        <v>0</v>
      </c>
      <c r="AK260" s="384">
        <f t="shared" si="237"/>
        <v>0</v>
      </c>
      <c r="AL260" s="384">
        <f t="shared" si="237"/>
        <v>6</v>
      </c>
      <c r="AM260" s="384">
        <f t="shared" si="237"/>
        <v>49300</v>
      </c>
      <c r="AN260" s="384">
        <f t="shared" si="237"/>
        <v>0</v>
      </c>
      <c r="AO260" s="384">
        <f t="shared" si="237"/>
        <v>0</v>
      </c>
    </row>
    <row r="261" spans="1:41" s="25" customFormat="1" ht="47.25">
      <c r="A261" s="78">
        <v>1</v>
      </c>
      <c r="B261" s="212" t="s">
        <v>713</v>
      </c>
      <c r="C261" s="94" t="s">
        <v>29</v>
      </c>
      <c r="D261" s="19" t="s">
        <v>714</v>
      </c>
      <c r="E261" s="95" t="s">
        <v>715</v>
      </c>
      <c r="F261" s="19" t="s">
        <v>716</v>
      </c>
      <c r="G261" s="355">
        <v>13995</v>
      </c>
      <c r="H261" s="355">
        <v>13995</v>
      </c>
      <c r="I261" s="23">
        <f t="shared" ref="I261:I264" si="238">+J261</f>
        <v>81</v>
      </c>
      <c r="J261" s="23">
        <v>81</v>
      </c>
      <c r="K261" s="175">
        <v>200</v>
      </c>
      <c r="L261" s="175">
        <v>200</v>
      </c>
      <c r="M261" s="23">
        <v>81</v>
      </c>
      <c r="N261" s="23">
        <v>81</v>
      </c>
      <c r="O261" s="23">
        <v>281</v>
      </c>
      <c r="P261" s="23">
        <v>281</v>
      </c>
      <c r="Q261" s="23">
        <v>13995</v>
      </c>
      <c r="R261" s="23">
        <v>13995</v>
      </c>
      <c r="S261" s="23"/>
      <c r="T261" s="23">
        <v>5000</v>
      </c>
      <c r="U261" s="23">
        <v>5000</v>
      </c>
      <c r="V261" s="23"/>
      <c r="W261" s="24"/>
      <c r="X261" s="371">
        <v>5000</v>
      </c>
      <c r="Y261" s="371">
        <v>5000</v>
      </c>
      <c r="Z261" s="371"/>
      <c r="AA261" s="5"/>
      <c r="AL261" s="25">
        <v>1</v>
      </c>
      <c r="AM261" s="23">
        <v>7300</v>
      </c>
    </row>
    <row r="262" spans="1:41" s="25" customFormat="1" ht="30">
      <c r="A262" s="78">
        <v>2</v>
      </c>
      <c r="B262" s="212" t="s">
        <v>717</v>
      </c>
      <c r="C262" s="94" t="s">
        <v>718</v>
      </c>
      <c r="D262" s="19" t="s">
        <v>719</v>
      </c>
      <c r="E262" s="453" t="s">
        <v>30</v>
      </c>
      <c r="F262" s="19" t="s">
        <v>720</v>
      </c>
      <c r="G262" s="23">
        <v>13714</v>
      </c>
      <c r="H262" s="23">
        <v>5927</v>
      </c>
      <c r="I262" s="23">
        <f t="shared" si="238"/>
        <v>0</v>
      </c>
      <c r="J262" s="23"/>
      <c r="K262" s="23"/>
      <c r="L262" s="23"/>
      <c r="M262" s="175"/>
      <c r="N262" s="23"/>
      <c r="O262" s="175"/>
      <c r="P262" s="23"/>
      <c r="Q262" s="23">
        <v>13714</v>
      </c>
      <c r="R262" s="23">
        <v>5927</v>
      </c>
      <c r="S262" s="23"/>
      <c r="T262" s="175">
        <v>5000</v>
      </c>
      <c r="U262" s="175">
        <v>3000</v>
      </c>
      <c r="V262" s="23"/>
      <c r="W262" s="24"/>
      <c r="X262" s="428">
        <v>5000</v>
      </c>
      <c r="Y262" s="428">
        <v>3000</v>
      </c>
      <c r="Z262" s="371"/>
      <c r="AA262" s="5"/>
      <c r="AL262" s="25">
        <v>1</v>
      </c>
      <c r="AM262" s="175">
        <v>3000</v>
      </c>
    </row>
    <row r="263" spans="1:41" s="25" customFormat="1" ht="60">
      <c r="A263" s="78">
        <v>3</v>
      </c>
      <c r="B263" s="212" t="s">
        <v>721</v>
      </c>
      <c r="C263" s="94" t="s">
        <v>29</v>
      </c>
      <c r="D263" s="19" t="s">
        <v>722</v>
      </c>
      <c r="E263" s="95" t="s">
        <v>645</v>
      </c>
      <c r="F263" s="19" t="s">
        <v>1280</v>
      </c>
      <c r="G263" s="355">
        <v>19343</v>
      </c>
      <c r="H263" s="355">
        <v>19343</v>
      </c>
      <c r="I263" s="23">
        <f t="shared" si="238"/>
        <v>1500</v>
      </c>
      <c r="J263" s="23">
        <v>1500</v>
      </c>
      <c r="K263" s="23"/>
      <c r="L263" s="23"/>
      <c r="M263" s="175">
        <v>94</v>
      </c>
      <c r="N263" s="175">
        <v>94</v>
      </c>
      <c r="O263" s="175">
        <v>1500</v>
      </c>
      <c r="P263" s="175">
        <v>1500</v>
      </c>
      <c r="Q263" s="23">
        <v>19343</v>
      </c>
      <c r="R263" s="23">
        <v>19343</v>
      </c>
      <c r="S263" s="23"/>
      <c r="T263" s="175">
        <v>7000</v>
      </c>
      <c r="U263" s="175">
        <v>7000</v>
      </c>
      <c r="V263" s="23"/>
      <c r="W263" s="24"/>
      <c r="X263" s="428">
        <v>7000</v>
      </c>
      <c r="Y263" s="428">
        <v>7000</v>
      </c>
      <c r="Z263" s="371"/>
      <c r="AA263" s="5"/>
      <c r="AL263" s="25">
        <v>1</v>
      </c>
      <c r="AM263" s="175">
        <v>9500</v>
      </c>
    </row>
    <row r="264" spans="1:41" s="25" customFormat="1" ht="36" customHeight="1">
      <c r="A264" s="78">
        <v>4</v>
      </c>
      <c r="B264" s="212" t="s">
        <v>724</v>
      </c>
      <c r="C264" s="94" t="s">
        <v>112</v>
      </c>
      <c r="D264" s="101" t="s">
        <v>725</v>
      </c>
      <c r="E264" s="95" t="s">
        <v>645</v>
      </c>
      <c r="F264" s="19" t="s">
        <v>726</v>
      </c>
      <c r="G264" s="175">
        <v>39732</v>
      </c>
      <c r="H264" s="175">
        <v>31036</v>
      </c>
      <c r="I264" s="23">
        <f t="shared" si="238"/>
        <v>0</v>
      </c>
      <c r="J264" s="23"/>
      <c r="K264" s="23"/>
      <c r="L264" s="23"/>
      <c r="M264" s="23"/>
      <c r="N264" s="23"/>
      <c r="O264" s="23"/>
      <c r="P264" s="23"/>
      <c r="Q264" s="175">
        <v>39732</v>
      </c>
      <c r="R264" s="175">
        <v>31036</v>
      </c>
      <c r="S264" s="23"/>
      <c r="T264" s="175">
        <v>14000</v>
      </c>
      <c r="U264" s="175">
        <v>10000</v>
      </c>
      <c r="V264" s="23"/>
      <c r="W264" s="24"/>
      <c r="X264" s="428">
        <v>14000</v>
      </c>
      <c r="Y264" s="428">
        <v>10000</v>
      </c>
      <c r="Z264" s="371"/>
      <c r="AA264" s="5"/>
      <c r="AL264" s="25">
        <v>1</v>
      </c>
      <c r="AM264" s="175">
        <v>10000</v>
      </c>
    </row>
    <row r="265" spans="1:41" s="25" customFormat="1" ht="15.75">
      <c r="A265" s="78">
        <v>5</v>
      </c>
      <c r="B265" s="212" t="s">
        <v>1281</v>
      </c>
      <c r="C265" s="94"/>
      <c r="D265" s="101"/>
      <c r="E265" s="95"/>
      <c r="F265" s="101"/>
      <c r="G265" s="175">
        <f>SUM(G266:G268)</f>
        <v>118188</v>
      </c>
      <c r="H265" s="175">
        <f t="shared" ref="H265:U265" si="239">SUM(H266:H268)</f>
        <v>112410</v>
      </c>
      <c r="I265" s="175">
        <f t="shared" si="239"/>
        <v>300</v>
      </c>
      <c r="J265" s="175">
        <f t="shared" si="239"/>
        <v>300</v>
      </c>
      <c r="K265" s="175">
        <f t="shared" si="239"/>
        <v>0</v>
      </c>
      <c r="L265" s="175">
        <f t="shared" si="239"/>
        <v>0</v>
      </c>
      <c r="M265" s="175">
        <f t="shared" si="239"/>
        <v>0</v>
      </c>
      <c r="N265" s="175">
        <f t="shared" si="239"/>
        <v>0</v>
      </c>
      <c r="O265" s="175">
        <f t="shared" si="239"/>
        <v>300</v>
      </c>
      <c r="P265" s="175">
        <f t="shared" si="239"/>
        <v>300</v>
      </c>
      <c r="Q265" s="175">
        <f t="shared" si="239"/>
        <v>118188</v>
      </c>
      <c r="R265" s="175">
        <f t="shared" si="239"/>
        <v>112410</v>
      </c>
      <c r="S265" s="175">
        <f t="shared" si="239"/>
        <v>0</v>
      </c>
      <c r="T265" s="175">
        <f t="shared" si="239"/>
        <v>18000</v>
      </c>
      <c r="U265" s="175">
        <f t="shared" si="239"/>
        <v>15000</v>
      </c>
      <c r="V265" s="175"/>
      <c r="W265" s="24"/>
      <c r="X265" s="428">
        <f t="shared" ref="X265:Y265" si="240">SUM(X266:X268)</f>
        <v>18000</v>
      </c>
      <c r="Y265" s="428">
        <f t="shared" si="240"/>
        <v>15000</v>
      </c>
      <c r="Z265" s="428"/>
      <c r="AA265" s="5"/>
      <c r="AL265" s="25">
        <v>1</v>
      </c>
      <c r="AM265" s="175">
        <f t="shared" ref="AM265" si="241">SUM(AM266:AM268)</f>
        <v>15000</v>
      </c>
    </row>
    <row r="266" spans="1:41" s="25" customFormat="1" ht="51">
      <c r="A266" s="78"/>
      <c r="B266" s="212" t="s">
        <v>1282</v>
      </c>
      <c r="C266" s="94" t="s">
        <v>143</v>
      </c>
      <c r="D266" s="101"/>
      <c r="E266" s="95"/>
      <c r="F266" s="454"/>
      <c r="G266" s="23">
        <v>37470</v>
      </c>
      <c r="H266" s="23">
        <v>37470</v>
      </c>
      <c r="I266" s="23">
        <f t="shared" ref="I266:I267" si="242">+J266</f>
        <v>100</v>
      </c>
      <c r="J266" s="23">
        <v>100</v>
      </c>
      <c r="K266" s="23"/>
      <c r="L266" s="23"/>
      <c r="M266" s="23"/>
      <c r="N266" s="23"/>
      <c r="O266" s="23">
        <f t="shared" ref="O266" si="243">+P266</f>
        <v>100</v>
      </c>
      <c r="P266" s="23">
        <v>100</v>
      </c>
      <c r="Q266" s="23">
        <v>37470</v>
      </c>
      <c r="R266" s="23">
        <v>37470</v>
      </c>
      <c r="S266" s="23"/>
      <c r="T266" s="23">
        <v>6000</v>
      </c>
      <c r="U266" s="23">
        <v>5000</v>
      </c>
      <c r="V266" s="101"/>
      <c r="W266" s="100" t="s">
        <v>1085</v>
      </c>
      <c r="X266" s="371">
        <v>6000</v>
      </c>
      <c r="Y266" s="371">
        <v>5000</v>
      </c>
      <c r="Z266" s="455"/>
      <c r="AA266" s="5"/>
      <c r="AL266" s="25">
        <v>1</v>
      </c>
      <c r="AM266" s="23">
        <v>5000</v>
      </c>
    </row>
    <row r="267" spans="1:41" s="25" customFormat="1" ht="51">
      <c r="A267" s="78"/>
      <c r="B267" s="212" t="s">
        <v>1283</v>
      </c>
      <c r="C267" s="94" t="s">
        <v>66</v>
      </c>
      <c r="D267" s="101"/>
      <c r="E267" s="95"/>
      <c r="F267" s="454"/>
      <c r="G267" s="23">
        <v>38470</v>
      </c>
      <c r="H267" s="23">
        <v>37470</v>
      </c>
      <c r="I267" s="23">
        <f t="shared" si="242"/>
        <v>100</v>
      </c>
      <c r="J267" s="23">
        <v>100</v>
      </c>
      <c r="K267" s="23"/>
      <c r="L267" s="23"/>
      <c r="M267" s="23"/>
      <c r="N267" s="23"/>
      <c r="O267" s="23">
        <v>100</v>
      </c>
      <c r="P267" s="23">
        <v>100</v>
      </c>
      <c r="Q267" s="23">
        <v>38470</v>
      </c>
      <c r="R267" s="23">
        <v>37470</v>
      </c>
      <c r="S267" s="23"/>
      <c r="T267" s="23">
        <v>6000</v>
      </c>
      <c r="U267" s="23">
        <v>5000</v>
      </c>
      <c r="V267" s="101"/>
      <c r="W267" s="100" t="s">
        <v>1086</v>
      </c>
      <c r="X267" s="371">
        <v>6000</v>
      </c>
      <c r="Y267" s="371">
        <v>5000</v>
      </c>
      <c r="Z267" s="455"/>
      <c r="AA267" s="5"/>
      <c r="AL267" s="25">
        <v>1</v>
      </c>
      <c r="AM267" s="23">
        <v>5000</v>
      </c>
    </row>
    <row r="268" spans="1:41" s="25" customFormat="1" ht="51">
      <c r="A268" s="78"/>
      <c r="B268" s="212" t="s">
        <v>1284</v>
      </c>
      <c r="C268" s="94" t="s">
        <v>173</v>
      </c>
      <c r="D268" s="101"/>
      <c r="E268" s="95"/>
      <c r="F268" s="454"/>
      <c r="G268" s="23">
        <v>42248</v>
      </c>
      <c r="H268" s="23">
        <v>37470</v>
      </c>
      <c r="I268" s="23">
        <f>+J268</f>
        <v>100</v>
      </c>
      <c r="J268" s="23">
        <v>100</v>
      </c>
      <c r="K268" s="23"/>
      <c r="L268" s="23"/>
      <c r="M268" s="23"/>
      <c r="N268" s="23"/>
      <c r="O268" s="23">
        <v>100</v>
      </c>
      <c r="P268" s="23">
        <v>100</v>
      </c>
      <c r="Q268" s="23">
        <v>42248</v>
      </c>
      <c r="R268" s="23">
        <v>37470</v>
      </c>
      <c r="S268" s="23"/>
      <c r="T268" s="23">
        <v>6000</v>
      </c>
      <c r="U268" s="23">
        <v>5000</v>
      </c>
      <c r="V268" s="101"/>
      <c r="W268" s="100" t="s">
        <v>1087</v>
      </c>
      <c r="X268" s="371">
        <v>6000</v>
      </c>
      <c r="Y268" s="371">
        <v>5000</v>
      </c>
      <c r="Z268" s="455"/>
      <c r="AA268" s="5"/>
      <c r="AL268" s="25">
        <v>1</v>
      </c>
      <c r="AM268" s="23">
        <v>5000</v>
      </c>
    </row>
    <row r="269" spans="1:41" s="25" customFormat="1" ht="45">
      <c r="A269" s="78">
        <v>6</v>
      </c>
      <c r="B269" s="212" t="s">
        <v>734</v>
      </c>
      <c r="C269" s="94" t="s">
        <v>60</v>
      </c>
      <c r="D269" s="101" t="s">
        <v>735</v>
      </c>
      <c r="E269" s="95" t="s">
        <v>120</v>
      </c>
      <c r="F269" s="454"/>
      <c r="G269" s="175">
        <v>55034</v>
      </c>
      <c r="H269" s="175">
        <v>4500</v>
      </c>
      <c r="I269" s="23">
        <v>0</v>
      </c>
      <c r="J269" s="23">
        <v>0</v>
      </c>
      <c r="K269" s="23">
        <v>0</v>
      </c>
      <c r="L269" s="23">
        <v>0</v>
      </c>
      <c r="M269" s="23">
        <v>0</v>
      </c>
      <c r="N269" s="23">
        <v>0</v>
      </c>
      <c r="O269" s="23">
        <v>0</v>
      </c>
      <c r="P269" s="23">
        <v>0</v>
      </c>
      <c r="Q269" s="23">
        <v>55034</v>
      </c>
      <c r="R269" s="23">
        <v>4500</v>
      </c>
      <c r="S269" s="23"/>
      <c r="T269" s="175">
        <v>2000</v>
      </c>
      <c r="U269" s="175">
        <v>1000</v>
      </c>
      <c r="V269" s="101"/>
      <c r="W269" s="100" t="s">
        <v>1088</v>
      </c>
      <c r="X269" s="428">
        <v>2000</v>
      </c>
      <c r="Y269" s="428">
        <v>1000</v>
      </c>
      <c r="Z269" s="455"/>
      <c r="AA269" s="5"/>
      <c r="AL269" s="25">
        <v>1</v>
      </c>
      <c r="AM269" s="175">
        <v>4500</v>
      </c>
    </row>
    <row r="270" spans="1:41" s="25" customFormat="1" ht="15.75">
      <c r="A270" s="78"/>
      <c r="B270" s="212"/>
      <c r="C270" s="94"/>
      <c r="D270" s="101"/>
      <c r="E270" s="95"/>
      <c r="F270" s="101"/>
      <c r="G270" s="175"/>
      <c r="H270" s="175"/>
      <c r="I270" s="23"/>
      <c r="J270" s="23">
        <f>5500-J271</f>
        <v>0</v>
      </c>
      <c r="K270" s="23"/>
      <c r="L270" s="23"/>
      <c r="M270" s="23"/>
      <c r="N270" s="23"/>
      <c r="O270" s="23"/>
      <c r="P270" s="23"/>
      <c r="Q270" s="23"/>
      <c r="R270" s="23"/>
      <c r="S270" s="23"/>
      <c r="T270" s="175"/>
      <c r="U270" s="175"/>
      <c r="V270" s="23"/>
      <c r="W270" s="24"/>
      <c r="X270" s="428"/>
      <c r="Y270" s="428"/>
      <c r="Z270" s="371"/>
      <c r="AA270" s="5"/>
    </row>
    <row r="271" spans="1:41" s="208" customFormat="1" ht="27.75" customHeight="1">
      <c r="A271" s="147" t="s">
        <v>546</v>
      </c>
      <c r="B271" s="209" t="s">
        <v>1285</v>
      </c>
      <c r="C271" s="126"/>
      <c r="D271" s="126"/>
      <c r="E271" s="127"/>
      <c r="F271" s="126"/>
      <c r="G271" s="389">
        <f>G272+G274</f>
        <v>252266</v>
      </c>
      <c r="H271" s="389">
        <f t="shared" ref="H271:V271" si="244">H272+H274</f>
        <v>99641</v>
      </c>
      <c r="I271" s="389">
        <f t="shared" si="244"/>
        <v>23310</v>
      </c>
      <c r="J271" s="389">
        <f t="shared" si="244"/>
        <v>5500</v>
      </c>
      <c r="K271" s="389">
        <f t="shared" si="244"/>
        <v>0</v>
      </c>
      <c r="L271" s="389">
        <f t="shared" si="244"/>
        <v>0</v>
      </c>
      <c r="M271" s="389">
        <f t="shared" si="244"/>
        <v>3304</v>
      </c>
      <c r="N271" s="389">
        <f t="shared" si="244"/>
        <v>2317</v>
      </c>
      <c r="O271" s="389">
        <f t="shared" si="244"/>
        <v>33310</v>
      </c>
      <c r="P271" s="389">
        <f t="shared" si="244"/>
        <v>5500</v>
      </c>
      <c r="Q271" s="389">
        <f t="shared" si="244"/>
        <v>227225</v>
      </c>
      <c r="R271" s="389">
        <f t="shared" si="244"/>
        <v>99141</v>
      </c>
      <c r="S271" s="389">
        <f t="shared" si="244"/>
        <v>0</v>
      </c>
      <c r="T271" s="389">
        <f t="shared" si="244"/>
        <v>24000</v>
      </c>
      <c r="U271" s="389">
        <f t="shared" si="244"/>
        <v>12000</v>
      </c>
      <c r="V271" s="389">
        <f t="shared" si="244"/>
        <v>0</v>
      </c>
      <c r="W271" s="410"/>
      <c r="X271" s="364">
        <f t="shared" ref="X271:Z271" si="245">X272+X274</f>
        <v>24000</v>
      </c>
      <c r="Y271" s="364">
        <f t="shared" si="245"/>
        <v>12000</v>
      </c>
      <c r="Z271" s="364">
        <f t="shared" si="245"/>
        <v>0</v>
      </c>
      <c r="AA271" s="348">
        <f>+U271/(2704380-258412-300000)*100</f>
        <v>0.55918820783907308</v>
      </c>
      <c r="AB271" s="389">
        <f t="shared" ref="AB271:AK271" si="246">AB274</f>
        <v>0</v>
      </c>
      <c r="AC271" s="389">
        <f t="shared" si="246"/>
        <v>0</v>
      </c>
      <c r="AD271" s="389">
        <f t="shared" si="246"/>
        <v>1</v>
      </c>
      <c r="AE271" s="389">
        <f t="shared" si="246"/>
        <v>4000</v>
      </c>
      <c r="AF271" s="389">
        <f t="shared" si="246"/>
        <v>0</v>
      </c>
      <c r="AG271" s="389">
        <f t="shared" si="246"/>
        <v>0</v>
      </c>
      <c r="AH271" s="389">
        <f t="shared" si="246"/>
        <v>1</v>
      </c>
      <c r="AI271" s="389">
        <f t="shared" si="246"/>
        <v>7000</v>
      </c>
      <c r="AJ271" s="389">
        <f t="shared" si="246"/>
        <v>0</v>
      </c>
      <c r="AK271" s="389">
        <f t="shared" si="246"/>
        <v>0</v>
      </c>
      <c r="AL271" s="389">
        <f>AL274</f>
        <v>0</v>
      </c>
      <c r="AM271" s="389">
        <f>AM274</f>
        <v>0</v>
      </c>
      <c r="AN271" s="389">
        <f>AN274</f>
        <v>0</v>
      </c>
      <c r="AO271" s="389">
        <f>AO274</f>
        <v>0</v>
      </c>
    </row>
    <row r="272" spans="1:41" s="16" customFormat="1" ht="27.75" customHeight="1">
      <c r="A272" s="82" t="s">
        <v>525</v>
      </c>
      <c r="B272" s="12" t="s">
        <v>26</v>
      </c>
      <c r="C272" s="13"/>
      <c r="D272" s="13"/>
      <c r="E272" s="14"/>
      <c r="F272" s="13"/>
      <c r="G272" s="362">
        <f>G273</f>
        <v>0</v>
      </c>
      <c r="H272" s="362">
        <f t="shared" ref="H272:Z272" si="247">H273</f>
        <v>0</v>
      </c>
      <c r="I272" s="362">
        <f t="shared" si="247"/>
        <v>500</v>
      </c>
      <c r="J272" s="362">
        <f t="shared" si="247"/>
        <v>500</v>
      </c>
      <c r="K272" s="362">
        <f t="shared" si="247"/>
        <v>0</v>
      </c>
      <c r="L272" s="362">
        <f t="shared" si="247"/>
        <v>0</v>
      </c>
      <c r="M272" s="362">
        <f t="shared" si="247"/>
        <v>0</v>
      </c>
      <c r="N272" s="362">
        <f t="shared" si="247"/>
        <v>0</v>
      </c>
      <c r="O272" s="362">
        <f t="shared" si="247"/>
        <v>500</v>
      </c>
      <c r="P272" s="362">
        <f t="shared" si="247"/>
        <v>500</v>
      </c>
      <c r="Q272" s="362">
        <f t="shared" si="247"/>
        <v>0</v>
      </c>
      <c r="R272" s="362">
        <f t="shared" si="247"/>
        <v>0</v>
      </c>
      <c r="S272" s="362">
        <f t="shared" si="247"/>
        <v>0</v>
      </c>
      <c r="T272" s="362">
        <f t="shared" si="247"/>
        <v>0</v>
      </c>
      <c r="U272" s="362">
        <f t="shared" si="247"/>
        <v>0</v>
      </c>
      <c r="V272" s="362">
        <f t="shared" si="247"/>
        <v>0</v>
      </c>
      <c r="W272" s="379"/>
      <c r="X272" s="364">
        <f t="shared" si="247"/>
        <v>0</v>
      </c>
      <c r="Y272" s="364">
        <f t="shared" si="247"/>
        <v>0</v>
      </c>
      <c r="Z272" s="364">
        <f t="shared" si="247"/>
        <v>0</v>
      </c>
      <c r="AA272" s="5"/>
      <c r="AB272" s="362"/>
      <c r="AC272" s="362"/>
      <c r="AD272" s="362"/>
      <c r="AE272" s="362"/>
      <c r="AF272" s="362"/>
      <c r="AG272" s="362"/>
      <c r="AH272" s="362"/>
      <c r="AI272" s="362"/>
      <c r="AJ272" s="362"/>
      <c r="AK272" s="362"/>
      <c r="AL272" s="362"/>
      <c r="AM272" s="362"/>
      <c r="AN272" s="362"/>
      <c r="AO272" s="362"/>
    </row>
    <row r="273" spans="1:41" s="16" customFormat="1" ht="66.75" customHeight="1">
      <c r="A273" s="97" t="s">
        <v>27</v>
      </c>
      <c r="B273" s="212" t="s">
        <v>1286</v>
      </c>
      <c r="C273" s="19" t="s">
        <v>43</v>
      </c>
      <c r="D273" s="19" t="s">
        <v>1287</v>
      </c>
      <c r="E273" s="70" t="s">
        <v>355</v>
      </c>
      <c r="F273" s="19"/>
      <c r="G273" s="392"/>
      <c r="H273" s="392"/>
      <c r="I273" s="392">
        <v>500</v>
      </c>
      <c r="J273" s="392">
        <v>500</v>
      </c>
      <c r="K273" s="392"/>
      <c r="L273" s="392"/>
      <c r="M273" s="392"/>
      <c r="N273" s="392"/>
      <c r="O273" s="392">
        <v>500</v>
      </c>
      <c r="P273" s="392">
        <v>500</v>
      </c>
      <c r="Q273" s="392"/>
      <c r="R273" s="392"/>
      <c r="S273" s="392"/>
      <c r="T273" s="392"/>
      <c r="U273" s="392"/>
      <c r="V273" s="392"/>
      <c r="W273" s="100" t="s">
        <v>1288</v>
      </c>
      <c r="X273" s="396"/>
      <c r="Y273" s="396"/>
      <c r="Z273" s="396"/>
      <c r="AA273" s="5"/>
      <c r="AB273" s="362"/>
      <c r="AC273" s="362"/>
      <c r="AD273" s="362"/>
      <c r="AE273" s="362"/>
      <c r="AF273" s="362"/>
      <c r="AG273" s="362"/>
      <c r="AH273" s="362"/>
      <c r="AI273" s="362"/>
      <c r="AJ273" s="362"/>
      <c r="AK273" s="362"/>
      <c r="AL273" s="362"/>
      <c r="AM273" s="362"/>
      <c r="AN273" s="362"/>
      <c r="AO273" s="362"/>
    </row>
    <row r="274" spans="1:41" s="353" customFormat="1" ht="26.25" customHeight="1">
      <c r="A274" s="82" t="s">
        <v>499</v>
      </c>
      <c r="B274" s="357" t="s">
        <v>31</v>
      </c>
      <c r="C274" s="350"/>
      <c r="D274" s="350"/>
      <c r="E274" s="351"/>
      <c r="F274" s="350"/>
      <c r="G274" s="407">
        <f>G275+G278+G281</f>
        <v>252266</v>
      </c>
      <c r="H274" s="407">
        <f t="shared" ref="H274:V274" si="248">H275+H278+H281</f>
        <v>99641</v>
      </c>
      <c r="I274" s="407">
        <f t="shared" si="248"/>
        <v>22810</v>
      </c>
      <c r="J274" s="407">
        <f t="shared" si="248"/>
        <v>5000</v>
      </c>
      <c r="K274" s="407">
        <f t="shared" si="248"/>
        <v>0</v>
      </c>
      <c r="L274" s="407">
        <f t="shared" si="248"/>
        <v>0</v>
      </c>
      <c r="M274" s="407">
        <f t="shared" si="248"/>
        <v>3304</v>
      </c>
      <c r="N274" s="407">
        <f t="shared" si="248"/>
        <v>2317</v>
      </c>
      <c r="O274" s="407">
        <f t="shared" si="248"/>
        <v>32810</v>
      </c>
      <c r="P274" s="407">
        <f t="shared" si="248"/>
        <v>5000</v>
      </c>
      <c r="Q274" s="407">
        <f t="shared" si="248"/>
        <v>227225</v>
      </c>
      <c r="R274" s="407">
        <f t="shared" si="248"/>
        <v>99141</v>
      </c>
      <c r="S274" s="407">
        <f t="shared" si="248"/>
        <v>0</v>
      </c>
      <c r="T274" s="407">
        <f t="shared" si="248"/>
        <v>24000</v>
      </c>
      <c r="U274" s="407">
        <f t="shared" si="248"/>
        <v>12000</v>
      </c>
      <c r="V274" s="407">
        <f t="shared" si="248"/>
        <v>0</v>
      </c>
      <c r="W274" s="352"/>
      <c r="X274" s="408">
        <f t="shared" ref="X274:Z274" si="249">X275+X278+X281</f>
        <v>24000</v>
      </c>
      <c r="Y274" s="408">
        <f t="shared" si="249"/>
        <v>12000</v>
      </c>
      <c r="Z274" s="408">
        <f t="shared" si="249"/>
        <v>0</v>
      </c>
      <c r="AA274" s="5"/>
      <c r="AB274" s="407">
        <f t="shared" ref="AB274:AK274" si="250">AB275+AB278+AB281</f>
        <v>0</v>
      </c>
      <c r="AC274" s="407">
        <f t="shared" si="250"/>
        <v>0</v>
      </c>
      <c r="AD274" s="407">
        <f t="shared" si="250"/>
        <v>1</v>
      </c>
      <c r="AE274" s="407">
        <f t="shared" si="250"/>
        <v>4000</v>
      </c>
      <c r="AF274" s="407">
        <f t="shared" si="250"/>
        <v>0</v>
      </c>
      <c r="AG274" s="407">
        <f t="shared" si="250"/>
        <v>0</v>
      </c>
      <c r="AH274" s="407">
        <f t="shared" si="250"/>
        <v>1</v>
      </c>
      <c r="AI274" s="407">
        <f t="shared" si="250"/>
        <v>7000</v>
      </c>
      <c r="AJ274" s="407">
        <f t="shared" si="250"/>
        <v>0</v>
      </c>
      <c r="AK274" s="407">
        <f t="shared" si="250"/>
        <v>0</v>
      </c>
      <c r="AL274" s="407">
        <f>AL275+AL278+AL281</f>
        <v>0</v>
      </c>
      <c r="AM274" s="407">
        <f>AM275+AM278+AM281</f>
        <v>0</v>
      </c>
      <c r="AN274" s="407">
        <f>AN275+AN278+AN281</f>
        <v>0</v>
      </c>
      <c r="AO274" s="407">
        <f>AO275+AO278+AO281</f>
        <v>0</v>
      </c>
    </row>
    <row r="275" spans="1:41" s="25" customFormat="1" ht="31.5">
      <c r="A275" s="11" t="s">
        <v>78</v>
      </c>
      <c r="B275" s="12" t="s">
        <v>79</v>
      </c>
      <c r="C275" s="19"/>
      <c r="D275" s="19"/>
      <c r="E275" s="70"/>
      <c r="F275" s="19"/>
      <c r="G275" s="362">
        <f>G276</f>
        <v>29725</v>
      </c>
      <c r="H275" s="362">
        <f t="shared" ref="H275:Z275" si="251">H276</f>
        <v>17099</v>
      </c>
      <c r="I275" s="362">
        <f t="shared" si="251"/>
        <v>7126</v>
      </c>
      <c r="J275" s="362">
        <f t="shared" si="251"/>
        <v>4500</v>
      </c>
      <c r="K275" s="362">
        <f t="shared" si="251"/>
        <v>0</v>
      </c>
      <c r="L275" s="362">
        <f t="shared" si="251"/>
        <v>0</v>
      </c>
      <c r="M275" s="362">
        <f t="shared" si="251"/>
        <v>2618</v>
      </c>
      <c r="N275" s="362">
        <f t="shared" si="251"/>
        <v>2267</v>
      </c>
      <c r="O275" s="362">
        <f t="shared" si="251"/>
        <v>17126</v>
      </c>
      <c r="P275" s="362">
        <f t="shared" si="251"/>
        <v>4500</v>
      </c>
      <c r="Q275" s="362">
        <f t="shared" si="251"/>
        <v>19225</v>
      </c>
      <c r="R275" s="362">
        <f t="shared" si="251"/>
        <v>16599</v>
      </c>
      <c r="S275" s="362">
        <f t="shared" si="251"/>
        <v>0</v>
      </c>
      <c r="T275" s="362">
        <f t="shared" si="251"/>
        <v>4000</v>
      </c>
      <c r="U275" s="362">
        <f t="shared" si="251"/>
        <v>4000</v>
      </c>
      <c r="V275" s="362">
        <f t="shared" si="251"/>
        <v>0</v>
      </c>
      <c r="W275" s="24"/>
      <c r="X275" s="364">
        <f t="shared" si="251"/>
        <v>4000</v>
      </c>
      <c r="Y275" s="364">
        <f t="shared" si="251"/>
        <v>4000</v>
      </c>
      <c r="Z275" s="364">
        <f t="shared" si="251"/>
        <v>0</v>
      </c>
      <c r="AA275" s="5"/>
      <c r="AB275" s="362">
        <f t="shared" ref="AB275:AK275" si="252">AB276</f>
        <v>0</v>
      </c>
      <c r="AC275" s="362">
        <f t="shared" si="252"/>
        <v>0</v>
      </c>
      <c r="AD275" s="362">
        <f t="shared" si="252"/>
        <v>1</v>
      </c>
      <c r="AE275" s="362">
        <f t="shared" si="252"/>
        <v>4000</v>
      </c>
      <c r="AF275" s="362">
        <f t="shared" si="252"/>
        <v>0</v>
      </c>
      <c r="AG275" s="362">
        <f t="shared" si="252"/>
        <v>0</v>
      </c>
      <c r="AH275" s="362">
        <f t="shared" si="252"/>
        <v>0</v>
      </c>
      <c r="AI275" s="362">
        <f t="shared" si="252"/>
        <v>0</v>
      </c>
      <c r="AJ275" s="362">
        <f t="shared" si="252"/>
        <v>0</v>
      </c>
      <c r="AK275" s="362">
        <f t="shared" si="252"/>
        <v>0</v>
      </c>
      <c r="AL275" s="362">
        <f>AL276</f>
        <v>0</v>
      </c>
      <c r="AM275" s="362">
        <f>AM276</f>
        <v>0</v>
      </c>
      <c r="AN275" s="362">
        <f>AN276</f>
        <v>0</v>
      </c>
      <c r="AO275" s="362">
        <f>AO276</f>
        <v>0</v>
      </c>
    </row>
    <row r="276" spans="1:41" s="375" customFormat="1" ht="15.75">
      <c r="A276" s="26" t="s">
        <v>273</v>
      </c>
      <c r="B276" s="27" t="s">
        <v>48</v>
      </c>
      <c r="C276" s="135"/>
      <c r="D276" s="135"/>
      <c r="E276" s="136"/>
      <c r="F276" s="135"/>
      <c r="G276" s="384">
        <f>SUM(G277)</f>
        <v>29725</v>
      </c>
      <c r="H276" s="384">
        <f t="shared" ref="H276:Z276" si="253">SUM(H277)</f>
        <v>17099</v>
      </c>
      <c r="I276" s="384">
        <f t="shared" si="253"/>
        <v>7126</v>
      </c>
      <c r="J276" s="384">
        <f t="shared" si="253"/>
        <v>4500</v>
      </c>
      <c r="K276" s="384">
        <f t="shared" si="253"/>
        <v>0</v>
      </c>
      <c r="L276" s="384">
        <f t="shared" si="253"/>
        <v>0</v>
      </c>
      <c r="M276" s="384">
        <f t="shared" si="253"/>
        <v>2618</v>
      </c>
      <c r="N276" s="384">
        <f t="shared" si="253"/>
        <v>2267</v>
      </c>
      <c r="O276" s="384">
        <f t="shared" si="253"/>
        <v>17126</v>
      </c>
      <c r="P276" s="384">
        <f t="shared" si="253"/>
        <v>4500</v>
      </c>
      <c r="Q276" s="384">
        <f t="shared" si="253"/>
        <v>19225</v>
      </c>
      <c r="R276" s="384">
        <f t="shared" si="253"/>
        <v>16599</v>
      </c>
      <c r="S276" s="384">
        <f t="shared" si="253"/>
        <v>0</v>
      </c>
      <c r="T276" s="384">
        <f t="shared" si="253"/>
        <v>4000</v>
      </c>
      <c r="U276" s="384">
        <f t="shared" si="253"/>
        <v>4000</v>
      </c>
      <c r="V276" s="384">
        <f t="shared" si="253"/>
        <v>0</v>
      </c>
      <c r="W276" s="449"/>
      <c r="X276" s="386">
        <f t="shared" si="253"/>
        <v>4000</v>
      </c>
      <c r="Y276" s="386">
        <f t="shared" si="253"/>
        <v>4000</v>
      </c>
      <c r="Z276" s="386">
        <f t="shared" si="253"/>
        <v>0</v>
      </c>
      <c r="AA276" s="5"/>
      <c r="AB276" s="384">
        <f t="shared" ref="AB276:AK276" si="254">SUM(AB277)</f>
        <v>0</v>
      </c>
      <c r="AC276" s="384">
        <f t="shared" si="254"/>
        <v>0</v>
      </c>
      <c r="AD276" s="384">
        <f t="shared" si="254"/>
        <v>1</v>
      </c>
      <c r="AE276" s="384">
        <f t="shared" si="254"/>
        <v>4000</v>
      </c>
      <c r="AF276" s="384">
        <f t="shared" si="254"/>
        <v>0</v>
      </c>
      <c r="AG276" s="384">
        <f t="shared" si="254"/>
        <v>0</v>
      </c>
      <c r="AH276" s="384">
        <f t="shared" si="254"/>
        <v>0</v>
      </c>
      <c r="AI276" s="384">
        <f t="shared" si="254"/>
        <v>0</v>
      </c>
      <c r="AJ276" s="384">
        <f t="shared" si="254"/>
        <v>0</v>
      </c>
      <c r="AK276" s="384">
        <f t="shared" si="254"/>
        <v>0</v>
      </c>
      <c r="AL276" s="384">
        <f>SUM(AL277)</f>
        <v>0</v>
      </c>
      <c r="AM276" s="384">
        <f>SUM(AM277)</f>
        <v>0</v>
      </c>
      <c r="AN276" s="384">
        <f>SUM(AN277)</f>
        <v>0</v>
      </c>
      <c r="AO276" s="384">
        <f>SUM(AO277)</f>
        <v>0</v>
      </c>
    </row>
    <row r="277" spans="1:41" s="25" customFormat="1" ht="30">
      <c r="A277" s="456" t="s">
        <v>27</v>
      </c>
      <c r="B277" s="457" t="s">
        <v>737</v>
      </c>
      <c r="C277" s="403" t="s">
        <v>738</v>
      </c>
      <c r="D277" s="101" t="s">
        <v>739</v>
      </c>
      <c r="E277" s="458" t="s">
        <v>87</v>
      </c>
      <c r="F277" s="101" t="s">
        <v>1289</v>
      </c>
      <c r="G277" s="392">
        <v>29725</v>
      </c>
      <c r="H277" s="392">
        <f>G277-12626</f>
        <v>17099</v>
      </c>
      <c r="I277" s="392">
        <f>J277+2626</f>
        <v>7126</v>
      </c>
      <c r="J277" s="392">
        <v>4500</v>
      </c>
      <c r="K277" s="392"/>
      <c r="L277" s="392"/>
      <c r="M277" s="366">
        <f>N277+351</f>
        <v>2618</v>
      </c>
      <c r="N277" s="366">
        <v>2267</v>
      </c>
      <c r="O277" s="392">
        <f>10000+4500+2626</f>
        <v>17126</v>
      </c>
      <c r="P277" s="392">
        <v>4500</v>
      </c>
      <c r="Q277" s="392">
        <f>G277-10000-500</f>
        <v>19225</v>
      </c>
      <c r="R277" s="392">
        <f>Q277-2626</f>
        <v>16599</v>
      </c>
      <c r="S277" s="392"/>
      <c r="T277" s="392">
        <v>4000</v>
      </c>
      <c r="U277" s="392">
        <v>4000</v>
      </c>
      <c r="V277" s="392"/>
      <c r="W277" s="24"/>
      <c r="X277" s="396">
        <v>4000</v>
      </c>
      <c r="Y277" s="396">
        <v>4000</v>
      </c>
      <c r="Z277" s="396"/>
      <c r="AA277" s="5"/>
      <c r="AD277" s="25">
        <v>1</v>
      </c>
      <c r="AE277" s="392">
        <v>4000</v>
      </c>
    </row>
    <row r="278" spans="1:41" s="25" customFormat="1" ht="31.5">
      <c r="A278" s="11" t="s">
        <v>116</v>
      </c>
      <c r="B278" s="12" t="s">
        <v>117</v>
      </c>
      <c r="C278" s="19"/>
      <c r="D278" s="19"/>
      <c r="E278" s="70"/>
      <c r="F278" s="19"/>
      <c r="G278" s="362">
        <f>G279</f>
        <v>148593</v>
      </c>
      <c r="H278" s="362">
        <f t="shared" ref="H278:Z278" si="255">H279</f>
        <v>48593</v>
      </c>
      <c r="I278" s="362">
        <f t="shared" si="255"/>
        <v>15184</v>
      </c>
      <c r="J278" s="362">
        <f t="shared" si="255"/>
        <v>0</v>
      </c>
      <c r="K278" s="362">
        <f t="shared" si="255"/>
        <v>0</v>
      </c>
      <c r="L278" s="362">
        <f t="shared" si="255"/>
        <v>0</v>
      </c>
      <c r="M278" s="362">
        <f t="shared" si="255"/>
        <v>636</v>
      </c>
      <c r="N278" s="362">
        <f t="shared" si="255"/>
        <v>0</v>
      </c>
      <c r="O278" s="362">
        <f t="shared" si="255"/>
        <v>15184</v>
      </c>
      <c r="P278" s="362">
        <f t="shared" si="255"/>
        <v>0</v>
      </c>
      <c r="Q278" s="362">
        <f t="shared" si="255"/>
        <v>138000</v>
      </c>
      <c r="R278" s="362">
        <f t="shared" si="255"/>
        <v>48593</v>
      </c>
      <c r="S278" s="362">
        <f t="shared" si="255"/>
        <v>0</v>
      </c>
      <c r="T278" s="362">
        <f t="shared" si="255"/>
        <v>0</v>
      </c>
      <c r="U278" s="362">
        <f t="shared" si="255"/>
        <v>0</v>
      </c>
      <c r="V278" s="362">
        <f t="shared" si="255"/>
        <v>0</v>
      </c>
      <c r="W278" s="24"/>
      <c r="X278" s="364">
        <f t="shared" si="255"/>
        <v>0</v>
      </c>
      <c r="Y278" s="364">
        <f t="shared" si="255"/>
        <v>0</v>
      </c>
      <c r="Z278" s="364">
        <f t="shared" si="255"/>
        <v>0</v>
      </c>
      <c r="AA278" s="5"/>
      <c r="AB278" s="362">
        <f t="shared" ref="AB278:AK278" si="256">AB279</f>
        <v>0</v>
      </c>
      <c r="AC278" s="362">
        <f t="shared" si="256"/>
        <v>0</v>
      </c>
      <c r="AD278" s="362">
        <f t="shared" si="256"/>
        <v>0</v>
      </c>
      <c r="AE278" s="362">
        <f t="shared" si="256"/>
        <v>0</v>
      </c>
      <c r="AF278" s="362">
        <f t="shared" si="256"/>
        <v>0</v>
      </c>
      <c r="AG278" s="362">
        <f t="shared" si="256"/>
        <v>0</v>
      </c>
      <c r="AH278" s="362">
        <f t="shared" si="256"/>
        <v>1</v>
      </c>
      <c r="AI278" s="362">
        <f t="shared" si="256"/>
        <v>7000</v>
      </c>
      <c r="AJ278" s="362">
        <f t="shared" si="256"/>
        <v>0</v>
      </c>
      <c r="AK278" s="362">
        <f t="shared" si="256"/>
        <v>0</v>
      </c>
      <c r="AL278" s="362">
        <f>AL279</f>
        <v>0</v>
      </c>
      <c r="AM278" s="362">
        <f>AM279</f>
        <v>0</v>
      </c>
      <c r="AN278" s="362">
        <f>AN279</f>
        <v>0</v>
      </c>
      <c r="AO278" s="362">
        <f>AO279</f>
        <v>0</v>
      </c>
    </row>
    <row r="279" spans="1:41" s="375" customFormat="1" ht="15.75">
      <c r="A279" s="26" t="s">
        <v>47</v>
      </c>
      <c r="B279" s="27" t="s">
        <v>35</v>
      </c>
      <c r="C279" s="135"/>
      <c r="D279" s="135"/>
      <c r="E279" s="136"/>
      <c r="F279" s="135"/>
      <c r="G279" s="384">
        <f>SUM(G280)</f>
        <v>148593</v>
      </c>
      <c r="H279" s="384">
        <f t="shared" ref="H279:Z279" si="257">SUM(H280)</f>
        <v>48593</v>
      </c>
      <c r="I279" s="384">
        <f t="shared" si="257"/>
        <v>15184</v>
      </c>
      <c r="J279" s="384">
        <f t="shared" si="257"/>
        <v>0</v>
      </c>
      <c r="K279" s="384">
        <f t="shared" si="257"/>
        <v>0</v>
      </c>
      <c r="L279" s="384">
        <f t="shared" si="257"/>
        <v>0</v>
      </c>
      <c r="M279" s="384">
        <f t="shared" si="257"/>
        <v>636</v>
      </c>
      <c r="N279" s="384">
        <f t="shared" si="257"/>
        <v>0</v>
      </c>
      <c r="O279" s="384">
        <f t="shared" si="257"/>
        <v>15184</v>
      </c>
      <c r="P279" s="384">
        <f t="shared" si="257"/>
        <v>0</v>
      </c>
      <c r="Q279" s="384">
        <f t="shared" si="257"/>
        <v>138000</v>
      </c>
      <c r="R279" s="384">
        <f t="shared" si="257"/>
        <v>48593</v>
      </c>
      <c r="S279" s="384">
        <f t="shared" si="257"/>
        <v>0</v>
      </c>
      <c r="T279" s="384">
        <f t="shared" si="257"/>
        <v>0</v>
      </c>
      <c r="U279" s="384">
        <f t="shared" si="257"/>
        <v>0</v>
      </c>
      <c r="V279" s="384">
        <f t="shared" si="257"/>
        <v>0</v>
      </c>
      <c r="W279" s="449"/>
      <c r="X279" s="386">
        <f t="shared" si="257"/>
        <v>0</v>
      </c>
      <c r="Y279" s="386">
        <f t="shared" si="257"/>
        <v>0</v>
      </c>
      <c r="Z279" s="386">
        <f t="shared" si="257"/>
        <v>0</v>
      </c>
      <c r="AA279" s="5"/>
      <c r="AB279" s="384">
        <f t="shared" ref="AB279:AK279" si="258">SUM(AB280)</f>
        <v>0</v>
      </c>
      <c r="AC279" s="384">
        <f t="shared" si="258"/>
        <v>0</v>
      </c>
      <c r="AD279" s="384">
        <f t="shared" si="258"/>
        <v>0</v>
      </c>
      <c r="AE279" s="384">
        <f t="shared" si="258"/>
        <v>0</v>
      </c>
      <c r="AF279" s="384">
        <f t="shared" si="258"/>
        <v>0</v>
      </c>
      <c r="AG279" s="384">
        <f t="shared" si="258"/>
        <v>0</v>
      </c>
      <c r="AH279" s="384">
        <f t="shared" si="258"/>
        <v>1</v>
      </c>
      <c r="AI279" s="384">
        <f t="shared" si="258"/>
        <v>7000</v>
      </c>
      <c r="AJ279" s="384">
        <f t="shared" si="258"/>
        <v>0</v>
      </c>
      <c r="AK279" s="384">
        <f t="shared" si="258"/>
        <v>0</v>
      </c>
      <c r="AL279" s="384">
        <f>SUM(AL280)</f>
        <v>0</v>
      </c>
      <c r="AM279" s="384">
        <f>SUM(AM280)</f>
        <v>0</v>
      </c>
      <c r="AN279" s="384">
        <f>SUM(AN280)</f>
        <v>0</v>
      </c>
      <c r="AO279" s="384">
        <f>SUM(AO280)</f>
        <v>0</v>
      </c>
    </row>
    <row r="280" spans="1:41" s="25" customFormat="1" ht="75">
      <c r="A280" s="456">
        <v>1</v>
      </c>
      <c r="B280" s="457" t="s">
        <v>741</v>
      </c>
      <c r="C280" s="403" t="s">
        <v>60</v>
      </c>
      <c r="D280" s="101" t="s">
        <v>743</v>
      </c>
      <c r="E280" s="458" t="s">
        <v>120</v>
      </c>
      <c r="F280" s="101" t="s">
        <v>1290</v>
      </c>
      <c r="G280" s="392">
        <v>148593</v>
      </c>
      <c r="H280" s="392">
        <v>48593</v>
      </c>
      <c r="I280" s="392">
        <v>15184</v>
      </c>
      <c r="J280" s="392">
        <v>0</v>
      </c>
      <c r="K280" s="392"/>
      <c r="L280" s="392"/>
      <c r="M280" s="366">
        <v>636</v>
      </c>
      <c r="N280" s="366">
        <v>0</v>
      </c>
      <c r="O280" s="392">
        <v>15184</v>
      </c>
      <c r="P280" s="392">
        <v>0</v>
      </c>
      <c r="Q280" s="392">
        <v>138000</v>
      </c>
      <c r="R280" s="392">
        <f>+H280-P280</f>
        <v>48593</v>
      </c>
      <c r="S280" s="392"/>
      <c r="T280" s="392">
        <v>0</v>
      </c>
      <c r="U280" s="392">
        <v>0</v>
      </c>
      <c r="V280" s="392"/>
      <c r="W280" s="24"/>
      <c r="X280" s="396">
        <v>0</v>
      </c>
      <c r="Y280" s="396">
        <v>0</v>
      </c>
      <c r="Z280" s="396"/>
      <c r="AA280" s="5"/>
      <c r="AH280" s="25">
        <v>1</v>
      </c>
      <c r="AI280" s="392">
        <v>7000</v>
      </c>
    </row>
    <row r="281" spans="1:41" s="25" customFormat="1" ht="31.5">
      <c r="A281" s="64" t="s">
        <v>150</v>
      </c>
      <c r="B281" s="213" t="s">
        <v>632</v>
      </c>
      <c r="C281" s="198"/>
      <c r="D281" s="19"/>
      <c r="E281" s="95"/>
      <c r="F281" s="19"/>
      <c r="G281" s="441">
        <f>G282</f>
        <v>73948</v>
      </c>
      <c r="H281" s="441">
        <f t="shared" ref="H281:Z281" si="259">H282</f>
        <v>33949</v>
      </c>
      <c r="I281" s="441">
        <f t="shared" si="259"/>
        <v>500</v>
      </c>
      <c r="J281" s="441">
        <f t="shared" si="259"/>
        <v>500</v>
      </c>
      <c r="K281" s="441">
        <f t="shared" si="259"/>
        <v>0</v>
      </c>
      <c r="L281" s="441">
        <f t="shared" si="259"/>
        <v>0</v>
      </c>
      <c r="M281" s="441">
        <f t="shared" si="259"/>
        <v>50</v>
      </c>
      <c r="N281" s="441">
        <f t="shared" si="259"/>
        <v>50</v>
      </c>
      <c r="O281" s="441">
        <f t="shared" si="259"/>
        <v>500</v>
      </c>
      <c r="P281" s="441">
        <f t="shared" si="259"/>
        <v>500</v>
      </c>
      <c r="Q281" s="441">
        <f t="shared" si="259"/>
        <v>70000</v>
      </c>
      <c r="R281" s="441">
        <f t="shared" si="259"/>
        <v>33949</v>
      </c>
      <c r="S281" s="441">
        <f t="shared" si="259"/>
        <v>0</v>
      </c>
      <c r="T281" s="441">
        <f t="shared" si="259"/>
        <v>20000</v>
      </c>
      <c r="U281" s="441">
        <f t="shared" si="259"/>
        <v>8000</v>
      </c>
      <c r="V281" s="441">
        <f t="shared" si="259"/>
        <v>0</v>
      </c>
      <c r="W281" s="24"/>
      <c r="X281" s="442">
        <f t="shared" si="259"/>
        <v>20000</v>
      </c>
      <c r="Y281" s="442">
        <f t="shared" si="259"/>
        <v>8000</v>
      </c>
      <c r="Z281" s="442">
        <f t="shared" si="259"/>
        <v>0</v>
      </c>
      <c r="AA281" s="5"/>
      <c r="AB281" s="441">
        <f t="shared" ref="AB281:AK281" si="260">AB282</f>
        <v>0</v>
      </c>
      <c r="AC281" s="441">
        <f t="shared" si="260"/>
        <v>0</v>
      </c>
      <c r="AD281" s="441">
        <f t="shared" si="260"/>
        <v>0</v>
      </c>
      <c r="AE281" s="441">
        <f t="shared" si="260"/>
        <v>0</v>
      </c>
      <c r="AF281" s="441">
        <f t="shared" si="260"/>
        <v>0</v>
      </c>
      <c r="AG281" s="441">
        <f t="shared" si="260"/>
        <v>0</v>
      </c>
      <c r="AH281" s="441">
        <f t="shared" si="260"/>
        <v>0</v>
      </c>
      <c r="AI281" s="441">
        <f t="shared" si="260"/>
        <v>0</v>
      </c>
      <c r="AJ281" s="441">
        <f t="shared" si="260"/>
        <v>0</v>
      </c>
      <c r="AK281" s="441">
        <f t="shared" si="260"/>
        <v>0</v>
      </c>
      <c r="AL281" s="441">
        <f>AL282</f>
        <v>0</v>
      </c>
      <c r="AM281" s="441">
        <f>AM282</f>
        <v>0</v>
      </c>
      <c r="AN281" s="441">
        <f>AN282</f>
        <v>0</v>
      </c>
      <c r="AO281" s="441">
        <f>AO282</f>
        <v>0</v>
      </c>
    </row>
    <row r="282" spans="1:41" s="375" customFormat="1" ht="15.75">
      <c r="A282" s="26" t="s">
        <v>47</v>
      </c>
      <c r="B282" s="27" t="s">
        <v>35</v>
      </c>
      <c r="C282" s="135"/>
      <c r="D282" s="135"/>
      <c r="E282" s="136"/>
      <c r="F282" s="135"/>
      <c r="G282" s="384">
        <f t="shared" ref="G282" si="261">SUM(G283:G283)</f>
        <v>73948</v>
      </c>
      <c r="H282" s="384">
        <f t="shared" ref="H282:V282" si="262">SUM(H283:H283)</f>
        <v>33949</v>
      </c>
      <c r="I282" s="384">
        <f t="shared" si="262"/>
        <v>500</v>
      </c>
      <c r="J282" s="384">
        <f t="shared" si="262"/>
        <v>500</v>
      </c>
      <c r="K282" s="384">
        <f t="shared" si="262"/>
        <v>0</v>
      </c>
      <c r="L282" s="384">
        <f t="shared" si="262"/>
        <v>0</v>
      </c>
      <c r="M282" s="384">
        <f t="shared" si="262"/>
        <v>50</v>
      </c>
      <c r="N282" s="384">
        <f t="shared" si="262"/>
        <v>50</v>
      </c>
      <c r="O282" s="384">
        <f t="shared" si="262"/>
        <v>500</v>
      </c>
      <c r="P282" s="384">
        <f t="shared" si="262"/>
        <v>500</v>
      </c>
      <c r="Q282" s="384">
        <f t="shared" si="262"/>
        <v>70000</v>
      </c>
      <c r="R282" s="384">
        <f t="shared" si="262"/>
        <v>33949</v>
      </c>
      <c r="S282" s="384">
        <f t="shared" si="262"/>
        <v>0</v>
      </c>
      <c r="T282" s="384">
        <f t="shared" si="262"/>
        <v>20000</v>
      </c>
      <c r="U282" s="384">
        <f t="shared" si="262"/>
        <v>8000</v>
      </c>
      <c r="V282" s="384">
        <f t="shared" si="262"/>
        <v>0</v>
      </c>
      <c r="W282" s="449"/>
      <c r="X282" s="386">
        <f t="shared" ref="X282:Z282" si="263">SUM(X283:X283)</f>
        <v>20000</v>
      </c>
      <c r="Y282" s="386">
        <f t="shared" si="263"/>
        <v>8000</v>
      </c>
      <c r="Z282" s="386">
        <f t="shared" si="263"/>
        <v>0</v>
      </c>
      <c r="AA282" s="5"/>
      <c r="AB282" s="384">
        <f t="shared" ref="AB282:AO282" si="264">SUM(AB283:AB283)</f>
        <v>0</v>
      </c>
      <c r="AC282" s="384">
        <f t="shared" si="264"/>
        <v>0</v>
      </c>
      <c r="AD282" s="384">
        <f t="shared" si="264"/>
        <v>0</v>
      </c>
      <c r="AE282" s="384">
        <f t="shared" si="264"/>
        <v>0</v>
      </c>
      <c r="AF282" s="384">
        <f t="shared" si="264"/>
        <v>0</v>
      </c>
      <c r="AG282" s="384">
        <f t="shared" si="264"/>
        <v>0</v>
      </c>
      <c r="AH282" s="384">
        <f t="shared" si="264"/>
        <v>0</v>
      </c>
      <c r="AI282" s="384">
        <f t="shared" si="264"/>
        <v>0</v>
      </c>
      <c r="AJ282" s="384">
        <f t="shared" si="264"/>
        <v>0</v>
      </c>
      <c r="AK282" s="384">
        <f t="shared" si="264"/>
        <v>0</v>
      </c>
      <c r="AL282" s="384">
        <f t="shared" si="264"/>
        <v>0</v>
      </c>
      <c r="AM282" s="384">
        <f t="shared" si="264"/>
        <v>0</v>
      </c>
      <c r="AN282" s="384">
        <f t="shared" si="264"/>
        <v>0</v>
      </c>
      <c r="AO282" s="384">
        <f t="shared" si="264"/>
        <v>0</v>
      </c>
    </row>
    <row r="283" spans="1:41" s="25" customFormat="1" ht="31.5">
      <c r="A283" s="97" t="s">
        <v>27</v>
      </c>
      <c r="B283" s="212" t="s">
        <v>745</v>
      </c>
      <c r="C283" s="19" t="s">
        <v>5</v>
      </c>
      <c r="D283" s="19"/>
      <c r="E283" s="129"/>
      <c r="F283" s="403" t="s">
        <v>746</v>
      </c>
      <c r="G283" s="392">
        <v>73948</v>
      </c>
      <c r="H283" s="392">
        <f>G283-39999</f>
        <v>33949</v>
      </c>
      <c r="I283" s="392">
        <v>500</v>
      </c>
      <c r="J283" s="392">
        <v>500</v>
      </c>
      <c r="K283" s="392"/>
      <c r="L283" s="392"/>
      <c r="M283" s="392">
        <v>50</v>
      </c>
      <c r="N283" s="392">
        <v>50</v>
      </c>
      <c r="O283" s="392">
        <v>500</v>
      </c>
      <c r="P283" s="392">
        <v>500</v>
      </c>
      <c r="Q283" s="392">
        <v>70000</v>
      </c>
      <c r="R283" s="392">
        <v>33949</v>
      </c>
      <c r="S283" s="392"/>
      <c r="T283" s="392">
        <v>20000</v>
      </c>
      <c r="U283" s="392">
        <v>8000</v>
      </c>
      <c r="V283" s="392"/>
      <c r="W283" s="24"/>
      <c r="X283" s="396">
        <v>20000</v>
      </c>
      <c r="Y283" s="396">
        <v>8000</v>
      </c>
      <c r="Z283" s="396"/>
      <c r="AA283" s="5"/>
      <c r="AM283" s="392"/>
    </row>
    <row r="284" spans="1:41" s="195" customFormat="1" ht="15.75">
      <c r="A284" s="459"/>
      <c r="B284" s="460"/>
      <c r="C284" s="461"/>
      <c r="D284" s="274"/>
      <c r="E284" s="462"/>
      <c r="F284" s="274"/>
      <c r="G284" s="463"/>
      <c r="H284" s="463"/>
      <c r="I284" s="463"/>
      <c r="J284" s="463">
        <f>37412-J285</f>
        <v>0</v>
      </c>
      <c r="K284" s="463"/>
      <c r="L284" s="463"/>
      <c r="M284" s="464"/>
      <c r="N284" s="464"/>
      <c r="O284" s="463"/>
      <c r="P284" s="463"/>
      <c r="Q284" s="463"/>
      <c r="R284" s="463"/>
      <c r="S284" s="463"/>
      <c r="T284" s="463"/>
      <c r="U284" s="463"/>
      <c r="V284" s="463"/>
      <c r="W284" s="154"/>
      <c r="X284" s="396"/>
      <c r="Y284" s="396"/>
      <c r="Z284" s="396"/>
      <c r="AA284" s="5"/>
    </row>
    <row r="285" spans="1:41" s="208" customFormat="1" ht="22.5" customHeight="1">
      <c r="A285" s="147" t="s">
        <v>556</v>
      </c>
      <c r="B285" s="209" t="s">
        <v>1291</v>
      </c>
      <c r="C285" s="126"/>
      <c r="D285" s="126"/>
      <c r="E285" s="127"/>
      <c r="F285" s="126"/>
      <c r="G285" s="389">
        <f>SUM(G286,G289,G294)</f>
        <v>385656</v>
      </c>
      <c r="H285" s="389">
        <f t="shared" ref="H285:V285" si="265">SUM(H286,H289,H294)</f>
        <v>383923</v>
      </c>
      <c r="I285" s="389">
        <f t="shared" si="265"/>
        <v>37312</v>
      </c>
      <c r="J285" s="389">
        <f t="shared" si="265"/>
        <v>37412</v>
      </c>
      <c r="K285" s="389">
        <f t="shared" si="265"/>
        <v>6026</v>
      </c>
      <c r="L285" s="389">
        <f t="shared" si="265"/>
        <v>6026</v>
      </c>
      <c r="M285" s="389">
        <f t="shared" si="265"/>
        <v>3142</v>
      </c>
      <c r="N285" s="389">
        <f t="shared" si="265"/>
        <v>3142</v>
      </c>
      <c r="O285" s="389">
        <f t="shared" si="265"/>
        <v>146173</v>
      </c>
      <c r="P285" s="389">
        <f t="shared" si="265"/>
        <v>146173</v>
      </c>
      <c r="Q285" s="389">
        <f t="shared" si="265"/>
        <v>207570</v>
      </c>
      <c r="R285" s="389">
        <f t="shared" si="265"/>
        <v>205837</v>
      </c>
      <c r="S285" s="389">
        <f t="shared" si="265"/>
        <v>0</v>
      </c>
      <c r="T285" s="389">
        <f t="shared" si="265"/>
        <v>84500</v>
      </c>
      <c r="U285" s="389">
        <f t="shared" si="265"/>
        <v>84500</v>
      </c>
      <c r="V285" s="389">
        <f t="shared" si="265"/>
        <v>0</v>
      </c>
      <c r="W285" s="410"/>
      <c r="X285" s="364">
        <f t="shared" ref="X285:Z285" si="266">SUM(X286,X289,X294)</f>
        <v>84500</v>
      </c>
      <c r="Y285" s="364">
        <f t="shared" si="266"/>
        <v>84500</v>
      </c>
      <c r="Z285" s="364">
        <f t="shared" si="266"/>
        <v>0</v>
      </c>
      <c r="AA285" s="348">
        <f>+U285/(2704380-258412-300000)*100</f>
        <v>3.9376169635334732</v>
      </c>
      <c r="AB285" s="389">
        <f t="shared" ref="AB285:AK285" si="267">SUM(AB286,AB289)</f>
        <v>0</v>
      </c>
      <c r="AC285" s="389">
        <f t="shared" si="267"/>
        <v>0</v>
      </c>
      <c r="AD285" s="389">
        <f t="shared" si="267"/>
        <v>0</v>
      </c>
      <c r="AE285" s="389">
        <f t="shared" si="267"/>
        <v>0</v>
      </c>
      <c r="AF285" s="389">
        <f t="shared" si="267"/>
        <v>0</v>
      </c>
      <c r="AG285" s="389">
        <f t="shared" si="267"/>
        <v>0</v>
      </c>
      <c r="AH285" s="389">
        <f t="shared" si="267"/>
        <v>3</v>
      </c>
      <c r="AI285" s="389">
        <f t="shared" si="267"/>
        <v>75540</v>
      </c>
      <c r="AJ285" s="389">
        <f t="shared" si="267"/>
        <v>0</v>
      </c>
      <c r="AK285" s="389">
        <f t="shared" si="267"/>
        <v>0</v>
      </c>
      <c r="AL285" s="389">
        <f>SUM(AL286,AL289)</f>
        <v>0</v>
      </c>
      <c r="AM285" s="389">
        <f>SUM(AM286,AM289)</f>
        <v>0</v>
      </c>
      <c r="AN285" s="389">
        <f>SUM(AN286,AN289)</f>
        <v>0</v>
      </c>
      <c r="AO285" s="389">
        <f>SUM(AO286,AO289)</f>
        <v>0</v>
      </c>
    </row>
    <row r="286" spans="1:41" s="473" customFormat="1" ht="31.5">
      <c r="A286" s="465" t="s">
        <v>32</v>
      </c>
      <c r="B286" s="466" t="s">
        <v>747</v>
      </c>
      <c r="C286" s="467"/>
      <c r="D286" s="468"/>
      <c r="E286" s="469"/>
      <c r="F286" s="468"/>
      <c r="G286" s="470">
        <f>G287</f>
        <v>265838</v>
      </c>
      <c r="H286" s="470">
        <f t="shared" ref="H286:X287" si="268">H287</f>
        <v>265838</v>
      </c>
      <c r="I286" s="470">
        <f t="shared" si="268"/>
        <v>33212</v>
      </c>
      <c r="J286" s="470">
        <f t="shared" si="268"/>
        <v>33212</v>
      </c>
      <c r="K286" s="470">
        <f t="shared" si="268"/>
        <v>6026</v>
      </c>
      <c r="L286" s="470">
        <f t="shared" si="268"/>
        <v>6026</v>
      </c>
      <c r="M286" s="471">
        <f t="shared" si="268"/>
        <v>2630</v>
      </c>
      <c r="N286" s="471">
        <f t="shared" si="268"/>
        <v>2630</v>
      </c>
      <c r="O286" s="470">
        <f t="shared" si="268"/>
        <v>142073</v>
      </c>
      <c r="P286" s="470">
        <f t="shared" si="268"/>
        <v>142073</v>
      </c>
      <c r="Q286" s="470">
        <f t="shared" si="268"/>
        <v>87752</v>
      </c>
      <c r="R286" s="470">
        <f t="shared" si="268"/>
        <v>87752</v>
      </c>
      <c r="S286" s="470">
        <f t="shared" si="268"/>
        <v>0</v>
      </c>
      <c r="T286" s="470">
        <f t="shared" si="268"/>
        <v>54500</v>
      </c>
      <c r="U286" s="470">
        <f t="shared" si="268"/>
        <v>54500</v>
      </c>
      <c r="V286" s="470">
        <f t="shared" si="268"/>
        <v>0</v>
      </c>
      <c r="W286" s="472"/>
      <c r="X286" s="364">
        <f t="shared" si="268"/>
        <v>54500</v>
      </c>
      <c r="Y286" s="364">
        <f t="shared" ref="X286:Z287" si="269">Y287</f>
        <v>54500</v>
      </c>
      <c r="Z286" s="364">
        <f t="shared" si="269"/>
        <v>0</v>
      </c>
      <c r="AA286" s="5"/>
      <c r="AB286" s="470">
        <f t="shared" ref="AB286:AO287" si="270">AB287</f>
        <v>0</v>
      </c>
      <c r="AC286" s="470">
        <f t="shared" si="270"/>
        <v>0</v>
      </c>
      <c r="AD286" s="470">
        <f t="shared" si="270"/>
        <v>0</v>
      </c>
      <c r="AE286" s="470">
        <f t="shared" si="270"/>
        <v>0</v>
      </c>
      <c r="AF286" s="470">
        <f t="shared" si="270"/>
        <v>0</v>
      </c>
      <c r="AG286" s="470">
        <f t="shared" si="270"/>
        <v>0</v>
      </c>
      <c r="AH286" s="470">
        <f t="shared" si="270"/>
        <v>1</v>
      </c>
      <c r="AI286" s="470">
        <f t="shared" si="270"/>
        <v>54540</v>
      </c>
      <c r="AJ286" s="470">
        <f t="shared" si="270"/>
        <v>0</v>
      </c>
      <c r="AK286" s="470">
        <f t="shared" si="270"/>
        <v>0</v>
      </c>
      <c r="AL286" s="470">
        <f t="shared" si="270"/>
        <v>0</v>
      </c>
      <c r="AM286" s="470">
        <f t="shared" si="270"/>
        <v>0</v>
      </c>
      <c r="AN286" s="470">
        <f t="shared" si="270"/>
        <v>0</v>
      </c>
      <c r="AO286" s="470">
        <f t="shared" si="270"/>
        <v>0</v>
      </c>
    </row>
    <row r="287" spans="1:41" s="473" customFormat="1" ht="15.75">
      <c r="A287" s="465" t="s">
        <v>34</v>
      </c>
      <c r="B287" s="466" t="s">
        <v>35</v>
      </c>
      <c r="C287" s="467"/>
      <c r="D287" s="468"/>
      <c r="E287" s="469"/>
      <c r="F287" s="468"/>
      <c r="G287" s="470">
        <f>G288</f>
        <v>265838</v>
      </c>
      <c r="H287" s="470">
        <f t="shared" si="268"/>
        <v>265838</v>
      </c>
      <c r="I287" s="470">
        <f t="shared" si="268"/>
        <v>33212</v>
      </c>
      <c r="J287" s="470">
        <f t="shared" si="268"/>
        <v>33212</v>
      </c>
      <c r="K287" s="470">
        <f t="shared" si="268"/>
        <v>6026</v>
      </c>
      <c r="L287" s="470">
        <f t="shared" si="268"/>
        <v>6026</v>
      </c>
      <c r="M287" s="471">
        <f t="shared" si="268"/>
        <v>2630</v>
      </c>
      <c r="N287" s="471">
        <f t="shared" si="268"/>
        <v>2630</v>
      </c>
      <c r="O287" s="470">
        <f t="shared" si="268"/>
        <v>142073</v>
      </c>
      <c r="P287" s="470">
        <f t="shared" si="268"/>
        <v>142073</v>
      </c>
      <c r="Q287" s="470">
        <f t="shared" si="268"/>
        <v>87752</v>
      </c>
      <c r="R287" s="470">
        <f t="shared" si="268"/>
        <v>87752</v>
      </c>
      <c r="S287" s="470">
        <f t="shared" si="268"/>
        <v>0</v>
      </c>
      <c r="T287" s="470">
        <f t="shared" si="268"/>
        <v>54500</v>
      </c>
      <c r="U287" s="470">
        <f t="shared" si="268"/>
        <v>54500</v>
      </c>
      <c r="V287" s="470">
        <f t="shared" si="268"/>
        <v>0</v>
      </c>
      <c r="W287" s="472"/>
      <c r="X287" s="364">
        <f t="shared" si="269"/>
        <v>54500</v>
      </c>
      <c r="Y287" s="364">
        <f t="shared" si="269"/>
        <v>54500</v>
      </c>
      <c r="Z287" s="364">
        <f t="shared" si="269"/>
        <v>0</v>
      </c>
      <c r="AA287" s="5"/>
      <c r="AB287" s="470">
        <f t="shared" si="270"/>
        <v>0</v>
      </c>
      <c r="AC287" s="470">
        <f t="shared" si="270"/>
        <v>0</v>
      </c>
      <c r="AD287" s="470">
        <f t="shared" si="270"/>
        <v>0</v>
      </c>
      <c r="AE287" s="470">
        <f t="shared" si="270"/>
        <v>0</v>
      </c>
      <c r="AF287" s="470">
        <f t="shared" si="270"/>
        <v>0</v>
      </c>
      <c r="AG287" s="470">
        <f t="shared" si="270"/>
        <v>0</v>
      </c>
      <c r="AH287" s="470">
        <f t="shared" si="270"/>
        <v>1</v>
      </c>
      <c r="AI287" s="470">
        <f t="shared" si="270"/>
        <v>54540</v>
      </c>
      <c r="AJ287" s="470">
        <f t="shared" si="270"/>
        <v>0</v>
      </c>
      <c r="AK287" s="470">
        <f t="shared" si="270"/>
        <v>0</v>
      </c>
      <c r="AL287" s="470">
        <f t="shared" si="270"/>
        <v>0</v>
      </c>
      <c r="AM287" s="470">
        <f t="shared" si="270"/>
        <v>0</v>
      </c>
      <c r="AN287" s="470">
        <f t="shared" si="270"/>
        <v>0</v>
      </c>
      <c r="AO287" s="470">
        <f t="shared" si="270"/>
        <v>0</v>
      </c>
    </row>
    <row r="288" spans="1:41" s="25" customFormat="1" ht="31.5">
      <c r="A288" s="456">
        <v>1</v>
      </c>
      <c r="B288" s="457" t="s">
        <v>748</v>
      </c>
      <c r="C288" s="403" t="s">
        <v>112</v>
      </c>
      <c r="D288" s="101" t="s">
        <v>749</v>
      </c>
      <c r="E288" s="458" t="s">
        <v>750</v>
      </c>
      <c r="F288" s="101" t="s">
        <v>751</v>
      </c>
      <c r="G288" s="392">
        <v>265838</v>
      </c>
      <c r="H288" s="392">
        <v>265838</v>
      </c>
      <c r="I288" s="392">
        <v>33212</v>
      </c>
      <c r="J288" s="392">
        <v>33212</v>
      </c>
      <c r="K288" s="392">
        <v>6026</v>
      </c>
      <c r="L288" s="392">
        <v>6026</v>
      </c>
      <c r="M288" s="366">
        <v>2630</v>
      </c>
      <c r="N288" s="366">
        <v>2630</v>
      </c>
      <c r="O288" s="392">
        <f>100+164+68000+19347+21250+33212</f>
        <v>142073</v>
      </c>
      <c r="P288" s="392">
        <f>100+164+68000+19347+21250+33212</f>
        <v>142073</v>
      </c>
      <c r="Q288" s="392">
        <v>87752</v>
      </c>
      <c r="R288" s="392">
        <f>33212+54540</f>
        <v>87752</v>
      </c>
      <c r="S288" s="392"/>
      <c r="T288" s="392">
        <v>54500</v>
      </c>
      <c r="U288" s="392">
        <v>54500</v>
      </c>
      <c r="V288" s="392"/>
      <c r="W288" s="24"/>
      <c r="X288" s="396">
        <v>54500</v>
      </c>
      <c r="Y288" s="396">
        <v>54500</v>
      </c>
      <c r="Z288" s="396"/>
      <c r="AA288" s="5"/>
      <c r="AH288" s="25">
        <v>1</v>
      </c>
      <c r="AI288" s="392">
        <v>54540</v>
      </c>
    </row>
    <row r="289" spans="1:41" s="16" customFormat="1" ht="31.5">
      <c r="A289" s="417" t="s">
        <v>78</v>
      </c>
      <c r="B289" s="418" t="s">
        <v>117</v>
      </c>
      <c r="C289" s="409"/>
      <c r="D289" s="301"/>
      <c r="E289" s="474"/>
      <c r="F289" s="301"/>
      <c r="G289" s="362">
        <f>SUM(G290,G292)</f>
        <v>107277</v>
      </c>
      <c r="H289" s="362">
        <f t="shared" ref="H289:V289" si="271">SUM(H290,H292)</f>
        <v>105544</v>
      </c>
      <c r="I289" s="362">
        <f t="shared" si="271"/>
        <v>4000</v>
      </c>
      <c r="J289" s="362">
        <f t="shared" si="271"/>
        <v>4000</v>
      </c>
      <c r="K289" s="362">
        <f t="shared" si="271"/>
        <v>0</v>
      </c>
      <c r="L289" s="362">
        <f t="shared" si="271"/>
        <v>0</v>
      </c>
      <c r="M289" s="362">
        <f t="shared" si="271"/>
        <v>512</v>
      </c>
      <c r="N289" s="362">
        <f t="shared" si="271"/>
        <v>512</v>
      </c>
      <c r="O289" s="362">
        <f t="shared" si="271"/>
        <v>4000</v>
      </c>
      <c r="P289" s="362">
        <f t="shared" si="271"/>
        <v>4000</v>
      </c>
      <c r="Q289" s="362">
        <f t="shared" si="271"/>
        <v>107277</v>
      </c>
      <c r="R289" s="362">
        <f t="shared" si="271"/>
        <v>105544</v>
      </c>
      <c r="S289" s="362">
        <f t="shared" si="271"/>
        <v>0</v>
      </c>
      <c r="T289" s="362">
        <f t="shared" si="271"/>
        <v>27000</v>
      </c>
      <c r="U289" s="362">
        <f t="shared" si="271"/>
        <v>27000</v>
      </c>
      <c r="V289" s="362">
        <f t="shared" si="271"/>
        <v>0</v>
      </c>
      <c r="W289" s="379"/>
      <c r="X289" s="364">
        <f t="shared" ref="X289:Z289" si="272">SUM(X290,X292)</f>
        <v>27000</v>
      </c>
      <c r="Y289" s="364">
        <f t="shared" si="272"/>
        <v>27000</v>
      </c>
      <c r="Z289" s="364">
        <f t="shared" si="272"/>
        <v>0</v>
      </c>
      <c r="AA289" s="5"/>
      <c r="AB289" s="362">
        <f t="shared" ref="AB289:AK289" si="273">SUM(AB290,AB295)</f>
        <v>0</v>
      </c>
      <c r="AC289" s="362">
        <f t="shared" si="273"/>
        <v>0</v>
      </c>
      <c r="AD289" s="362">
        <f t="shared" si="273"/>
        <v>0</v>
      </c>
      <c r="AE289" s="362">
        <f t="shared" si="273"/>
        <v>0</v>
      </c>
      <c r="AF289" s="362">
        <f t="shared" si="273"/>
        <v>0</v>
      </c>
      <c r="AG289" s="362">
        <f t="shared" si="273"/>
        <v>0</v>
      </c>
      <c r="AH289" s="362">
        <f t="shared" si="273"/>
        <v>2</v>
      </c>
      <c r="AI289" s="362">
        <f t="shared" si="273"/>
        <v>21000</v>
      </c>
      <c r="AJ289" s="362">
        <f t="shared" si="273"/>
        <v>0</v>
      </c>
      <c r="AK289" s="362">
        <f t="shared" si="273"/>
        <v>0</v>
      </c>
      <c r="AL289" s="362">
        <f>SUM(AL290,AL295)</f>
        <v>0</v>
      </c>
      <c r="AM289" s="362">
        <f>SUM(AM290,AM295)</f>
        <v>0</v>
      </c>
      <c r="AN289" s="362">
        <f>SUM(AN290,AN295)</f>
        <v>0</v>
      </c>
      <c r="AO289" s="362">
        <f>SUM(AO290,AO295)</f>
        <v>0</v>
      </c>
    </row>
    <row r="290" spans="1:41" s="31" customFormat="1" ht="15.75">
      <c r="A290" s="475"/>
      <c r="B290" s="476" t="s">
        <v>35</v>
      </c>
      <c r="C290" s="477"/>
      <c r="D290" s="302"/>
      <c r="E290" s="478"/>
      <c r="F290" s="302"/>
      <c r="G290" s="384">
        <f>G291</f>
        <v>91967</v>
      </c>
      <c r="H290" s="384">
        <f t="shared" ref="H290:Z290" si="274">H291</f>
        <v>91967</v>
      </c>
      <c r="I290" s="384">
        <f t="shared" si="274"/>
        <v>1000</v>
      </c>
      <c r="J290" s="384">
        <f t="shared" si="274"/>
        <v>1000</v>
      </c>
      <c r="K290" s="384">
        <f t="shared" si="274"/>
        <v>0</v>
      </c>
      <c r="L290" s="384">
        <f t="shared" si="274"/>
        <v>0</v>
      </c>
      <c r="M290" s="401">
        <f t="shared" si="274"/>
        <v>12</v>
      </c>
      <c r="N290" s="401">
        <f t="shared" si="274"/>
        <v>12</v>
      </c>
      <c r="O290" s="384">
        <f t="shared" si="274"/>
        <v>1000</v>
      </c>
      <c r="P290" s="384">
        <f t="shared" si="274"/>
        <v>1000</v>
      </c>
      <c r="Q290" s="384">
        <f t="shared" si="274"/>
        <v>91967</v>
      </c>
      <c r="R290" s="384">
        <f t="shared" si="274"/>
        <v>91967</v>
      </c>
      <c r="S290" s="384">
        <f t="shared" si="274"/>
        <v>0</v>
      </c>
      <c r="T290" s="384">
        <f t="shared" si="274"/>
        <v>20000</v>
      </c>
      <c r="U290" s="384">
        <f t="shared" si="274"/>
        <v>20000</v>
      </c>
      <c r="V290" s="384">
        <f t="shared" si="274"/>
        <v>0</v>
      </c>
      <c r="W290" s="479"/>
      <c r="X290" s="386">
        <f t="shared" si="274"/>
        <v>20000</v>
      </c>
      <c r="Y290" s="386">
        <f t="shared" si="274"/>
        <v>20000</v>
      </c>
      <c r="Z290" s="386">
        <f t="shared" si="274"/>
        <v>0</v>
      </c>
      <c r="AA290" s="5"/>
      <c r="AB290" s="384">
        <f t="shared" ref="AB290:AK290" si="275">AB291</f>
        <v>0</v>
      </c>
      <c r="AC290" s="384">
        <f t="shared" si="275"/>
        <v>0</v>
      </c>
      <c r="AD290" s="384">
        <f t="shared" si="275"/>
        <v>0</v>
      </c>
      <c r="AE290" s="384">
        <f t="shared" si="275"/>
        <v>0</v>
      </c>
      <c r="AF290" s="384">
        <f t="shared" si="275"/>
        <v>0</v>
      </c>
      <c r="AG290" s="384">
        <f t="shared" si="275"/>
        <v>0</v>
      </c>
      <c r="AH290" s="384">
        <f t="shared" si="275"/>
        <v>1</v>
      </c>
      <c r="AI290" s="384">
        <f t="shared" si="275"/>
        <v>18000</v>
      </c>
      <c r="AJ290" s="384">
        <f t="shared" si="275"/>
        <v>0</v>
      </c>
      <c r="AK290" s="384">
        <f t="shared" si="275"/>
        <v>0</v>
      </c>
      <c r="AL290" s="384">
        <f>AL291</f>
        <v>0</v>
      </c>
      <c r="AM290" s="384">
        <f>AM291</f>
        <v>0</v>
      </c>
      <c r="AN290" s="384">
        <f>AN291</f>
        <v>0</v>
      </c>
      <c r="AO290" s="384">
        <f>AO291</f>
        <v>0</v>
      </c>
    </row>
    <row r="291" spans="1:41" s="25" customFormat="1" ht="31.5">
      <c r="A291" s="456">
        <v>1</v>
      </c>
      <c r="B291" s="457" t="s">
        <v>752</v>
      </c>
      <c r="C291" s="403" t="s">
        <v>112</v>
      </c>
      <c r="D291" s="101" t="s">
        <v>753</v>
      </c>
      <c r="E291" s="458" t="s">
        <v>120</v>
      </c>
      <c r="F291" s="101" t="s">
        <v>754</v>
      </c>
      <c r="G291" s="392">
        <v>91967</v>
      </c>
      <c r="H291" s="392">
        <v>91967</v>
      </c>
      <c r="I291" s="392">
        <v>1000</v>
      </c>
      <c r="J291" s="392">
        <v>1000</v>
      </c>
      <c r="K291" s="392"/>
      <c r="L291" s="392"/>
      <c r="M291" s="366">
        <v>12</v>
      </c>
      <c r="N291" s="366">
        <v>12</v>
      </c>
      <c r="O291" s="392">
        <v>1000</v>
      </c>
      <c r="P291" s="392">
        <v>1000</v>
      </c>
      <c r="Q291" s="392">
        <v>91967</v>
      </c>
      <c r="R291" s="392">
        <v>91967</v>
      </c>
      <c r="S291" s="392"/>
      <c r="T291" s="392">
        <v>20000</v>
      </c>
      <c r="U291" s="392">
        <v>20000</v>
      </c>
      <c r="V291" s="392"/>
      <c r="W291" s="24"/>
      <c r="X291" s="396">
        <v>20000</v>
      </c>
      <c r="Y291" s="396">
        <v>20000</v>
      </c>
      <c r="Z291" s="396"/>
      <c r="AA291" s="5"/>
      <c r="AH291" s="25">
        <v>1</v>
      </c>
      <c r="AI291" s="392">
        <v>18000</v>
      </c>
    </row>
    <row r="292" spans="1:41" s="31" customFormat="1" ht="15.75">
      <c r="A292" s="475"/>
      <c r="B292" s="476" t="s">
        <v>48</v>
      </c>
      <c r="C292" s="477"/>
      <c r="D292" s="302"/>
      <c r="E292" s="478"/>
      <c r="F292" s="302"/>
      <c r="G292" s="384">
        <f>SUM(G293)</f>
        <v>15310</v>
      </c>
      <c r="H292" s="384">
        <f t="shared" ref="H292:Z292" si="276">SUM(H293)</f>
        <v>13577</v>
      </c>
      <c r="I292" s="384">
        <f t="shared" si="276"/>
        <v>3000</v>
      </c>
      <c r="J292" s="384">
        <f t="shared" si="276"/>
        <v>3000</v>
      </c>
      <c r="K292" s="384">
        <f t="shared" si="276"/>
        <v>0</v>
      </c>
      <c r="L292" s="384">
        <f t="shared" si="276"/>
        <v>0</v>
      </c>
      <c r="M292" s="384">
        <f t="shared" si="276"/>
        <v>500</v>
      </c>
      <c r="N292" s="384">
        <f t="shared" si="276"/>
        <v>500</v>
      </c>
      <c r="O292" s="384">
        <f t="shared" si="276"/>
        <v>3000</v>
      </c>
      <c r="P292" s="384">
        <f t="shared" si="276"/>
        <v>3000</v>
      </c>
      <c r="Q292" s="384">
        <f t="shared" si="276"/>
        <v>15310</v>
      </c>
      <c r="R292" s="384">
        <f t="shared" si="276"/>
        <v>13577</v>
      </c>
      <c r="S292" s="384">
        <f t="shared" si="276"/>
        <v>0</v>
      </c>
      <c r="T292" s="384">
        <f t="shared" si="276"/>
        <v>7000</v>
      </c>
      <c r="U292" s="384">
        <f t="shared" si="276"/>
        <v>7000</v>
      </c>
      <c r="V292" s="384">
        <f t="shared" si="276"/>
        <v>0</v>
      </c>
      <c r="W292" s="479"/>
      <c r="X292" s="386">
        <f t="shared" si="276"/>
        <v>7000</v>
      </c>
      <c r="Y292" s="386">
        <f t="shared" si="276"/>
        <v>7000</v>
      </c>
      <c r="Z292" s="386">
        <f t="shared" si="276"/>
        <v>0</v>
      </c>
      <c r="AA292" s="5"/>
      <c r="AB292" s="384">
        <f t="shared" ref="AB292:AO292" si="277">SUM(AB293:AB296)</f>
        <v>0</v>
      </c>
      <c r="AC292" s="384">
        <f t="shared" si="277"/>
        <v>0</v>
      </c>
      <c r="AD292" s="384">
        <f t="shared" si="277"/>
        <v>0</v>
      </c>
      <c r="AE292" s="384">
        <f t="shared" si="277"/>
        <v>0</v>
      </c>
      <c r="AF292" s="384">
        <f t="shared" si="277"/>
        <v>0</v>
      </c>
      <c r="AG292" s="384">
        <f t="shared" si="277"/>
        <v>0</v>
      </c>
      <c r="AH292" s="384">
        <f t="shared" si="277"/>
        <v>3</v>
      </c>
      <c r="AI292" s="384">
        <f t="shared" si="277"/>
        <v>11000</v>
      </c>
      <c r="AJ292" s="384">
        <f t="shared" si="277"/>
        <v>0</v>
      </c>
      <c r="AK292" s="384">
        <f t="shared" si="277"/>
        <v>0</v>
      </c>
      <c r="AL292" s="384">
        <f t="shared" si="277"/>
        <v>0</v>
      </c>
      <c r="AM292" s="384">
        <f t="shared" si="277"/>
        <v>0</v>
      </c>
      <c r="AN292" s="384">
        <f t="shared" si="277"/>
        <v>0</v>
      </c>
      <c r="AO292" s="384">
        <f t="shared" si="277"/>
        <v>0</v>
      </c>
    </row>
    <row r="293" spans="1:41" s="25" customFormat="1" ht="31.5">
      <c r="A293" s="456">
        <v>1</v>
      </c>
      <c r="B293" s="457" t="s">
        <v>755</v>
      </c>
      <c r="C293" s="403" t="s">
        <v>29</v>
      </c>
      <c r="D293" s="101" t="s">
        <v>753</v>
      </c>
      <c r="E293" s="458" t="s">
        <v>120</v>
      </c>
      <c r="F293" s="101" t="s">
        <v>756</v>
      </c>
      <c r="G293" s="392">
        <v>15310</v>
      </c>
      <c r="H293" s="392">
        <v>13577</v>
      </c>
      <c r="I293" s="392">
        <v>3000</v>
      </c>
      <c r="J293" s="392">
        <v>3000</v>
      </c>
      <c r="K293" s="392"/>
      <c r="L293" s="392"/>
      <c r="M293" s="366">
        <v>500</v>
      </c>
      <c r="N293" s="366">
        <v>500</v>
      </c>
      <c r="O293" s="392">
        <v>3000</v>
      </c>
      <c r="P293" s="392">
        <v>3000</v>
      </c>
      <c r="Q293" s="392">
        <v>15310</v>
      </c>
      <c r="R293" s="392">
        <v>13577</v>
      </c>
      <c r="S293" s="392"/>
      <c r="T293" s="392">
        <v>7000</v>
      </c>
      <c r="U293" s="392">
        <v>7000</v>
      </c>
      <c r="V293" s="392"/>
      <c r="W293" s="24"/>
      <c r="X293" s="396">
        <v>7000</v>
      </c>
      <c r="Y293" s="396">
        <v>7000</v>
      </c>
      <c r="Z293" s="396"/>
      <c r="AA293" s="5"/>
      <c r="AH293" s="25">
        <v>1</v>
      </c>
      <c r="AI293" s="392">
        <v>5000</v>
      </c>
    </row>
    <row r="294" spans="1:41" s="25" customFormat="1" ht="31.5">
      <c r="A294" s="417" t="s">
        <v>116</v>
      </c>
      <c r="B294" s="480" t="s">
        <v>151</v>
      </c>
      <c r="C294" s="403"/>
      <c r="D294" s="101"/>
      <c r="E294" s="458"/>
      <c r="F294" s="101"/>
      <c r="G294" s="362">
        <f>SUM(G295)</f>
        <v>12541</v>
      </c>
      <c r="H294" s="362">
        <f t="shared" ref="H294:Z294" si="278">SUM(H295)</f>
        <v>12541</v>
      </c>
      <c r="I294" s="362">
        <f t="shared" si="278"/>
        <v>100</v>
      </c>
      <c r="J294" s="362">
        <f t="shared" si="278"/>
        <v>200</v>
      </c>
      <c r="K294" s="362">
        <f t="shared" si="278"/>
        <v>0</v>
      </c>
      <c r="L294" s="362">
        <f t="shared" si="278"/>
        <v>0</v>
      </c>
      <c r="M294" s="362">
        <f t="shared" si="278"/>
        <v>0</v>
      </c>
      <c r="N294" s="362">
        <f t="shared" si="278"/>
        <v>0</v>
      </c>
      <c r="O294" s="362">
        <f t="shared" si="278"/>
        <v>100</v>
      </c>
      <c r="P294" s="362">
        <f t="shared" si="278"/>
        <v>100</v>
      </c>
      <c r="Q294" s="362">
        <f t="shared" si="278"/>
        <v>12541</v>
      </c>
      <c r="R294" s="362">
        <f t="shared" si="278"/>
        <v>12541</v>
      </c>
      <c r="S294" s="362">
        <f t="shared" si="278"/>
        <v>0</v>
      </c>
      <c r="T294" s="362">
        <f t="shared" si="278"/>
        <v>3000</v>
      </c>
      <c r="U294" s="362">
        <f t="shared" si="278"/>
        <v>3000</v>
      </c>
      <c r="V294" s="362">
        <f t="shared" si="278"/>
        <v>0</v>
      </c>
      <c r="W294" s="24"/>
      <c r="X294" s="364">
        <f t="shared" si="278"/>
        <v>3000</v>
      </c>
      <c r="Y294" s="364">
        <f t="shared" si="278"/>
        <v>3000</v>
      </c>
      <c r="Z294" s="364">
        <f t="shared" si="278"/>
        <v>0</v>
      </c>
      <c r="AA294" s="5"/>
      <c r="AI294" s="392"/>
    </row>
    <row r="295" spans="1:41" s="31" customFormat="1" ht="15.75">
      <c r="A295" s="475"/>
      <c r="B295" s="476" t="s">
        <v>48</v>
      </c>
      <c r="C295" s="477"/>
      <c r="D295" s="302"/>
      <c r="E295" s="478"/>
      <c r="F295" s="302"/>
      <c r="G295" s="384">
        <f t="shared" ref="G295:V295" si="279">SUM(G296:G296)</f>
        <v>12541</v>
      </c>
      <c r="H295" s="384">
        <f t="shared" si="279"/>
        <v>12541</v>
      </c>
      <c r="I295" s="384">
        <f t="shared" si="279"/>
        <v>100</v>
      </c>
      <c r="J295" s="384">
        <f t="shared" si="279"/>
        <v>200</v>
      </c>
      <c r="K295" s="384">
        <f t="shared" si="279"/>
        <v>0</v>
      </c>
      <c r="L295" s="384">
        <f t="shared" si="279"/>
        <v>0</v>
      </c>
      <c r="M295" s="384">
        <f t="shared" si="279"/>
        <v>0</v>
      </c>
      <c r="N295" s="384">
        <f t="shared" si="279"/>
        <v>0</v>
      </c>
      <c r="O295" s="384">
        <f t="shared" si="279"/>
        <v>100</v>
      </c>
      <c r="P295" s="384">
        <f t="shared" si="279"/>
        <v>100</v>
      </c>
      <c r="Q295" s="384">
        <f t="shared" si="279"/>
        <v>12541</v>
      </c>
      <c r="R295" s="384">
        <f t="shared" si="279"/>
        <v>12541</v>
      </c>
      <c r="S295" s="384">
        <f t="shared" si="279"/>
        <v>0</v>
      </c>
      <c r="T295" s="384">
        <f t="shared" si="279"/>
        <v>3000</v>
      </c>
      <c r="U295" s="384">
        <f t="shared" si="279"/>
        <v>3000</v>
      </c>
      <c r="V295" s="384">
        <f t="shared" si="279"/>
        <v>0</v>
      </c>
      <c r="W295" s="479"/>
      <c r="X295" s="386">
        <f t="shared" ref="X295:Z295" si="280">SUM(X296:X296)</f>
        <v>3000</v>
      </c>
      <c r="Y295" s="386">
        <f t="shared" si="280"/>
        <v>3000</v>
      </c>
      <c r="Z295" s="386">
        <f t="shared" si="280"/>
        <v>0</v>
      </c>
      <c r="AA295" s="5"/>
      <c r="AB295" s="384">
        <f t="shared" ref="AB295:AO295" si="281">SUM(AB296:AB296)</f>
        <v>0</v>
      </c>
      <c r="AC295" s="384">
        <f t="shared" si="281"/>
        <v>0</v>
      </c>
      <c r="AD295" s="384">
        <f t="shared" si="281"/>
        <v>0</v>
      </c>
      <c r="AE295" s="384">
        <f t="shared" si="281"/>
        <v>0</v>
      </c>
      <c r="AF295" s="384">
        <f t="shared" si="281"/>
        <v>0</v>
      </c>
      <c r="AG295" s="384">
        <f t="shared" si="281"/>
        <v>0</v>
      </c>
      <c r="AH295" s="384">
        <f t="shared" si="281"/>
        <v>1</v>
      </c>
      <c r="AI295" s="384">
        <f t="shared" si="281"/>
        <v>3000</v>
      </c>
      <c r="AJ295" s="384">
        <f t="shared" si="281"/>
        <v>0</v>
      </c>
      <c r="AK295" s="384">
        <f t="shared" si="281"/>
        <v>0</v>
      </c>
      <c r="AL295" s="384">
        <f t="shared" si="281"/>
        <v>0</v>
      </c>
      <c r="AM295" s="384">
        <f t="shared" si="281"/>
        <v>0</v>
      </c>
      <c r="AN295" s="384">
        <f t="shared" si="281"/>
        <v>0</v>
      </c>
      <c r="AO295" s="384">
        <f t="shared" si="281"/>
        <v>0</v>
      </c>
    </row>
    <row r="296" spans="1:41" s="25" customFormat="1" ht="63">
      <c r="A296" s="456">
        <v>1</v>
      </c>
      <c r="B296" s="457" t="s">
        <v>757</v>
      </c>
      <c r="C296" s="403" t="s">
        <v>112</v>
      </c>
      <c r="D296" s="101" t="s">
        <v>758</v>
      </c>
      <c r="E296" s="458" t="s">
        <v>154</v>
      </c>
      <c r="F296" s="101" t="s">
        <v>759</v>
      </c>
      <c r="G296" s="392">
        <v>12541</v>
      </c>
      <c r="H296" s="392">
        <v>12541</v>
      </c>
      <c r="I296" s="392">
        <v>100</v>
      </c>
      <c r="J296" s="392">
        <v>200</v>
      </c>
      <c r="K296" s="392"/>
      <c r="L296" s="392"/>
      <c r="M296" s="366"/>
      <c r="N296" s="366"/>
      <c r="O296" s="392">
        <v>100</v>
      </c>
      <c r="P296" s="392">
        <v>100</v>
      </c>
      <c r="Q296" s="392">
        <v>12541</v>
      </c>
      <c r="R296" s="392">
        <v>12541</v>
      </c>
      <c r="S296" s="392"/>
      <c r="T296" s="392">
        <v>3000</v>
      </c>
      <c r="U296" s="392">
        <v>3000</v>
      </c>
      <c r="V296" s="392"/>
      <c r="W296" s="24"/>
      <c r="X296" s="396">
        <v>3000</v>
      </c>
      <c r="Y296" s="396">
        <v>3000</v>
      </c>
      <c r="Z296" s="396"/>
      <c r="AA296" s="5"/>
      <c r="AH296" s="25">
        <v>1</v>
      </c>
      <c r="AI296" s="392">
        <v>3000</v>
      </c>
    </row>
    <row r="297" spans="1:41" s="195" customFormat="1" ht="15.75">
      <c r="A297" s="459"/>
      <c r="B297" s="460"/>
      <c r="C297" s="461"/>
      <c r="D297" s="274"/>
      <c r="E297" s="462"/>
      <c r="F297" s="274"/>
      <c r="G297" s="463"/>
      <c r="H297" s="463"/>
      <c r="I297" s="463"/>
      <c r="J297" s="463">
        <f>17121-J298</f>
        <v>0</v>
      </c>
      <c r="K297" s="463"/>
      <c r="L297" s="463"/>
      <c r="M297" s="464"/>
      <c r="N297" s="464"/>
      <c r="O297" s="463"/>
      <c r="P297" s="463"/>
      <c r="Q297" s="463"/>
      <c r="R297" s="463"/>
      <c r="S297" s="463"/>
      <c r="T297" s="463"/>
      <c r="U297" s="463"/>
      <c r="V297" s="463"/>
      <c r="W297" s="154"/>
      <c r="X297" s="396"/>
      <c r="Y297" s="396"/>
      <c r="Z297" s="396"/>
      <c r="AA297" s="5"/>
    </row>
    <row r="298" spans="1:41" s="208" customFormat="1" ht="22.5" customHeight="1">
      <c r="A298" s="147" t="s">
        <v>760</v>
      </c>
      <c r="B298" s="209" t="s">
        <v>1292</v>
      </c>
      <c r="C298" s="126"/>
      <c r="D298" s="126"/>
      <c r="E298" s="127"/>
      <c r="F298" s="126"/>
      <c r="G298" s="210">
        <f>SUM(G299,G308)</f>
        <v>400817.6</v>
      </c>
      <c r="H298" s="210">
        <f t="shared" ref="H298:V298" si="282">SUM(H299,H308)</f>
        <v>234563.20000000001</v>
      </c>
      <c r="I298" s="210">
        <f t="shared" si="282"/>
        <v>17121</v>
      </c>
      <c r="J298" s="210">
        <f t="shared" si="282"/>
        <v>17121</v>
      </c>
      <c r="K298" s="210">
        <f t="shared" si="282"/>
        <v>2336</v>
      </c>
      <c r="L298" s="210">
        <f t="shared" si="282"/>
        <v>2336</v>
      </c>
      <c r="M298" s="210">
        <f t="shared" si="282"/>
        <v>3550</v>
      </c>
      <c r="N298" s="210">
        <f t="shared" si="282"/>
        <v>3521</v>
      </c>
      <c r="O298" s="210">
        <f t="shared" si="282"/>
        <v>31067</v>
      </c>
      <c r="P298" s="210">
        <f t="shared" si="282"/>
        <v>31067</v>
      </c>
      <c r="Q298" s="210">
        <f t="shared" si="282"/>
        <v>349234</v>
      </c>
      <c r="R298" s="210">
        <f t="shared" si="282"/>
        <v>182979</v>
      </c>
      <c r="S298" s="210">
        <f t="shared" si="282"/>
        <v>0</v>
      </c>
      <c r="T298" s="210">
        <f t="shared" si="282"/>
        <v>45280</v>
      </c>
      <c r="U298" s="210">
        <f t="shared" si="282"/>
        <v>38980</v>
      </c>
      <c r="V298" s="210">
        <f t="shared" si="282"/>
        <v>0</v>
      </c>
      <c r="W298" s="410"/>
      <c r="X298" s="429">
        <f t="shared" ref="X298:Z298" si="283">SUM(X299,X308)</f>
        <v>45280</v>
      </c>
      <c r="Y298" s="429">
        <f t="shared" si="283"/>
        <v>38980</v>
      </c>
      <c r="Z298" s="429">
        <f t="shared" si="283"/>
        <v>0</v>
      </c>
      <c r="AA298" s="348">
        <f>+U298/(2704380-258412-300000)*100</f>
        <v>1.8164296951305892</v>
      </c>
      <c r="AB298" s="210">
        <f t="shared" ref="AB298:AK298" si="284">SUM(AB299,AB308)</f>
        <v>8</v>
      </c>
      <c r="AC298" s="210">
        <f t="shared" si="284"/>
        <v>780</v>
      </c>
      <c r="AD298" s="210">
        <f t="shared" si="284"/>
        <v>2</v>
      </c>
      <c r="AE298" s="210">
        <f t="shared" si="284"/>
        <v>4018</v>
      </c>
      <c r="AF298" s="210">
        <f t="shared" si="284"/>
        <v>0</v>
      </c>
      <c r="AG298" s="210">
        <f t="shared" si="284"/>
        <v>0</v>
      </c>
      <c r="AH298" s="210">
        <f t="shared" si="284"/>
        <v>2</v>
      </c>
      <c r="AI298" s="210">
        <f t="shared" si="284"/>
        <v>14029</v>
      </c>
      <c r="AJ298" s="210">
        <f t="shared" si="284"/>
        <v>0</v>
      </c>
      <c r="AK298" s="210">
        <f t="shared" si="284"/>
        <v>0</v>
      </c>
      <c r="AL298" s="210">
        <f>SUM(AL299,AL308)</f>
        <v>9</v>
      </c>
      <c r="AM298" s="210">
        <f>SUM(AM299,AM308)</f>
        <v>21848</v>
      </c>
      <c r="AN298" s="210">
        <f>SUM(AN299,AN308)</f>
        <v>0</v>
      </c>
      <c r="AO298" s="210">
        <f>SUM(AO299,AO308)</f>
        <v>0</v>
      </c>
    </row>
    <row r="299" spans="1:41" s="488" customFormat="1" ht="19.5" customHeight="1">
      <c r="A299" s="481"/>
      <c r="B299" s="482" t="s">
        <v>26</v>
      </c>
      <c r="C299" s="483"/>
      <c r="D299" s="483"/>
      <c r="E299" s="484"/>
      <c r="F299" s="483"/>
      <c r="G299" s="485">
        <f>SUM(G300:G307)</f>
        <v>38352</v>
      </c>
      <c r="H299" s="485">
        <f t="shared" ref="H299:V299" si="285">SUM(H300:H307)</f>
        <v>38352</v>
      </c>
      <c r="I299" s="485">
        <f t="shared" si="285"/>
        <v>200</v>
      </c>
      <c r="J299" s="485">
        <f t="shared" si="285"/>
        <v>200</v>
      </c>
      <c r="K299" s="485">
        <f t="shared" si="285"/>
        <v>0</v>
      </c>
      <c r="L299" s="485">
        <f t="shared" si="285"/>
        <v>0</v>
      </c>
      <c r="M299" s="485">
        <f t="shared" si="285"/>
        <v>0</v>
      </c>
      <c r="N299" s="485">
        <f t="shared" si="285"/>
        <v>0</v>
      </c>
      <c r="O299" s="485">
        <f t="shared" si="285"/>
        <v>200</v>
      </c>
      <c r="P299" s="485">
        <f t="shared" si="285"/>
        <v>200</v>
      </c>
      <c r="Q299" s="485">
        <f t="shared" si="285"/>
        <v>0</v>
      </c>
      <c r="R299" s="485">
        <f t="shared" si="285"/>
        <v>0</v>
      </c>
      <c r="S299" s="485">
        <f t="shared" si="285"/>
        <v>0</v>
      </c>
      <c r="T299" s="485">
        <f t="shared" si="285"/>
        <v>780</v>
      </c>
      <c r="U299" s="485">
        <f t="shared" si="285"/>
        <v>780</v>
      </c>
      <c r="V299" s="485">
        <f t="shared" si="285"/>
        <v>0</v>
      </c>
      <c r="W299" s="486"/>
      <c r="X299" s="487">
        <f t="shared" ref="X299:Z299" si="286">SUM(X300:X307)</f>
        <v>780</v>
      </c>
      <c r="Y299" s="487">
        <f t="shared" si="286"/>
        <v>780</v>
      </c>
      <c r="Z299" s="487">
        <f t="shared" si="286"/>
        <v>0</v>
      </c>
      <c r="AA299" s="5"/>
      <c r="AB299" s="485">
        <f t="shared" ref="AB299:AK299" si="287">SUM(AB300:AB307)</f>
        <v>8</v>
      </c>
      <c r="AC299" s="485">
        <f t="shared" si="287"/>
        <v>780</v>
      </c>
      <c r="AD299" s="485">
        <f t="shared" si="287"/>
        <v>0</v>
      </c>
      <c r="AE299" s="485">
        <f t="shared" si="287"/>
        <v>0</v>
      </c>
      <c r="AF299" s="485">
        <f t="shared" si="287"/>
        <v>0</v>
      </c>
      <c r="AG299" s="485">
        <f t="shared" si="287"/>
        <v>0</v>
      </c>
      <c r="AH299" s="485">
        <f t="shared" si="287"/>
        <v>0</v>
      </c>
      <c r="AI299" s="485">
        <f t="shared" si="287"/>
        <v>0</v>
      </c>
      <c r="AJ299" s="485">
        <f t="shared" si="287"/>
        <v>0</v>
      </c>
      <c r="AK299" s="485">
        <f t="shared" si="287"/>
        <v>0</v>
      </c>
      <c r="AL299" s="485">
        <f>SUM(AL300:AL307)</f>
        <v>0</v>
      </c>
      <c r="AM299" s="485">
        <f>SUM(AM300:AM307)</f>
        <v>0</v>
      </c>
      <c r="AN299" s="485">
        <f>SUM(AN300:AN307)</f>
        <v>0</v>
      </c>
      <c r="AO299" s="485">
        <f>SUM(AO300:AO307)</f>
        <v>0</v>
      </c>
    </row>
    <row r="300" spans="1:41" s="25" customFormat="1" ht="63">
      <c r="A300" s="456">
        <v>1</v>
      </c>
      <c r="B300" s="489" t="s">
        <v>1293</v>
      </c>
      <c r="C300" s="490" t="s">
        <v>278</v>
      </c>
      <c r="D300" s="233"/>
      <c r="E300" s="458" t="s">
        <v>1294</v>
      </c>
      <c r="F300" s="233" t="s">
        <v>1295</v>
      </c>
      <c r="G300" s="491">
        <v>13999</v>
      </c>
      <c r="H300" s="491">
        <v>13999</v>
      </c>
      <c r="I300" s="491">
        <v>100</v>
      </c>
      <c r="J300" s="491">
        <v>100</v>
      </c>
      <c r="K300" s="491"/>
      <c r="L300" s="491"/>
      <c r="M300" s="492"/>
      <c r="N300" s="492"/>
      <c r="O300" s="491">
        <v>100</v>
      </c>
      <c r="P300" s="491">
        <v>100</v>
      </c>
      <c r="Q300" s="491"/>
      <c r="R300" s="491"/>
      <c r="S300" s="491"/>
      <c r="T300" s="491">
        <v>100</v>
      </c>
      <c r="U300" s="491">
        <v>100</v>
      </c>
      <c r="V300" s="491"/>
      <c r="W300" s="24"/>
      <c r="X300" s="493">
        <v>100</v>
      </c>
      <c r="Y300" s="493">
        <v>100</v>
      </c>
      <c r="Z300" s="493"/>
      <c r="AA300" s="5"/>
      <c r="AB300" s="25">
        <v>1</v>
      </c>
      <c r="AC300" s="491">
        <v>100</v>
      </c>
    </row>
    <row r="301" spans="1:41" s="25" customFormat="1" ht="47.25">
      <c r="A301" s="456">
        <v>2</v>
      </c>
      <c r="B301" s="489" t="s">
        <v>1296</v>
      </c>
      <c r="C301" s="490" t="s">
        <v>278</v>
      </c>
      <c r="D301" s="233"/>
      <c r="E301" s="458" t="s">
        <v>1294</v>
      </c>
      <c r="F301" s="233" t="s">
        <v>1297</v>
      </c>
      <c r="G301" s="491">
        <v>8371</v>
      </c>
      <c r="H301" s="491">
        <v>8371</v>
      </c>
      <c r="I301" s="491">
        <v>100</v>
      </c>
      <c r="J301" s="491">
        <v>100</v>
      </c>
      <c r="K301" s="491"/>
      <c r="L301" s="491"/>
      <c r="M301" s="492"/>
      <c r="N301" s="492"/>
      <c r="O301" s="491">
        <v>100</v>
      </c>
      <c r="P301" s="491">
        <v>100</v>
      </c>
      <c r="Q301" s="491"/>
      <c r="R301" s="491"/>
      <c r="S301" s="491"/>
      <c r="T301" s="491">
        <v>100</v>
      </c>
      <c r="U301" s="491">
        <v>100</v>
      </c>
      <c r="V301" s="491"/>
      <c r="W301" s="24"/>
      <c r="X301" s="493">
        <v>100</v>
      </c>
      <c r="Y301" s="493">
        <v>100</v>
      </c>
      <c r="Z301" s="493"/>
      <c r="AA301" s="5"/>
      <c r="AB301" s="25">
        <v>1</v>
      </c>
      <c r="AC301" s="491">
        <v>100</v>
      </c>
    </row>
    <row r="302" spans="1:41" s="25" customFormat="1" ht="53.25" customHeight="1">
      <c r="A302" s="456">
        <v>3</v>
      </c>
      <c r="B302" s="489" t="s">
        <v>761</v>
      </c>
      <c r="C302" s="490" t="s">
        <v>29</v>
      </c>
      <c r="D302" s="233"/>
      <c r="E302" s="458"/>
      <c r="F302" s="233"/>
      <c r="G302" s="491">
        <v>2317</v>
      </c>
      <c r="H302" s="491">
        <v>2317</v>
      </c>
      <c r="I302" s="491"/>
      <c r="J302" s="491"/>
      <c r="K302" s="491"/>
      <c r="L302" s="491"/>
      <c r="M302" s="492"/>
      <c r="N302" s="492"/>
      <c r="O302" s="491"/>
      <c r="P302" s="491"/>
      <c r="Q302" s="491"/>
      <c r="R302" s="491"/>
      <c r="S302" s="491"/>
      <c r="T302" s="491">
        <v>100</v>
      </c>
      <c r="U302" s="491">
        <v>100</v>
      </c>
      <c r="V302" s="491"/>
      <c r="W302" s="24"/>
      <c r="X302" s="493">
        <v>100</v>
      </c>
      <c r="Y302" s="493">
        <v>100</v>
      </c>
      <c r="Z302" s="493"/>
      <c r="AA302" s="5"/>
      <c r="AB302" s="25">
        <v>1</v>
      </c>
      <c r="AC302" s="491">
        <v>80</v>
      </c>
    </row>
    <row r="303" spans="1:41" s="25" customFormat="1" ht="47.25">
      <c r="A303" s="456">
        <v>4</v>
      </c>
      <c r="B303" s="489" t="s">
        <v>1298</v>
      </c>
      <c r="C303" s="490" t="s">
        <v>29</v>
      </c>
      <c r="D303" s="233"/>
      <c r="E303" s="458"/>
      <c r="F303" s="233"/>
      <c r="G303" s="491">
        <v>1209</v>
      </c>
      <c r="H303" s="491">
        <v>1209</v>
      </c>
      <c r="I303" s="491"/>
      <c r="J303" s="491"/>
      <c r="K303" s="491"/>
      <c r="L303" s="491"/>
      <c r="M303" s="492"/>
      <c r="N303" s="492"/>
      <c r="O303" s="491"/>
      <c r="P303" s="491"/>
      <c r="Q303" s="491"/>
      <c r="R303" s="491"/>
      <c r="S303" s="491"/>
      <c r="T303" s="491">
        <v>100</v>
      </c>
      <c r="U303" s="491">
        <v>100</v>
      </c>
      <c r="V303" s="491"/>
      <c r="W303" s="24"/>
      <c r="X303" s="493">
        <v>100</v>
      </c>
      <c r="Y303" s="493">
        <v>100</v>
      </c>
      <c r="Z303" s="493"/>
      <c r="AA303" s="5"/>
      <c r="AB303" s="25">
        <v>1</v>
      </c>
      <c r="AC303" s="491">
        <v>100</v>
      </c>
    </row>
    <row r="304" spans="1:41" s="25" customFormat="1" ht="85.5" customHeight="1">
      <c r="A304" s="456">
        <v>5</v>
      </c>
      <c r="B304" s="489" t="s">
        <v>763</v>
      </c>
      <c r="C304" s="490" t="s">
        <v>29</v>
      </c>
      <c r="D304" s="233" t="s">
        <v>762</v>
      </c>
      <c r="E304" s="458" t="s">
        <v>519</v>
      </c>
      <c r="F304" s="233"/>
      <c r="G304" s="491">
        <v>1201</v>
      </c>
      <c r="H304" s="491">
        <v>1201</v>
      </c>
      <c r="I304" s="491"/>
      <c r="J304" s="491"/>
      <c r="K304" s="491"/>
      <c r="L304" s="491"/>
      <c r="M304" s="492"/>
      <c r="N304" s="492"/>
      <c r="O304" s="491"/>
      <c r="P304" s="491"/>
      <c r="Q304" s="491"/>
      <c r="R304" s="491"/>
      <c r="S304" s="491"/>
      <c r="T304" s="491">
        <v>80</v>
      </c>
      <c r="U304" s="491">
        <v>80</v>
      </c>
      <c r="V304" s="491"/>
      <c r="W304" s="24"/>
      <c r="X304" s="493">
        <v>80</v>
      </c>
      <c r="Y304" s="493">
        <v>80</v>
      </c>
      <c r="Z304" s="493"/>
      <c r="AA304" s="5"/>
      <c r="AB304" s="25">
        <v>1</v>
      </c>
      <c r="AC304" s="491">
        <v>100</v>
      </c>
    </row>
    <row r="305" spans="1:41" s="25" customFormat="1" ht="62.25" customHeight="1">
      <c r="A305" s="456">
        <v>6</v>
      </c>
      <c r="B305" s="489" t="s">
        <v>1299</v>
      </c>
      <c r="C305" s="490" t="s">
        <v>765</v>
      </c>
      <c r="D305" s="233"/>
      <c r="E305" s="458"/>
      <c r="F305" s="233"/>
      <c r="G305" s="491">
        <v>4756</v>
      </c>
      <c r="H305" s="491">
        <v>4756</v>
      </c>
      <c r="I305" s="491"/>
      <c r="J305" s="491"/>
      <c r="K305" s="491"/>
      <c r="L305" s="491"/>
      <c r="M305" s="492"/>
      <c r="N305" s="492"/>
      <c r="O305" s="491"/>
      <c r="P305" s="491"/>
      <c r="Q305" s="491"/>
      <c r="R305" s="491"/>
      <c r="S305" s="491"/>
      <c r="T305" s="491">
        <v>100</v>
      </c>
      <c r="U305" s="491">
        <v>100</v>
      </c>
      <c r="V305" s="491"/>
      <c r="W305" s="24"/>
      <c r="X305" s="493">
        <v>100</v>
      </c>
      <c r="Y305" s="493">
        <v>100</v>
      </c>
      <c r="Z305" s="493"/>
      <c r="AA305" s="5"/>
      <c r="AB305" s="25">
        <v>1</v>
      </c>
      <c r="AC305" s="491">
        <v>100</v>
      </c>
    </row>
    <row r="306" spans="1:41" s="25" customFormat="1" ht="63">
      <c r="A306" s="456">
        <v>7</v>
      </c>
      <c r="B306" s="489" t="s">
        <v>1300</v>
      </c>
      <c r="C306" s="490" t="s">
        <v>1301</v>
      </c>
      <c r="D306" s="233"/>
      <c r="E306" s="458"/>
      <c r="F306" s="233"/>
      <c r="G306" s="491">
        <v>5048</v>
      </c>
      <c r="H306" s="491">
        <v>5048</v>
      </c>
      <c r="I306" s="491"/>
      <c r="J306" s="491"/>
      <c r="K306" s="491"/>
      <c r="L306" s="491"/>
      <c r="M306" s="492"/>
      <c r="N306" s="492"/>
      <c r="O306" s="491"/>
      <c r="P306" s="491"/>
      <c r="Q306" s="491"/>
      <c r="R306" s="491"/>
      <c r="S306" s="491"/>
      <c r="T306" s="491">
        <v>100</v>
      </c>
      <c r="U306" s="491">
        <v>100</v>
      </c>
      <c r="V306" s="491"/>
      <c r="W306" s="24"/>
      <c r="X306" s="493">
        <v>100</v>
      </c>
      <c r="Y306" s="493">
        <v>100</v>
      </c>
      <c r="Z306" s="493"/>
      <c r="AA306" s="5"/>
      <c r="AB306" s="25">
        <v>1</v>
      </c>
      <c r="AC306" s="491">
        <v>100</v>
      </c>
    </row>
    <row r="307" spans="1:41" s="25" customFormat="1" ht="47.25">
      <c r="A307" s="456">
        <v>8</v>
      </c>
      <c r="B307" s="489" t="s">
        <v>1302</v>
      </c>
      <c r="C307" s="490" t="s">
        <v>29</v>
      </c>
      <c r="D307" s="233" t="s">
        <v>762</v>
      </c>
      <c r="E307" s="458" t="s">
        <v>1294</v>
      </c>
      <c r="F307" s="233"/>
      <c r="G307" s="491">
        <v>1451</v>
      </c>
      <c r="H307" s="491">
        <v>1451</v>
      </c>
      <c r="I307" s="491"/>
      <c r="J307" s="491"/>
      <c r="K307" s="491"/>
      <c r="L307" s="491"/>
      <c r="M307" s="492"/>
      <c r="N307" s="492"/>
      <c r="O307" s="491"/>
      <c r="P307" s="491"/>
      <c r="Q307" s="491"/>
      <c r="R307" s="491"/>
      <c r="S307" s="491"/>
      <c r="T307" s="491">
        <v>100</v>
      </c>
      <c r="U307" s="491">
        <v>100</v>
      </c>
      <c r="V307" s="491"/>
      <c r="W307" s="24"/>
      <c r="X307" s="493">
        <v>100</v>
      </c>
      <c r="Y307" s="493">
        <v>100</v>
      </c>
      <c r="Z307" s="493"/>
      <c r="AA307" s="5"/>
      <c r="AB307" s="25">
        <v>1</v>
      </c>
      <c r="AC307" s="491">
        <v>100</v>
      </c>
    </row>
    <row r="308" spans="1:41" s="353" customFormat="1" ht="28.5" customHeight="1">
      <c r="A308" s="82"/>
      <c r="B308" s="494" t="s">
        <v>31</v>
      </c>
      <c r="C308" s="350"/>
      <c r="D308" s="350"/>
      <c r="E308" s="351"/>
      <c r="F308" s="350"/>
      <c r="G308" s="495">
        <f>SUM(G309,G315,G319,G323)</f>
        <v>362465.6</v>
      </c>
      <c r="H308" s="495">
        <f t="shared" ref="H308:V308" si="288">SUM(H309,H315,H319,H323)</f>
        <v>196211.20000000001</v>
      </c>
      <c r="I308" s="495">
        <f t="shared" si="288"/>
        <v>16921</v>
      </c>
      <c r="J308" s="495">
        <f t="shared" si="288"/>
        <v>16921</v>
      </c>
      <c r="K308" s="495">
        <f t="shared" si="288"/>
        <v>2336</v>
      </c>
      <c r="L308" s="495">
        <f t="shared" si="288"/>
        <v>2336</v>
      </c>
      <c r="M308" s="495">
        <f t="shared" si="288"/>
        <v>3550</v>
      </c>
      <c r="N308" s="495">
        <f t="shared" si="288"/>
        <v>3521</v>
      </c>
      <c r="O308" s="495">
        <f t="shared" si="288"/>
        <v>30867</v>
      </c>
      <c r="P308" s="495">
        <f t="shared" si="288"/>
        <v>30867</v>
      </c>
      <c r="Q308" s="495">
        <f t="shared" si="288"/>
        <v>349234</v>
      </c>
      <c r="R308" s="495">
        <f t="shared" si="288"/>
        <v>182979</v>
      </c>
      <c r="S308" s="495">
        <f t="shared" si="288"/>
        <v>0</v>
      </c>
      <c r="T308" s="495">
        <f t="shared" si="288"/>
        <v>44500</v>
      </c>
      <c r="U308" s="495">
        <f t="shared" si="288"/>
        <v>38200</v>
      </c>
      <c r="V308" s="495">
        <f t="shared" si="288"/>
        <v>0</v>
      </c>
      <c r="W308" s="352"/>
      <c r="X308" s="487">
        <f t="shared" ref="X308:Z308" si="289">SUM(X309,X315,X319,X323)</f>
        <v>44500</v>
      </c>
      <c r="Y308" s="487">
        <f t="shared" si="289"/>
        <v>38200</v>
      </c>
      <c r="Z308" s="487">
        <f t="shared" si="289"/>
        <v>0</v>
      </c>
      <c r="AA308" s="5"/>
      <c r="AB308" s="495">
        <f t="shared" ref="AB308:AK308" si="290">SUM(AB309,AB315,AB319,AB323)</f>
        <v>0</v>
      </c>
      <c r="AC308" s="495">
        <f t="shared" si="290"/>
        <v>0</v>
      </c>
      <c r="AD308" s="495">
        <f t="shared" si="290"/>
        <v>2</v>
      </c>
      <c r="AE308" s="495">
        <f t="shared" si="290"/>
        <v>4018</v>
      </c>
      <c r="AF308" s="495">
        <f t="shared" si="290"/>
        <v>0</v>
      </c>
      <c r="AG308" s="495">
        <f t="shared" si="290"/>
        <v>0</v>
      </c>
      <c r="AH308" s="495">
        <f t="shared" si="290"/>
        <v>2</v>
      </c>
      <c r="AI308" s="495">
        <f t="shared" si="290"/>
        <v>14029</v>
      </c>
      <c r="AJ308" s="495">
        <f t="shared" si="290"/>
        <v>0</v>
      </c>
      <c r="AK308" s="495">
        <f t="shared" si="290"/>
        <v>0</v>
      </c>
      <c r="AL308" s="495">
        <f>SUM(AL309,AL315,AL319,AL323)</f>
        <v>9</v>
      </c>
      <c r="AM308" s="495">
        <f>SUM(AM309,AM315,AM319,AM323)</f>
        <v>21848</v>
      </c>
      <c r="AN308" s="495">
        <f>SUM(AN309,AN315,AN319,AN323)</f>
        <v>0</v>
      </c>
      <c r="AO308" s="495">
        <f>SUM(AO309,AO315,AO319,AO323)</f>
        <v>0</v>
      </c>
    </row>
    <row r="309" spans="1:41" s="16" customFormat="1" ht="47.25">
      <c r="A309" s="417" t="s">
        <v>32</v>
      </c>
      <c r="B309" s="480" t="s">
        <v>33</v>
      </c>
      <c r="C309" s="496"/>
      <c r="D309" s="303"/>
      <c r="E309" s="474"/>
      <c r="F309" s="303"/>
      <c r="G309" s="497">
        <f>G310</f>
        <v>17217</v>
      </c>
      <c r="H309" s="497">
        <f t="shared" ref="H309:Z309" si="291">H310</f>
        <v>17217</v>
      </c>
      <c r="I309" s="497">
        <f t="shared" si="291"/>
        <v>3947</v>
      </c>
      <c r="J309" s="497">
        <f t="shared" si="291"/>
        <v>3947</v>
      </c>
      <c r="K309" s="497">
        <f t="shared" si="291"/>
        <v>2110</v>
      </c>
      <c r="L309" s="497">
        <f t="shared" si="291"/>
        <v>2110</v>
      </c>
      <c r="M309" s="497">
        <f t="shared" si="291"/>
        <v>2973</v>
      </c>
      <c r="N309" s="497">
        <f t="shared" si="291"/>
        <v>2973</v>
      </c>
      <c r="O309" s="497">
        <f t="shared" si="291"/>
        <v>14893</v>
      </c>
      <c r="P309" s="497">
        <f t="shared" si="291"/>
        <v>14893</v>
      </c>
      <c r="Q309" s="497">
        <f t="shared" si="291"/>
        <v>4535</v>
      </c>
      <c r="R309" s="497">
        <f t="shared" si="291"/>
        <v>4535</v>
      </c>
      <c r="S309" s="497">
        <f t="shared" si="291"/>
        <v>0</v>
      </c>
      <c r="T309" s="497">
        <f t="shared" si="291"/>
        <v>0</v>
      </c>
      <c r="U309" s="497">
        <f t="shared" si="291"/>
        <v>0</v>
      </c>
      <c r="V309" s="497">
        <f t="shared" si="291"/>
        <v>0</v>
      </c>
      <c r="W309" s="379"/>
      <c r="X309" s="498">
        <f t="shared" si="291"/>
        <v>0</v>
      </c>
      <c r="Y309" s="498">
        <f t="shared" si="291"/>
        <v>0</v>
      </c>
      <c r="Z309" s="498">
        <f t="shared" si="291"/>
        <v>0</v>
      </c>
      <c r="AA309" s="5"/>
    </row>
    <row r="310" spans="1:41" s="31" customFormat="1" ht="21" customHeight="1">
      <c r="A310" s="475"/>
      <c r="B310" s="499" t="s">
        <v>48</v>
      </c>
      <c r="C310" s="500"/>
      <c r="D310" s="304"/>
      <c r="E310" s="478"/>
      <c r="F310" s="304"/>
      <c r="G310" s="501">
        <f>SUM(G311:G314)</f>
        <v>17217</v>
      </c>
      <c r="H310" s="501">
        <f t="shared" ref="H310:V310" si="292">SUM(H311:H314)</f>
        <v>17217</v>
      </c>
      <c r="I310" s="501">
        <f t="shared" si="292"/>
        <v>3947</v>
      </c>
      <c r="J310" s="501">
        <f t="shared" si="292"/>
        <v>3947</v>
      </c>
      <c r="K310" s="501">
        <f t="shared" si="292"/>
        <v>2110</v>
      </c>
      <c r="L310" s="501">
        <f t="shared" si="292"/>
        <v>2110</v>
      </c>
      <c r="M310" s="501">
        <f t="shared" si="292"/>
        <v>2973</v>
      </c>
      <c r="N310" s="501">
        <f t="shared" si="292"/>
        <v>2973</v>
      </c>
      <c r="O310" s="501">
        <f t="shared" si="292"/>
        <v>14893</v>
      </c>
      <c r="P310" s="501">
        <f t="shared" si="292"/>
        <v>14893</v>
      </c>
      <c r="Q310" s="501">
        <f t="shared" si="292"/>
        <v>4535</v>
      </c>
      <c r="R310" s="501">
        <f t="shared" si="292"/>
        <v>4535</v>
      </c>
      <c r="S310" s="501">
        <f t="shared" si="292"/>
        <v>0</v>
      </c>
      <c r="T310" s="501">
        <f t="shared" si="292"/>
        <v>0</v>
      </c>
      <c r="U310" s="501">
        <f t="shared" si="292"/>
        <v>0</v>
      </c>
      <c r="V310" s="501">
        <f t="shared" si="292"/>
        <v>0</v>
      </c>
      <c r="W310" s="479"/>
      <c r="X310" s="502">
        <f t="shared" ref="X310:Z310" si="293">SUM(X311:X314)</f>
        <v>0</v>
      </c>
      <c r="Y310" s="502">
        <f t="shared" si="293"/>
        <v>0</v>
      </c>
      <c r="Z310" s="502">
        <f t="shared" si="293"/>
        <v>0</v>
      </c>
      <c r="AA310" s="5"/>
    </row>
    <row r="311" spans="1:41" s="25" customFormat="1" ht="51.75" customHeight="1">
      <c r="A311" s="456">
        <v>1</v>
      </c>
      <c r="B311" s="489" t="s">
        <v>766</v>
      </c>
      <c r="C311" s="490" t="s">
        <v>29</v>
      </c>
      <c r="D311" s="233"/>
      <c r="E311" s="458" t="s">
        <v>114</v>
      </c>
      <c r="F311" s="233" t="s">
        <v>767</v>
      </c>
      <c r="G311" s="491">
        <v>3074</v>
      </c>
      <c r="H311" s="491">
        <v>3074</v>
      </c>
      <c r="I311" s="491">
        <v>60</v>
      </c>
      <c r="J311" s="491">
        <v>60</v>
      </c>
      <c r="K311" s="491">
        <v>900</v>
      </c>
      <c r="L311" s="491">
        <v>900</v>
      </c>
      <c r="M311" s="492">
        <v>601</v>
      </c>
      <c r="N311" s="492">
        <v>601</v>
      </c>
      <c r="O311" s="491">
        <f>41+1889+60</f>
        <v>1990</v>
      </c>
      <c r="P311" s="491">
        <v>1990</v>
      </c>
      <c r="Q311" s="491">
        <v>60</v>
      </c>
      <c r="R311" s="491">
        <v>60</v>
      </c>
      <c r="S311" s="491"/>
      <c r="T311" s="491"/>
      <c r="U311" s="491"/>
      <c r="V311" s="491"/>
      <c r="W311" s="24"/>
      <c r="X311" s="493"/>
      <c r="Y311" s="493"/>
      <c r="Z311" s="493"/>
      <c r="AA311" s="5"/>
    </row>
    <row r="312" spans="1:41" s="25" customFormat="1" ht="47.25">
      <c r="A312" s="456">
        <v>2</v>
      </c>
      <c r="B312" s="489" t="s">
        <v>768</v>
      </c>
      <c r="C312" s="490" t="s">
        <v>29</v>
      </c>
      <c r="D312" s="233"/>
      <c r="E312" s="458" t="s">
        <v>114</v>
      </c>
      <c r="F312" s="233" t="s">
        <v>769</v>
      </c>
      <c r="G312" s="491">
        <v>2081</v>
      </c>
      <c r="H312" s="491">
        <v>2081</v>
      </c>
      <c r="I312" s="491">
        <v>1080</v>
      </c>
      <c r="J312" s="491">
        <v>1080</v>
      </c>
      <c r="K312" s="491">
        <v>69</v>
      </c>
      <c r="L312" s="491">
        <v>69</v>
      </c>
      <c r="M312" s="492">
        <v>372</v>
      </c>
      <c r="N312" s="492">
        <v>372</v>
      </c>
      <c r="O312" s="491">
        <f>1080+1001</f>
        <v>2081</v>
      </c>
      <c r="P312" s="491">
        <f>1080+1001</f>
        <v>2081</v>
      </c>
      <c r="Q312" s="491">
        <v>1080</v>
      </c>
      <c r="R312" s="491">
        <v>1080</v>
      </c>
      <c r="S312" s="491"/>
      <c r="T312" s="491"/>
      <c r="U312" s="491"/>
      <c r="V312" s="491"/>
      <c r="W312" s="24"/>
      <c r="X312" s="493"/>
      <c r="Y312" s="493"/>
      <c r="Z312" s="493"/>
      <c r="AA312" s="5"/>
    </row>
    <row r="313" spans="1:41" s="25" customFormat="1" ht="51" customHeight="1">
      <c r="A313" s="456">
        <v>3</v>
      </c>
      <c r="B313" s="489" t="s">
        <v>770</v>
      </c>
      <c r="C313" s="490" t="s">
        <v>29</v>
      </c>
      <c r="D313" s="233" t="s">
        <v>771</v>
      </c>
      <c r="E313" s="458" t="s">
        <v>114</v>
      </c>
      <c r="F313" s="233" t="s">
        <v>772</v>
      </c>
      <c r="G313" s="491">
        <v>5974</v>
      </c>
      <c r="H313" s="491">
        <v>5974</v>
      </c>
      <c r="I313" s="491">
        <v>2300</v>
      </c>
      <c r="J313" s="491">
        <v>2300</v>
      </c>
      <c r="K313" s="491"/>
      <c r="L313" s="491"/>
      <c r="M313" s="492">
        <f>N313</f>
        <v>2000</v>
      </c>
      <c r="N313" s="492">
        <v>2000</v>
      </c>
      <c r="O313" s="491">
        <f>3086+2300</f>
        <v>5386</v>
      </c>
      <c r="P313" s="491">
        <f>3086+2300</f>
        <v>5386</v>
      </c>
      <c r="Q313" s="491">
        <f>5974-3086</f>
        <v>2888</v>
      </c>
      <c r="R313" s="491">
        <v>2888</v>
      </c>
      <c r="S313" s="491"/>
      <c r="T313" s="491"/>
      <c r="U313" s="491"/>
      <c r="V313" s="491"/>
      <c r="W313" s="24"/>
      <c r="X313" s="493"/>
      <c r="Y313" s="493"/>
      <c r="Z313" s="493"/>
      <c r="AA313" s="5"/>
    </row>
    <row r="314" spans="1:41" s="25" customFormat="1" ht="69" customHeight="1">
      <c r="A314" s="456">
        <v>4</v>
      </c>
      <c r="B314" s="489" t="s">
        <v>773</v>
      </c>
      <c r="C314" s="490" t="s">
        <v>222</v>
      </c>
      <c r="D314" s="233"/>
      <c r="E314" s="458" t="s">
        <v>82</v>
      </c>
      <c r="F314" s="233" t="s">
        <v>774</v>
      </c>
      <c r="G314" s="491">
        <v>6088</v>
      </c>
      <c r="H314" s="491">
        <v>6088</v>
      </c>
      <c r="I314" s="491">
        <v>507</v>
      </c>
      <c r="J314" s="491">
        <v>507</v>
      </c>
      <c r="K314" s="491">
        <v>1141</v>
      </c>
      <c r="L314" s="491">
        <v>1141</v>
      </c>
      <c r="M314" s="492"/>
      <c r="N314" s="492"/>
      <c r="O314" s="491">
        <f>4929+507</f>
        <v>5436</v>
      </c>
      <c r="P314" s="491">
        <f>4929+507</f>
        <v>5436</v>
      </c>
      <c r="Q314" s="491">
        <v>507</v>
      </c>
      <c r="R314" s="491">
        <v>507</v>
      </c>
      <c r="S314" s="491"/>
      <c r="T314" s="491"/>
      <c r="U314" s="491"/>
      <c r="V314" s="491"/>
      <c r="W314" s="24"/>
      <c r="X314" s="493"/>
      <c r="Y314" s="493"/>
      <c r="Z314" s="493"/>
      <c r="AA314" s="5"/>
    </row>
    <row r="315" spans="1:41" s="16" customFormat="1" ht="31.5">
      <c r="A315" s="417" t="s">
        <v>78</v>
      </c>
      <c r="B315" s="480" t="s">
        <v>79</v>
      </c>
      <c r="C315" s="496"/>
      <c r="D315" s="303"/>
      <c r="E315" s="474"/>
      <c r="F315" s="303"/>
      <c r="G315" s="497">
        <f>G316</f>
        <v>8435</v>
      </c>
      <c r="H315" s="497">
        <f t="shared" ref="H315:Z315" si="294">H316</f>
        <v>8435</v>
      </c>
      <c r="I315" s="497">
        <f t="shared" si="294"/>
        <v>5624</v>
      </c>
      <c r="J315" s="497">
        <f t="shared" si="294"/>
        <v>5624</v>
      </c>
      <c r="K315" s="497">
        <f t="shared" si="294"/>
        <v>100</v>
      </c>
      <c r="L315" s="497">
        <f t="shared" si="294"/>
        <v>100</v>
      </c>
      <c r="M315" s="497">
        <f t="shared" si="294"/>
        <v>277</v>
      </c>
      <c r="N315" s="497">
        <f t="shared" si="294"/>
        <v>248</v>
      </c>
      <c r="O315" s="497">
        <f t="shared" si="294"/>
        <v>5824</v>
      </c>
      <c r="P315" s="497">
        <f t="shared" si="294"/>
        <v>5824</v>
      </c>
      <c r="Q315" s="497">
        <f t="shared" si="294"/>
        <v>8235</v>
      </c>
      <c r="R315" s="497">
        <f t="shared" si="294"/>
        <v>8235</v>
      </c>
      <c r="S315" s="497">
        <f t="shared" si="294"/>
        <v>0</v>
      </c>
      <c r="T315" s="497">
        <f t="shared" si="294"/>
        <v>2400</v>
      </c>
      <c r="U315" s="497">
        <f t="shared" si="294"/>
        <v>2400</v>
      </c>
      <c r="V315" s="497">
        <f t="shared" si="294"/>
        <v>0</v>
      </c>
      <c r="W315" s="379"/>
      <c r="X315" s="498">
        <f t="shared" si="294"/>
        <v>2400</v>
      </c>
      <c r="Y315" s="498">
        <f t="shared" si="294"/>
        <v>2400</v>
      </c>
      <c r="Z315" s="498">
        <f t="shared" si="294"/>
        <v>0</v>
      </c>
      <c r="AA315" s="5"/>
      <c r="AB315" s="497">
        <f t="shared" ref="AB315:AK315" si="295">AB316</f>
        <v>0</v>
      </c>
      <c r="AC315" s="497">
        <f t="shared" si="295"/>
        <v>0</v>
      </c>
      <c r="AD315" s="497">
        <f t="shared" si="295"/>
        <v>2</v>
      </c>
      <c r="AE315" s="497">
        <f t="shared" si="295"/>
        <v>4018</v>
      </c>
      <c r="AF315" s="497">
        <f t="shared" si="295"/>
        <v>0</v>
      </c>
      <c r="AG315" s="497">
        <f t="shared" si="295"/>
        <v>0</v>
      </c>
      <c r="AH315" s="497">
        <f t="shared" si="295"/>
        <v>0</v>
      </c>
      <c r="AI315" s="497">
        <f t="shared" si="295"/>
        <v>0</v>
      </c>
      <c r="AJ315" s="497">
        <f t="shared" si="295"/>
        <v>0</v>
      </c>
      <c r="AK315" s="497">
        <f t="shared" si="295"/>
        <v>0</v>
      </c>
      <c r="AL315" s="497">
        <f>AL316</f>
        <v>0</v>
      </c>
      <c r="AM315" s="497">
        <f>AM316</f>
        <v>0</v>
      </c>
      <c r="AN315" s="497">
        <f>AN316</f>
        <v>0</v>
      </c>
      <c r="AO315" s="497">
        <f>AO316</f>
        <v>0</v>
      </c>
    </row>
    <row r="316" spans="1:41" s="31" customFormat="1" ht="15.75">
      <c r="A316" s="475"/>
      <c r="B316" s="499" t="s">
        <v>48</v>
      </c>
      <c r="C316" s="500"/>
      <c r="D316" s="304"/>
      <c r="E316" s="478"/>
      <c r="F316" s="304"/>
      <c r="G316" s="501">
        <f>SUM(G317:G318)</f>
        <v>8435</v>
      </c>
      <c r="H316" s="501">
        <f t="shared" ref="H316:V316" si="296">SUM(H317:H318)</f>
        <v>8435</v>
      </c>
      <c r="I316" s="501">
        <f t="shared" si="296"/>
        <v>5624</v>
      </c>
      <c r="J316" s="501">
        <f t="shared" si="296"/>
        <v>5624</v>
      </c>
      <c r="K316" s="501">
        <f t="shared" si="296"/>
        <v>100</v>
      </c>
      <c r="L316" s="501">
        <f t="shared" si="296"/>
        <v>100</v>
      </c>
      <c r="M316" s="501">
        <f t="shared" si="296"/>
        <v>277</v>
      </c>
      <c r="N316" s="501">
        <f t="shared" si="296"/>
        <v>248</v>
      </c>
      <c r="O316" s="501">
        <f t="shared" si="296"/>
        <v>5824</v>
      </c>
      <c r="P316" s="501">
        <f t="shared" si="296"/>
        <v>5824</v>
      </c>
      <c r="Q316" s="501">
        <f t="shared" si="296"/>
        <v>8235</v>
      </c>
      <c r="R316" s="501">
        <f t="shared" si="296"/>
        <v>8235</v>
      </c>
      <c r="S316" s="501">
        <f t="shared" si="296"/>
        <v>0</v>
      </c>
      <c r="T316" s="501">
        <f t="shared" si="296"/>
        <v>2400</v>
      </c>
      <c r="U316" s="501">
        <f t="shared" si="296"/>
        <v>2400</v>
      </c>
      <c r="V316" s="501">
        <f t="shared" si="296"/>
        <v>0</v>
      </c>
      <c r="W316" s="479"/>
      <c r="X316" s="502">
        <f t="shared" ref="X316:Z316" si="297">SUM(X317:X318)</f>
        <v>2400</v>
      </c>
      <c r="Y316" s="502">
        <f t="shared" si="297"/>
        <v>2400</v>
      </c>
      <c r="Z316" s="502">
        <f t="shared" si="297"/>
        <v>0</v>
      </c>
      <c r="AA316" s="5"/>
      <c r="AB316" s="501">
        <f t="shared" ref="AB316:AK316" si="298">SUM(AB317:AB318)</f>
        <v>0</v>
      </c>
      <c r="AC316" s="501">
        <f t="shared" si="298"/>
        <v>0</v>
      </c>
      <c r="AD316" s="501">
        <f t="shared" si="298"/>
        <v>2</v>
      </c>
      <c r="AE316" s="501">
        <f t="shared" si="298"/>
        <v>4018</v>
      </c>
      <c r="AF316" s="501">
        <f t="shared" si="298"/>
        <v>0</v>
      </c>
      <c r="AG316" s="501">
        <f t="shared" si="298"/>
        <v>0</v>
      </c>
      <c r="AH316" s="501">
        <f t="shared" si="298"/>
        <v>0</v>
      </c>
      <c r="AI316" s="501">
        <f t="shared" si="298"/>
        <v>0</v>
      </c>
      <c r="AJ316" s="501">
        <f t="shared" si="298"/>
        <v>0</v>
      </c>
      <c r="AK316" s="501">
        <f t="shared" si="298"/>
        <v>0</v>
      </c>
      <c r="AL316" s="501">
        <f>SUM(AL317:AL318)</f>
        <v>0</v>
      </c>
      <c r="AM316" s="501">
        <f>SUM(AM317:AM318)</f>
        <v>0</v>
      </c>
      <c r="AN316" s="501">
        <f>SUM(AN317:AN318)</f>
        <v>0</v>
      </c>
      <c r="AO316" s="501">
        <f>SUM(AO317:AO318)</f>
        <v>0</v>
      </c>
    </row>
    <row r="317" spans="1:41" s="25" customFormat="1" ht="39.75" customHeight="1">
      <c r="A317" s="456">
        <v>1</v>
      </c>
      <c r="B317" s="489" t="s">
        <v>775</v>
      </c>
      <c r="C317" s="490" t="s">
        <v>29</v>
      </c>
      <c r="D317" s="233" t="s">
        <v>776</v>
      </c>
      <c r="E317" s="458" t="s">
        <v>30</v>
      </c>
      <c r="F317" s="233" t="s">
        <v>777</v>
      </c>
      <c r="G317" s="491">
        <v>2788</v>
      </c>
      <c r="H317" s="491">
        <v>2788</v>
      </c>
      <c r="I317" s="491">
        <v>280</v>
      </c>
      <c r="J317" s="491">
        <v>280</v>
      </c>
      <c r="K317" s="491">
        <v>100</v>
      </c>
      <c r="L317" s="491">
        <v>100</v>
      </c>
      <c r="M317" s="492">
        <f>85+29</f>
        <v>114</v>
      </c>
      <c r="N317" s="492">
        <v>85</v>
      </c>
      <c r="O317" s="491">
        <f>100+280</f>
        <v>380</v>
      </c>
      <c r="P317" s="491">
        <v>380</v>
      </c>
      <c r="Q317" s="491">
        <v>2688</v>
      </c>
      <c r="R317" s="491">
        <v>2688</v>
      </c>
      <c r="S317" s="491"/>
      <c r="T317" s="491">
        <v>2400</v>
      </c>
      <c r="U317" s="491">
        <v>2400</v>
      </c>
      <c r="V317" s="491"/>
      <c r="W317" s="24"/>
      <c r="X317" s="493">
        <v>2400</v>
      </c>
      <c r="Y317" s="493">
        <v>2400</v>
      </c>
      <c r="Z317" s="493"/>
      <c r="AA317" s="5"/>
      <c r="AD317" s="25">
        <v>1</v>
      </c>
      <c r="AE317" s="491">
        <v>1344</v>
      </c>
    </row>
    <row r="318" spans="1:41" s="25" customFormat="1" ht="67.5" customHeight="1">
      <c r="A318" s="456">
        <v>2</v>
      </c>
      <c r="B318" s="489" t="s">
        <v>778</v>
      </c>
      <c r="C318" s="490" t="s">
        <v>29</v>
      </c>
      <c r="D318" s="233" t="s">
        <v>779</v>
      </c>
      <c r="E318" s="458" t="s">
        <v>30</v>
      </c>
      <c r="F318" s="233" t="s">
        <v>780</v>
      </c>
      <c r="G318" s="491">
        <v>5647</v>
      </c>
      <c r="H318" s="491">
        <v>5647</v>
      </c>
      <c r="I318" s="491">
        <v>5344</v>
      </c>
      <c r="J318" s="491">
        <v>5344</v>
      </c>
      <c r="K318" s="491"/>
      <c r="L318" s="491"/>
      <c r="M318" s="492">
        <v>163</v>
      </c>
      <c r="N318" s="492">
        <v>163</v>
      </c>
      <c r="O318" s="491">
        <v>5444</v>
      </c>
      <c r="P318" s="491">
        <v>5444</v>
      </c>
      <c r="Q318" s="491">
        <v>5547</v>
      </c>
      <c r="R318" s="491">
        <v>5547</v>
      </c>
      <c r="S318" s="491"/>
      <c r="T318" s="491"/>
      <c r="U318" s="491"/>
      <c r="V318" s="491"/>
      <c r="W318" s="24"/>
      <c r="X318" s="493"/>
      <c r="Y318" s="493"/>
      <c r="Z318" s="493"/>
      <c r="AA318" s="5"/>
      <c r="AD318" s="25">
        <v>1</v>
      </c>
      <c r="AE318" s="491">
        <v>2674</v>
      </c>
    </row>
    <row r="319" spans="1:41" s="16" customFormat="1" ht="31.5">
      <c r="A319" s="417" t="s">
        <v>116</v>
      </c>
      <c r="B319" s="480" t="s">
        <v>117</v>
      </c>
      <c r="C319" s="496"/>
      <c r="D319" s="303"/>
      <c r="E319" s="474"/>
      <c r="F319" s="303"/>
      <c r="G319" s="497">
        <f>G320</f>
        <v>29907</v>
      </c>
      <c r="H319" s="497">
        <f t="shared" ref="H319:Z319" si="299">H320</f>
        <v>29907</v>
      </c>
      <c r="I319" s="497">
        <f t="shared" si="299"/>
        <v>6800</v>
      </c>
      <c r="J319" s="497">
        <f t="shared" si="299"/>
        <v>6800</v>
      </c>
      <c r="K319" s="497">
        <f t="shared" si="299"/>
        <v>26</v>
      </c>
      <c r="L319" s="497">
        <f t="shared" si="299"/>
        <v>26</v>
      </c>
      <c r="M319" s="497">
        <f t="shared" si="299"/>
        <v>300</v>
      </c>
      <c r="N319" s="497">
        <f t="shared" si="299"/>
        <v>300</v>
      </c>
      <c r="O319" s="497">
        <f t="shared" si="299"/>
        <v>9450</v>
      </c>
      <c r="P319" s="497">
        <f t="shared" si="299"/>
        <v>9450</v>
      </c>
      <c r="Q319" s="497">
        <f t="shared" si="299"/>
        <v>29807</v>
      </c>
      <c r="R319" s="497">
        <f t="shared" si="299"/>
        <v>29807</v>
      </c>
      <c r="S319" s="497">
        <f t="shared" si="299"/>
        <v>0</v>
      </c>
      <c r="T319" s="497">
        <f t="shared" si="299"/>
        <v>14000</v>
      </c>
      <c r="U319" s="497">
        <f t="shared" si="299"/>
        <v>14000</v>
      </c>
      <c r="V319" s="497">
        <f t="shared" si="299"/>
        <v>0</v>
      </c>
      <c r="W319" s="379"/>
      <c r="X319" s="498">
        <f t="shared" si="299"/>
        <v>14000</v>
      </c>
      <c r="Y319" s="498">
        <f t="shared" si="299"/>
        <v>14000</v>
      </c>
      <c r="Z319" s="498">
        <f t="shared" si="299"/>
        <v>0</v>
      </c>
      <c r="AA319" s="5"/>
      <c r="AB319" s="497">
        <f t="shared" ref="AB319:AK319" si="300">AB320</f>
        <v>0</v>
      </c>
      <c r="AC319" s="497">
        <f t="shared" si="300"/>
        <v>0</v>
      </c>
      <c r="AD319" s="497">
        <f t="shared" si="300"/>
        <v>0</v>
      </c>
      <c r="AE319" s="497">
        <f t="shared" si="300"/>
        <v>0</v>
      </c>
      <c r="AF319" s="497">
        <f t="shared" si="300"/>
        <v>0</v>
      </c>
      <c r="AG319" s="497">
        <f t="shared" si="300"/>
        <v>0</v>
      </c>
      <c r="AH319" s="497">
        <f t="shared" si="300"/>
        <v>2</v>
      </c>
      <c r="AI319" s="497">
        <f t="shared" si="300"/>
        <v>14029</v>
      </c>
      <c r="AJ319" s="497">
        <f t="shared" si="300"/>
        <v>0</v>
      </c>
      <c r="AK319" s="497">
        <f t="shared" si="300"/>
        <v>0</v>
      </c>
      <c r="AL319" s="497">
        <f>AL320</f>
        <v>0</v>
      </c>
      <c r="AM319" s="497">
        <f>AM320</f>
        <v>0</v>
      </c>
      <c r="AN319" s="497">
        <f>AN320</f>
        <v>0</v>
      </c>
      <c r="AO319" s="497">
        <f>AO320</f>
        <v>0</v>
      </c>
    </row>
    <row r="320" spans="1:41" s="31" customFormat="1" ht="15.75">
      <c r="A320" s="475"/>
      <c r="B320" s="499" t="s">
        <v>48</v>
      </c>
      <c r="C320" s="500"/>
      <c r="D320" s="304"/>
      <c r="E320" s="478"/>
      <c r="F320" s="304"/>
      <c r="G320" s="501">
        <f>SUM(G321:G322)</f>
        <v>29907</v>
      </c>
      <c r="H320" s="501">
        <f t="shared" ref="H320:V320" si="301">SUM(H321:H322)</f>
        <v>29907</v>
      </c>
      <c r="I320" s="501">
        <f t="shared" si="301"/>
        <v>6800</v>
      </c>
      <c r="J320" s="501">
        <f t="shared" si="301"/>
        <v>6800</v>
      </c>
      <c r="K320" s="501">
        <f t="shared" si="301"/>
        <v>26</v>
      </c>
      <c r="L320" s="501">
        <f t="shared" si="301"/>
        <v>26</v>
      </c>
      <c r="M320" s="501">
        <f t="shared" si="301"/>
        <v>300</v>
      </c>
      <c r="N320" s="501">
        <f t="shared" si="301"/>
        <v>300</v>
      </c>
      <c r="O320" s="501">
        <f t="shared" si="301"/>
        <v>9450</v>
      </c>
      <c r="P320" s="501">
        <f t="shared" si="301"/>
        <v>9450</v>
      </c>
      <c r="Q320" s="501">
        <f t="shared" si="301"/>
        <v>29807</v>
      </c>
      <c r="R320" s="501">
        <f t="shared" si="301"/>
        <v>29807</v>
      </c>
      <c r="S320" s="501">
        <f t="shared" si="301"/>
        <v>0</v>
      </c>
      <c r="T320" s="501">
        <f t="shared" si="301"/>
        <v>14000</v>
      </c>
      <c r="U320" s="501">
        <f t="shared" si="301"/>
        <v>14000</v>
      </c>
      <c r="V320" s="501">
        <f t="shared" si="301"/>
        <v>0</v>
      </c>
      <c r="W320" s="479"/>
      <c r="X320" s="502">
        <f t="shared" ref="X320:Z320" si="302">SUM(X321:X322)</f>
        <v>14000</v>
      </c>
      <c r="Y320" s="502">
        <f t="shared" si="302"/>
        <v>14000</v>
      </c>
      <c r="Z320" s="502">
        <f t="shared" si="302"/>
        <v>0</v>
      </c>
      <c r="AA320" s="5"/>
      <c r="AB320" s="501">
        <f t="shared" ref="AB320:AK320" si="303">SUM(AB321:AB322)</f>
        <v>0</v>
      </c>
      <c r="AC320" s="501">
        <f t="shared" si="303"/>
        <v>0</v>
      </c>
      <c r="AD320" s="501">
        <f t="shared" si="303"/>
        <v>0</v>
      </c>
      <c r="AE320" s="501">
        <f t="shared" si="303"/>
        <v>0</v>
      </c>
      <c r="AF320" s="501">
        <f t="shared" si="303"/>
        <v>0</v>
      </c>
      <c r="AG320" s="501">
        <f t="shared" si="303"/>
        <v>0</v>
      </c>
      <c r="AH320" s="501">
        <f t="shared" si="303"/>
        <v>2</v>
      </c>
      <c r="AI320" s="501">
        <f t="shared" si="303"/>
        <v>14029</v>
      </c>
      <c r="AJ320" s="501">
        <f t="shared" si="303"/>
        <v>0</v>
      </c>
      <c r="AK320" s="501">
        <f t="shared" si="303"/>
        <v>0</v>
      </c>
      <c r="AL320" s="501">
        <f>SUM(AL321:AL322)</f>
        <v>0</v>
      </c>
      <c r="AM320" s="501">
        <f>SUM(AM321:AM322)</f>
        <v>0</v>
      </c>
      <c r="AN320" s="501">
        <f>SUM(AN321:AN322)</f>
        <v>0</v>
      </c>
      <c r="AO320" s="501">
        <f>SUM(AO321:AO322)</f>
        <v>0</v>
      </c>
    </row>
    <row r="321" spans="1:44" s="25" customFormat="1" ht="47.25">
      <c r="A321" s="456">
        <v>1</v>
      </c>
      <c r="B321" s="489" t="s">
        <v>781</v>
      </c>
      <c r="C321" s="490" t="s">
        <v>278</v>
      </c>
      <c r="D321" s="233" t="s">
        <v>782</v>
      </c>
      <c r="E321" s="458" t="s">
        <v>30</v>
      </c>
      <c r="F321" s="233" t="s">
        <v>783</v>
      </c>
      <c r="G321" s="491">
        <v>11907</v>
      </c>
      <c r="H321" s="491">
        <v>11907</v>
      </c>
      <c r="I321" s="491">
        <v>1000</v>
      </c>
      <c r="J321" s="491">
        <v>1000</v>
      </c>
      <c r="K321" s="491">
        <v>26</v>
      </c>
      <c r="L321" s="491">
        <v>26</v>
      </c>
      <c r="M321" s="492">
        <v>300</v>
      </c>
      <c r="N321" s="492">
        <v>300</v>
      </c>
      <c r="O321" s="491">
        <f>100+3550</f>
        <v>3650</v>
      </c>
      <c r="P321" s="491">
        <f>100+3550</f>
        <v>3650</v>
      </c>
      <c r="Q321" s="491">
        <v>11807</v>
      </c>
      <c r="R321" s="491">
        <v>11807</v>
      </c>
      <c r="S321" s="491"/>
      <c r="T321" s="491">
        <v>5000</v>
      </c>
      <c r="U321" s="491">
        <v>5000</v>
      </c>
      <c r="V321" s="491"/>
      <c r="W321" s="24"/>
      <c r="X321" s="493">
        <v>5000</v>
      </c>
      <c r="Y321" s="493">
        <v>5000</v>
      </c>
      <c r="Z321" s="493"/>
      <c r="AA321" s="5"/>
      <c r="AH321" s="25">
        <v>1</v>
      </c>
      <c r="AI321" s="491">
        <v>5000</v>
      </c>
    </row>
    <row r="322" spans="1:44" s="25" customFormat="1" ht="75">
      <c r="A322" s="456">
        <v>2</v>
      </c>
      <c r="B322" s="489" t="s">
        <v>784</v>
      </c>
      <c r="C322" s="490" t="s">
        <v>765</v>
      </c>
      <c r="D322" s="233" t="s">
        <v>785</v>
      </c>
      <c r="E322" s="458" t="s">
        <v>30</v>
      </c>
      <c r="F322" s="233" t="s">
        <v>786</v>
      </c>
      <c r="G322" s="491">
        <v>18000</v>
      </c>
      <c r="H322" s="491">
        <v>18000</v>
      </c>
      <c r="I322" s="491">
        <v>5800</v>
      </c>
      <c r="J322" s="491">
        <v>5800</v>
      </c>
      <c r="K322" s="491"/>
      <c r="L322" s="491"/>
      <c r="M322" s="492"/>
      <c r="N322" s="492"/>
      <c r="O322" s="491">
        <v>5800</v>
      </c>
      <c r="P322" s="491">
        <v>5800</v>
      </c>
      <c r="Q322" s="491">
        <v>18000</v>
      </c>
      <c r="R322" s="491">
        <v>18000</v>
      </c>
      <c r="S322" s="491"/>
      <c r="T322" s="491">
        <v>9000</v>
      </c>
      <c r="U322" s="491">
        <v>9000</v>
      </c>
      <c r="V322" s="491"/>
      <c r="W322" s="24"/>
      <c r="X322" s="493">
        <v>9000</v>
      </c>
      <c r="Y322" s="493">
        <v>9000</v>
      </c>
      <c r="Z322" s="493"/>
      <c r="AA322" s="5"/>
      <c r="AH322" s="25">
        <v>1</v>
      </c>
      <c r="AI322" s="491">
        <v>9029</v>
      </c>
    </row>
    <row r="323" spans="1:44" s="16" customFormat="1" ht="31.5">
      <c r="A323" s="417" t="s">
        <v>150</v>
      </c>
      <c r="B323" s="480" t="s">
        <v>151</v>
      </c>
      <c r="C323" s="496"/>
      <c r="D323" s="303"/>
      <c r="E323" s="474"/>
      <c r="F323" s="303"/>
      <c r="G323" s="497">
        <f>SUM(G324,G328)</f>
        <v>306906.59999999998</v>
      </c>
      <c r="H323" s="497">
        <f t="shared" ref="H323:V323" si="304">SUM(H324,H328)</f>
        <v>140652.20000000001</v>
      </c>
      <c r="I323" s="497">
        <f t="shared" si="304"/>
        <v>550</v>
      </c>
      <c r="J323" s="497">
        <f t="shared" si="304"/>
        <v>550</v>
      </c>
      <c r="K323" s="497">
        <f t="shared" si="304"/>
        <v>100</v>
      </c>
      <c r="L323" s="497">
        <f t="shared" si="304"/>
        <v>100</v>
      </c>
      <c r="M323" s="497">
        <f t="shared" si="304"/>
        <v>0</v>
      </c>
      <c r="N323" s="497">
        <f t="shared" si="304"/>
        <v>0</v>
      </c>
      <c r="O323" s="497">
        <f t="shared" si="304"/>
        <v>700</v>
      </c>
      <c r="P323" s="497">
        <f t="shared" si="304"/>
        <v>700</v>
      </c>
      <c r="Q323" s="497">
        <f t="shared" si="304"/>
        <v>306657</v>
      </c>
      <c r="R323" s="497">
        <f t="shared" si="304"/>
        <v>140402</v>
      </c>
      <c r="S323" s="497">
        <f t="shared" si="304"/>
        <v>0</v>
      </c>
      <c r="T323" s="497">
        <f t="shared" si="304"/>
        <v>28100</v>
      </c>
      <c r="U323" s="497">
        <f t="shared" si="304"/>
        <v>21800</v>
      </c>
      <c r="V323" s="497">
        <f t="shared" si="304"/>
        <v>0</v>
      </c>
      <c r="W323" s="379"/>
      <c r="X323" s="498">
        <f t="shared" ref="X323:Z323" si="305">SUM(X324,X328)</f>
        <v>28100</v>
      </c>
      <c r="Y323" s="498">
        <f t="shared" si="305"/>
        <v>21800</v>
      </c>
      <c r="Z323" s="498">
        <f t="shared" si="305"/>
        <v>0</v>
      </c>
      <c r="AA323" s="5"/>
      <c r="AB323" s="497">
        <f t="shared" ref="AB323:AK323" si="306">SUM(AB324,AB328)</f>
        <v>0</v>
      </c>
      <c r="AC323" s="497">
        <f t="shared" si="306"/>
        <v>0</v>
      </c>
      <c r="AD323" s="497">
        <f t="shared" si="306"/>
        <v>0</v>
      </c>
      <c r="AE323" s="497">
        <f t="shared" si="306"/>
        <v>0</v>
      </c>
      <c r="AF323" s="497">
        <f t="shared" si="306"/>
        <v>0</v>
      </c>
      <c r="AG323" s="497">
        <f t="shared" si="306"/>
        <v>0</v>
      </c>
      <c r="AH323" s="497">
        <f t="shared" si="306"/>
        <v>0</v>
      </c>
      <c r="AI323" s="497">
        <f t="shared" si="306"/>
        <v>0</v>
      </c>
      <c r="AJ323" s="497">
        <f t="shared" si="306"/>
        <v>0</v>
      </c>
      <c r="AK323" s="497">
        <f t="shared" si="306"/>
        <v>0</v>
      </c>
      <c r="AL323" s="497">
        <f>SUM(AL324,AL328)</f>
        <v>9</v>
      </c>
      <c r="AM323" s="497">
        <f>SUM(AM324,AM328)</f>
        <v>21848</v>
      </c>
      <c r="AN323" s="497">
        <f>SUM(AN324,AN328)</f>
        <v>0</v>
      </c>
      <c r="AO323" s="497">
        <f>SUM(AO324,AO328)</f>
        <v>0</v>
      </c>
    </row>
    <row r="324" spans="1:44" s="31" customFormat="1" ht="15.75">
      <c r="A324" s="475"/>
      <c r="B324" s="499" t="s">
        <v>35</v>
      </c>
      <c r="C324" s="500"/>
      <c r="D324" s="304"/>
      <c r="E324" s="478"/>
      <c r="F324" s="304"/>
      <c r="G324" s="501">
        <f>SUM(G325:G327)</f>
        <v>246723.6</v>
      </c>
      <c r="H324" s="501">
        <f t="shared" ref="H324:V324" si="307">SUM(H325:H327)</f>
        <v>80469.2</v>
      </c>
      <c r="I324" s="501">
        <f t="shared" si="307"/>
        <v>100</v>
      </c>
      <c r="J324" s="501">
        <f t="shared" si="307"/>
        <v>100</v>
      </c>
      <c r="K324" s="501">
        <f t="shared" si="307"/>
        <v>0</v>
      </c>
      <c r="L324" s="501">
        <f t="shared" si="307"/>
        <v>0</v>
      </c>
      <c r="M324" s="501">
        <f t="shared" si="307"/>
        <v>0</v>
      </c>
      <c r="N324" s="501">
        <f t="shared" si="307"/>
        <v>0</v>
      </c>
      <c r="O324" s="501">
        <f t="shared" si="307"/>
        <v>100</v>
      </c>
      <c r="P324" s="501">
        <f t="shared" si="307"/>
        <v>100</v>
      </c>
      <c r="Q324" s="501">
        <f t="shared" si="307"/>
        <v>246624</v>
      </c>
      <c r="R324" s="501">
        <f t="shared" si="307"/>
        <v>80369</v>
      </c>
      <c r="S324" s="501">
        <f t="shared" si="307"/>
        <v>0</v>
      </c>
      <c r="T324" s="501">
        <f t="shared" si="307"/>
        <v>11300</v>
      </c>
      <c r="U324" s="501">
        <f t="shared" si="307"/>
        <v>5000</v>
      </c>
      <c r="V324" s="501">
        <f t="shared" si="307"/>
        <v>0</v>
      </c>
      <c r="W324" s="479"/>
      <c r="X324" s="502">
        <f t="shared" ref="X324:Z324" si="308">SUM(X325:X327)</f>
        <v>11300</v>
      </c>
      <c r="Y324" s="502">
        <f t="shared" si="308"/>
        <v>5000</v>
      </c>
      <c r="Z324" s="502">
        <f t="shared" si="308"/>
        <v>0</v>
      </c>
      <c r="AA324" s="5"/>
      <c r="AB324" s="501">
        <f t="shared" ref="AB324:AK324" si="309">SUM(AB325:AB326)</f>
        <v>0</v>
      </c>
      <c r="AC324" s="501">
        <f t="shared" si="309"/>
        <v>0</v>
      </c>
      <c r="AD324" s="501">
        <f t="shared" si="309"/>
        <v>0</v>
      </c>
      <c r="AE324" s="501">
        <f t="shared" si="309"/>
        <v>0</v>
      </c>
      <c r="AF324" s="501">
        <f t="shared" si="309"/>
        <v>0</v>
      </c>
      <c r="AG324" s="501">
        <f t="shared" si="309"/>
        <v>0</v>
      </c>
      <c r="AH324" s="501">
        <f t="shared" si="309"/>
        <v>0</v>
      </c>
      <c r="AI324" s="501">
        <f t="shared" si="309"/>
        <v>0</v>
      </c>
      <c r="AJ324" s="501">
        <f t="shared" si="309"/>
        <v>0</v>
      </c>
      <c r="AK324" s="501">
        <f t="shared" si="309"/>
        <v>0</v>
      </c>
      <c r="AL324" s="501">
        <f>SUM(AL325:AL326)</f>
        <v>2</v>
      </c>
      <c r="AM324" s="501">
        <f>SUM(AM325:AM326)</f>
        <v>5000</v>
      </c>
      <c r="AN324" s="501">
        <f>SUM(AN325:AN326)</f>
        <v>0</v>
      </c>
      <c r="AO324" s="501">
        <f>SUM(AO325:AO326)</f>
        <v>0</v>
      </c>
    </row>
    <row r="325" spans="1:44" s="25" customFormat="1" ht="63">
      <c r="A325" s="456">
        <v>1</v>
      </c>
      <c r="B325" s="489" t="s">
        <v>1303</v>
      </c>
      <c r="C325" s="490"/>
      <c r="D325" s="233"/>
      <c r="E325" s="458"/>
      <c r="F325" s="233"/>
      <c r="G325" s="491">
        <v>58300</v>
      </c>
      <c r="H325" s="491">
        <f>58300-27000</f>
        <v>31300</v>
      </c>
      <c r="I325" s="491">
        <v>100</v>
      </c>
      <c r="J325" s="491">
        <v>100</v>
      </c>
      <c r="K325" s="491"/>
      <c r="L325" s="491"/>
      <c r="M325" s="492"/>
      <c r="N325" s="492"/>
      <c r="O325" s="491">
        <v>100</v>
      </c>
      <c r="P325" s="491">
        <v>100</v>
      </c>
      <c r="Q325" s="491">
        <v>58200</v>
      </c>
      <c r="R325" s="491">
        <v>31200</v>
      </c>
      <c r="S325" s="491"/>
      <c r="T325" s="491">
        <f>4300+3000</f>
        <v>7300</v>
      </c>
      <c r="U325" s="491">
        <v>3000</v>
      </c>
      <c r="V325" s="491"/>
      <c r="W325" s="24"/>
      <c r="X325" s="493">
        <f>4300+3000</f>
        <v>7300</v>
      </c>
      <c r="Y325" s="493">
        <v>3000</v>
      </c>
      <c r="Z325" s="493"/>
      <c r="AA325" s="5"/>
      <c r="AL325" s="25">
        <v>1</v>
      </c>
      <c r="AM325" s="491">
        <v>3000</v>
      </c>
    </row>
    <row r="326" spans="1:44" s="25" customFormat="1" ht="31.5">
      <c r="A326" s="456">
        <v>2</v>
      </c>
      <c r="B326" s="489" t="s">
        <v>787</v>
      </c>
      <c r="C326" s="490" t="s">
        <v>29</v>
      </c>
      <c r="D326" s="233" t="s">
        <v>788</v>
      </c>
      <c r="E326" s="458" t="s">
        <v>355</v>
      </c>
      <c r="F326" s="233"/>
      <c r="G326" s="491">
        <v>50000</v>
      </c>
      <c r="H326" s="491">
        <v>25000</v>
      </c>
      <c r="I326" s="491"/>
      <c r="J326" s="491"/>
      <c r="K326" s="491"/>
      <c r="L326" s="491"/>
      <c r="M326" s="492"/>
      <c r="N326" s="492"/>
      <c r="O326" s="491"/>
      <c r="P326" s="491"/>
      <c r="Q326" s="491">
        <f>G326-O326</f>
        <v>50000</v>
      </c>
      <c r="R326" s="491">
        <f>H326-P326</f>
        <v>25000</v>
      </c>
      <c r="S326" s="491"/>
      <c r="T326" s="491">
        <v>4000</v>
      </c>
      <c r="U326" s="491">
        <v>2000</v>
      </c>
      <c r="V326" s="491"/>
      <c r="W326" s="24"/>
      <c r="X326" s="493">
        <v>4000</v>
      </c>
      <c r="Y326" s="493">
        <v>2000</v>
      </c>
      <c r="Z326" s="493"/>
      <c r="AA326" s="5"/>
      <c r="AL326" s="25">
        <v>1</v>
      </c>
      <c r="AM326" s="491">
        <v>2000</v>
      </c>
    </row>
    <row r="327" spans="1:44" s="25" customFormat="1" ht="45">
      <c r="A327" s="456">
        <v>3</v>
      </c>
      <c r="B327" s="489" t="s">
        <v>1190</v>
      </c>
      <c r="C327" s="490" t="s">
        <v>278</v>
      </c>
      <c r="D327" s="233"/>
      <c r="E327" s="458" t="s">
        <v>1192</v>
      </c>
      <c r="F327" s="454"/>
      <c r="G327" s="491">
        <f>6300*21.972</f>
        <v>138423.6</v>
      </c>
      <c r="H327" s="491">
        <f>1100*21.972</f>
        <v>24169.200000000001</v>
      </c>
      <c r="I327" s="491"/>
      <c r="J327" s="491"/>
      <c r="K327" s="491"/>
      <c r="L327" s="491"/>
      <c r="M327" s="491"/>
      <c r="N327" s="491"/>
      <c r="O327" s="491"/>
      <c r="P327" s="491"/>
      <c r="Q327" s="491">
        <v>138424</v>
      </c>
      <c r="R327" s="491">
        <v>24169</v>
      </c>
      <c r="S327" s="491"/>
      <c r="T327" s="491"/>
      <c r="U327" s="491"/>
      <c r="V327" s="491"/>
      <c r="W327" s="98" t="s">
        <v>1304</v>
      </c>
      <c r="X327" s="493"/>
      <c r="Y327" s="493"/>
      <c r="Z327" s="493"/>
      <c r="AA327" s="5"/>
      <c r="AB327" s="491"/>
      <c r="AC327" s="491"/>
      <c r="AD327" s="491"/>
      <c r="AE327" s="491"/>
      <c r="AF327" s="491"/>
      <c r="AG327" s="491"/>
      <c r="AH327" s="491"/>
      <c r="AI327" s="491"/>
      <c r="AJ327" s="491"/>
      <c r="AK327" s="491"/>
      <c r="AL327" s="491"/>
      <c r="AM327" s="491"/>
      <c r="AN327" s="491"/>
      <c r="AO327" s="491"/>
    </row>
    <row r="328" spans="1:44" s="31" customFormat="1" ht="24" customHeight="1">
      <c r="A328" s="475"/>
      <c r="B328" s="499" t="s">
        <v>48</v>
      </c>
      <c r="C328" s="500"/>
      <c r="D328" s="304"/>
      <c r="E328" s="478"/>
      <c r="F328" s="304"/>
      <c r="G328" s="501">
        <f t="shared" ref="G328:V328" si="310">SUM(G329:G335)</f>
        <v>60183</v>
      </c>
      <c r="H328" s="501">
        <f t="shared" si="310"/>
        <v>60183</v>
      </c>
      <c r="I328" s="501">
        <f t="shared" si="310"/>
        <v>450</v>
      </c>
      <c r="J328" s="501">
        <f t="shared" si="310"/>
        <v>450</v>
      </c>
      <c r="K328" s="501">
        <f t="shared" si="310"/>
        <v>100</v>
      </c>
      <c r="L328" s="501">
        <f t="shared" si="310"/>
        <v>100</v>
      </c>
      <c r="M328" s="501">
        <f t="shared" si="310"/>
        <v>0</v>
      </c>
      <c r="N328" s="501">
        <f t="shared" si="310"/>
        <v>0</v>
      </c>
      <c r="O328" s="501">
        <f t="shared" si="310"/>
        <v>600</v>
      </c>
      <c r="P328" s="501">
        <f t="shared" si="310"/>
        <v>600</v>
      </c>
      <c r="Q328" s="501">
        <f t="shared" si="310"/>
        <v>60033</v>
      </c>
      <c r="R328" s="501">
        <f t="shared" si="310"/>
        <v>60033</v>
      </c>
      <c r="S328" s="501">
        <f t="shared" si="310"/>
        <v>0</v>
      </c>
      <c r="T328" s="501">
        <f t="shared" si="310"/>
        <v>16800</v>
      </c>
      <c r="U328" s="501">
        <f t="shared" si="310"/>
        <v>16800</v>
      </c>
      <c r="V328" s="501">
        <f t="shared" si="310"/>
        <v>0</v>
      </c>
      <c r="W328" s="479"/>
      <c r="X328" s="502">
        <f t="shared" ref="X328:Z328" si="311">SUM(X329:X335)</f>
        <v>16800</v>
      </c>
      <c r="Y328" s="502">
        <f t="shared" si="311"/>
        <v>16800</v>
      </c>
      <c r="Z328" s="502">
        <f t="shared" si="311"/>
        <v>0</v>
      </c>
      <c r="AA328" s="5"/>
      <c r="AB328" s="501">
        <f t="shared" ref="AB328:AO328" si="312">SUM(AB329:AB335)</f>
        <v>0</v>
      </c>
      <c r="AC328" s="501">
        <f t="shared" si="312"/>
        <v>0</v>
      </c>
      <c r="AD328" s="501">
        <f t="shared" si="312"/>
        <v>0</v>
      </c>
      <c r="AE328" s="501">
        <f t="shared" si="312"/>
        <v>0</v>
      </c>
      <c r="AF328" s="501">
        <f t="shared" si="312"/>
        <v>0</v>
      </c>
      <c r="AG328" s="501">
        <f t="shared" si="312"/>
        <v>0</v>
      </c>
      <c r="AH328" s="501">
        <f t="shared" si="312"/>
        <v>0</v>
      </c>
      <c r="AI328" s="501">
        <f t="shared" si="312"/>
        <v>0</v>
      </c>
      <c r="AJ328" s="501">
        <f t="shared" si="312"/>
        <v>0</v>
      </c>
      <c r="AK328" s="501">
        <f t="shared" si="312"/>
        <v>0</v>
      </c>
      <c r="AL328" s="501">
        <f t="shared" si="312"/>
        <v>7</v>
      </c>
      <c r="AM328" s="501">
        <f t="shared" si="312"/>
        <v>16848</v>
      </c>
      <c r="AN328" s="501">
        <f t="shared" si="312"/>
        <v>0</v>
      </c>
      <c r="AO328" s="501">
        <f t="shared" si="312"/>
        <v>0</v>
      </c>
    </row>
    <row r="329" spans="1:44" s="25" customFormat="1" ht="31.5">
      <c r="A329" s="456">
        <v>1</v>
      </c>
      <c r="B329" s="489" t="s">
        <v>790</v>
      </c>
      <c r="C329" s="490"/>
      <c r="D329" s="233"/>
      <c r="E329" s="458"/>
      <c r="F329" s="233"/>
      <c r="G329" s="491">
        <v>3945</v>
      </c>
      <c r="H329" s="491">
        <v>3945</v>
      </c>
      <c r="I329" s="491">
        <v>50</v>
      </c>
      <c r="J329" s="491">
        <v>50</v>
      </c>
      <c r="K329" s="491">
        <v>100</v>
      </c>
      <c r="L329" s="491">
        <v>100</v>
      </c>
      <c r="M329" s="492"/>
      <c r="N329" s="492"/>
      <c r="O329" s="491">
        <v>150</v>
      </c>
      <c r="P329" s="491">
        <v>150</v>
      </c>
      <c r="Q329" s="491">
        <f>G329-100</f>
        <v>3845</v>
      </c>
      <c r="R329" s="491">
        <v>3845</v>
      </c>
      <c r="S329" s="491"/>
      <c r="T329" s="491">
        <v>3800</v>
      </c>
      <c r="U329" s="491">
        <v>3800</v>
      </c>
      <c r="V329" s="491"/>
      <c r="W329" s="24"/>
      <c r="X329" s="493">
        <v>3800</v>
      </c>
      <c r="Y329" s="493">
        <v>3800</v>
      </c>
      <c r="Z329" s="493"/>
      <c r="AA329" s="5"/>
      <c r="AL329" s="25">
        <v>1</v>
      </c>
      <c r="AM329" s="491">
        <v>3845</v>
      </c>
    </row>
    <row r="330" spans="1:44" s="25" customFormat="1" ht="52.5" customHeight="1">
      <c r="A330" s="456">
        <v>2</v>
      </c>
      <c r="B330" s="489" t="s">
        <v>792</v>
      </c>
      <c r="C330" s="490" t="s">
        <v>29</v>
      </c>
      <c r="D330" s="233" t="s">
        <v>762</v>
      </c>
      <c r="E330" s="458" t="s">
        <v>120</v>
      </c>
      <c r="F330" s="233"/>
      <c r="G330" s="491">
        <v>1280</v>
      </c>
      <c r="H330" s="491">
        <v>1280</v>
      </c>
      <c r="I330" s="491">
        <v>50</v>
      </c>
      <c r="J330" s="491">
        <v>50</v>
      </c>
      <c r="K330" s="491"/>
      <c r="L330" s="491"/>
      <c r="M330" s="492"/>
      <c r="N330" s="492"/>
      <c r="O330" s="491">
        <v>50</v>
      </c>
      <c r="P330" s="491">
        <v>50</v>
      </c>
      <c r="Q330" s="491">
        <f>1280-P330</f>
        <v>1230</v>
      </c>
      <c r="R330" s="491">
        <v>1230</v>
      </c>
      <c r="S330" s="491"/>
      <c r="T330" s="491">
        <v>1200</v>
      </c>
      <c r="U330" s="491">
        <v>1200</v>
      </c>
      <c r="V330" s="491"/>
      <c r="W330" s="24"/>
      <c r="X330" s="493">
        <v>1200</v>
      </c>
      <c r="Y330" s="493">
        <v>1200</v>
      </c>
      <c r="Z330" s="493"/>
      <c r="AA330" s="5"/>
      <c r="AL330" s="25">
        <v>1</v>
      </c>
      <c r="AM330" s="491">
        <v>2984</v>
      </c>
    </row>
    <row r="331" spans="1:44" s="25" customFormat="1" ht="63">
      <c r="A331" s="456">
        <v>3</v>
      </c>
      <c r="B331" s="489" t="s">
        <v>794</v>
      </c>
      <c r="C331" s="490" t="s">
        <v>29</v>
      </c>
      <c r="D331" s="233"/>
      <c r="E331" s="458" t="s">
        <v>166</v>
      </c>
      <c r="F331" s="454"/>
      <c r="G331" s="491">
        <v>2999</v>
      </c>
      <c r="H331" s="491">
        <v>2999</v>
      </c>
      <c r="I331" s="491">
        <v>100</v>
      </c>
      <c r="J331" s="491">
        <v>100</v>
      </c>
      <c r="K331" s="491"/>
      <c r="L331" s="491"/>
      <c r="M331" s="492"/>
      <c r="N331" s="492"/>
      <c r="O331" s="491">
        <v>100</v>
      </c>
      <c r="P331" s="491">
        <v>100</v>
      </c>
      <c r="Q331" s="491">
        <v>2999</v>
      </c>
      <c r="R331" s="491">
        <v>2999</v>
      </c>
      <c r="S331" s="491"/>
      <c r="T331" s="491">
        <v>3000</v>
      </c>
      <c r="U331" s="491">
        <v>3000</v>
      </c>
      <c r="V331" s="491"/>
      <c r="W331" s="98"/>
      <c r="X331" s="493">
        <v>3000</v>
      </c>
      <c r="Y331" s="493">
        <v>3000</v>
      </c>
      <c r="Z331" s="493"/>
      <c r="AA331" s="5"/>
      <c r="AL331" s="25">
        <v>1</v>
      </c>
      <c r="AM331" s="491">
        <v>1230</v>
      </c>
    </row>
    <row r="332" spans="1:44" s="25" customFormat="1" ht="69" customHeight="1">
      <c r="A332" s="456">
        <v>4</v>
      </c>
      <c r="B332" s="489" t="s">
        <v>1305</v>
      </c>
      <c r="C332" s="490" t="s">
        <v>29</v>
      </c>
      <c r="D332" s="233" t="s">
        <v>797</v>
      </c>
      <c r="E332" s="458" t="s">
        <v>163</v>
      </c>
      <c r="F332" s="454"/>
      <c r="G332" s="491">
        <v>18500</v>
      </c>
      <c r="H332" s="491">
        <v>18500</v>
      </c>
      <c r="I332" s="491">
        <v>200</v>
      </c>
      <c r="J332" s="491">
        <v>200</v>
      </c>
      <c r="K332" s="491"/>
      <c r="L332" s="491"/>
      <c r="M332" s="492"/>
      <c r="N332" s="492"/>
      <c r="O332" s="491">
        <v>200</v>
      </c>
      <c r="P332" s="491">
        <v>200</v>
      </c>
      <c r="Q332" s="491">
        <v>18500</v>
      </c>
      <c r="R332" s="491">
        <v>18500</v>
      </c>
      <c r="S332" s="491"/>
      <c r="T332" s="392">
        <v>3000</v>
      </c>
      <c r="U332" s="392">
        <v>3000</v>
      </c>
      <c r="V332" s="491"/>
      <c r="W332" s="98" t="s">
        <v>1092</v>
      </c>
      <c r="X332" s="396">
        <v>3000</v>
      </c>
      <c r="Y332" s="396">
        <v>3000</v>
      </c>
      <c r="Z332" s="493"/>
      <c r="AA332" s="5"/>
      <c r="AL332" s="25">
        <v>1</v>
      </c>
      <c r="AM332" s="491">
        <f>2999-100</f>
        <v>2899</v>
      </c>
    </row>
    <row r="333" spans="1:44" s="25" customFormat="1" ht="51" customHeight="1">
      <c r="A333" s="456">
        <v>5</v>
      </c>
      <c r="B333" s="489" t="s">
        <v>799</v>
      </c>
      <c r="C333" s="490" t="s">
        <v>29</v>
      </c>
      <c r="D333" s="233"/>
      <c r="E333" s="458" t="s">
        <v>166</v>
      </c>
      <c r="F333" s="454"/>
      <c r="G333" s="491">
        <v>1890</v>
      </c>
      <c r="H333" s="491">
        <v>1890</v>
      </c>
      <c r="I333" s="491">
        <v>50</v>
      </c>
      <c r="J333" s="491">
        <v>50</v>
      </c>
      <c r="K333" s="491"/>
      <c r="L333" s="491"/>
      <c r="M333" s="492"/>
      <c r="N333" s="492"/>
      <c r="O333" s="491">
        <v>100</v>
      </c>
      <c r="P333" s="491">
        <v>100</v>
      </c>
      <c r="Q333" s="491">
        <v>1890</v>
      </c>
      <c r="R333" s="491">
        <v>1890</v>
      </c>
      <c r="S333" s="491"/>
      <c r="T333" s="491">
        <v>1800</v>
      </c>
      <c r="U333" s="491">
        <v>1800</v>
      </c>
      <c r="V333" s="491"/>
      <c r="W333" s="98" t="s">
        <v>1093</v>
      </c>
      <c r="X333" s="493">
        <v>1800</v>
      </c>
      <c r="Y333" s="493">
        <v>1800</v>
      </c>
      <c r="Z333" s="493"/>
      <c r="AA333" s="5"/>
      <c r="AL333" s="25">
        <v>1</v>
      </c>
      <c r="AM333" s="392">
        <v>2000</v>
      </c>
    </row>
    <row r="334" spans="1:44" s="25" customFormat="1" ht="66" customHeight="1">
      <c r="A334" s="456">
        <v>6</v>
      </c>
      <c r="B334" s="214" t="s">
        <v>801</v>
      </c>
      <c r="C334" s="94" t="s">
        <v>29</v>
      </c>
      <c r="D334" s="233" t="s">
        <v>782</v>
      </c>
      <c r="E334" s="95"/>
      <c r="F334" s="454"/>
      <c r="G334" s="365">
        <v>21569</v>
      </c>
      <c r="H334" s="365">
        <f>+G334</f>
        <v>21569</v>
      </c>
      <c r="I334" s="23"/>
      <c r="J334" s="23"/>
      <c r="K334" s="23"/>
      <c r="L334" s="23"/>
      <c r="M334" s="23"/>
      <c r="N334" s="366"/>
      <c r="O334" s="366"/>
      <c r="P334" s="366"/>
      <c r="Q334" s="366">
        <f>+G334</f>
        <v>21569</v>
      </c>
      <c r="R334" s="366">
        <f>+Q334</f>
        <v>21569</v>
      </c>
      <c r="S334" s="366"/>
      <c r="T334" s="392">
        <v>2000</v>
      </c>
      <c r="U334" s="392">
        <v>2000</v>
      </c>
      <c r="V334" s="366"/>
      <c r="W334" s="80" t="s">
        <v>1094</v>
      </c>
      <c r="X334" s="396">
        <v>2000</v>
      </c>
      <c r="Y334" s="396">
        <v>2000</v>
      </c>
      <c r="Z334" s="367"/>
      <c r="AA334" s="5"/>
      <c r="AL334" s="25">
        <v>1</v>
      </c>
      <c r="AM334" s="491">
        <v>1890</v>
      </c>
    </row>
    <row r="335" spans="1:44" s="25" customFormat="1" ht="38.25">
      <c r="A335" s="456">
        <v>7</v>
      </c>
      <c r="B335" s="457" t="s">
        <v>803</v>
      </c>
      <c r="C335" s="403" t="s">
        <v>29</v>
      </c>
      <c r="D335" s="101" t="s">
        <v>804</v>
      </c>
      <c r="E335" s="458" t="s">
        <v>154</v>
      </c>
      <c r="F335" s="454"/>
      <c r="G335" s="392">
        <v>10000</v>
      </c>
      <c r="H335" s="392">
        <v>10000</v>
      </c>
      <c r="I335" s="392"/>
      <c r="J335" s="392"/>
      <c r="K335" s="392"/>
      <c r="L335" s="392"/>
      <c r="M335" s="366"/>
      <c r="N335" s="366"/>
      <c r="O335" s="392"/>
      <c r="P335" s="392"/>
      <c r="Q335" s="392">
        <f>G335-O335</f>
        <v>10000</v>
      </c>
      <c r="R335" s="392">
        <f>H335-P335</f>
        <v>10000</v>
      </c>
      <c r="S335" s="392"/>
      <c r="T335" s="392">
        <v>2000</v>
      </c>
      <c r="U335" s="392">
        <v>2000</v>
      </c>
      <c r="V335" s="392"/>
      <c r="W335" s="80" t="s">
        <v>1095</v>
      </c>
      <c r="X335" s="396">
        <v>2000</v>
      </c>
      <c r="Y335" s="396">
        <v>2000</v>
      </c>
      <c r="Z335" s="396"/>
      <c r="AA335" s="5"/>
      <c r="AL335" s="25">
        <v>1</v>
      </c>
      <c r="AM335" s="392">
        <v>2000</v>
      </c>
    </row>
    <row r="336" spans="1:44" s="195" customFormat="1" ht="15.75">
      <c r="A336" s="459"/>
      <c r="B336" s="460"/>
      <c r="C336" s="461"/>
      <c r="D336" s="274"/>
      <c r="E336" s="462"/>
      <c r="F336" s="274"/>
      <c r="G336" s="463"/>
      <c r="H336" s="463"/>
      <c r="I336" s="463"/>
      <c r="J336" s="463">
        <f>507630-J337</f>
        <v>0</v>
      </c>
      <c r="K336" s="463"/>
      <c r="L336" s="463"/>
      <c r="M336" s="464"/>
      <c r="N336" s="464"/>
      <c r="O336" s="463"/>
      <c r="P336" s="463"/>
      <c r="Q336" s="463"/>
      <c r="R336" s="463"/>
      <c r="S336" s="463"/>
      <c r="T336" s="463"/>
      <c r="U336" s="463"/>
      <c r="V336" s="463"/>
      <c r="W336" s="154"/>
      <c r="X336" s="396"/>
      <c r="Y336" s="396"/>
      <c r="Z336" s="396"/>
      <c r="AA336" s="5"/>
      <c r="AP336" s="195">
        <f>+AP337+AP394</f>
        <v>758000</v>
      </c>
      <c r="AQ336" s="195">
        <f>+AP336-193794</f>
        <v>564206</v>
      </c>
      <c r="AR336" s="195">
        <f>+AQ336/1177000*100</f>
        <v>47.935938827527615</v>
      </c>
    </row>
    <row r="337" spans="1:42" s="406" customFormat="1" ht="31.5">
      <c r="A337" s="147" t="s">
        <v>806</v>
      </c>
      <c r="B337" s="209" t="s">
        <v>1306</v>
      </c>
      <c r="C337" s="234"/>
      <c r="D337" s="148"/>
      <c r="E337" s="149"/>
      <c r="F337" s="148"/>
      <c r="G337" s="210">
        <f t="shared" ref="G337:V337" si="313">SUM(G338,G352)</f>
        <v>3006779</v>
      </c>
      <c r="H337" s="210">
        <f t="shared" si="313"/>
        <v>2569791</v>
      </c>
      <c r="I337" s="210">
        <f t="shared" si="313"/>
        <v>550571</v>
      </c>
      <c r="J337" s="210">
        <f t="shared" si="313"/>
        <v>507630</v>
      </c>
      <c r="K337" s="210">
        <f t="shared" si="313"/>
        <v>166902</v>
      </c>
      <c r="L337" s="210">
        <f t="shared" si="313"/>
        <v>166902</v>
      </c>
      <c r="M337" s="210">
        <f t="shared" si="313"/>
        <v>38061</v>
      </c>
      <c r="N337" s="210">
        <f t="shared" si="313"/>
        <v>35105</v>
      </c>
      <c r="O337" s="210">
        <f t="shared" si="313"/>
        <v>1140076</v>
      </c>
      <c r="P337" s="210">
        <f t="shared" si="313"/>
        <v>919302</v>
      </c>
      <c r="Q337" s="210">
        <f t="shared" si="313"/>
        <v>1377015</v>
      </c>
      <c r="R337" s="210">
        <f t="shared" si="313"/>
        <v>1260580</v>
      </c>
      <c r="S337" s="210">
        <f t="shared" si="313"/>
        <v>0</v>
      </c>
      <c r="T337" s="210">
        <f t="shared" si="313"/>
        <v>730650</v>
      </c>
      <c r="U337" s="210">
        <f t="shared" si="313"/>
        <v>595850</v>
      </c>
      <c r="V337" s="210">
        <f t="shared" si="313"/>
        <v>0</v>
      </c>
      <c r="W337" s="503"/>
      <c r="X337" s="429">
        <f t="shared" ref="X337:Z337" si="314">SUM(X338,X352)</f>
        <v>746150</v>
      </c>
      <c r="Y337" s="429">
        <f t="shared" si="314"/>
        <v>661350</v>
      </c>
      <c r="Z337" s="429">
        <f t="shared" si="314"/>
        <v>0</v>
      </c>
      <c r="AA337" s="348">
        <f>+U337/(2704380-258412-300000)*100</f>
        <v>27.766024470075973</v>
      </c>
      <c r="AB337" s="210">
        <f t="shared" ref="AB337:AO337" si="315">SUM(AB338,AB352)</f>
        <v>17</v>
      </c>
      <c r="AC337" s="210">
        <f t="shared" si="315"/>
        <v>2050</v>
      </c>
      <c r="AD337" s="210">
        <f t="shared" si="315"/>
        <v>9</v>
      </c>
      <c r="AE337" s="210">
        <f t="shared" si="315"/>
        <v>90595</v>
      </c>
      <c r="AF337" s="210">
        <f t="shared" si="315"/>
        <v>0</v>
      </c>
      <c r="AG337" s="210">
        <f t="shared" si="315"/>
        <v>0</v>
      </c>
      <c r="AH337" s="210">
        <f t="shared" si="315"/>
        <v>18</v>
      </c>
      <c r="AI337" s="210">
        <f t="shared" si="315"/>
        <v>649136</v>
      </c>
      <c r="AJ337" s="210">
        <f t="shared" si="315"/>
        <v>0</v>
      </c>
      <c r="AK337" s="210">
        <f t="shared" si="315"/>
        <v>0</v>
      </c>
      <c r="AL337" s="210">
        <f t="shared" si="315"/>
        <v>31</v>
      </c>
      <c r="AM337" s="210">
        <f t="shared" si="315"/>
        <v>88390</v>
      </c>
      <c r="AN337" s="210">
        <f t="shared" si="315"/>
        <v>0</v>
      </c>
      <c r="AO337" s="210">
        <f t="shared" si="315"/>
        <v>0</v>
      </c>
      <c r="AP337" s="406">
        <f>+U337</f>
        <v>595850</v>
      </c>
    </row>
    <row r="338" spans="1:42" s="25" customFormat="1" ht="21" customHeight="1">
      <c r="A338" s="11"/>
      <c r="B338" s="12" t="s">
        <v>26</v>
      </c>
      <c r="C338" s="143"/>
      <c r="D338" s="19"/>
      <c r="E338" s="70"/>
      <c r="F338" s="19"/>
      <c r="G338" s="15">
        <f t="shared" ref="G338" si="316">SUM(G339:G351)</f>
        <v>353917</v>
      </c>
      <c r="H338" s="15">
        <f t="shared" ref="H338:V338" si="317">SUM(H339:H351)</f>
        <v>353917</v>
      </c>
      <c r="I338" s="15">
        <f t="shared" si="317"/>
        <v>718</v>
      </c>
      <c r="J338" s="15">
        <f t="shared" si="317"/>
        <v>718</v>
      </c>
      <c r="K338" s="15">
        <f t="shared" si="317"/>
        <v>0</v>
      </c>
      <c r="L338" s="15">
        <f t="shared" si="317"/>
        <v>0</v>
      </c>
      <c r="M338" s="15">
        <f t="shared" si="317"/>
        <v>0</v>
      </c>
      <c r="N338" s="15">
        <f t="shared" si="317"/>
        <v>0</v>
      </c>
      <c r="O338" s="15">
        <f t="shared" si="317"/>
        <v>918</v>
      </c>
      <c r="P338" s="15">
        <f t="shared" si="317"/>
        <v>918</v>
      </c>
      <c r="Q338" s="15">
        <f t="shared" si="317"/>
        <v>0</v>
      </c>
      <c r="R338" s="15">
        <f t="shared" si="317"/>
        <v>0</v>
      </c>
      <c r="S338" s="15">
        <f t="shared" si="317"/>
        <v>0</v>
      </c>
      <c r="T338" s="15">
        <f t="shared" si="317"/>
        <v>2450</v>
      </c>
      <c r="U338" s="15">
        <f t="shared" si="317"/>
        <v>2450</v>
      </c>
      <c r="V338" s="15">
        <f t="shared" si="317"/>
        <v>0</v>
      </c>
      <c r="W338" s="24"/>
      <c r="X338" s="429">
        <f t="shared" ref="X338:Z338" si="318">SUM(X339:X351)</f>
        <v>2450</v>
      </c>
      <c r="Y338" s="429">
        <f t="shared" si="318"/>
        <v>2450</v>
      </c>
      <c r="Z338" s="429">
        <f t="shared" si="318"/>
        <v>0</v>
      </c>
      <c r="AA338" s="5"/>
      <c r="AB338" s="15">
        <f t="shared" ref="AB338:AO338" si="319">SUM(AB339:AB351)</f>
        <v>13</v>
      </c>
      <c r="AC338" s="15">
        <f t="shared" si="319"/>
        <v>1500</v>
      </c>
      <c r="AD338" s="15">
        <f t="shared" si="319"/>
        <v>0</v>
      </c>
      <c r="AE338" s="15">
        <f t="shared" si="319"/>
        <v>0</v>
      </c>
      <c r="AF338" s="15">
        <f t="shared" si="319"/>
        <v>0</v>
      </c>
      <c r="AG338" s="15">
        <f t="shared" si="319"/>
        <v>0</v>
      </c>
      <c r="AH338" s="15">
        <f t="shared" si="319"/>
        <v>0</v>
      </c>
      <c r="AI338" s="15">
        <f t="shared" si="319"/>
        <v>0</v>
      </c>
      <c r="AJ338" s="15">
        <f t="shared" si="319"/>
        <v>0</v>
      </c>
      <c r="AK338" s="15">
        <f t="shared" si="319"/>
        <v>0</v>
      </c>
      <c r="AL338" s="15">
        <f t="shared" si="319"/>
        <v>0</v>
      </c>
      <c r="AM338" s="15">
        <f t="shared" si="319"/>
        <v>0</v>
      </c>
      <c r="AN338" s="15">
        <f t="shared" si="319"/>
        <v>0</v>
      </c>
      <c r="AO338" s="15">
        <f t="shared" si="319"/>
        <v>0</v>
      </c>
    </row>
    <row r="339" spans="1:42" s="504" customFormat="1" ht="47.25">
      <c r="A339" s="222">
        <v>1</v>
      </c>
      <c r="B339" s="212" t="s">
        <v>807</v>
      </c>
      <c r="C339" s="143" t="s">
        <v>5</v>
      </c>
      <c r="D339" s="19" t="s">
        <v>44</v>
      </c>
      <c r="E339" s="70" t="s">
        <v>355</v>
      </c>
      <c r="F339" s="101"/>
      <c r="G339" s="23"/>
      <c r="H339" s="23"/>
      <c r="I339" s="23">
        <v>50</v>
      </c>
      <c r="J339" s="23">
        <v>50</v>
      </c>
      <c r="K339" s="23"/>
      <c r="L339" s="23"/>
      <c r="M339" s="23"/>
      <c r="N339" s="23"/>
      <c r="O339" s="23">
        <v>50</v>
      </c>
      <c r="P339" s="23">
        <v>50</v>
      </c>
      <c r="Q339" s="23"/>
      <c r="R339" s="23"/>
      <c r="S339" s="23"/>
      <c r="T339" s="23">
        <v>250</v>
      </c>
      <c r="U339" s="23">
        <v>250</v>
      </c>
      <c r="V339" s="23"/>
      <c r="W339" s="80"/>
      <c r="X339" s="371">
        <v>250</v>
      </c>
      <c r="Y339" s="371">
        <v>250</v>
      </c>
      <c r="Z339" s="371"/>
      <c r="AA339" s="5"/>
      <c r="AB339" s="25">
        <v>1</v>
      </c>
      <c r="AC339" s="23">
        <v>100</v>
      </c>
    </row>
    <row r="340" spans="1:42" s="504" customFormat="1" ht="62.25" customHeight="1">
      <c r="A340" s="222">
        <v>2</v>
      </c>
      <c r="B340" s="212" t="s">
        <v>808</v>
      </c>
      <c r="C340" s="143" t="s">
        <v>29</v>
      </c>
      <c r="D340" s="19"/>
      <c r="E340" s="70" t="s">
        <v>355</v>
      </c>
      <c r="F340" s="311" t="s">
        <v>1096</v>
      </c>
      <c r="G340" s="23">
        <f t="shared" ref="G340" si="320">H340</f>
        <v>19776</v>
      </c>
      <c r="H340" s="23">
        <v>19776</v>
      </c>
      <c r="I340" s="23">
        <f>J340</f>
        <v>200</v>
      </c>
      <c r="J340" s="23">
        <v>200</v>
      </c>
      <c r="K340" s="23"/>
      <c r="L340" s="23"/>
      <c r="M340" s="23"/>
      <c r="N340" s="23"/>
      <c r="O340" s="23">
        <f>P340</f>
        <v>200</v>
      </c>
      <c r="P340" s="23">
        <v>200</v>
      </c>
      <c r="Q340" s="23"/>
      <c r="R340" s="23"/>
      <c r="S340" s="23"/>
      <c r="T340" s="23">
        <f t="shared" ref="T340" si="321">U340</f>
        <v>200</v>
      </c>
      <c r="U340" s="23">
        <v>200</v>
      </c>
      <c r="V340" s="23"/>
      <c r="W340" s="80"/>
      <c r="X340" s="371">
        <f t="shared" ref="X340" si="322">Y340</f>
        <v>200</v>
      </c>
      <c r="Y340" s="371">
        <v>200</v>
      </c>
      <c r="Z340" s="371"/>
      <c r="AA340" s="5"/>
      <c r="AB340" s="25">
        <v>1</v>
      </c>
      <c r="AC340" s="23">
        <v>100</v>
      </c>
    </row>
    <row r="341" spans="1:42" s="504" customFormat="1" ht="35.25" customHeight="1">
      <c r="A341" s="222">
        <v>3</v>
      </c>
      <c r="B341" s="212" t="s">
        <v>809</v>
      </c>
      <c r="C341" s="143" t="s">
        <v>43</v>
      </c>
      <c r="D341" s="19" t="s">
        <v>810</v>
      </c>
      <c r="E341" s="70" t="s">
        <v>163</v>
      </c>
      <c r="F341" s="101"/>
      <c r="G341" s="23"/>
      <c r="H341" s="23"/>
      <c r="I341" s="23">
        <v>100</v>
      </c>
      <c r="J341" s="23">
        <v>100</v>
      </c>
      <c r="K341" s="23"/>
      <c r="L341" s="23"/>
      <c r="M341" s="23"/>
      <c r="N341" s="23"/>
      <c r="O341" s="23">
        <v>100</v>
      </c>
      <c r="P341" s="23">
        <v>100</v>
      </c>
      <c r="Q341" s="23"/>
      <c r="R341" s="23"/>
      <c r="S341" s="23"/>
      <c r="T341" s="23">
        <v>400</v>
      </c>
      <c r="U341" s="23">
        <v>400</v>
      </c>
      <c r="V341" s="23"/>
      <c r="W341" s="80"/>
      <c r="X341" s="371">
        <v>400</v>
      </c>
      <c r="Y341" s="371">
        <v>400</v>
      </c>
      <c r="Z341" s="371"/>
      <c r="AA341" s="5"/>
      <c r="AB341" s="25">
        <v>1</v>
      </c>
      <c r="AC341" s="23">
        <v>100</v>
      </c>
    </row>
    <row r="342" spans="1:42" s="504" customFormat="1" ht="36.75" customHeight="1">
      <c r="A342" s="222">
        <v>4</v>
      </c>
      <c r="B342" s="212" t="s">
        <v>811</v>
      </c>
      <c r="C342" s="143" t="s">
        <v>173</v>
      </c>
      <c r="D342" s="19" t="s">
        <v>810</v>
      </c>
      <c r="E342" s="70" t="s">
        <v>163</v>
      </c>
      <c r="F342" s="101"/>
      <c r="G342" s="23"/>
      <c r="H342" s="23"/>
      <c r="I342" s="23">
        <v>100</v>
      </c>
      <c r="J342" s="23">
        <v>100</v>
      </c>
      <c r="K342" s="23"/>
      <c r="L342" s="23"/>
      <c r="M342" s="23"/>
      <c r="N342" s="23"/>
      <c r="O342" s="23">
        <v>100</v>
      </c>
      <c r="P342" s="23">
        <v>100</v>
      </c>
      <c r="Q342" s="23"/>
      <c r="R342" s="23"/>
      <c r="S342" s="23"/>
      <c r="T342" s="23">
        <v>500</v>
      </c>
      <c r="U342" s="23">
        <v>500</v>
      </c>
      <c r="V342" s="23"/>
      <c r="W342" s="80"/>
      <c r="X342" s="371">
        <v>500</v>
      </c>
      <c r="Y342" s="371">
        <v>500</v>
      </c>
      <c r="Z342" s="371"/>
      <c r="AA342" s="5"/>
      <c r="AB342" s="25">
        <v>1</v>
      </c>
      <c r="AC342" s="23">
        <v>100</v>
      </c>
    </row>
    <row r="343" spans="1:42" s="504" customFormat="1" ht="35.25" customHeight="1">
      <c r="A343" s="222">
        <v>5</v>
      </c>
      <c r="B343" s="212" t="s">
        <v>1307</v>
      </c>
      <c r="C343" s="143" t="s">
        <v>43</v>
      </c>
      <c r="D343" s="19" t="s">
        <v>1308</v>
      </c>
      <c r="E343" s="70"/>
      <c r="F343" s="101" t="s">
        <v>1309</v>
      </c>
      <c r="G343" s="23">
        <v>95362</v>
      </c>
      <c r="H343" s="23">
        <f>G343</f>
        <v>95362</v>
      </c>
      <c r="I343" s="23">
        <f>J343</f>
        <v>168</v>
      </c>
      <c r="J343" s="23">
        <v>168</v>
      </c>
      <c r="K343" s="23"/>
      <c r="L343" s="23"/>
      <c r="M343" s="23"/>
      <c r="N343" s="23"/>
      <c r="O343" s="23">
        <f>P343</f>
        <v>368</v>
      </c>
      <c r="P343" s="23">
        <f>200+168</f>
        <v>368</v>
      </c>
      <c r="Q343" s="23"/>
      <c r="R343" s="23"/>
      <c r="S343" s="23"/>
      <c r="T343" s="23">
        <v>200</v>
      </c>
      <c r="U343" s="23">
        <v>200</v>
      </c>
      <c r="V343" s="23"/>
      <c r="W343" s="80"/>
      <c r="X343" s="371">
        <v>200</v>
      </c>
      <c r="Y343" s="371">
        <v>200</v>
      </c>
      <c r="Z343" s="371"/>
      <c r="AA343" s="5"/>
      <c r="AB343" s="25">
        <v>1</v>
      </c>
      <c r="AC343" s="23">
        <v>200</v>
      </c>
    </row>
    <row r="344" spans="1:42" s="504" customFormat="1" ht="35.25" customHeight="1">
      <c r="A344" s="222">
        <v>6</v>
      </c>
      <c r="B344" s="212" t="s">
        <v>812</v>
      </c>
      <c r="C344" s="143" t="s">
        <v>260</v>
      </c>
      <c r="D344" s="19" t="s">
        <v>813</v>
      </c>
      <c r="E344" s="70" t="s">
        <v>1310</v>
      </c>
      <c r="F344" s="19" t="s">
        <v>1311</v>
      </c>
      <c r="G344" s="143">
        <v>18429</v>
      </c>
      <c r="H344" s="72">
        <v>18429</v>
      </c>
      <c r="I344" s="72">
        <v>100</v>
      </c>
      <c r="J344" s="72">
        <v>100</v>
      </c>
      <c r="K344" s="72"/>
      <c r="L344" s="23"/>
      <c r="M344" s="23"/>
      <c r="N344" s="23"/>
      <c r="O344" s="23">
        <f>P344</f>
        <v>100</v>
      </c>
      <c r="P344" s="23">
        <v>100</v>
      </c>
      <c r="Q344" s="23"/>
      <c r="R344" s="23"/>
      <c r="S344" s="23"/>
      <c r="T344" s="23">
        <v>100</v>
      </c>
      <c r="U344" s="23">
        <v>100</v>
      </c>
      <c r="V344" s="23"/>
      <c r="W344" s="80"/>
      <c r="X344" s="371">
        <v>100</v>
      </c>
      <c r="Y344" s="371">
        <v>100</v>
      </c>
      <c r="Z344" s="371"/>
      <c r="AA344" s="5"/>
      <c r="AB344" s="25">
        <v>1</v>
      </c>
      <c r="AC344" s="23">
        <v>150</v>
      </c>
    </row>
    <row r="345" spans="1:42" s="504" customFormat="1" ht="30" customHeight="1">
      <c r="A345" s="222">
        <v>7</v>
      </c>
      <c r="B345" s="212" t="s">
        <v>815</v>
      </c>
      <c r="C345" s="143" t="s">
        <v>143</v>
      </c>
      <c r="D345" s="80" t="s">
        <v>816</v>
      </c>
      <c r="E345" s="70" t="s">
        <v>814</v>
      </c>
      <c r="F345" s="19" t="s">
        <v>1100</v>
      </c>
      <c r="G345" s="72">
        <v>13476</v>
      </c>
      <c r="H345" s="72">
        <v>13476</v>
      </c>
      <c r="I345" s="23"/>
      <c r="J345" s="23"/>
      <c r="K345" s="23"/>
      <c r="L345" s="23"/>
      <c r="M345" s="23"/>
      <c r="N345" s="23"/>
      <c r="O345" s="23"/>
      <c r="P345" s="23"/>
      <c r="Q345" s="23"/>
      <c r="R345" s="23"/>
      <c r="S345" s="23"/>
      <c r="T345" s="23">
        <v>150</v>
      </c>
      <c r="U345" s="23">
        <v>150</v>
      </c>
      <c r="V345" s="23"/>
      <c r="W345" s="80"/>
      <c r="X345" s="371">
        <v>150</v>
      </c>
      <c r="Y345" s="371">
        <v>150</v>
      </c>
      <c r="Z345" s="371"/>
      <c r="AA345" s="5"/>
      <c r="AB345" s="25">
        <v>1</v>
      </c>
      <c r="AC345" s="23">
        <v>100</v>
      </c>
    </row>
    <row r="346" spans="1:42" s="504" customFormat="1" ht="42" customHeight="1">
      <c r="A346" s="222">
        <v>8</v>
      </c>
      <c r="B346" s="212" t="s">
        <v>817</v>
      </c>
      <c r="C346" s="143" t="s">
        <v>5</v>
      </c>
      <c r="D346" s="19" t="s">
        <v>818</v>
      </c>
      <c r="E346" s="70" t="s">
        <v>819</v>
      </c>
      <c r="F346" s="19" t="s">
        <v>1312</v>
      </c>
      <c r="G346" s="72">
        <v>52723</v>
      </c>
      <c r="H346" s="72">
        <v>52723</v>
      </c>
      <c r="I346" s="23"/>
      <c r="J346" s="23"/>
      <c r="K346" s="23"/>
      <c r="L346" s="23"/>
      <c r="M346" s="23"/>
      <c r="N346" s="23"/>
      <c r="O346" s="23"/>
      <c r="P346" s="23"/>
      <c r="Q346" s="23"/>
      <c r="R346" s="23"/>
      <c r="S346" s="23"/>
      <c r="T346" s="23">
        <f t="shared" ref="T346:T351" si="323">U346</f>
        <v>150</v>
      </c>
      <c r="U346" s="23">
        <v>150</v>
      </c>
      <c r="V346" s="23"/>
      <c r="W346" s="80"/>
      <c r="X346" s="371">
        <f t="shared" ref="X346:X351" si="324">Y346</f>
        <v>150</v>
      </c>
      <c r="Y346" s="371">
        <v>150</v>
      </c>
      <c r="Z346" s="371"/>
      <c r="AA346" s="5"/>
      <c r="AB346" s="25">
        <v>1</v>
      </c>
      <c r="AC346" s="23">
        <v>150</v>
      </c>
    </row>
    <row r="347" spans="1:42" s="504" customFormat="1" ht="63" customHeight="1">
      <c r="A347" s="222">
        <v>9</v>
      </c>
      <c r="B347" s="212" t="s">
        <v>1313</v>
      </c>
      <c r="C347" s="143" t="s">
        <v>5</v>
      </c>
      <c r="D347" s="19" t="s">
        <v>888</v>
      </c>
      <c r="E347" s="70" t="s">
        <v>819</v>
      </c>
      <c r="F347" s="19" t="s">
        <v>1314</v>
      </c>
      <c r="G347" s="23">
        <f t="shared" ref="G347:G351" si="325">H347</f>
        <v>81200</v>
      </c>
      <c r="H347" s="23">
        <v>81200</v>
      </c>
      <c r="I347" s="23"/>
      <c r="J347" s="23"/>
      <c r="K347" s="23"/>
      <c r="L347" s="23"/>
      <c r="M347" s="23"/>
      <c r="N347" s="23"/>
      <c r="O347" s="23"/>
      <c r="P347" s="23"/>
      <c r="Q347" s="23"/>
      <c r="R347" s="23"/>
      <c r="S347" s="23"/>
      <c r="T347" s="23">
        <f t="shared" si="323"/>
        <v>100</v>
      </c>
      <c r="U347" s="23">
        <v>100</v>
      </c>
      <c r="V347" s="23"/>
      <c r="W347" s="80"/>
      <c r="X347" s="371">
        <f t="shared" si="324"/>
        <v>100</v>
      </c>
      <c r="Y347" s="371">
        <v>100</v>
      </c>
      <c r="Z347" s="371"/>
      <c r="AA347" s="5"/>
      <c r="AB347" s="25">
        <v>1</v>
      </c>
      <c r="AC347" s="23">
        <v>100</v>
      </c>
    </row>
    <row r="348" spans="1:42" s="504" customFormat="1" ht="68.25" customHeight="1">
      <c r="A348" s="222">
        <v>10</v>
      </c>
      <c r="B348" s="212" t="s">
        <v>1315</v>
      </c>
      <c r="C348" s="143" t="s">
        <v>5</v>
      </c>
      <c r="D348" s="19" t="s">
        <v>823</v>
      </c>
      <c r="E348" s="70" t="s">
        <v>819</v>
      </c>
      <c r="F348" s="19" t="s">
        <v>1316</v>
      </c>
      <c r="G348" s="72">
        <v>33366</v>
      </c>
      <c r="H348" s="72">
        <v>33366</v>
      </c>
      <c r="I348" s="23"/>
      <c r="J348" s="23"/>
      <c r="K348" s="23"/>
      <c r="L348" s="23"/>
      <c r="M348" s="23"/>
      <c r="N348" s="23"/>
      <c r="O348" s="23"/>
      <c r="P348" s="23"/>
      <c r="Q348" s="23"/>
      <c r="R348" s="23"/>
      <c r="S348" s="23"/>
      <c r="T348" s="23">
        <f t="shared" si="323"/>
        <v>100</v>
      </c>
      <c r="U348" s="23">
        <v>100</v>
      </c>
      <c r="V348" s="23"/>
      <c r="W348" s="80"/>
      <c r="X348" s="371">
        <f t="shared" si="324"/>
        <v>100</v>
      </c>
      <c r="Y348" s="371">
        <v>100</v>
      </c>
      <c r="Z348" s="371"/>
      <c r="AA348" s="5"/>
      <c r="AB348" s="25">
        <v>1</v>
      </c>
      <c r="AC348" s="23">
        <v>100</v>
      </c>
    </row>
    <row r="349" spans="1:42" s="504" customFormat="1" ht="45.75" customHeight="1">
      <c r="A349" s="222">
        <v>11</v>
      </c>
      <c r="B349" s="212" t="s">
        <v>1317</v>
      </c>
      <c r="C349" s="143" t="s">
        <v>85</v>
      </c>
      <c r="D349" s="19" t="s">
        <v>1318</v>
      </c>
      <c r="E349" s="70" t="s">
        <v>835</v>
      </c>
      <c r="F349" s="101" t="s">
        <v>1319</v>
      </c>
      <c r="G349" s="23">
        <v>14655</v>
      </c>
      <c r="H349" s="23">
        <v>14655</v>
      </c>
      <c r="I349" s="23"/>
      <c r="J349" s="23"/>
      <c r="K349" s="23"/>
      <c r="L349" s="23"/>
      <c r="M349" s="23"/>
      <c r="N349" s="23"/>
      <c r="O349" s="23"/>
      <c r="P349" s="23"/>
      <c r="Q349" s="23"/>
      <c r="R349" s="23"/>
      <c r="S349" s="23"/>
      <c r="T349" s="23">
        <f t="shared" si="323"/>
        <v>100</v>
      </c>
      <c r="U349" s="23">
        <v>100</v>
      </c>
      <c r="V349" s="23"/>
      <c r="W349" s="80"/>
      <c r="X349" s="371">
        <f t="shared" si="324"/>
        <v>100</v>
      </c>
      <c r="Y349" s="371">
        <v>100</v>
      </c>
      <c r="Z349" s="371"/>
      <c r="AA349" s="5"/>
      <c r="AB349" s="25">
        <v>1</v>
      </c>
      <c r="AC349" s="23">
        <v>100</v>
      </c>
    </row>
    <row r="350" spans="1:42" s="504" customFormat="1" ht="42.75" customHeight="1">
      <c r="A350" s="222">
        <v>12</v>
      </c>
      <c r="B350" s="212" t="s">
        <v>1320</v>
      </c>
      <c r="C350" s="143" t="s">
        <v>71</v>
      </c>
      <c r="D350" s="19" t="s">
        <v>1318</v>
      </c>
      <c r="E350" s="70" t="s">
        <v>835</v>
      </c>
      <c r="F350" s="101" t="s">
        <v>1321</v>
      </c>
      <c r="G350" s="23">
        <v>14596</v>
      </c>
      <c r="H350" s="23">
        <v>14596</v>
      </c>
      <c r="I350" s="23"/>
      <c r="J350" s="23"/>
      <c r="K350" s="23"/>
      <c r="L350" s="23"/>
      <c r="M350" s="23"/>
      <c r="N350" s="23"/>
      <c r="O350" s="23"/>
      <c r="P350" s="23"/>
      <c r="Q350" s="23"/>
      <c r="R350" s="23"/>
      <c r="S350" s="23"/>
      <c r="T350" s="23">
        <f t="shared" si="323"/>
        <v>100</v>
      </c>
      <c r="U350" s="23">
        <v>100</v>
      </c>
      <c r="V350" s="23"/>
      <c r="W350" s="80"/>
      <c r="X350" s="371">
        <f t="shared" si="324"/>
        <v>100</v>
      </c>
      <c r="Y350" s="371">
        <v>100</v>
      </c>
      <c r="Z350" s="371"/>
      <c r="AA350" s="5"/>
      <c r="AB350" s="25">
        <v>1</v>
      </c>
      <c r="AC350" s="23">
        <v>100</v>
      </c>
    </row>
    <row r="351" spans="1:42" s="504" customFormat="1" ht="31.5">
      <c r="A351" s="222">
        <v>13</v>
      </c>
      <c r="B351" s="212" t="s">
        <v>1322</v>
      </c>
      <c r="C351" s="143" t="s">
        <v>112</v>
      </c>
      <c r="D351" s="19" t="s">
        <v>1323</v>
      </c>
      <c r="E351" s="70" t="s">
        <v>835</v>
      </c>
      <c r="F351" s="101" t="s">
        <v>1324</v>
      </c>
      <c r="G351" s="23">
        <f t="shared" si="325"/>
        <v>10334</v>
      </c>
      <c r="H351" s="23">
        <v>10334</v>
      </c>
      <c r="I351" s="23"/>
      <c r="J351" s="23"/>
      <c r="K351" s="23"/>
      <c r="L351" s="23"/>
      <c r="M351" s="23"/>
      <c r="N351" s="23"/>
      <c r="O351" s="23"/>
      <c r="P351" s="23"/>
      <c r="Q351" s="23"/>
      <c r="R351" s="23"/>
      <c r="S351" s="23"/>
      <c r="T351" s="23">
        <f t="shared" si="323"/>
        <v>100</v>
      </c>
      <c r="U351" s="23">
        <v>100</v>
      </c>
      <c r="V351" s="23"/>
      <c r="W351" s="80"/>
      <c r="X351" s="371">
        <f t="shared" si="324"/>
        <v>100</v>
      </c>
      <c r="Y351" s="371">
        <v>100</v>
      </c>
      <c r="Z351" s="371"/>
      <c r="AA351" s="5"/>
      <c r="AB351" s="25">
        <v>1</v>
      </c>
      <c r="AC351" s="23">
        <v>100</v>
      </c>
    </row>
    <row r="352" spans="1:42" s="25" customFormat="1" ht="15.75">
      <c r="A352" s="11"/>
      <c r="B352" s="12" t="s">
        <v>31</v>
      </c>
      <c r="C352" s="143"/>
      <c r="D352" s="19"/>
      <c r="E352" s="70"/>
      <c r="F352" s="19"/>
      <c r="G352" s="15">
        <f t="shared" ref="G352:V352" si="326">SUM(G353,G362,G370,G387)</f>
        <v>2652862</v>
      </c>
      <c r="H352" s="15">
        <f t="shared" si="326"/>
        <v>2215874</v>
      </c>
      <c r="I352" s="15">
        <f t="shared" si="326"/>
        <v>549853</v>
      </c>
      <c r="J352" s="15">
        <f t="shared" si="326"/>
        <v>506912</v>
      </c>
      <c r="K352" s="15">
        <f t="shared" si="326"/>
        <v>166902</v>
      </c>
      <c r="L352" s="15">
        <f t="shared" si="326"/>
        <v>166902</v>
      </c>
      <c r="M352" s="15">
        <f t="shared" si="326"/>
        <v>38061</v>
      </c>
      <c r="N352" s="15">
        <f t="shared" si="326"/>
        <v>35105</v>
      </c>
      <c r="O352" s="15">
        <f t="shared" si="326"/>
        <v>1139158</v>
      </c>
      <c r="P352" s="15">
        <f t="shared" si="326"/>
        <v>918384</v>
      </c>
      <c r="Q352" s="15">
        <f t="shared" si="326"/>
        <v>1377015</v>
      </c>
      <c r="R352" s="15">
        <f t="shared" si="326"/>
        <v>1260580</v>
      </c>
      <c r="S352" s="15">
        <f t="shared" si="326"/>
        <v>0</v>
      </c>
      <c r="T352" s="15">
        <f t="shared" si="326"/>
        <v>728200</v>
      </c>
      <c r="U352" s="15">
        <f t="shared" si="326"/>
        <v>593400</v>
      </c>
      <c r="V352" s="15">
        <f t="shared" si="326"/>
        <v>0</v>
      </c>
      <c r="W352" s="24"/>
      <c r="X352" s="429">
        <f t="shared" ref="X352:Z352" si="327">SUM(X353,X362,X370,X387)</f>
        <v>743700</v>
      </c>
      <c r="Y352" s="429">
        <f t="shared" si="327"/>
        <v>658900</v>
      </c>
      <c r="Z352" s="429">
        <f t="shared" si="327"/>
        <v>0</v>
      </c>
      <c r="AA352" s="5"/>
      <c r="AB352" s="15">
        <f t="shared" ref="AB352:AK352" si="328">SUM(AB353,AB362,AB370,AB387)</f>
        <v>4</v>
      </c>
      <c r="AC352" s="15">
        <f t="shared" si="328"/>
        <v>550</v>
      </c>
      <c r="AD352" s="15">
        <f t="shared" si="328"/>
        <v>9</v>
      </c>
      <c r="AE352" s="15">
        <f t="shared" si="328"/>
        <v>90595</v>
      </c>
      <c r="AF352" s="15">
        <f t="shared" si="328"/>
        <v>0</v>
      </c>
      <c r="AG352" s="15">
        <f t="shared" si="328"/>
        <v>0</v>
      </c>
      <c r="AH352" s="15">
        <f t="shared" si="328"/>
        <v>18</v>
      </c>
      <c r="AI352" s="15">
        <f t="shared" si="328"/>
        <v>649136</v>
      </c>
      <c r="AJ352" s="15">
        <f t="shared" si="328"/>
        <v>0</v>
      </c>
      <c r="AK352" s="15">
        <f t="shared" si="328"/>
        <v>0</v>
      </c>
      <c r="AL352" s="15">
        <f>SUM(AL353,AL362,AL370,AL387)</f>
        <v>31</v>
      </c>
      <c r="AM352" s="15">
        <f>SUM(AM353,AM362,AM370,AM387)</f>
        <v>88390</v>
      </c>
      <c r="AN352" s="15">
        <f>SUM(AN353,AN362,AN370,AN387)</f>
        <v>0</v>
      </c>
      <c r="AO352" s="15">
        <f>SUM(AO353,AO362,AO370,AO387)</f>
        <v>0</v>
      </c>
    </row>
    <row r="353" spans="1:41" s="25" customFormat="1" ht="47.25">
      <c r="A353" s="11" t="s">
        <v>32</v>
      </c>
      <c r="B353" s="12" t="s">
        <v>33</v>
      </c>
      <c r="C353" s="143"/>
      <c r="D353" s="19"/>
      <c r="E353" s="70"/>
      <c r="F353" s="19"/>
      <c r="G353" s="15">
        <f>SUM(G354,G358)</f>
        <v>440751</v>
      </c>
      <c r="H353" s="15">
        <f t="shared" ref="H353:V353" si="329">SUM(H354,H358)</f>
        <v>377816</v>
      </c>
      <c r="I353" s="15">
        <f t="shared" si="329"/>
        <v>31905</v>
      </c>
      <c r="J353" s="15">
        <f t="shared" si="329"/>
        <v>29350</v>
      </c>
      <c r="K353" s="15">
        <f t="shared" si="329"/>
        <v>6932</v>
      </c>
      <c r="L353" s="15">
        <f t="shared" si="329"/>
        <v>6932</v>
      </c>
      <c r="M353" s="15">
        <f t="shared" si="329"/>
        <v>5905</v>
      </c>
      <c r="N353" s="15">
        <f t="shared" si="329"/>
        <v>5520</v>
      </c>
      <c r="O353" s="15">
        <f t="shared" si="329"/>
        <v>346175</v>
      </c>
      <c r="P353" s="15">
        <f t="shared" si="329"/>
        <v>343620</v>
      </c>
      <c r="Q353" s="15">
        <f t="shared" si="329"/>
        <v>45177</v>
      </c>
      <c r="R353" s="15">
        <f t="shared" si="329"/>
        <v>35564</v>
      </c>
      <c r="S353" s="15">
        <f t="shared" si="329"/>
        <v>0</v>
      </c>
      <c r="T353" s="15">
        <f t="shared" si="329"/>
        <v>10000</v>
      </c>
      <c r="U353" s="15">
        <f t="shared" si="329"/>
        <v>5000</v>
      </c>
      <c r="V353" s="15">
        <f t="shared" si="329"/>
        <v>0</v>
      </c>
      <c r="W353" s="24"/>
      <c r="X353" s="429">
        <f t="shared" ref="X353:Z353" si="330">SUM(X354,X358)</f>
        <v>10000</v>
      </c>
      <c r="Y353" s="429">
        <f t="shared" si="330"/>
        <v>5000</v>
      </c>
      <c r="Z353" s="429">
        <f t="shared" si="330"/>
        <v>0</v>
      </c>
      <c r="AA353" s="5"/>
      <c r="AB353" s="15">
        <f t="shared" ref="AB353:AK353" si="331">SUM(AB354,AB358)</f>
        <v>0</v>
      </c>
      <c r="AC353" s="15">
        <f t="shared" si="331"/>
        <v>0</v>
      </c>
      <c r="AD353" s="15">
        <f t="shared" si="331"/>
        <v>0</v>
      </c>
      <c r="AE353" s="15">
        <f t="shared" si="331"/>
        <v>0</v>
      </c>
      <c r="AF353" s="15">
        <f t="shared" si="331"/>
        <v>0</v>
      </c>
      <c r="AG353" s="15">
        <f t="shared" si="331"/>
        <v>0</v>
      </c>
      <c r="AH353" s="15">
        <f t="shared" si="331"/>
        <v>0</v>
      </c>
      <c r="AI353" s="15">
        <f t="shared" si="331"/>
        <v>0</v>
      </c>
      <c r="AJ353" s="15">
        <f t="shared" si="331"/>
        <v>0</v>
      </c>
      <c r="AK353" s="15">
        <f t="shared" si="331"/>
        <v>0</v>
      </c>
      <c r="AL353" s="15">
        <f>SUM(AL354,AL358)</f>
        <v>0</v>
      </c>
      <c r="AM353" s="15">
        <f>SUM(AM354,AM358)</f>
        <v>0</v>
      </c>
      <c r="AN353" s="15">
        <f>SUM(AN354,AN358)</f>
        <v>0</v>
      </c>
      <c r="AO353" s="15">
        <f>SUM(AO354,AO358)</f>
        <v>0</v>
      </c>
    </row>
    <row r="354" spans="1:41" s="25" customFormat="1" ht="15.75">
      <c r="A354" s="11" t="s">
        <v>34</v>
      </c>
      <c r="B354" s="27" t="s">
        <v>35</v>
      </c>
      <c r="C354" s="143"/>
      <c r="D354" s="19"/>
      <c r="E354" s="70"/>
      <c r="F354" s="19"/>
      <c r="G354" s="15">
        <f>SUM(G355:G357)</f>
        <v>373342</v>
      </c>
      <c r="H354" s="15">
        <f t="shared" ref="H354:V354" si="332">SUM(H355:H357)</f>
        <v>320020</v>
      </c>
      <c r="I354" s="15">
        <f t="shared" si="332"/>
        <v>21910</v>
      </c>
      <c r="J354" s="15">
        <f t="shared" si="332"/>
        <v>21910</v>
      </c>
      <c r="K354" s="15">
        <f t="shared" si="332"/>
        <v>4875</v>
      </c>
      <c r="L354" s="15">
        <f t="shared" si="332"/>
        <v>4875</v>
      </c>
      <c r="M354" s="15">
        <f t="shared" si="332"/>
        <v>2909</v>
      </c>
      <c r="N354" s="15">
        <f t="shared" si="332"/>
        <v>2909</v>
      </c>
      <c r="O354" s="15">
        <f t="shared" si="332"/>
        <v>300041</v>
      </c>
      <c r="P354" s="15">
        <f t="shared" si="332"/>
        <v>300041</v>
      </c>
      <c r="Q354" s="15">
        <f t="shared" si="332"/>
        <v>21910</v>
      </c>
      <c r="R354" s="15">
        <f t="shared" si="332"/>
        <v>21910</v>
      </c>
      <c r="S354" s="15">
        <f t="shared" si="332"/>
        <v>0</v>
      </c>
      <c r="T354" s="15">
        <f t="shared" si="332"/>
        <v>0</v>
      </c>
      <c r="U354" s="15">
        <f t="shared" si="332"/>
        <v>0</v>
      </c>
      <c r="V354" s="15">
        <f t="shared" si="332"/>
        <v>0</v>
      </c>
      <c r="W354" s="24"/>
      <c r="X354" s="429">
        <f t="shared" ref="X354:Z354" si="333">SUM(X355:X357)</f>
        <v>0</v>
      </c>
      <c r="Y354" s="429">
        <f t="shared" si="333"/>
        <v>0</v>
      </c>
      <c r="Z354" s="429">
        <f t="shared" si="333"/>
        <v>0</v>
      </c>
      <c r="AA354" s="5"/>
      <c r="AB354" s="15">
        <f t="shared" ref="AB354:AK354" si="334">SUM(AB355:AB357)</f>
        <v>0</v>
      </c>
      <c r="AC354" s="15">
        <f t="shared" si="334"/>
        <v>0</v>
      </c>
      <c r="AD354" s="15">
        <f t="shared" si="334"/>
        <v>0</v>
      </c>
      <c r="AE354" s="15">
        <f t="shared" si="334"/>
        <v>0</v>
      </c>
      <c r="AF354" s="15">
        <f t="shared" si="334"/>
        <v>0</v>
      </c>
      <c r="AG354" s="15">
        <f t="shared" si="334"/>
        <v>0</v>
      </c>
      <c r="AH354" s="15">
        <f t="shared" si="334"/>
        <v>0</v>
      </c>
      <c r="AI354" s="15">
        <f t="shared" si="334"/>
        <v>0</v>
      </c>
      <c r="AJ354" s="15">
        <f t="shared" si="334"/>
        <v>0</v>
      </c>
      <c r="AK354" s="15">
        <f t="shared" si="334"/>
        <v>0</v>
      </c>
      <c r="AL354" s="15">
        <f>SUM(AL355:AL357)</f>
        <v>0</v>
      </c>
      <c r="AM354" s="15">
        <f>SUM(AM355:AM357)</f>
        <v>0</v>
      </c>
      <c r="AN354" s="15">
        <f>SUM(AN355:AN357)</f>
        <v>0</v>
      </c>
      <c r="AO354" s="15">
        <f>SUM(AO355:AO357)</f>
        <v>0</v>
      </c>
    </row>
    <row r="355" spans="1:41" s="504" customFormat="1" ht="35.25" customHeight="1">
      <c r="A355" s="222">
        <v>1</v>
      </c>
      <c r="B355" s="212" t="s">
        <v>1325</v>
      </c>
      <c r="C355" s="143" t="s">
        <v>29</v>
      </c>
      <c r="D355" s="19" t="s">
        <v>1326</v>
      </c>
      <c r="E355" s="70" t="s">
        <v>1327</v>
      </c>
      <c r="F355" s="101" t="s">
        <v>1328</v>
      </c>
      <c r="G355" s="23">
        <v>256929</v>
      </c>
      <c r="H355" s="23">
        <v>256929</v>
      </c>
      <c r="I355" s="23">
        <f>J355</f>
        <v>7806</v>
      </c>
      <c r="J355" s="23">
        <v>7806</v>
      </c>
      <c r="K355" s="23">
        <v>4770</v>
      </c>
      <c r="L355" s="23">
        <v>4770</v>
      </c>
      <c r="M355" s="23">
        <v>1876</v>
      </c>
      <c r="N355" s="23">
        <v>1876</v>
      </c>
      <c r="O355" s="23">
        <v>240624</v>
      </c>
      <c r="P355" s="23">
        <v>240624</v>
      </c>
      <c r="Q355" s="23">
        <f>R355</f>
        <v>7806</v>
      </c>
      <c r="R355" s="23">
        <v>7806</v>
      </c>
      <c r="S355" s="23"/>
      <c r="T355" s="23"/>
      <c r="U355" s="23"/>
      <c r="V355" s="23"/>
      <c r="W355" s="80"/>
      <c r="X355" s="371"/>
      <c r="Y355" s="371"/>
      <c r="Z355" s="371"/>
      <c r="AA355" s="5"/>
    </row>
    <row r="356" spans="1:41" s="504" customFormat="1" ht="35.25" customHeight="1">
      <c r="A356" s="222">
        <v>2</v>
      </c>
      <c r="B356" s="212" t="s">
        <v>1329</v>
      </c>
      <c r="C356" s="143" t="s">
        <v>29</v>
      </c>
      <c r="D356" s="19" t="s">
        <v>1330</v>
      </c>
      <c r="E356" s="70" t="s">
        <v>82</v>
      </c>
      <c r="F356" s="101" t="s">
        <v>1331</v>
      </c>
      <c r="G356" s="23">
        <v>66522</v>
      </c>
      <c r="H356" s="23">
        <v>13200</v>
      </c>
      <c r="I356" s="23">
        <v>11894</v>
      </c>
      <c r="J356" s="23">
        <v>11894</v>
      </c>
      <c r="K356" s="23">
        <v>105</v>
      </c>
      <c r="L356" s="23">
        <v>105</v>
      </c>
      <c r="M356" s="23">
        <v>54</v>
      </c>
      <c r="N356" s="23">
        <v>54</v>
      </c>
      <c r="O356" s="23">
        <f>1122+11894</f>
        <v>13016</v>
      </c>
      <c r="P356" s="23">
        <f>1122+11894</f>
        <v>13016</v>
      </c>
      <c r="Q356" s="23">
        <v>11894</v>
      </c>
      <c r="R356" s="23">
        <v>11894</v>
      </c>
      <c r="S356" s="23"/>
      <c r="T356" s="23"/>
      <c r="U356" s="23"/>
      <c r="V356" s="23"/>
      <c r="W356" s="80"/>
      <c r="X356" s="371"/>
      <c r="Y356" s="371"/>
      <c r="Z356" s="371"/>
      <c r="AA356" s="5"/>
    </row>
    <row r="357" spans="1:41" s="504" customFormat="1" ht="35.25" customHeight="1">
      <c r="A357" s="222">
        <v>3</v>
      </c>
      <c r="B357" s="212" t="s">
        <v>824</v>
      </c>
      <c r="C357" s="143" t="s">
        <v>29</v>
      </c>
      <c r="D357" s="19" t="s">
        <v>825</v>
      </c>
      <c r="E357" s="70" t="s">
        <v>82</v>
      </c>
      <c r="F357" s="101" t="s">
        <v>826</v>
      </c>
      <c r="G357" s="23">
        <v>49891</v>
      </c>
      <c r="H357" s="23">
        <v>49891</v>
      </c>
      <c r="I357" s="23">
        <v>2210</v>
      </c>
      <c r="J357" s="23">
        <v>2210</v>
      </c>
      <c r="K357" s="23"/>
      <c r="L357" s="23"/>
      <c r="M357" s="23">
        <v>979</v>
      </c>
      <c r="N357" s="23">
        <v>979</v>
      </c>
      <c r="O357" s="23">
        <f>44191+2210</f>
        <v>46401</v>
      </c>
      <c r="P357" s="23">
        <f>44191+J357</f>
        <v>46401</v>
      </c>
      <c r="Q357" s="23">
        <v>2210</v>
      </c>
      <c r="R357" s="23">
        <v>2210</v>
      </c>
      <c r="S357" s="23"/>
      <c r="T357" s="23"/>
      <c r="U357" s="23"/>
      <c r="V357" s="23"/>
      <c r="W357" s="80"/>
      <c r="X357" s="371"/>
      <c r="Y357" s="371"/>
      <c r="Z357" s="371"/>
      <c r="AA357" s="5"/>
    </row>
    <row r="358" spans="1:41" s="16" customFormat="1" ht="26.25" customHeight="1">
      <c r="A358" s="26" t="s">
        <v>47</v>
      </c>
      <c r="B358" s="27" t="s">
        <v>48</v>
      </c>
      <c r="C358" s="224"/>
      <c r="D358" s="13"/>
      <c r="E358" s="14"/>
      <c r="F358" s="13"/>
      <c r="G358" s="15">
        <f>SUM(G359:G361)</f>
        <v>67409</v>
      </c>
      <c r="H358" s="15">
        <f t="shared" ref="H358:V358" si="335">SUM(H359:H361)</f>
        <v>57796</v>
      </c>
      <c r="I358" s="15">
        <f t="shared" si="335"/>
        <v>9995</v>
      </c>
      <c r="J358" s="15">
        <f t="shared" si="335"/>
        <v>7440</v>
      </c>
      <c r="K358" s="15">
        <f t="shared" si="335"/>
        <v>2057</v>
      </c>
      <c r="L358" s="15">
        <f t="shared" si="335"/>
        <v>2057</v>
      </c>
      <c r="M358" s="15">
        <f t="shared" si="335"/>
        <v>2996</v>
      </c>
      <c r="N358" s="15">
        <f t="shared" si="335"/>
        <v>2611</v>
      </c>
      <c r="O358" s="15">
        <f t="shared" si="335"/>
        <v>46134</v>
      </c>
      <c r="P358" s="15">
        <f t="shared" si="335"/>
        <v>43579</v>
      </c>
      <c r="Q358" s="15">
        <f t="shared" si="335"/>
        <v>23267</v>
      </c>
      <c r="R358" s="15">
        <f t="shared" si="335"/>
        <v>13654</v>
      </c>
      <c r="S358" s="15">
        <f t="shared" si="335"/>
        <v>0</v>
      </c>
      <c r="T358" s="15">
        <f t="shared" si="335"/>
        <v>10000</v>
      </c>
      <c r="U358" s="15">
        <f t="shared" si="335"/>
        <v>5000</v>
      </c>
      <c r="V358" s="15">
        <f t="shared" si="335"/>
        <v>0</v>
      </c>
      <c r="W358" s="379"/>
      <c r="X358" s="429">
        <f t="shared" ref="X358:Z358" si="336">SUM(X359:X361)</f>
        <v>10000</v>
      </c>
      <c r="Y358" s="429">
        <f t="shared" si="336"/>
        <v>5000</v>
      </c>
      <c r="Z358" s="429">
        <f t="shared" si="336"/>
        <v>0</v>
      </c>
      <c r="AA358" s="5"/>
      <c r="AB358" s="15">
        <f t="shared" ref="AB358:AK358" si="337">SUM(AB359:AB361)</f>
        <v>0</v>
      </c>
      <c r="AC358" s="15">
        <f t="shared" si="337"/>
        <v>0</v>
      </c>
      <c r="AD358" s="15">
        <f t="shared" si="337"/>
        <v>0</v>
      </c>
      <c r="AE358" s="15">
        <f t="shared" si="337"/>
        <v>0</v>
      </c>
      <c r="AF358" s="15">
        <f t="shared" si="337"/>
        <v>0</v>
      </c>
      <c r="AG358" s="15">
        <f t="shared" si="337"/>
        <v>0</v>
      </c>
      <c r="AH358" s="15">
        <f t="shared" si="337"/>
        <v>0</v>
      </c>
      <c r="AI358" s="15">
        <f t="shared" si="337"/>
        <v>0</v>
      </c>
      <c r="AJ358" s="15">
        <f t="shared" si="337"/>
        <v>0</v>
      </c>
      <c r="AK358" s="15">
        <f t="shared" si="337"/>
        <v>0</v>
      </c>
      <c r="AL358" s="15">
        <f>SUM(AL359:AL361)</f>
        <v>0</v>
      </c>
      <c r="AM358" s="15">
        <f>SUM(AM359:AM361)</f>
        <v>0</v>
      </c>
      <c r="AN358" s="15">
        <f>SUM(AN359:AN361)</f>
        <v>0</v>
      </c>
      <c r="AO358" s="15">
        <f>SUM(AO359:AO361)</f>
        <v>0</v>
      </c>
    </row>
    <row r="359" spans="1:41" s="504" customFormat="1" ht="35.25" customHeight="1">
      <c r="A359" s="222">
        <v>1</v>
      </c>
      <c r="B359" s="212" t="s">
        <v>1332</v>
      </c>
      <c r="C359" s="143" t="s">
        <v>112</v>
      </c>
      <c r="D359" s="19" t="s">
        <v>1333</v>
      </c>
      <c r="E359" s="70" t="s">
        <v>82</v>
      </c>
      <c r="F359" s="101" t="s">
        <v>1334</v>
      </c>
      <c r="G359" s="23">
        <v>32800</v>
      </c>
      <c r="H359" s="23">
        <v>25221</v>
      </c>
      <c r="I359" s="23">
        <v>2140</v>
      </c>
      <c r="J359" s="23">
        <v>2140</v>
      </c>
      <c r="K359" s="23"/>
      <c r="L359" s="23"/>
      <c r="M359" s="23"/>
      <c r="N359" s="23"/>
      <c r="O359" s="23">
        <f>P359</f>
        <v>19742</v>
      </c>
      <c r="P359" s="23">
        <v>19742</v>
      </c>
      <c r="Q359" s="23">
        <v>15198</v>
      </c>
      <c r="R359" s="23">
        <v>7619</v>
      </c>
      <c r="S359" s="23"/>
      <c r="T359" s="23">
        <v>10000</v>
      </c>
      <c r="U359" s="23">
        <v>5000</v>
      </c>
      <c r="V359" s="23"/>
      <c r="W359" s="80"/>
      <c r="X359" s="371">
        <v>10000</v>
      </c>
      <c r="Y359" s="371">
        <v>5000</v>
      </c>
      <c r="Z359" s="371"/>
      <c r="AA359" s="5"/>
    </row>
    <row r="360" spans="1:41" s="504" customFormat="1" ht="35.25" customHeight="1">
      <c r="A360" s="222">
        <v>2</v>
      </c>
      <c r="B360" s="212" t="s">
        <v>1335</v>
      </c>
      <c r="C360" s="143" t="s">
        <v>5</v>
      </c>
      <c r="D360" s="19" t="s">
        <v>1336</v>
      </c>
      <c r="E360" s="70" t="s">
        <v>1337</v>
      </c>
      <c r="F360" s="101" t="s">
        <v>1338</v>
      </c>
      <c r="G360" s="23">
        <v>3247</v>
      </c>
      <c r="H360" s="23">
        <f>G360-2034</f>
        <v>1213</v>
      </c>
      <c r="I360" s="23">
        <f>J360+2555</f>
        <v>2855</v>
      </c>
      <c r="J360" s="23">
        <v>300</v>
      </c>
      <c r="K360" s="23"/>
      <c r="L360" s="23"/>
      <c r="M360" s="23">
        <v>417</v>
      </c>
      <c r="N360" s="23">
        <v>32</v>
      </c>
      <c r="O360" s="23">
        <f>I360+68</f>
        <v>2923</v>
      </c>
      <c r="P360" s="23">
        <f>68+J360</f>
        <v>368</v>
      </c>
      <c r="Q360" s="23">
        <v>3069</v>
      </c>
      <c r="R360" s="23">
        <v>1035</v>
      </c>
      <c r="S360" s="23"/>
      <c r="T360" s="23"/>
      <c r="U360" s="23"/>
      <c r="V360" s="23"/>
      <c r="W360" s="24"/>
      <c r="X360" s="371"/>
      <c r="Y360" s="371"/>
      <c r="Z360" s="371"/>
      <c r="AA360" s="5"/>
    </row>
    <row r="361" spans="1:41" s="504" customFormat="1" ht="35.25" customHeight="1">
      <c r="A361" s="222">
        <v>3</v>
      </c>
      <c r="B361" s="212" t="s">
        <v>827</v>
      </c>
      <c r="C361" s="143" t="s">
        <v>260</v>
      </c>
      <c r="D361" s="19"/>
      <c r="E361" s="70" t="s">
        <v>82</v>
      </c>
      <c r="F361" s="101" t="s">
        <v>828</v>
      </c>
      <c r="G361" s="23">
        <v>31362</v>
      </c>
      <c r="H361" s="23">
        <v>31362</v>
      </c>
      <c r="I361" s="23">
        <f>J361</f>
        <v>5000</v>
      </c>
      <c r="J361" s="23">
        <v>5000</v>
      </c>
      <c r="K361" s="23">
        <f>L361</f>
        <v>2057</v>
      </c>
      <c r="L361" s="23">
        <v>2057</v>
      </c>
      <c r="M361" s="23">
        <f>N361</f>
        <v>2579</v>
      </c>
      <c r="N361" s="23">
        <v>2579</v>
      </c>
      <c r="O361" s="23">
        <f>P361</f>
        <v>23469</v>
      </c>
      <c r="P361" s="23">
        <f>18469+J361</f>
        <v>23469</v>
      </c>
      <c r="Q361" s="23">
        <v>5000</v>
      </c>
      <c r="R361" s="23">
        <v>5000</v>
      </c>
      <c r="S361" s="23"/>
      <c r="T361" s="23"/>
      <c r="U361" s="23"/>
      <c r="V361" s="23"/>
      <c r="W361" s="80"/>
      <c r="X361" s="371"/>
      <c r="Y361" s="371"/>
      <c r="Z361" s="371"/>
      <c r="AA361" s="5"/>
    </row>
    <row r="362" spans="1:41" s="25" customFormat="1" ht="35.25" customHeight="1">
      <c r="A362" s="11" t="s">
        <v>78</v>
      </c>
      <c r="B362" s="12" t="s">
        <v>79</v>
      </c>
      <c r="C362" s="143"/>
      <c r="D362" s="19"/>
      <c r="E362" s="70"/>
      <c r="F362" s="19"/>
      <c r="G362" s="15">
        <f>SUM(G363,G367)</f>
        <v>299115</v>
      </c>
      <c r="H362" s="15">
        <f t="shared" ref="H362:V362" si="338">SUM(H363,H367)</f>
        <v>236410</v>
      </c>
      <c r="I362" s="15">
        <f t="shared" si="338"/>
        <v>65650</v>
      </c>
      <c r="J362" s="15">
        <f t="shared" si="338"/>
        <v>65650</v>
      </c>
      <c r="K362" s="15">
        <f t="shared" si="338"/>
        <v>12690</v>
      </c>
      <c r="L362" s="15">
        <f t="shared" si="338"/>
        <v>12690</v>
      </c>
      <c r="M362" s="15">
        <f t="shared" si="338"/>
        <v>20506</v>
      </c>
      <c r="N362" s="15">
        <f t="shared" si="338"/>
        <v>20506</v>
      </c>
      <c r="O362" s="15">
        <f t="shared" si="338"/>
        <v>249500</v>
      </c>
      <c r="P362" s="15">
        <f t="shared" si="338"/>
        <v>208254</v>
      </c>
      <c r="Q362" s="15">
        <f t="shared" si="338"/>
        <v>114730</v>
      </c>
      <c r="R362" s="15">
        <f t="shared" si="338"/>
        <v>103030</v>
      </c>
      <c r="S362" s="15">
        <f t="shared" si="338"/>
        <v>0</v>
      </c>
      <c r="T362" s="15">
        <f t="shared" si="338"/>
        <v>34700</v>
      </c>
      <c r="U362" s="15">
        <f t="shared" si="338"/>
        <v>23000</v>
      </c>
      <c r="V362" s="15">
        <f t="shared" si="338"/>
        <v>0</v>
      </c>
      <c r="W362" s="24"/>
      <c r="X362" s="429">
        <f t="shared" ref="X362:Z362" si="339">SUM(X363,X367)</f>
        <v>39700</v>
      </c>
      <c r="Y362" s="429">
        <f t="shared" si="339"/>
        <v>28000</v>
      </c>
      <c r="Z362" s="429">
        <f t="shared" si="339"/>
        <v>0</v>
      </c>
      <c r="AA362" s="5"/>
      <c r="AB362" s="15">
        <f t="shared" ref="AB362:AK362" si="340">SUM(AB363,AB367)</f>
        <v>0</v>
      </c>
      <c r="AC362" s="15">
        <f t="shared" si="340"/>
        <v>0</v>
      </c>
      <c r="AD362" s="15">
        <f t="shared" si="340"/>
        <v>4</v>
      </c>
      <c r="AE362" s="15">
        <f t="shared" si="340"/>
        <v>34385</v>
      </c>
      <c r="AF362" s="15">
        <f t="shared" si="340"/>
        <v>0</v>
      </c>
      <c r="AG362" s="15">
        <f t="shared" si="340"/>
        <v>0</v>
      </c>
      <c r="AH362" s="15">
        <f t="shared" si="340"/>
        <v>0</v>
      </c>
      <c r="AI362" s="15">
        <f t="shared" si="340"/>
        <v>0</v>
      </c>
      <c r="AJ362" s="15">
        <f t="shared" si="340"/>
        <v>0</v>
      </c>
      <c r="AK362" s="15">
        <f t="shared" si="340"/>
        <v>0</v>
      </c>
      <c r="AL362" s="15">
        <f>SUM(AL363,AL367)</f>
        <v>0</v>
      </c>
      <c r="AM362" s="15">
        <f>SUM(AM363,AM367)</f>
        <v>0</v>
      </c>
      <c r="AN362" s="15">
        <f>SUM(AN363,AN367)</f>
        <v>0</v>
      </c>
      <c r="AO362" s="15">
        <f>SUM(AO363,AO367)</f>
        <v>0</v>
      </c>
    </row>
    <row r="363" spans="1:41" s="25" customFormat="1" ht="25.5" customHeight="1">
      <c r="A363" s="11" t="s">
        <v>34</v>
      </c>
      <c r="B363" s="27" t="s">
        <v>35</v>
      </c>
      <c r="C363" s="143"/>
      <c r="D363" s="19"/>
      <c r="E363" s="70"/>
      <c r="F363" s="19"/>
      <c r="G363" s="15">
        <f>SUM(G364:G366)</f>
        <v>236008</v>
      </c>
      <c r="H363" s="15">
        <f t="shared" ref="H363:V363" si="341">SUM(H364:H366)</f>
        <v>173303</v>
      </c>
      <c r="I363" s="15">
        <f t="shared" si="341"/>
        <v>47150</v>
      </c>
      <c r="J363" s="15">
        <f t="shared" si="341"/>
        <v>47150</v>
      </c>
      <c r="K363" s="15">
        <f t="shared" si="341"/>
        <v>5582</v>
      </c>
      <c r="L363" s="15">
        <f t="shared" si="341"/>
        <v>5582</v>
      </c>
      <c r="M363" s="15">
        <f t="shared" si="341"/>
        <v>19858</v>
      </c>
      <c r="N363" s="15">
        <f t="shared" si="341"/>
        <v>19858</v>
      </c>
      <c r="O363" s="15">
        <f t="shared" si="341"/>
        <v>194910</v>
      </c>
      <c r="P363" s="15">
        <f t="shared" si="341"/>
        <v>153664</v>
      </c>
      <c r="Q363" s="15">
        <f t="shared" si="341"/>
        <v>87713</v>
      </c>
      <c r="R363" s="15">
        <f t="shared" si="341"/>
        <v>76013</v>
      </c>
      <c r="S363" s="15">
        <f t="shared" si="341"/>
        <v>0</v>
      </c>
      <c r="T363" s="15">
        <f t="shared" si="341"/>
        <v>27700</v>
      </c>
      <c r="U363" s="15">
        <f t="shared" si="341"/>
        <v>16000</v>
      </c>
      <c r="V363" s="15">
        <f t="shared" si="341"/>
        <v>0</v>
      </c>
      <c r="W363" s="24"/>
      <c r="X363" s="429">
        <f t="shared" ref="X363:Z363" si="342">SUM(X364:X366)</f>
        <v>32700</v>
      </c>
      <c r="Y363" s="429">
        <f t="shared" si="342"/>
        <v>21000</v>
      </c>
      <c r="Z363" s="429">
        <f t="shared" si="342"/>
        <v>0</v>
      </c>
      <c r="AA363" s="5"/>
      <c r="AB363" s="15">
        <f t="shared" ref="AB363:AK363" si="343">SUM(AB364:AB366)</f>
        <v>0</v>
      </c>
      <c r="AC363" s="15">
        <f t="shared" si="343"/>
        <v>0</v>
      </c>
      <c r="AD363" s="15">
        <f t="shared" si="343"/>
        <v>2</v>
      </c>
      <c r="AE363" s="15">
        <f t="shared" si="343"/>
        <v>22579</v>
      </c>
      <c r="AF363" s="15">
        <f t="shared" si="343"/>
        <v>0</v>
      </c>
      <c r="AG363" s="15">
        <f t="shared" si="343"/>
        <v>0</v>
      </c>
      <c r="AH363" s="15">
        <f t="shared" si="343"/>
        <v>0</v>
      </c>
      <c r="AI363" s="15">
        <f t="shared" si="343"/>
        <v>0</v>
      </c>
      <c r="AJ363" s="15">
        <f t="shared" si="343"/>
        <v>0</v>
      </c>
      <c r="AK363" s="15">
        <f t="shared" si="343"/>
        <v>0</v>
      </c>
      <c r="AL363" s="15">
        <f>SUM(AL364:AL366)</f>
        <v>0</v>
      </c>
      <c r="AM363" s="15">
        <f>SUM(AM364:AM366)</f>
        <v>0</v>
      </c>
      <c r="AN363" s="15">
        <f>SUM(AN364:AN366)</f>
        <v>0</v>
      </c>
      <c r="AO363" s="15">
        <f>SUM(AO364:AO366)</f>
        <v>0</v>
      </c>
    </row>
    <row r="364" spans="1:41" s="375" customFormat="1" ht="35.25" customHeight="1">
      <c r="A364" s="97" t="s">
        <v>27</v>
      </c>
      <c r="B364" s="225" t="s">
        <v>830</v>
      </c>
      <c r="C364" s="196" t="s">
        <v>43</v>
      </c>
      <c r="D364" s="19" t="s">
        <v>831</v>
      </c>
      <c r="E364" s="312" t="s">
        <v>1339</v>
      </c>
      <c r="F364" s="101" t="s">
        <v>832</v>
      </c>
      <c r="G364" s="23">
        <v>116950</v>
      </c>
      <c r="H364" s="226">
        <v>54245</v>
      </c>
      <c r="I364" s="23">
        <f>J364</f>
        <v>11150</v>
      </c>
      <c r="J364" s="23">
        <v>11150</v>
      </c>
      <c r="K364" s="23">
        <f>L364</f>
        <v>1337</v>
      </c>
      <c r="L364" s="23">
        <v>1337</v>
      </c>
      <c r="M364" s="23">
        <f>N364</f>
        <v>12487</v>
      </c>
      <c r="N364" s="23">
        <v>12487</v>
      </c>
      <c r="O364" s="72">
        <f>41246+P364</f>
        <v>103378</v>
      </c>
      <c r="P364" s="23">
        <v>62132</v>
      </c>
      <c r="Q364" s="23">
        <f>11700+R364</f>
        <v>24187</v>
      </c>
      <c r="R364" s="23">
        <f>J364+L364</f>
        <v>12487</v>
      </c>
      <c r="S364" s="23"/>
      <c r="T364" s="23">
        <v>11700</v>
      </c>
      <c r="U364" s="23"/>
      <c r="V364" s="23"/>
      <c r="W364" s="80"/>
      <c r="X364" s="371">
        <v>11700</v>
      </c>
      <c r="Y364" s="371"/>
      <c r="Z364" s="371"/>
      <c r="AA364" s="5"/>
      <c r="AE364" s="23">
        <v>0</v>
      </c>
    </row>
    <row r="365" spans="1:41" s="375" customFormat="1" ht="35.25" customHeight="1">
      <c r="A365" s="97" t="s">
        <v>41</v>
      </c>
      <c r="B365" s="225" t="s">
        <v>833</v>
      </c>
      <c r="C365" s="196" t="s">
        <v>29</v>
      </c>
      <c r="D365" s="101" t="s">
        <v>834</v>
      </c>
      <c r="E365" s="312">
        <v>2016</v>
      </c>
      <c r="F365" s="101" t="s">
        <v>836</v>
      </c>
      <c r="G365" s="366">
        <v>72289</v>
      </c>
      <c r="H365" s="23">
        <v>72289</v>
      </c>
      <c r="I365" s="23">
        <v>24000</v>
      </c>
      <c r="J365" s="23">
        <v>24000</v>
      </c>
      <c r="K365" s="23">
        <f>L365</f>
        <v>1082</v>
      </c>
      <c r="L365" s="23">
        <v>1082</v>
      </c>
      <c r="M365" s="23">
        <v>5958</v>
      </c>
      <c r="N365" s="23">
        <v>5958</v>
      </c>
      <c r="O365" s="23">
        <f>P365</f>
        <v>63388</v>
      </c>
      <c r="P365" s="23">
        <f>39388+J365</f>
        <v>63388</v>
      </c>
      <c r="Q365" s="23">
        <f>R365</f>
        <v>32901</v>
      </c>
      <c r="R365" s="23">
        <f>H365-39388</f>
        <v>32901</v>
      </c>
      <c r="S365" s="23"/>
      <c r="T365" s="23">
        <v>6000</v>
      </c>
      <c r="U365" s="23">
        <v>6000</v>
      </c>
      <c r="V365" s="23"/>
      <c r="W365" s="24"/>
      <c r="X365" s="371">
        <v>6000</v>
      </c>
      <c r="Y365" s="371">
        <v>6000</v>
      </c>
      <c r="Z365" s="371"/>
      <c r="AA365" s="5"/>
      <c r="AD365" s="25">
        <v>1</v>
      </c>
      <c r="AE365" s="23">
        <v>9579</v>
      </c>
    </row>
    <row r="366" spans="1:41" s="375" customFormat="1" ht="35.25" customHeight="1">
      <c r="A366" s="97" t="s">
        <v>58</v>
      </c>
      <c r="B366" s="225" t="s">
        <v>837</v>
      </c>
      <c r="C366" s="196" t="s">
        <v>5</v>
      </c>
      <c r="D366" s="101" t="s">
        <v>838</v>
      </c>
      <c r="E366" s="312" t="s">
        <v>839</v>
      </c>
      <c r="F366" s="101" t="s">
        <v>840</v>
      </c>
      <c r="G366" s="226">
        <v>46769</v>
      </c>
      <c r="H366" s="226">
        <v>46769</v>
      </c>
      <c r="I366" s="23">
        <f>J366</f>
        <v>12000</v>
      </c>
      <c r="J366" s="23">
        <v>12000</v>
      </c>
      <c r="K366" s="23">
        <f>L366</f>
        <v>3163</v>
      </c>
      <c r="L366" s="23">
        <v>3163</v>
      </c>
      <c r="M366" s="23">
        <f>N366</f>
        <v>1413</v>
      </c>
      <c r="N366" s="23">
        <v>1413</v>
      </c>
      <c r="O366" s="23">
        <f>P366</f>
        <v>28144</v>
      </c>
      <c r="P366" s="23">
        <f>16144+J366</f>
        <v>28144</v>
      </c>
      <c r="Q366" s="23">
        <f>R366</f>
        <v>30625</v>
      </c>
      <c r="R366" s="23">
        <f>G366-16144</f>
        <v>30625</v>
      </c>
      <c r="S366" s="23"/>
      <c r="T366" s="23">
        <v>10000</v>
      </c>
      <c r="U366" s="23">
        <v>10000</v>
      </c>
      <c r="V366" s="23"/>
      <c r="W366" s="24"/>
      <c r="X366" s="371">
        <v>15000</v>
      </c>
      <c r="Y366" s="371">
        <v>15000</v>
      </c>
      <c r="Z366" s="371"/>
      <c r="AA366" s="5"/>
      <c r="AD366" s="25">
        <v>1</v>
      </c>
      <c r="AE366" s="23">
        <v>13000</v>
      </c>
    </row>
    <row r="367" spans="1:41" s="25" customFormat="1" ht="28.5" customHeight="1">
      <c r="A367" s="11" t="s">
        <v>47</v>
      </c>
      <c r="B367" s="27" t="s">
        <v>48</v>
      </c>
      <c r="C367" s="143"/>
      <c r="D367" s="19"/>
      <c r="E367" s="70"/>
      <c r="F367" s="19"/>
      <c r="G367" s="15">
        <f>SUM(G368:G369)</f>
        <v>63107</v>
      </c>
      <c r="H367" s="15">
        <f t="shared" ref="H367:V367" si="344">SUM(H368:H369)</f>
        <v>63107</v>
      </c>
      <c r="I367" s="15">
        <f t="shared" si="344"/>
        <v>18500</v>
      </c>
      <c r="J367" s="15">
        <f t="shared" si="344"/>
        <v>18500</v>
      </c>
      <c r="K367" s="15">
        <f t="shared" si="344"/>
        <v>7108</v>
      </c>
      <c r="L367" s="15">
        <f t="shared" si="344"/>
        <v>7108</v>
      </c>
      <c r="M367" s="15">
        <f t="shared" si="344"/>
        <v>648</v>
      </c>
      <c r="N367" s="15">
        <f t="shared" si="344"/>
        <v>648</v>
      </c>
      <c r="O367" s="15">
        <f t="shared" si="344"/>
        <v>54590</v>
      </c>
      <c r="P367" s="15">
        <f t="shared" si="344"/>
        <v>54590</v>
      </c>
      <c r="Q367" s="15">
        <f t="shared" si="344"/>
        <v>27017</v>
      </c>
      <c r="R367" s="15">
        <f t="shared" si="344"/>
        <v>27017</v>
      </c>
      <c r="S367" s="15">
        <f t="shared" si="344"/>
        <v>0</v>
      </c>
      <c r="T367" s="15">
        <f t="shared" si="344"/>
        <v>7000</v>
      </c>
      <c r="U367" s="15">
        <f t="shared" si="344"/>
        <v>7000</v>
      </c>
      <c r="V367" s="15">
        <f t="shared" si="344"/>
        <v>0</v>
      </c>
      <c r="W367" s="24"/>
      <c r="X367" s="429">
        <f t="shared" ref="X367:Z367" si="345">SUM(X368:X369)</f>
        <v>7000</v>
      </c>
      <c r="Y367" s="429">
        <f t="shared" si="345"/>
        <v>7000</v>
      </c>
      <c r="Z367" s="429">
        <f t="shared" si="345"/>
        <v>0</v>
      </c>
      <c r="AA367" s="5"/>
      <c r="AB367" s="15">
        <f t="shared" ref="AB367:AK367" si="346">SUM(AB368:AB369)</f>
        <v>0</v>
      </c>
      <c r="AC367" s="15">
        <f t="shared" si="346"/>
        <v>0</v>
      </c>
      <c r="AD367" s="15">
        <f t="shared" si="346"/>
        <v>2</v>
      </c>
      <c r="AE367" s="15">
        <f t="shared" si="346"/>
        <v>11806</v>
      </c>
      <c r="AF367" s="15">
        <f t="shared" si="346"/>
        <v>0</v>
      </c>
      <c r="AG367" s="15">
        <f t="shared" si="346"/>
        <v>0</v>
      </c>
      <c r="AH367" s="15">
        <f t="shared" si="346"/>
        <v>0</v>
      </c>
      <c r="AI367" s="15">
        <f t="shared" si="346"/>
        <v>0</v>
      </c>
      <c r="AJ367" s="15">
        <f t="shared" si="346"/>
        <v>0</v>
      </c>
      <c r="AK367" s="15">
        <f t="shared" si="346"/>
        <v>0</v>
      </c>
      <c r="AL367" s="15">
        <f>SUM(AL368:AL369)</f>
        <v>0</v>
      </c>
      <c r="AM367" s="15">
        <f>SUM(AM368:AM369)</f>
        <v>0</v>
      </c>
      <c r="AN367" s="15">
        <f>SUM(AN368:AN369)</f>
        <v>0</v>
      </c>
      <c r="AO367" s="15">
        <f>SUM(AO368:AO369)</f>
        <v>0</v>
      </c>
    </row>
    <row r="368" spans="1:41" s="375" customFormat="1" ht="35.25" customHeight="1">
      <c r="A368" s="97" t="s">
        <v>27</v>
      </c>
      <c r="B368" s="225" t="s">
        <v>841</v>
      </c>
      <c r="C368" s="196" t="s">
        <v>29</v>
      </c>
      <c r="D368" s="101" t="s">
        <v>842</v>
      </c>
      <c r="E368" s="312" t="s">
        <v>843</v>
      </c>
      <c r="F368" s="101" t="s">
        <v>844</v>
      </c>
      <c r="G368" s="366">
        <v>28328</v>
      </c>
      <c r="H368" s="366">
        <v>28328</v>
      </c>
      <c r="I368" s="23">
        <v>6000</v>
      </c>
      <c r="J368" s="23">
        <v>6000</v>
      </c>
      <c r="K368" s="23">
        <f>L368</f>
        <v>1230</v>
      </c>
      <c r="L368" s="23">
        <v>1230</v>
      </c>
      <c r="M368" s="23">
        <f>N368</f>
        <v>419</v>
      </c>
      <c r="N368" s="23">
        <v>419</v>
      </c>
      <c r="O368" s="23">
        <f>P368</f>
        <v>24038</v>
      </c>
      <c r="P368" s="23">
        <f>18038+J368</f>
        <v>24038</v>
      </c>
      <c r="Q368" s="23">
        <v>10290</v>
      </c>
      <c r="R368" s="23">
        <f>H368-18038</f>
        <v>10290</v>
      </c>
      <c r="S368" s="23"/>
      <c r="T368" s="23">
        <v>3500</v>
      </c>
      <c r="U368" s="23">
        <v>3500</v>
      </c>
      <c r="V368" s="23"/>
      <c r="W368" s="24"/>
      <c r="X368" s="371">
        <v>3500</v>
      </c>
      <c r="Y368" s="371">
        <v>3500</v>
      </c>
      <c r="Z368" s="371"/>
      <c r="AA368" s="5"/>
      <c r="AD368" s="25">
        <v>1</v>
      </c>
      <c r="AE368" s="23">
        <v>1890</v>
      </c>
    </row>
    <row r="369" spans="1:41" s="375" customFormat="1" ht="30">
      <c r="A369" s="97" t="s">
        <v>41</v>
      </c>
      <c r="B369" s="225" t="s">
        <v>845</v>
      </c>
      <c r="C369" s="196" t="s">
        <v>143</v>
      </c>
      <c r="D369" s="101" t="s">
        <v>846</v>
      </c>
      <c r="E369" s="312" t="s">
        <v>839</v>
      </c>
      <c r="F369" s="101" t="s">
        <v>847</v>
      </c>
      <c r="G369" s="366">
        <v>34779</v>
      </c>
      <c r="H369" s="366">
        <v>34779</v>
      </c>
      <c r="I369" s="23">
        <f>J369</f>
        <v>12500</v>
      </c>
      <c r="J369" s="23">
        <v>12500</v>
      </c>
      <c r="K369" s="23">
        <f>L369</f>
        <v>5878</v>
      </c>
      <c r="L369" s="23">
        <f>5338+540</f>
        <v>5878</v>
      </c>
      <c r="M369" s="23">
        <f>N369</f>
        <v>229</v>
      </c>
      <c r="N369" s="23">
        <v>229</v>
      </c>
      <c r="O369" s="23">
        <f>P369</f>
        <v>30552</v>
      </c>
      <c r="P369" s="23">
        <f>18052+J369</f>
        <v>30552</v>
      </c>
      <c r="Q369" s="23">
        <f>R369</f>
        <v>16727</v>
      </c>
      <c r="R369" s="23">
        <f>H369-18052</f>
        <v>16727</v>
      </c>
      <c r="S369" s="23"/>
      <c r="T369" s="23">
        <v>3500</v>
      </c>
      <c r="U369" s="23">
        <v>3500</v>
      </c>
      <c r="V369" s="23"/>
      <c r="W369" s="24"/>
      <c r="X369" s="371">
        <v>3500</v>
      </c>
      <c r="Y369" s="371">
        <v>3500</v>
      </c>
      <c r="Z369" s="371"/>
      <c r="AA369" s="5"/>
      <c r="AD369" s="25">
        <v>1</v>
      </c>
      <c r="AE369" s="23">
        <v>9916</v>
      </c>
    </row>
    <row r="370" spans="1:41" s="25" customFormat="1" ht="34.5" customHeight="1">
      <c r="A370" s="11" t="s">
        <v>116</v>
      </c>
      <c r="B370" s="12" t="s">
        <v>117</v>
      </c>
      <c r="C370" s="143"/>
      <c r="D370" s="19"/>
      <c r="E370" s="70"/>
      <c r="F370" s="19"/>
      <c r="G370" s="15">
        <f>SUM(G371,G373,G379)</f>
        <v>1758513</v>
      </c>
      <c r="H370" s="15">
        <f t="shared" ref="H370:V370" si="347">SUM(H371,H373,H379)</f>
        <v>1447165</v>
      </c>
      <c r="I370" s="15">
        <f t="shared" si="347"/>
        <v>451516</v>
      </c>
      <c r="J370" s="15">
        <f t="shared" si="347"/>
        <v>411130</v>
      </c>
      <c r="K370" s="15">
        <f t="shared" si="347"/>
        <v>147280</v>
      </c>
      <c r="L370" s="15">
        <f t="shared" si="347"/>
        <v>147280</v>
      </c>
      <c r="M370" s="15">
        <f t="shared" si="347"/>
        <v>11650</v>
      </c>
      <c r="N370" s="15">
        <f t="shared" si="347"/>
        <v>9079</v>
      </c>
      <c r="O370" s="15">
        <f t="shared" si="347"/>
        <v>542701</v>
      </c>
      <c r="P370" s="15">
        <f t="shared" si="347"/>
        <v>365728</v>
      </c>
      <c r="Q370" s="15">
        <f t="shared" si="347"/>
        <v>1062625</v>
      </c>
      <c r="R370" s="15">
        <f t="shared" si="347"/>
        <v>967503</v>
      </c>
      <c r="S370" s="15">
        <f t="shared" si="347"/>
        <v>0</v>
      </c>
      <c r="T370" s="15">
        <f t="shared" si="347"/>
        <v>669500</v>
      </c>
      <c r="U370" s="15">
        <f t="shared" si="347"/>
        <v>551400</v>
      </c>
      <c r="V370" s="15">
        <f t="shared" si="347"/>
        <v>0</v>
      </c>
      <c r="W370" s="24"/>
      <c r="X370" s="429">
        <f t="shared" ref="X370:Z370" si="348">SUM(X371,X373,X379)</f>
        <v>680000</v>
      </c>
      <c r="Y370" s="429">
        <f t="shared" si="348"/>
        <v>611900</v>
      </c>
      <c r="Z370" s="429">
        <f t="shared" si="348"/>
        <v>0</v>
      </c>
      <c r="AA370" s="5"/>
      <c r="AB370" s="15">
        <f t="shared" ref="AB370:AK370" si="349">SUM(AB371,AB373,AB379)</f>
        <v>0</v>
      </c>
      <c r="AC370" s="15">
        <f t="shared" si="349"/>
        <v>0</v>
      </c>
      <c r="AD370" s="15">
        <f t="shared" si="349"/>
        <v>0</v>
      </c>
      <c r="AE370" s="15">
        <f t="shared" si="349"/>
        <v>0</v>
      </c>
      <c r="AF370" s="15">
        <f t="shared" si="349"/>
        <v>0</v>
      </c>
      <c r="AG370" s="15">
        <f t="shared" si="349"/>
        <v>0</v>
      </c>
      <c r="AH370" s="15">
        <f t="shared" si="349"/>
        <v>13</v>
      </c>
      <c r="AI370" s="15">
        <f t="shared" si="349"/>
        <v>591636</v>
      </c>
      <c r="AJ370" s="15">
        <f t="shared" si="349"/>
        <v>0</v>
      </c>
      <c r="AK370" s="15">
        <f t="shared" si="349"/>
        <v>0</v>
      </c>
      <c r="AL370" s="15">
        <f>SUM(AL371,AL373,AL379)</f>
        <v>0</v>
      </c>
      <c r="AM370" s="15">
        <f>SUM(AM371,AM373,AM379)</f>
        <v>0</v>
      </c>
      <c r="AN370" s="15">
        <f>SUM(AN371,AN373,AN379)</f>
        <v>0</v>
      </c>
      <c r="AO370" s="15">
        <f>SUM(AO371,AO373,AO379)</f>
        <v>0</v>
      </c>
    </row>
    <row r="371" spans="1:41" s="25" customFormat="1" ht="33" customHeight="1">
      <c r="A371" s="11"/>
      <c r="B371" s="27" t="s">
        <v>849</v>
      </c>
      <c r="C371" s="143"/>
      <c r="D371" s="19"/>
      <c r="E371" s="70"/>
      <c r="F371" s="19"/>
      <c r="G371" s="15">
        <f>G372</f>
        <v>790726</v>
      </c>
      <c r="H371" s="15">
        <f t="shared" ref="H371:Z371" si="350">H372</f>
        <v>650196</v>
      </c>
      <c r="I371" s="15">
        <f t="shared" si="350"/>
        <v>0</v>
      </c>
      <c r="J371" s="15">
        <f t="shared" si="350"/>
        <v>0</v>
      </c>
      <c r="K371" s="15">
        <f t="shared" si="350"/>
        <v>16036</v>
      </c>
      <c r="L371" s="15">
        <f t="shared" si="350"/>
        <v>16036</v>
      </c>
      <c r="M371" s="15">
        <f t="shared" si="350"/>
        <v>0</v>
      </c>
      <c r="N371" s="15">
        <f t="shared" si="350"/>
        <v>0</v>
      </c>
      <c r="O371" s="15">
        <f t="shared" si="350"/>
        <v>410216</v>
      </c>
      <c r="P371" s="15">
        <f t="shared" si="350"/>
        <v>274789</v>
      </c>
      <c r="Q371" s="15">
        <f t="shared" si="350"/>
        <v>380510</v>
      </c>
      <c r="R371" s="15">
        <f t="shared" si="350"/>
        <v>359937</v>
      </c>
      <c r="S371" s="15">
        <f t="shared" si="350"/>
        <v>0</v>
      </c>
      <c r="T371" s="15">
        <f t="shared" si="350"/>
        <v>35000</v>
      </c>
      <c r="U371" s="15">
        <f t="shared" si="350"/>
        <v>35000</v>
      </c>
      <c r="V371" s="15">
        <f t="shared" si="350"/>
        <v>0</v>
      </c>
      <c r="W371" s="24"/>
      <c r="X371" s="429">
        <f t="shared" si="350"/>
        <v>35000</v>
      </c>
      <c r="Y371" s="429">
        <f t="shared" si="350"/>
        <v>35000</v>
      </c>
      <c r="Z371" s="429">
        <f t="shared" si="350"/>
        <v>0</v>
      </c>
      <c r="AA371" s="5"/>
      <c r="AB371" s="15">
        <f t="shared" ref="AB371:AK371" si="351">AB372</f>
        <v>0</v>
      </c>
      <c r="AC371" s="15">
        <f t="shared" si="351"/>
        <v>0</v>
      </c>
      <c r="AD371" s="15">
        <f t="shared" si="351"/>
        <v>0</v>
      </c>
      <c r="AE371" s="15">
        <f t="shared" si="351"/>
        <v>0</v>
      </c>
      <c r="AF371" s="15">
        <f t="shared" si="351"/>
        <v>0</v>
      </c>
      <c r="AG371" s="15">
        <f t="shared" si="351"/>
        <v>0</v>
      </c>
      <c r="AH371" s="15">
        <f t="shared" si="351"/>
        <v>1</v>
      </c>
      <c r="AI371" s="15">
        <f t="shared" si="351"/>
        <v>30000</v>
      </c>
      <c r="AJ371" s="15">
        <f t="shared" si="351"/>
        <v>0</v>
      </c>
      <c r="AK371" s="15">
        <f t="shared" si="351"/>
        <v>0</v>
      </c>
      <c r="AL371" s="15">
        <f>AL372</f>
        <v>0</v>
      </c>
      <c r="AM371" s="15">
        <f>AM372</f>
        <v>0</v>
      </c>
      <c r="AN371" s="15">
        <f>AN372</f>
        <v>0</v>
      </c>
      <c r="AO371" s="15">
        <f>AO372</f>
        <v>0</v>
      </c>
    </row>
    <row r="372" spans="1:41" s="375" customFormat="1" ht="37.5" customHeight="1">
      <c r="A372" s="97" t="s">
        <v>27</v>
      </c>
      <c r="B372" s="225" t="s">
        <v>850</v>
      </c>
      <c r="C372" s="196" t="s">
        <v>29</v>
      </c>
      <c r="D372" s="297" t="s">
        <v>851</v>
      </c>
      <c r="E372" s="505" t="s">
        <v>852</v>
      </c>
      <c r="F372" s="19" t="s">
        <v>853</v>
      </c>
      <c r="G372" s="72">
        <v>790726</v>
      </c>
      <c r="H372" s="72">
        <v>650196</v>
      </c>
      <c r="I372" s="23"/>
      <c r="J372" s="23"/>
      <c r="K372" s="23">
        <v>16036</v>
      </c>
      <c r="L372" s="23">
        <v>16036</v>
      </c>
      <c r="M372" s="23"/>
      <c r="N372" s="23"/>
      <c r="O372" s="23">
        <f>P372+135427</f>
        <v>410216</v>
      </c>
      <c r="P372" s="23">
        <v>274789</v>
      </c>
      <c r="Q372" s="23">
        <f>345510+35000</f>
        <v>380510</v>
      </c>
      <c r="R372" s="23">
        <f>324937+35000</f>
        <v>359937</v>
      </c>
      <c r="S372" s="23"/>
      <c r="T372" s="23">
        <v>35000</v>
      </c>
      <c r="U372" s="23">
        <v>35000</v>
      </c>
      <c r="V372" s="23"/>
      <c r="W372" s="24"/>
      <c r="X372" s="371">
        <v>35000</v>
      </c>
      <c r="Y372" s="371">
        <v>35000</v>
      </c>
      <c r="Z372" s="371"/>
      <c r="AA372" s="5"/>
      <c r="AH372" s="25">
        <v>1</v>
      </c>
      <c r="AI372" s="23">
        <v>30000</v>
      </c>
    </row>
    <row r="373" spans="1:41" s="25" customFormat="1" ht="28.5" customHeight="1">
      <c r="A373" s="11"/>
      <c r="B373" s="27" t="s">
        <v>35</v>
      </c>
      <c r="C373" s="143"/>
      <c r="D373" s="19"/>
      <c r="E373" s="70"/>
      <c r="F373" s="19"/>
      <c r="G373" s="15">
        <f>SUM(G374:G378)</f>
        <v>342666</v>
      </c>
      <c r="H373" s="15">
        <f t="shared" ref="H373:V373" si="352">SUM(H374:H378)</f>
        <v>298564</v>
      </c>
      <c r="I373" s="15">
        <f t="shared" si="352"/>
        <v>76228</v>
      </c>
      <c r="J373" s="15">
        <f t="shared" si="352"/>
        <v>51950</v>
      </c>
      <c r="K373" s="15">
        <f t="shared" si="352"/>
        <v>2554</v>
      </c>
      <c r="L373" s="15">
        <f t="shared" si="352"/>
        <v>2554</v>
      </c>
      <c r="M373" s="15">
        <f t="shared" si="352"/>
        <v>10428</v>
      </c>
      <c r="N373" s="15">
        <f t="shared" si="352"/>
        <v>8443</v>
      </c>
      <c r="O373" s="15">
        <f t="shared" si="352"/>
        <v>95269</v>
      </c>
      <c r="P373" s="15">
        <f t="shared" si="352"/>
        <v>66831</v>
      </c>
      <c r="Q373" s="15">
        <f t="shared" si="352"/>
        <v>316485</v>
      </c>
      <c r="R373" s="15">
        <f t="shared" si="352"/>
        <v>284519</v>
      </c>
      <c r="S373" s="15">
        <f t="shared" si="352"/>
        <v>0</v>
      </c>
      <c r="T373" s="15">
        <f t="shared" si="352"/>
        <v>71000</v>
      </c>
      <c r="U373" s="15">
        <f t="shared" si="352"/>
        <v>62900</v>
      </c>
      <c r="V373" s="15">
        <f t="shared" si="352"/>
        <v>0</v>
      </c>
      <c r="W373" s="89"/>
      <c r="X373" s="429">
        <f t="shared" ref="X373:Z373" si="353">SUM(X374:X378)</f>
        <v>81500</v>
      </c>
      <c r="Y373" s="429">
        <f t="shared" si="353"/>
        <v>73400</v>
      </c>
      <c r="Z373" s="429">
        <f t="shared" si="353"/>
        <v>0</v>
      </c>
      <c r="AA373" s="5"/>
      <c r="AB373" s="15">
        <f t="shared" ref="AB373:AK373" si="354">SUM(AB374:AB378)</f>
        <v>0</v>
      </c>
      <c r="AC373" s="15">
        <f t="shared" si="354"/>
        <v>0</v>
      </c>
      <c r="AD373" s="15">
        <f t="shared" si="354"/>
        <v>0</v>
      </c>
      <c r="AE373" s="15">
        <f t="shared" si="354"/>
        <v>0</v>
      </c>
      <c r="AF373" s="15">
        <f t="shared" si="354"/>
        <v>0</v>
      </c>
      <c r="AG373" s="15">
        <f t="shared" si="354"/>
        <v>0</v>
      </c>
      <c r="AH373" s="15">
        <f t="shared" si="354"/>
        <v>5</v>
      </c>
      <c r="AI373" s="15">
        <f t="shared" si="354"/>
        <v>44000</v>
      </c>
      <c r="AJ373" s="15">
        <f t="shared" si="354"/>
        <v>0</v>
      </c>
      <c r="AK373" s="15">
        <f t="shared" si="354"/>
        <v>0</v>
      </c>
      <c r="AL373" s="15">
        <f>SUM(AL374:AL378)</f>
        <v>0</v>
      </c>
      <c r="AM373" s="15">
        <f>SUM(AM374:AM378)</f>
        <v>0</v>
      </c>
      <c r="AN373" s="15">
        <f>SUM(AN374:AN378)</f>
        <v>0</v>
      </c>
      <c r="AO373" s="15">
        <f>SUM(AO374:AO378)</f>
        <v>0</v>
      </c>
    </row>
    <row r="374" spans="1:41" s="375" customFormat="1" ht="30">
      <c r="A374" s="97" t="s">
        <v>27</v>
      </c>
      <c r="B374" s="225" t="s">
        <v>854</v>
      </c>
      <c r="C374" s="196" t="s">
        <v>60</v>
      </c>
      <c r="D374" s="297" t="s">
        <v>855</v>
      </c>
      <c r="E374" s="505" t="s">
        <v>1340</v>
      </c>
      <c r="F374" s="19" t="s">
        <v>857</v>
      </c>
      <c r="G374" s="72">
        <v>71396</v>
      </c>
      <c r="H374" s="72">
        <v>33160</v>
      </c>
      <c r="I374" s="23">
        <f>J374+18000</f>
        <v>18400</v>
      </c>
      <c r="J374" s="23">
        <v>400</v>
      </c>
      <c r="K374" s="23">
        <v>0</v>
      </c>
      <c r="L374" s="23">
        <v>0</v>
      </c>
      <c r="M374" s="23">
        <f>1249+N374</f>
        <v>1629</v>
      </c>
      <c r="N374" s="72">
        <v>380</v>
      </c>
      <c r="O374" s="72">
        <f>22160+P374</f>
        <v>23630</v>
      </c>
      <c r="P374" s="23">
        <v>1470</v>
      </c>
      <c r="Q374" s="23">
        <f>26100+R374</f>
        <v>59026</v>
      </c>
      <c r="R374" s="23">
        <v>32926</v>
      </c>
      <c r="S374" s="23"/>
      <c r="T374" s="23">
        <f>8100+U374</f>
        <v>21000</v>
      </c>
      <c r="U374" s="23">
        <v>12900</v>
      </c>
      <c r="V374" s="23"/>
      <c r="W374" s="24"/>
      <c r="X374" s="371">
        <f>8100+Y374</f>
        <v>21000</v>
      </c>
      <c r="Y374" s="371">
        <v>12900</v>
      </c>
      <c r="Z374" s="371"/>
      <c r="AA374" s="5"/>
      <c r="AH374" s="25">
        <v>1</v>
      </c>
      <c r="AI374" s="23">
        <v>4000</v>
      </c>
    </row>
    <row r="375" spans="1:41" s="375" customFormat="1" ht="42.75" customHeight="1">
      <c r="A375" s="97" t="s">
        <v>41</v>
      </c>
      <c r="B375" s="225" t="s">
        <v>858</v>
      </c>
      <c r="C375" s="196" t="s">
        <v>85</v>
      </c>
      <c r="D375" s="101" t="s">
        <v>859</v>
      </c>
      <c r="E375" s="95" t="s">
        <v>860</v>
      </c>
      <c r="F375" s="101" t="s">
        <v>861</v>
      </c>
      <c r="G375" s="366">
        <v>83956</v>
      </c>
      <c r="H375" s="226">
        <f>G375</f>
        <v>83956</v>
      </c>
      <c r="I375" s="23">
        <v>30000</v>
      </c>
      <c r="J375" s="23">
        <v>30000</v>
      </c>
      <c r="K375" s="23">
        <f t="shared" ref="K375:K376" si="355">L375</f>
        <v>1334</v>
      </c>
      <c r="L375" s="23">
        <v>1334</v>
      </c>
      <c r="M375" s="23">
        <f t="shared" ref="M375" si="356">N375</f>
        <v>5883</v>
      </c>
      <c r="N375" s="23">
        <v>5883</v>
      </c>
      <c r="O375" s="23">
        <f>P375</f>
        <v>43512</v>
      </c>
      <c r="P375" s="23">
        <f>13512+J375</f>
        <v>43512</v>
      </c>
      <c r="Q375" s="23">
        <f>R375</f>
        <v>70444</v>
      </c>
      <c r="R375" s="23">
        <f>H375-13512</f>
        <v>70444</v>
      </c>
      <c r="S375" s="23"/>
      <c r="T375" s="23">
        <v>20000</v>
      </c>
      <c r="U375" s="23">
        <v>20000</v>
      </c>
      <c r="V375" s="23"/>
      <c r="W375" s="24"/>
      <c r="X375" s="371">
        <v>20000</v>
      </c>
      <c r="Y375" s="371">
        <v>20000</v>
      </c>
      <c r="Z375" s="371"/>
      <c r="AA375" s="5"/>
      <c r="AH375" s="25">
        <v>1</v>
      </c>
      <c r="AI375" s="23">
        <v>10000</v>
      </c>
    </row>
    <row r="376" spans="1:41" s="375" customFormat="1" ht="30" customHeight="1">
      <c r="A376" s="97" t="s">
        <v>58</v>
      </c>
      <c r="B376" s="229" t="s">
        <v>862</v>
      </c>
      <c r="C376" s="196" t="s">
        <v>260</v>
      </c>
      <c r="D376" s="101" t="s">
        <v>863</v>
      </c>
      <c r="E376" s="312" t="s">
        <v>860</v>
      </c>
      <c r="F376" s="101" t="s">
        <v>1183</v>
      </c>
      <c r="G376" s="104">
        <v>45386</v>
      </c>
      <c r="H376" s="226">
        <v>39520</v>
      </c>
      <c r="I376" s="23">
        <f>J376+6278</f>
        <v>26278</v>
      </c>
      <c r="J376" s="23">
        <v>20000</v>
      </c>
      <c r="K376" s="23">
        <f t="shared" si="355"/>
        <v>1220</v>
      </c>
      <c r="L376" s="23">
        <v>1220</v>
      </c>
      <c r="M376" s="23">
        <v>2430</v>
      </c>
      <c r="N376" s="23">
        <v>1694</v>
      </c>
      <c r="O376" s="23">
        <f>P376+6278</f>
        <v>26278</v>
      </c>
      <c r="P376" s="23">
        <v>20000</v>
      </c>
      <c r="Q376" s="23">
        <v>45386</v>
      </c>
      <c r="R376" s="23">
        <v>39520</v>
      </c>
      <c r="S376" s="23"/>
      <c r="T376" s="23">
        <v>10000</v>
      </c>
      <c r="U376" s="23">
        <v>10000</v>
      </c>
      <c r="V376" s="23"/>
      <c r="W376" s="24"/>
      <c r="X376" s="371">
        <v>10000</v>
      </c>
      <c r="Y376" s="371">
        <v>10000</v>
      </c>
      <c r="Z376" s="371"/>
      <c r="AA376" s="5"/>
      <c r="AH376" s="25">
        <v>1</v>
      </c>
      <c r="AI376" s="23">
        <v>10000</v>
      </c>
    </row>
    <row r="377" spans="1:41" s="25" customFormat="1" ht="30" customHeight="1">
      <c r="A377" s="97" t="s">
        <v>64</v>
      </c>
      <c r="B377" s="212" t="s">
        <v>864</v>
      </c>
      <c r="C377" s="143" t="s">
        <v>43</v>
      </c>
      <c r="D377" s="19" t="s">
        <v>865</v>
      </c>
      <c r="E377" s="44" t="s">
        <v>814</v>
      </c>
      <c r="F377" s="19" t="s">
        <v>866</v>
      </c>
      <c r="G377" s="23">
        <v>74513</v>
      </c>
      <c r="H377" s="23">
        <v>74513</v>
      </c>
      <c r="I377" s="23">
        <v>850</v>
      </c>
      <c r="J377" s="23">
        <v>850</v>
      </c>
      <c r="K377" s="23"/>
      <c r="L377" s="23"/>
      <c r="M377" s="23">
        <f>N377</f>
        <v>266</v>
      </c>
      <c r="N377" s="23">
        <v>266</v>
      </c>
      <c r="O377" s="23">
        <f>P377</f>
        <v>1149</v>
      </c>
      <c r="P377" s="23">
        <f>299+J377</f>
        <v>1149</v>
      </c>
      <c r="Q377" s="23">
        <f>R377</f>
        <v>74214</v>
      </c>
      <c r="R377" s="23">
        <f>H377-299</f>
        <v>74214</v>
      </c>
      <c r="S377" s="23"/>
      <c r="T377" s="23">
        <f>U377</f>
        <v>10000</v>
      </c>
      <c r="U377" s="23">
        <v>10000</v>
      </c>
      <c r="V377" s="23"/>
      <c r="W377" s="24"/>
      <c r="X377" s="371">
        <f>Y377</f>
        <v>10000</v>
      </c>
      <c r="Y377" s="371">
        <v>10000</v>
      </c>
      <c r="Z377" s="371"/>
      <c r="AA377" s="5"/>
      <c r="AH377" s="25">
        <v>1</v>
      </c>
      <c r="AI377" s="23">
        <v>10000</v>
      </c>
    </row>
    <row r="378" spans="1:41" s="25" customFormat="1" ht="48.4" customHeight="1">
      <c r="A378" s="97" t="s">
        <v>69</v>
      </c>
      <c r="B378" s="212" t="s">
        <v>867</v>
      </c>
      <c r="C378" s="143" t="s">
        <v>143</v>
      </c>
      <c r="D378" s="19" t="s">
        <v>868</v>
      </c>
      <c r="E378" s="44" t="s">
        <v>814</v>
      </c>
      <c r="F378" s="19" t="s">
        <v>869</v>
      </c>
      <c r="G378" s="23">
        <v>67415</v>
      </c>
      <c r="H378" s="23">
        <v>67415</v>
      </c>
      <c r="I378" s="23">
        <v>700</v>
      </c>
      <c r="J378" s="23">
        <v>700</v>
      </c>
      <c r="K378" s="23"/>
      <c r="L378" s="23"/>
      <c r="M378" s="23">
        <f>N378</f>
        <v>220</v>
      </c>
      <c r="N378" s="23">
        <v>220</v>
      </c>
      <c r="O378" s="23">
        <f>P378</f>
        <v>700</v>
      </c>
      <c r="P378" s="23">
        <v>700</v>
      </c>
      <c r="Q378" s="23">
        <v>67415</v>
      </c>
      <c r="R378" s="23">
        <v>67415</v>
      </c>
      <c r="S378" s="23"/>
      <c r="T378" s="23">
        <f>U378</f>
        <v>10000</v>
      </c>
      <c r="U378" s="23">
        <v>10000</v>
      </c>
      <c r="V378" s="23"/>
      <c r="W378" s="24"/>
      <c r="X378" s="371">
        <f>Y378</f>
        <v>20500</v>
      </c>
      <c r="Y378" s="371">
        <v>20500</v>
      </c>
      <c r="Z378" s="371"/>
      <c r="AA378" s="5"/>
      <c r="AH378" s="25">
        <v>1</v>
      </c>
      <c r="AI378" s="23">
        <v>10000</v>
      </c>
    </row>
    <row r="379" spans="1:41" s="25" customFormat="1" ht="27.75" customHeight="1">
      <c r="A379" s="11"/>
      <c r="B379" s="27" t="s">
        <v>48</v>
      </c>
      <c r="C379" s="143"/>
      <c r="D379" s="19"/>
      <c r="E379" s="70"/>
      <c r="F379" s="19"/>
      <c r="G379" s="15">
        <f>SUM(G380:G386)</f>
        <v>625121</v>
      </c>
      <c r="H379" s="15">
        <f t="shared" ref="H379:V379" si="357">SUM(H380:H386)</f>
        <v>498405</v>
      </c>
      <c r="I379" s="15">
        <f t="shared" si="357"/>
        <v>375288</v>
      </c>
      <c r="J379" s="15">
        <f t="shared" si="357"/>
        <v>359180</v>
      </c>
      <c r="K379" s="15">
        <f t="shared" si="357"/>
        <v>128690</v>
      </c>
      <c r="L379" s="15">
        <f t="shared" si="357"/>
        <v>128690</v>
      </c>
      <c r="M379" s="15">
        <f t="shared" si="357"/>
        <v>1222</v>
      </c>
      <c r="N379" s="15">
        <f t="shared" si="357"/>
        <v>636</v>
      </c>
      <c r="O379" s="15">
        <f t="shared" si="357"/>
        <v>37216</v>
      </c>
      <c r="P379" s="15">
        <f t="shared" si="357"/>
        <v>24108</v>
      </c>
      <c r="Q379" s="15">
        <f t="shared" si="357"/>
        <v>365630</v>
      </c>
      <c r="R379" s="15">
        <f t="shared" si="357"/>
        <v>323047</v>
      </c>
      <c r="S379" s="15">
        <f t="shared" si="357"/>
        <v>0</v>
      </c>
      <c r="T379" s="15">
        <f t="shared" si="357"/>
        <v>563500</v>
      </c>
      <c r="U379" s="15">
        <f t="shared" si="357"/>
        <v>453500</v>
      </c>
      <c r="V379" s="15">
        <f t="shared" si="357"/>
        <v>0</v>
      </c>
      <c r="W379" s="89"/>
      <c r="X379" s="429">
        <f t="shared" ref="X379:Z379" si="358">SUM(X380:X386)</f>
        <v>563500</v>
      </c>
      <c r="Y379" s="429">
        <f t="shared" si="358"/>
        <v>503500</v>
      </c>
      <c r="Z379" s="429">
        <f t="shared" si="358"/>
        <v>0</v>
      </c>
      <c r="AA379" s="5"/>
      <c r="AB379" s="15">
        <f t="shared" ref="AB379:AK379" si="359">SUM(AB380:AB386)</f>
        <v>0</v>
      </c>
      <c r="AC379" s="15">
        <f t="shared" si="359"/>
        <v>0</v>
      </c>
      <c r="AD379" s="15">
        <f t="shared" si="359"/>
        <v>0</v>
      </c>
      <c r="AE379" s="15">
        <f t="shared" si="359"/>
        <v>0</v>
      </c>
      <c r="AF379" s="15">
        <f t="shared" si="359"/>
        <v>0</v>
      </c>
      <c r="AG379" s="15">
        <f t="shared" si="359"/>
        <v>0</v>
      </c>
      <c r="AH379" s="15">
        <f t="shared" si="359"/>
        <v>7</v>
      </c>
      <c r="AI379" s="15">
        <f t="shared" si="359"/>
        <v>517636</v>
      </c>
      <c r="AJ379" s="15">
        <f t="shared" si="359"/>
        <v>0</v>
      </c>
      <c r="AK379" s="15">
        <f t="shared" si="359"/>
        <v>0</v>
      </c>
      <c r="AL379" s="15">
        <f>SUM(AL380:AL386)</f>
        <v>0</v>
      </c>
      <c r="AM379" s="15">
        <f>SUM(AM380:AM386)</f>
        <v>0</v>
      </c>
      <c r="AN379" s="15">
        <f>SUM(AN380:AN386)</f>
        <v>0</v>
      </c>
      <c r="AO379" s="15">
        <f>SUM(AO380:AO386)</f>
        <v>0</v>
      </c>
    </row>
    <row r="380" spans="1:41" s="375" customFormat="1" ht="42" customHeight="1">
      <c r="A380" s="97" t="s">
        <v>27</v>
      </c>
      <c r="B380" s="225" t="s">
        <v>870</v>
      </c>
      <c r="C380" s="196" t="s">
        <v>60</v>
      </c>
      <c r="D380" s="101" t="s">
        <v>871</v>
      </c>
      <c r="E380" s="312" t="s">
        <v>1184</v>
      </c>
      <c r="F380" s="101" t="s">
        <v>1185</v>
      </c>
      <c r="G380" s="226">
        <v>25400</v>
      </c>
      <c r="H380" s="226">
        <v>17300</v>
      </c>
      <c r="I380" s="23">
        <f>J380+8381</f>
        <v>15381</v>
      </c>
      <c r="J380" s="23">
        <v>7000</v>
      </c>
      <c r="K380" s="23">
        <f t="shared" ref="K380:K384" si="360">L380</f>
        <v>1188</v>
      </c>
      <c r="L380" s="23">
        <v>1188</v>
      </c>
      <c r="M380" s="23">
        <f t="shared" ref="M380" si="361">N380</f>
        <v>0</v>
      </c>
      <c r="N380" s="23">
        <v>0</v>
      </c>
      <c r="O380" s="23">
        <v>17214</v>
      </c>
      <c r="P380" s="23">
        <f>645+J380+L380</f>
        <v>8833</v>
      </c>
      <c r="Q380" s="23">
        <f>G380-645</f>
        <v>24755</v>
      </c>
      <c r="R380" s="23">
        <f>H380-645</f>
        <v>16655</v>
      </c>
      <c r="S380" s="23"/>
      <c r="T380" s="23">
        <v>5000</v>
      </c>
      <c r="U380" s="23">
        <v>5000</v>
      </c>
      <c r="V380" s="23"/>
      <c r="W380" s="24"/>
      <c r="X380" s="371">
        <v>5000</v>
      </c>
      <c r="Y380" s="371">
        <v>5000</v>
      </c>
      <c r="Z380" s="371"/>
      <c r="AA380" s="5"/>
      <c r="AH380" s="25">
        <v>1</v>
      </c>
      <c r="AI380" s="23">
        <v>9334</v>
      </c>
    </row>
    <row r="381" spans="1:41" s="375" customFormat="1" ht="42" customHeight="1">
      <c r="A381" s="97" t="s">
        <v>41</v>
      </c>
      <c r="B381" s="229" t="s">
        <v>872</v>
      </c>
      <c r="C381" s="196" t="s">
        <v>260</v>
      </c>
      <c r="D381" s="101" t="s">
        <v>873</v>
      </c>
      <c r="E381" s="312" t="s">
        <v>860</v>
      </c>
      <c r="F381" s="101" t="s">
        <v>1186</v>
      </c>
      <c r="G381" s="104">
        <v>31768</v>
      </c>
      <c r="H381" s="226">
        <v>27285</v>
      </c>
      <c r="I381" s="23">
        <f>J381+4727</f>
        <v>17727</v>
      </c>
      <c r="J381" s="23">
        <v>13000</v>
      </c>
      <c r="K381" s="23">
        <f t="shared" si="360"/>
        <v>0</v>
      </c>
      <c r="L381" s="23">
        <v>0</v>
      </c>
      <c r="M381" s="23">
        <v>706</v>
      </c>
      <c r="N381" s="23">
        <v>120</v>
      </c>
      <c r="O381" s="23">
        <v>18320</v>
      </c>
      <c r="P381" s="23">
        <v>13593</v>
      </c>
      <c r="Q381" s="23">
        <v>31175</v>
      </c>
      <c r="R381" s="23">
        <v>26692</v>
      </c>
      <c r="S381" s="23"/>
      <c r="T381" s="23">
        <v>7000</v>
      </c>
      <c r="U381" s="23">
        <v>7000</v>
      </c>
      <c r="V381" s="23"/>
      <c r="W381" s="24"/>
      <c r="X381" s="371">
        <v>7000</v>
      </c>
      <c r="Y381" s="371">
        <v>7000</v>
      </c>
      <c r="Z381" s="371"/>
      <c r="AA381" s="5"/>
      <c r="AH381" s="25">
        <v>1</v>
      </c>
      <c r="AI381" s="23">
        <v>14002</v>
      </c>
    </row>
    <row r="382" spans="1:41" s="375" customFormat="1" ht="45" customHeight="1">
      <c r="A382" s="97" t="s">
        <v>58</v>
      </c>
      <c r="B382" s="214" t="s">
        <v>874</v>
      </c>
      <c r="C382" s="230" t="s">
        <v>85</v>
      </c>
      <c r="D382" s="101" t="s">
        <v>875</v>
      </c>
      <c r="E382" s="312" t="s">
        <v>876</v>
      </c>
      <c r="F382" s="101" t="s">
        <v>877</v>
      </c>
      <c r="G382" s="226">
        <v>16000</v>
      </c>
      <c r="H382" s="226">
        <f>G382</f>
        <v>16000</v>
      </c>
      <c r="I382" s="23">
        <v>680</v>
      </c>
      <c r="J382" s="23">
        <v>680</v>
      </c>
      <c r="K382" s="23">
        <f t="shared" si="360"/>
        <v>0</v>
      </c>
      <c r="L382" s="23">
        <v>0</v>
      </c>
      <c r="M382" s="23">
        <f>N382</f>
        <v>206</v>
      </c>
      <c r="N382" s="23">
        <v>206</v>
      </c>
      <c r="O382" s="23">
        <f>P382</f>
        <v>680</v>
      </c>
      <c r="P382" s="23">
        <f>J382+L382</f>
        <v>680</v>
      </c>
      <c r="Q382" s="23">
        <v>16000</v>
      </c>
      <c r="R382" s="23">
        <v>16000</v>
      </c>
      <c r="S382" s="23"/>
      <c r="T382" s="23">
        <f>U382</f>
        <v>10000</v>
      </c>
      <c r="U382" s="23">
        <v>10000</v>
      </c>
      <c r="V382" s="23"/>
      <c r="W382" s="24"/>
      <c r="X382" s="371">
        <f>Y382</f>
        <v>10000</v>
      </c>
      <c r="Y382" s="371">
        <v>10000</v>
      </c>
      <c r="Z382" s="371"/>
      <c r="AA382" s="5"/>
      <c r="AH382" s="25">
        <v>1</v>
      </c>
      <c r="AI382" s="23">
        <v>7400</v>
      </c>
    </row>
    <row r="383" spans="1:41" s="375" customFormat="1" ht="39.75" customHeight="1">
      <c r="A383" s="97" t="s">
        <v>64</v>
      </c>
      <c r="B383" s="214" t="s">
        <v>878</v>
      </c>
      <c r="C383" s="196" t="s">
        <v>173</v>
      </c>
      <c r="D383" s="101" t="s">
        <v>879</v>
      </c>
      <c r="E383" s="312" t="s">
        <v>1341</v>
      </c>
      <c r="F383" s="101" t="s">
        <v>1342</v>
      </c>
      <c r="G383" s="226">
        <v>7400</v>
      </c>
      <c r="H383" s="226">
        <f>G383</f>
        <v>7400</v>
      </c>
      <c r="I383" s="23">
        <v>500</v>
      </c>
      <c r="J383" s="23">
        <v>500</v>
      </c>
      <c r="K383" s="23">
        <f t="shared" si="360"/>
        <v>2</v>
      </c>
      <c r="L383" s="23">
        <v>2</v>
      </c>
      <c r="M383" s="23">
        <f t="shared" ref="M383:M384" si="362">N383</f>
        <v>166</v>
      </c>
      <c r="N383" s="23">
        <v>166</v>
      </c>
      <c r="O383" s="23">
        <f>P383</f>
        <v>502</v>
      </c>
      <c r="P383" s="23">
        <f>J383+2</f>
        <v>502</v>
      </c>
      <c r="Q383" s="23">
        <v>7400</v>
      </c>
      <c r="R383" s="23">
        <v>7400</v>
      </c>
      <c r="S383" s="23"/>
      <c r="T383" s="23">
        <f>U383</f>
        <v>6500</v>
      </c>
      <c r="U383" s="23">
        <v>6500</v>
      </c>
      <c r="V383" s="23"/>
      <c r="W383" s="24"/>
      <c r="X383" s="371">
        <f>Y383</f>
        <v>6500</v>
      </c>
      <c r="Y383" s="371">
        <v>6500</v>
      </c>
      <c r="Z383" s="371"/>
      <c r="AA383" s="5"/>
      <c r="AH383" s="25">
        <v>1</v>
      </c>
      <c r="AI383" s="23">
        <v>2700</v>
      </c>
    </row>
    <row r="384" spans="1:41" s="375" customFormat="1" ht="42" customHeight="1">
      <c r="A384" s="97" t="s">
        <v>69</v>
      </c>
      <c r="B384" s="214" t="s">
        <v>881</v>
      </c>
      <c r="C384" s="230" t="s">
        <v>66</v>
      </c>
      <c r="D384" s="101" t="s">
        <v>882</v>
      </c>
      <c r="E384" s="312" t="s">
        <v>876</v>
      </c>
      <c r="F384" s="101" t="s">
        <v>1343</v>
      </c>
      <c r="G384" s="226">
        <f>H384</f>
        <v>6300</v>
      </c>
      <c r="H384" s="226">
        <v>6300</v>
      </c>
      <c r="I384" s="23">
        <v>500</v>
      </c>
      <c r="J384" s="23">
        <v>500</v>
      </c>
      <c r="K384" s="23">
        <f t="shared" si="360"/>
        <v>0</v>
      </c>
      <c r="L384" s="23">
        <v>0</v>
      </c>
      <c r="M384" s="23">
        <f t="shared" si="362"/>
        <v>144</v>
      </c>
      <c r="N384" s="23">
        <v>144</v>
      </c>
      <c r="O384" s="23">
        <f>P384</f>
        <v>500</v>
      </c>
      <c r="P384" s="23">
        <f>J384+L384</f>
        <v>500</v>
      </c>
      <c r="Q384" s="23">
        <f>R384</f>
        <v>6300</v>
      </c>
      <c r="R384" s="23">
        <v>6300</v>
      </c>
      <c r="S384" s="23"/>
      <c r="T384" s="23">
        <f>U384</f>
        <v>5000</v>
      </c>
      <c r="U384" s="23">
        <v>5000</v>
      </c>
      <c r="V384" s="23"/>
      <c r="W384" s="24"/>
      <c r="X384" s="371">
        <f>Y384</f>
        <v>5000</v>
      </c>
      <c r="Y384" s="371">
        <v>5000</v>
      </c>
      <c r="Z384" s="371"/>
      <c r="AA384" s="5"/>
      <c r="AH384" s="25">
        <v>1</v>
      </c>
      <c r="AI384" s="23">
        <v>3200</v>
      </c>
    </row>
    <row r="385" spans="1:42" s="375" customFormat="1" ht="42" customHeight="1">
      <c r="A385" s="97" t="s">
        <v>74</v>
      </c>
      <c r="B385" s="214" t="s">
        <v>848</v>
      </c>
      <c r="C385" s="230" t="s">
        <v>222</v>
      </c>
      <c r="D385" s="101"/>
      <c r="E385" s="312"/>
      <c r="F385" s="101"/>
      <c r="G385" s="226">
        <v>538253</v>
      </c>
      <c r="H385" s="226">
        <v>424120</v>
      </c>
      <c r="I385" s="23">
        <v>67000</v>
      </c>
      <c r="J385" s="23">
        <v>64000</v>
      </c>
      <c r="K385" s="23">
        <v>28595</v>
      </c>
      <c r="L385" s="23">
        <v>28595</v>
      </c>
      <c r="M385" s="23"/>
      <c r="N385" s="23"/>
      <c r="O385" s="23"/>
      <c r="P385" s="23"/>
      <c r="Q385" s="23">
        <v>280000</v>
      </c>
      <c r="R385" s="23">
        <v>250000</v>
      </c>
      <c r="S385" s="23">
        <v>0</v>
      </c>
      <c r="T385" s="23">
        <v>80000</v>
      </c>
      <c r="U385" s="23">
        <v>70000</v>
      </c>
      <c r="V385" s="23"/>
      <c r="W385" s="24"/>
      <c r="X385" s="371">
        <v>80000</v>
      </c>
      <c r="Y385" s="371">
        <v>70000</v>
      </c>
      <c r="Z385" s="371"/>
      <c r="AA385" s="5"/>
      <c r="AH385" s="25">
        <v>1</v>
      </c>
      <c r="AI385" s="23">
        <v>56000</v>
      </c>
    </row>
    <row r="386" spans="1:42" s="375" customFormat="1" ht="42" customHeight="1">
      <c r="A386" s="97" t="s">
        <v>141</v>
      </c>
      <c r="B386" s="214" t="s">
        <v>829</v>
      </c>
      <c r="C386" s="230" t="s">
        <v>222</v>
      </c>
      <c r="D386" s="101"/>
      <c r="E386" s="312"/>
      <c r="F386" s="101"/>
      <c r="G386" s="226"/>
      <c r="H386" s="226"/>
      <c r="I386" s="23">
        <v>273500</v>
      </c>
      <c r="J386" s="23">
        <v>273500</v>
      </c>
      <c r="K386" s="23">
        <v>98905</v>
      </c>
      <c r="L386" s="23">
        <v>98905</v>
      </c>
      <c r="M386" s="23"/>
      <c r="N386" s="23"/>
      <c r="O386" s="23"/>
      <c r="P386" s="23"/>
      <c r="Q386" s="23"/>
      <c r="R386" s="23"/>
      <c r="S386" s="23">
        <v>0</v>
      </c>
      <c r="T386" s="23">
        <v>450000</v>
      </c>
      <c r="U386" s="23">
        <v>350000</v>
      </c>
      <c r="V386" s="23"/>
      <c r="W386" s="24"/>
      <c r="X386" s="371">
        <v>450000</v>
      </c>
      <c r="Y386" s="371">
        <v>400000</v>
      </c>
      <c r="Z386" s="371"/>
      <c r="AA386" s="5"/>
      <c r="AH386" s="25">
        <v>1</v>
      </c>
      <c r="AI386" s="23">
        <v>425000</v>
      </c>
    </row>
    <row r="387" spans="1:42" s="25" customFormat="1" ht="30" customHeight="1">
      <c r="A387" s="11" t="s">
        <v>150</v>
      </c>
      <c r="B387" s="12" t="s">
        <v>151</v>
      </c>
      <c r="C387" s="143"/>
      <c r="D387" s="19"/>
      <c r="E387" s="70"/>
      <c r="F387" s="19"/>
      <c r="G387" s="15">
        <f>SUM(G388,G390)</f>
        <v>154483</v>
      </c>
      <c r="H387" s="15">
        <f t="shared" ref="H387:V387" si="363">SUM(H388,H390)</f>
        <v>154483</v>
      </c>
      <c r="I387" s="15">
        <f t="shared" si="363"/>
        <v>782</v>
      </c>
      <c r="J387" s="15">
        <f t="shared" si="363"/>
        <v>782</v>
      </c>
      <c r="K387" s="15">
        <f t="shared" si="363"/>
        <v>0</v>
      </c>
      <c r="L387" s="15">
        <f t="shared" si="363"/>
        <v>0</v>
      </c>
      <c r="M387" s="15">
        <f t="shared" si="363"/>
        <v>0</v>
      </c>
      <c r="N387" s="15">
        <f t="shared" si="363"/>
        <v>0</v>
      </c>
      <c r="O387" s="15">
        <f t="shared" si="363"/>
        <v>782</v>
      </c>
      <c r="P387" s="15">
        <f t="shared" si="363"/>
        <v>782</v>
      </c>
      <c r="Q387" s="15">
        <f t="shared" si="363"/>
        <v>154483</v>
      </c>
      <c r="R387" s="15">
        <f t="shared" si="363"/>
        <v>154483</v>
      </c>
      <c r="S387" s="15">
        <f t="shared" si="363"/>
        <v>0</v>
      </c>
      <c r="T387" s="15">
        <f t="shared" si="363"/>
        <v>14000</v>
      </c>
      <c r="U387" s="15">
        <f t="shared" si="363"/>
        <v>14000</v>
      </c>
      <c r="V387" s="15">
        <f t="shared" si="363"/>
        <v>0</v>
      </c>
      <c r="W387" s="24"/>
      <c r="X387" s="429">
        <f t="shared" ref="X387:Z387" si="364">SUM(X388,X390)</f>
        <v>14000</v>
      </c>
      <c r="Y387" s="429">
        <f t="shared" si="364"/>
        <v>14000</v>
      </c>
      <c r="Z387" s="429">
        <f t="shared" si="364"/>
        <v>0</v>
      </c>
      <c r="AA387" s="5"/>
      <c r="AB387" s="15">
        <f>SUM(AB388:AB393)</f>
        <v>4</v>
      </c>
      <c r="AC387" s="15">
        <f t="shared" ref="AC387:AO388" si="365">SUM(AC388:AC393)</f>
        <v>550</v>
      </c>
      <c r="AD387" s="15">
        <f t="shared" si="365"/>
        <v>5</v>
      </c>
      <c r="AE387" s="15">
        <f t="shared" si="365"/>
        <v>56210</v>
      </c>
      <c r="AF387" s="15">
        <f t="shared" si="365"/>
        <v>0</v>
      </c>
      <c r="AG387" s="15">
        <f t="shared" si="365"/>
        <v>0</v>
      </c>
      <c r="AH387" s="15">
        <f t="shared" si="365"/>
        <v>5</v>
      </c>
      <c r="AI387" s="15">
        <f t="shared" si="365"/>
        <v>57500</v>
      </c>
      <c r="AJ387" s="15">
        <f t="shared" si="365"/>
        <v>0</v>
      </c>
      <c r="AK387" s="15">
        <f t="shared" si="365"/>
        <v>0</v>
      </c>
      <c r="AL387" s="15">
        <f t="shared" si="365"/>
        <v>31</v>
      </c>
      <c r="AM387" s="15">
        <f t="shared" si="365"/>
        <v>88390</v>
      </c>
      <c r="AN387" s="15">
        <f t="shared" si="365"/>
        <v>0</v>
      </c>
      <c r="AO387" s="15">
        <f t="shared" si="365"/>
        <v>0</v>
      </c>
    </row>
    <row r="388" spans="1:42" s="25" customFormat="1" ht="30" customHeight="1">
      <c r="A388" s="11"/>
      <c r="B388" s="27" t="s">
        <v>35</v>
      </c>
      <c r="C388" s="143"/>
      <c r="D388" s="19"/>
      <c r="E388" s="70"/>
      <c r="F388" s="19"/>
      <c r="G388" s="15">
        <f>G389</f>
        <v>104319</v>
      </c>
      <c r="H388" s="15">
        <f t="shared" ref="H388:Z388" si="366">H389</f>
        <v>104319</v>
      </c>
      <c r="I388" s="15">
        <f t="shared" si="366"/>
        <v>750</v>
      </c>
      <c r="J388" s="15">
        <f t="shared" si="366"/>
        <v>750</v>
      </c>
      <c r="K388" s="15">
        <f t="shared" si="366"/>
        <v>0</v>
      </c>
      <c r="L388" s="15">
        <f t="shared" si="366"/>
        <v>0</v>
      </c>
      <c r="M388" s="15">
        <f t="shared" si="366"/>
        <v>0</v>
      </c>
      <c r="N388" s="15">
        <f t="shared" si="366"/>
        <v>0</v>
      </c>
      <c r="O388" s="15">
        <f t="shared" si="366"/>
        <v>750</v>
      </c>
      <c r="P388" s="15">
        <f t="shared" si="366"/>
        <v>750</v>
      </c>
      <c r="Q388" s="15">
        <f t="shared" si="366"/>
        <v>104319</v>
      </c>
      <c r="R388" s="15">
        <f t="shared" si="366"/>
        <v>104319</v>
      </c>
      <c r="S388" s="15">
        <f t="shared" si="366"/>
        <v>0</v>
      </c>
      <c r="T388" s="15">
        <f t="shared" si="366"/>
        <v>3000</v>
      </c>
      <c r="U388" s="15">
        <f t="shared" si="366"/>
        <v>3000</v>
      </c>
      <c r="V388" s="15">
        <f t="shared" si="366"/>
        <v>0</v>
      </c>
      <c r="W388" s="24"/>
      <c r="X388" s="429">
        <f t="shared" si="366"/>
        <v>3000</v>
      </c>
      <c r="Y388" s="429">
        <f t="shared" si="366"/>
        <v>3000</v>
      </c>
      <c r="Z388" s="429">
        <f t="shared" si="366"/>
        <v>0</v>
      </c>
      <c r="AA388" s="5"/>
      <c r="AB388" s="15">
        <f>SUM(AB389:AB394)</f>
        <v>4</v>
      </c>
      <c r="AC388" s="15">
        <f t="shared" si="365"/>
        <v>550</v>
      </c>
      <c r="AD388" s="15">
        <f t="shared" si="365"/>
        <v>5</v>
      </c>
      <c r="AE388" s="15">
        <f t="shared" si="365"/>
        <v>56210</v>
      </c>
      <c r="AF388" s="15">
        <f t="shared" si="365"/>
        <v>0</v>
      </c>
      <c r="AG388" s="15">
        <f t="shared" si="365"/>
        <v>0</v>
      </c>
      <c r="AH388" s="15">
        <f t="shared" si="365"/>
        <v>5</v>
      </c>
      <c r="AI388" s="15">
        <f t="shared" si="365"/>
        <v>57500</v>
      </c>
      <c r="AJ388" s="15">
        <f t="shared" si="365"/>
        <v>0</v>
      </c>
      <c r="AK388" s="15">
        <f t="shared" si="365"/>
        <v>0</v>
      </c>
      <c r="AL388" s="15">
        <f t="shared" si="365"/>
        <v>26</v>
      </c>
      <c r="AM388" s="15">
        <f t="shared" si="365"/>
        <v>65390</v>
      </c>
      <c r="AN388" s="15">
        <f t="shared" si="365"/>
        <v>0</v>
      </c>
      <c r="AO388" s="15">
        <f t="shared" si="365"/>
        <v>0</v>
      </c>
    </row>
    <row r="389" spans="1:42" s="375" customFormat="1" ht="90" customHeight="1">
      <c r="A389" s="130" t="s">
        <v>27</v>
      </c>
      <c r="B389" s="214" t="s">
        <v>884</v>
      </c>
      <c r="C389" s="230" t="s">
        <v>29</v>
      </c>
      <c r="D389" s="101" t="s">
        <v>885</v>
      </c>
      <c r="E389" s="312" t="s">
        <v>355</v>
      </c>
      <c r="F389" s="101"/>
      <c r="G389" s="226">
        <v>104319</v>
      </c>
      <c r="H389" s="226">
        <v>104319</v>
      </c>
      <c r="I389" s="23">
        <v>750</v>
      </c>
      <c r="J389" s="23">
        <v>750</v>
      </c>
      <c r="K389" s="23"/>
      <c r="L389" s="23"/>
      <c r="M389" s="23"/>
      <c r="N389" s="23"/>
      <c r="O389" s="23">
        <v>750</v>
      </c>
      <c r="P389" s="23">
        <v>750</v>
      </c>
      <c r="Q389" s="23">
        <v>104319</v>
      </c>
      <c r="R389" s="23">
        <v>104319</v>
      </c>
      <c r="S389" s="23"/>
      <c r="T389" s="23">
        <v>3000</v>
      </c>
      <c r="U389" s="23">
        <v>3000</v>
      </c>
      <c r="V389" s="23"/>
      <c r="W389" s="24"/>
      <c r="X389" s="371">
        <v>3000</v>
      </c>
      <c r="Y389" s="371">
        <v>3000</v>
      </c>
      <c r="Z389" s="371"/>
      <c r="AA389" s="5"/>
      <c r="AL389" s="25">
        <v>1</v>
      </c>
      <c r="AM389" s="23">
        <v>3000</v>
      </c>
    </row>
    <row r="390" spans="1:42" s="25" customFormat="1" ht="30" customHeight="1">
      <c r="A390" s="11"/>
      <c r="B390" s="27" t="s">
        <v>48</v>
      </c>
      <c r="C390" s="143"/>
      <c r="D390" s="19"/>
      <c r="E390" s="70"/>
      <c r="F390" s="19"/>
      <c r="G390" s="15">
        <f t="shared" ref="G390:V390" si="367">SUM(G391:G392)</f>
        <v>50164</v>
      </c>
      <c r="H390" s="15">
        <f t="shared" si="367"/>
        <v>50164</v>
      </c>
      <c r="I390" s="15">
        <f t="shared" si="367"/>
        <v>32</v>
      </c>
      <c r="J390" s="15">
        <f t="shared" si="367"/>
        <v>32</v>
      </c>
      <c r="K390" s="15">
        <f t="shared" si="367"/>
        <v>0</v>
      </c>
      <c r="L390" s="15">
        <f t="shared" si="367"/>
        <v>0</v>
      </c>
      <c r="M390" s="15">
        <f t="shared" si="367"/>
        <v>0</v>
      </c>
      <c r="N390" s="15">
        <f t="shared" si="367"/>
        <v>0</v>
      </c>
      <c r="O390" s="15">
        <f t="shared" si="367"/>
        <v>32</v>
      </c>
      <c r="P390" s="15">
        <f t="shared" si="367"/>
        <v>32</v>
      </c>
      <c r="Q390" s="15">
        <f t="shared" si="367"/>
        <v>50164</v>
      </c>
      <c r="R390" s="15">
        <f t="shared" si="367"/>
        <v>50164</v>
      </c>
      <c r="S390" s="15">
        <f t="shared" si="367"/>
        <v>0</v>
      </c>
      <c r="T390" s="15">
        <f t="shared" si="367"/>
        <v>11000</v>
      </c>
      <c r="U390" s="15">
        <f t="shared" si="367"/>
        <v>11000</v>
      </c>
      <c r="V390" s="15">
        <f t="shared" si="367"/>
        <v>0</v>
      </c>
      <c r="W390" s="24"/>
      <c r="X390" s="429">
        <f>SUM(X391:X392)</f>
        <v>11000</v>
      </c>
      <c r="Y390" s="429">
        <f>SUM(Y391:Y392)</f>
        <v>11000</v>
      </c>
      <c r="Z390" s="429">
        <f>SUM(Z391:Z392)</f>
        <v>0</v>
      </c>
      <c r="AA390" s="5"/>
      <c r="AB390" s="15">
        <f t="shared" ref="AB390:AO390" si="368">SUM(AB391:AB392)</f>
        <v>0</v>
      </c>
      <c r="AC390" s="15">
        <f t="shared" si="368"/>
        <v>0</v>
      </c>
      <c r="AD390" s="15">
        <f t="shared" si="368"/>
        <v>0</v>
      </c>
      <c r="AE390" s="15">
        <f t="shared" si="368"/>
        <v>0</v>
      </c>
      <c r="AF390" s="15">
        <f t="shared" si="368"/>
        <v>0</v>
      </c>
      <c r="AG390" s="15">
        <f t="shared" si="368"/>
        <v>0</v>
      </c>
      <c r="AH390" s="15">
        <f t="shared" si="368"/>
        <v>0</v>
      </c>
      <c r="AI390" s="15">
        <f t="shared" si="368"/>
        <v>0</v>
      </c>
      <c r="AJ390" s="15">
        <f t="shared" si="368"/>
        <v>0</v>
      </c>
      <c r="AK390" s="15">
        <f t="shared" si="368"/>
        <v>0</v>
      </c>
      <c r="AL390" s="15">
        <f t="shared" si="368"/>
        <v>2</v>
      </c>
      <c r="AM390" s="15">
        <f t="shared" si="368"/>
        <v>10000</v>
      </c>
      <c r="AN390" s="15">
        <f t="shared" si="368"/>
        <v>0</v>
      </c>
      <c r="AO390" s="15">
        <f t="shared" si="368"/>
        <v>0</v>
      </c>
    </row>
    <row r="391" spans="1:42" s="504" customFormat="1" ht="45">
      <c r="A391" s="97" t="s">
        <v>27</v>
      </c>
      <c r="B391" s="212" t="s">
        <v>1344</v>
      </c>
      <c r="C391" s="143" t="s">
        <v>173</v>
      </c>
      <c r="D391" s="19" t="s">
        <v>1345</v>
      </c>
      <c r="E391" s="70"/>
      <c r="F391" s="506"/>
      <c r="G391" s="23">
        <f>H391</f>
        <v>33536</v>
      </c>
      <c r="H391" s="23">
        <v>33536</v>
      </c>
      <c r="I391" s="23"/>
      <c r="J391" s="23"/>
      <c r="K391" s="23"/>
      <c r="L391" s="23"/>
      <c r="M391" s="23"/>
      <c r="N391" s="23"/>
      <c r="O391" s="23"/>
      <c r="P391" s="23"/>
      <c r="Q391" s="23">
        <f>R391</f>
        <v>33536</v>
      </c>
      <c r="R391" s="23">
        <f>H391</f>
        <v>33536</v>
      </c>
      <c r="S391" s="23"/>
      <c r="T391" s="23">
        <v>5000</v>
      </c>
      <c r="U391" s="23">
        <v>5000</v>
      </c>
      <c r="V391" s="23"/>
      <c r="W391" s="100" t="s">
        <v>1346</v>
      </c>
      <c r="X391" s="371">
        <v>5000</v>
      </c>
      <c r="Y391" s="371">
        <v>5000</v>
      </c>
      <c r="Z391" s="371"/>
      <c r="AA391" s="5"/>
      <c r="AL391" s="25">
        <v>1</v>
      </c>
      <c r="AM391" s="23">
        <v>5000</v>
      </c>
    </row>
    <row r="392" spans="1:42" s="504" customFormat="1" ht="62.25" customHeight="1">
      <c r="A392" s="97" t="s">
        <v>41</v>
      </c>
      <c r="B392" s="212" t="s">
        <v>1347</v>
      </c>
      <c r="C392" s="143"/>
      <c r="D392" s="19" t="s">
        <v>891</v>
      </c>
      <c r="E392" s="70" t="s">
        <v>1348</v>
      </c>
      <c r="F392" s="506"/>
      <c r="G392" s="23">
        <f>H392</f>
        <v>16628</v>
      </c>
      <c r="H392" s="23">
        <v>16628</v>
      </c>
      <c r="I392" s="23">
        <f>J392</f>
        <v>32</v>
      </c>
      <c r="J392" s="23">
        <v>32</v>
      </c>
      <c r="K392" s="23"/>
      <c r="L392" s="23"/>
      <c r="M392" s="23"/>
      <c r="N392" s="23"/>
      <c r="O392" s="23">
        <f>P392</f>
        <v>32</v>
      </c>
      <c r="P392" s="23">
        <v>32</v>
      </c>
      <c r="Q392" s="23">
        <f>H392</f>
        <v>16628</v>
      </c>
      <c r="R392" s="23">
        <f>H392</f>
        <v>16628</v>
      </c>
      <c r="S392" s="23">
        <v>0</v>
      </c>
      <c r="T392" s="23">
        <v>6000</v>
      </c>
      <c r="U392" s="23">
        <v>6000</v>
      </c>
      <c r="V392" s="23"/>
      <c r="W392" s="100" t="s">
        <v>1349</v>
      </c>
      <c r="X392" s="371">
        <v>6000</v>
      </c>
      <c r="Y392" s="371">
        <v>6000</v>
      </c>
      <c r="Z392" s="371"/>
      <c r="AA392" s="5"/>
      <c r="AL392" s="25">
        <v>1</v>
      </c>
      <c r="AM392" s="23">
        <v>5000</v>
      </c>
    </row>
    <row r="393" spans="1:42" s="375" customFormat="1" ht="15.75">
      <c r="A393" s="130"/>
      <c r="B393" s="507"/>
      <c r="C393" s="508"/>
      <c r="D393" s="509"/>
      <c r="E393" s="510"/>
      <c r="F393" s="509"/>
      <c r="G393" s="226"/>
      <c r="H393" s="226"/>
      <c r="I393" s="23"/>
      <c r="J393" s="23">
        <f>182907-J394</f>
        <v>0</v>
      </c>
      <c r="K393" s="23"/>
      <c r="L393" s="23"/>
      <c r="M393" s="23"/>
      <c r="N393" s="23"/>
      <c r="O393" s="23"/>
      <c r="P393" s="23"/>
      <c r="Q393" s="23"/>
      <c r="R393" s="23"/>
      <c r="S393" s="23"/>
      <c r="T393" s="23"/>
      <c r="U393" s="23"/>
      <c r="V393" s="23"/>
      <c r="W393" s="24"/>
      <c r="X393" s="371"/>
      <c r="Y393" s="371"/>
      <c r="Z393" s="371"/>
      <c r="AA393" s="5"/>
    </row>
    <row r="394" spans="1:42" s="208" customFormat="1" ht="31.5">
      <c r="A394" s="147" t="s">
        <v>893</v>
      </c>
      <c r="B394" s="209" t="s">
        <v>1350</v>
      </c>
      <c r="C394" s="126"/>
      <c r="D394" s="126"/>
      <c r="E394" s="127"/>
      <c r="F394" s="126"/>
      <c r="G394" s="210">
        <f>G395+G402</f>
        <v>3476531.199</v>
      </c>
      <c r="H394" s="210">
        <f t="shared" ref="H394:V394" si="369">H395+H402</f>
        <v>2001823.199</v>
      </c>
      <c r="I394" s="210">
        <f t="shared" si="369"/>
        <v>390907</v>
      </c>
      <c r="J394" s="210">
        <f t="shared" si="369"/>
        <v>182907</v>
      </c>
      <c r="K394" s="210">
        <f t="shared" si="369"/>
        <v>49890</v>
      </c>
      <c r="L394" s="210">
        <f t="shared" si="369"/>
        <v>6172</v>
      </c>
      <c r="M394" s="210">
        <f t="shared" si="369"/>
        <v>113874</v>
      </c>
      <c r="N394" s="210">
        <f t="shared" si="369"/>
        <v>23123</v>
      </c>
      <c r="O394" s="210">
        <f t="shared" si="369"/>
        <v>1986842</v>
      </c>
      <c r="P394" s="210">
        <f t="shared" si="369"/>
        <v>922193</v>
      </c>
      <c r="Q394" s="210">
        <f t="shared" si="369"/>
        <v>1543889</v>
      </c>
      <c r="R394" s="210">
        <f t="shared" si="369"/>
        <v>909474</v>
      </c>
      <c r="S394" s="210">
        <f t="shared" si="369"/>
        <v>0</v>
      </c>
      <c r="T394" s="210">
        <f t="shared" si="369"/>
        <v>312075</v>
      </c>
      <c r="U394" s="210">
        <f t="shared" si="369"/>
        <v>162150</v>
      </c>
      <c r="V394" s="210">
        <f t="shared" si="369"/>
        <v>0</v>
      </c>
      <c r="W394" s="410"/>
      <c r="X394" s="429">
        <f t="shared" ref="X394:Z394" si="370">X395+X402</f>
        <v>312075</v>
      </c>
      <c r="Y394" s="429">
        <f t="shared" si="370"/>
        <v>162150</v>
      </c>
      <c r="Z394" s="429">
        <f t="shared" si="370"/>
        <v>0</v>
      </c>
      <c r="AA394" s="348">
        <f>+U394/(2704380-258412-300000)*100</f>
        <v>7.5560306584254748</v>
      </c>
      <c r="AB394" s="210">
        <f t="shared" ref="AB394:AK394" si="371">AB395+AB401</f>
        <v>4</v>
      </c>
      <c r="AC394" s="210">
        <f t="shared" si="371"/>
        <v>550</v>
      </c>
      <c r="AD394" s="210">
        <f t="shared" si="371"/>
        <v>5</v>
      </c>
      <c r="AE394" s="210">
        <f t="shared" si="371"/>
        <v>56210</v>
      </c>
      <c r="AF394" s="210">
        <f t="shared" si="371"/>
        <v>0</v>
      </c>
      <c r="AG394" s="210">
        <f t="shared" si="371"/>
        <v>0</v>
      </c>
      <c r="AH394" s="210">
        <f t="shared" si="371"/>
        <v>5</v>
      </c>
      <c r="AI394" s="210">
        <f t="shared" si="371"/>
        <v>57500</v>
      </c>
      <c r="AJ394" s="210">
        <f t="shared" si="371"/>
        <v>0</v>
      </c>
      <c r="AK394" s="210">
        <f t="shared" si="371"/>
        <v>0</v>
      </c>
      <c r="AL394" s="210">
        <f>AL395+AL401</f>
        <v>21</v>
      </c>
      <c r="AM394" s="210">
        <f>AM395+AM401</f>
        <v>42390</v>
      </c>
      <c r="AN394" s="210">
        <f>AN395+AN401</f>
        <v>0</v>
      </c>
      <c r="AO394" s="210">
        <f>AO395+AO401</f>
        <v>0</v>
      </c>
      <c r="AP394" s="208">
        <f>+U394</f>
        <v>162150</v>
      </c>
    </row>
    <row r="395" spans="1:42" s="5" customFormat="1" ht="15.75">
      <c r="A395" s="64"/>
      <c r="B395" s="12" t="s">
        <v>26</v>
      </c>
      <c r="C395" s="43"/>
      <c r="D395" s="43"/>
      <c r="E395" s="44"/>
      <c r="F395" s="43"/>
      <c r="G395" s="45">
        <f>SUM(G396:G401)</f>
        <v>331405</v>
      </c>
      <c r="H395" s="45">
        <f t="shared" ref="H395:V395" si="372">SUM(H396:H401)</f>
        <v>317405</v>
      </c>
      <c r="I395" s="45">
        <f t="shared" si="372"/>
        <v>0</v>
      </c>
      <c r="J395" s="45">
        <f t="shared" si="372"/>
        <v>0</v>
      </c>
      <c r="K395" s="45">
        <f t="shared" si="372"/>
        <v>0</v>
      </c>
      <c r="L395" s="45">
        <f t="shared" si="372"/>
        <v>0</v>
      </c>
      <c r="M395" s="45">
        <f t="shared" si="372"/>
        <v>0</v>
      </c>
      <c r="N395" s="45">
        <f t="shared" si="372"/>
        <v>0</v>
      </c>
      <c r="O395" s="45">
        <f t="shared" si="372"/>
        <v>100</v>
      </c>
      <c r="P395" s="45">
        <f t="shared" si="372"/>
        <v>100</v>
      </c>
      <c r="Q395" s="45">
        <f t="shared" si="372"/>
        <v>33000</v>
      </c>
      <c r="R395" s="45">
        <f t="shared" si="372"/>
        <v>33000</v>
      </c>
      <c r="S395" s="45">
        <f t="shared" si="372"/>
        <v>0</v>
      </c>
      <c r="T395" s="45">
        <f t="shared" si="372"/>
        <v>2000</v>
      </c>
      <c r="U395" s="45">
        <f t="shared" si="372"/>
        <v>2000</v>
      </c>
      <c r="V395" s="45">
        <f t="shared" si="372"/>
        <v>0</v>
      </c>
      <c r="W395" s="269"/>
      <c r="X395" s="347">
        <f t="shared" ref="X395:Z395" si="373">SUM(X396:X401)</f>
        <v>2000</v>
      </c>
      <c r="Y395" s="347">
        <f t="shared" si="373"/>
        <v>2000</v>
      </c>
      <c r="Z395" s="347">
        <f t="shared" si="373"/>
        <v>0</v>
      </c>
      <c r="AB395" s="45">
        <f t="shared" ref="AB395:AK395" si="374">SUM(AB396:AB399)</f>
        <v>4</v>
      </c>
      <c r="AC395" s="45">
        <f t="shared" si="374"/>
        <v>550</v>
      </c>
      <c r="AD395" s="45">
        <f t="shared" si="374"/>
        <v>0</v>
      </c>
      <c r="AE395" s="45">
        <f t="shared" si="374"/>
        <v>0</v>
      </c>
      <c r="AF395" s="45">
        <f t="shared" si="374"/>
        <v>0</v>
      </c>
      <c r="AG395" s="45">
        <f t="shared" si="374"/>
        <v>0</v>
      </c>
      <c r="AH395" s="45">
        <f t="shared" si="374"/>
        <v>0</v>
      </c>
      <c r="AI395" s="45">
        <f t="shared" si="374"/>
        <v>0</v>
      </c>
      <c r="AJ395" s="45">
        <f t="shared" si="374"/>
        <v>0</v>
      </c>
      <c r="AK395" s="45">
        <f t="shared" si="374"/>
        <v>0</v>
      </c>
      <c r="AL395" s="45">
        <f>SUM(AL396:AL399)</f>
        <v>0</v>
      </c>
      <c r="AM395" s="45">
        <f>SUM(AM396:AM399)</f>
        <v>0</v>
      </c>
      <c r="AN395" s="45">
        <f>SUM(AN396:AN399)</f>
        <v>0</v>
      </c>
      <c r="AO395" s="45">
        <f>SUM(AO396:AO399)</f>
        <v>0</v>
      </c>
    </row>
    <row r="396" spans="1:42" s="5" customFormat="1" ht="15.75">
      <c r="A396" s="190" t="s">
        <v>27</v>
      </c>
      <c r="B396" s="229" t="s">
        <v>894</v>
      </c>
      <c r="C396" s="19" t="s">
        <v>66</v>
      </c>
      <c r="D396" s="43"/>
      <c r="E396" s="44"/>
      <c r="F396" s="43"/>
      <c r="G396" s="72">
        <v>25193</v>
      </c>
      <c r="H396" s="72">
        <v>25193</v>
      </c>
      <c r="I396" s="72"/>
      <c r="J396" s="72"/>
      <c r="K396" s="72"/>
      <c r="L396" s="72"/>
      <c r="M396" s="72"/>
      <c r="N396" s="72"/>
      <c r="O396" s="72"/>
      <c r="P396" s="72"/>
      <c r="Q396" s="72"/>
      <c r="R396" s="72"/>
      <c r="S396" s="72"/>
      <c r="T396" s="72">
        <v>300</v>
      </c>
      <c r="U396" s="72">
        <v>300</v>
      </c>
      <c r="V396" s="72"/>
      <c r="W396" s="269"/>
      <c r="X396" s="356">
        <v>300</v>
      </c>
      <c r="Y396" s="356">
        <v>300</v>
      </c>
      <c r="Z396" s="356"/>
      <c r="AB396" s="25">
        <v>1</v>
      </c>
      <c r="AC396" s="72">
        <v>100</v>
      </c>
    </row>
    <row r="397" spans="1:42" s="5" customFormat="1" ht="15.75">
      <c r="A397" s="190" t="s">
        <v>41</v>
      </c>
      <c r="B397" s="229" t="s">
        <v>896</v>
      </c>
      <c r="C397" s="19" t="s">
        <v>173</v>
      </c>
      <c r="D397" s="43"/>
      <c r="E397" s="44"/>
      <c r="F397" s="43"/>
      <c r="G397" s="72">
        <v>8212</v>
      </c>
      <c r="H397" s="72">
        <v>8212</v>
      </c>
      <c r="I397" s="72"/>
      <c r="J397" s="72"/>
      <c r="K397" s="72"/>
      <c r="L397" s="72"/>
      <c r="M397" s="72"/>
      <c r="N397" s="72"/>
      <c r="O397" s="72"/>
      <c r="P397" s="72"/>
      <c r="Q397" s="72"/>
      <c r="R397" s="72"/>
      <c r="S397" s="72"/>
      <c r="T397" s="72">
        <v>200</v>
      </c>
      <c r="U397" s="72">
        <v>200</v>
      </c>
      <c r="V397" s="72"/>
      <c r="W397" s="269"/>
      <c r="X397" s="356">
        <v>200</v>
      </c>
      <c r="Y397" s="356">
        <v>200</v>
      </c>
      <c r="Z397" s="356"/>
      <c r="AB397" s="25">
        <v>1</v>
      </c>
      <c r="AC397" s="72">
        <v>100</v>
      </c>
    </row>
    <row r="398" spans="1:42" s="5" customFormat="1" ht="15.75">
      <c r="A398" s="190" t="s">
        <v>58</v>
      </c>
      <c r="B398" s="229" t="s">
        <v>1351</v>
      </c>
      <c r="C398" s="19" t="s">
        <v>60</v>
      </c>
      <c r="D398" s="43"/>
      <c r="E398" s="44"/>
      <c r="F398" s="43"/>
      <c r="G398" s="72"/>
      <c r="H398" s="72"/>
      <c r="I398" s="72"/>
      <c r="J398" s="72"/>
      <c r="K398" s="72"/>
      <c r="L398" s="72"/>
      <c r="M398" s="72"/>
      <c r="N398" s="72"/>
      <c r="O398" s="72"/>
      <c r="P398" s="72"/>
      <c r="Q398" s="72"/>
      <c r="R398" s="72"/>
      <c r="S398" s="72"/>
      <c r="T398" s="72">
        <v>100</v>
      </c>
      <c r="U398" s="72">
        <v>100</v>
      </c>
      <c r="V398" s="72"/>
      <c r="W398" s="269"/>
      <c r="X398" s="356">
        <v>100</v>
      </c>
      <c r="Y398" s="356">
        <v>100</v>
      </c>
      <c r="Z398" s="356"/>
      <c r="AB398" s="25">
        <v>1</v>
      </c>
      <c r="AC398" s="72">
        <v>200</v>
      </c>
    </row>
    <row r="399" spans="1:42" s="5" customFormat="1" ht="15.75">
      <c r="A399" s="190" t="s">
        <v>64</v>
      </c>
      <c r="B399" s="229" t="s">
        <v>1352</v>
      </c>
      <c r="C399" s="19" t="s">
        <v>29</v>
      </c>
      <c r="D399" s="43"/>
      <c r="E399" s="44"/>
      <c r="F399" s="43"/>
      <c r="G399" s="72">
        <v>14000</v>
      </c>
      <c r="H399" s="72"/>
      <c r="I399" s="72"/>
      <c r="J399" s="72"/>
      <c r="K399" s="72"/>
      <c r="L399" s="72"/>
      <c r="M399" s="72"/>
      <c r="N399" s="72"/>
      <c r="O399" s="72">
        <v>100</v>
      </c>
      <c r="P399" s="72">
        <v>100</v>
      </c>
      <c r="Q399" s="72">
        <v>14000</v>
      </c>
      <c r="R399" s="72">
        <v>14000</v>
      </c>
      <c r="S399" s="72"/>
      <c r="T399" s="72">
        <v>200</v>
      </c>
      <c r="U399" s="72">
        <v>200</v>
      </c>
      <c r="V399" s="72"/>
      <c r="W399" s="80"/>
      <c r="X399" s="356">
        <v>200</v>
      </c>
      <c r="Y399" s="356">
        <v>200</v>
      </c>
      <c r="Z399" s="356"/>
      <c r="AB399" s="25">
        <v>1</v>
      </c>
      <c r="AC399" s="72">
        <v>150</v>
      </c>
    </row>
    <row r="400" spans="1:42" s="512" customFormat="1" ht="74.25" customHeight="1">
      <c r="A400" s="190" t="s">
        <v>69</v>
      </c>
      <c r="B400" s="229" t="s">
        <v>920</v>
      </c>
      <c r="C400" s="19" t="s">
        <v>29</v>
      </c>
      <c r="D400" s="43" t="s">
        <v>921</v>
      </c>
      <c r="E400" s="44" t="s">
        <v>154</v>
      </c>
      <c r="F400" s="43" t="s">
        <v>1353</v>
      </c>
      <c r="G400" s="72">
        <v>19000</v>
      </c>
      <c r="H400" s="72">
        <v>19000</v>
      </c>
      <c r="I400" s="72"/>
      <c r="J400" s="72"/>
      <c r="K400" s="72"/>
      <c r="L400" s="72"/>
      <c r="M400" s="72"/>
      <c r="N400" s="72"/>
      <c r="O400" s="72"/>
      <c r="P400" s="72"/>
      <c r="Q400" s="72">
        <v>19000</v>
      </c>
      <c r="R400" s="72">
        <v>19000</v>
      </c>
      <c r="S400" s="72"/>
      <c r="T400" s="72">
        <v>200</v>
      </c>
      <c r="U400" s="72">
        <v>200</v>
      </c>
      <c r="V400" s="72"/>
      <c r="W400" s="80"/>
      <c r="X400" s="356">
        <v>200</v>
      </c>
      <c r="Y400" s="356">
        <v>200</v>
      </c>
      <c r="Z400" s="356"/>
      <c r="AA400" s="5"/>
      <c r="AB400" s="511"/>
      <c r="AC400" s="123"/>
    </row>
    <row r="401" spans="1:41" s="353" customFormat="1" ht="105">
      <c r="A401" s="190" t="s">
        <v>74</v>
      </c>
      <c r="B401" s="229" t="s">
        <v>922</v>
      </c>
      <c r="C401" s="19" t="s">
        <v>29</v>
      </c>
      <c r="D401" s="43" t="s">
        <v>923</v>
      </c>
      <c r="E401" s="44" t="s">
        <v>355</v>
      </c>
      <c r="F401" s="43" t="s">
        <v>1114</v>
      </c>
      <c r="G401" s="72">
        <v>265000</v>
      </c>
      <c r="H401" s="72">
        <v>265000</v>
      </c>
      <c r="I401" s="72"/>
      <c r="J401" s="72"/>
      <c r="K401" s="72"/>
      <c r="L401" s="72"/>
      <c r="M401" s="72"/>
      <c r="N401" s="72"/>
      <c r="O401" s="72"/>
      <c r="P401" s="72"/>
      <c r="Q401" s="72"/>
      <c r="R401" s="72"/>
      <c r="S401" s="72"/>
      <c r="T401" s="72">
        <v>1000</v>
      </c>
      <c r="U401" s="72">
        <v>1000</v>
      </c>
      <c r="V401" s="72"/>
      <c r="W401" s="269"/>
      <c r="X401" s="356">
        <v>1000</v>
      </c>
      <c r="Y401" s="356">
        <v>1000</v>
      </c>
      <c r="Z401" s="356"/>
      <c r="AA401" s="5"/>
      <c r="AB401" s="45">
        <f t="shared" ref="AB401:AO401" si="375">AB403+AB417+AB426+AB439</f>
        <v>0</v>
      </c>
      <c r="AC401" s="45">
        <f t="shared" si="375"/>
        <v>0</v>
      </c>
      <c r="AD401" s="45">
        <f t="shared" si="375"/>
        <v>5</v>
      </c>
      <c r="AE401" s="45">
        <f t="shared" si="375"/>
        <v>56210</v>
      </c>
      <c r="AF401" s="45">
        <f t="shared" si="375"/>
        <v>0</v>
      </c>
      <c r="AG401" s="45">
        <f t="shared" si="375"/>
        <v>0</v>
      </c>
      <c r="AH401" s="45">
        <f t="shared" si="375"/>
        <v>5</v>
      </c>
      <c r="AI401" s="45">
        <f t="shared" si="375"/>
        <v>57500</v>
      </c>
      <c r="AJ401" s="45">
        <f t="shared" si="375"/>
        <v>0</v>
      </c>
      <c r="AK401" s="45">
        <f t="shared" si="375"/>
        <v>0</v>
      </c>
      <c r="AL401" s="45">
        <f t="shared" si="375"/>
        <v>21</v>
      </c>
      <c r="AM401" s="45">
        <f t="shared" si="375"/>
        <v>42390</v>
      </c>
      <c r="AN401" s="45">
        <f t="shared" si="375"/>
        <v>0</v>
      </c>
      <c r="AO401" s="45">
        <f t="shared" si="375"/>
        <v>0</v>
      </c>
    </row>
    <row r="402" spans="1:41" s="16" customFormat="1" ht="15.75">
      <c r="A402" s="11"/>
      <c r="B402" s="12" t="s">
        <v>31</v>
      </c>
      <c r="C402" s="13"/>
      <c r="D402" s="13"/>
      <c r="E402" s="14"/>
      <c r="F402" s="13"/>
      <c r="G402" s="15">
        <f>SUM(G403,G417,G426,G439)</f>
        <v>3145126.199</v>
      </c>
      <c r="H402" s="15">
        <f t="shared" ref="H402:V402" si="376">SUM(H403,H417,H426,H439)</f>
        <v>1684418.199</v>
      </c>
      <c r="I402" s="15">
        <f t="shared" si="376"/>
        <v>390907</v>
      </c>
      <c r="J402" s="15">
        <f t="shared" si="376"/>
        <v>182907</v>
      </c>
      <c r="K402" s="15">
        <f t="shared" si="376"/>
        <v>49890</v>
      </c>
      <c r="L402" s="15">
        <f t="shared" si="376"/>
        <v>6172</v>
      </c>
      <c r="M402" s="15">
        <f t="shared" si="376"/>
        <v>113874</v>
      </c>
      <c r="N402" s="15">
        <f t="shared" si="376"/>
        <v>23123</v>
      </c>
      <c r="O402" s="15">
        <f t="shared" si="376"/>
        <v>1986742</v>
      </c>
      <c r="P402" s="15">
        <f t="shared" si="376"/>
        <v>922093</v>
      </c>
      <c r="Q402" s="15">
        <f t="shared" si="376"/>
        <v>1510889</v>
      </c>
      <c r="R402" s="15">
        <f t="shared" si="376"/>
        <v>876474</v>
      </c>
      <c r="S402" s="15">
        <f t="shared" si="376"/>
        <v>0</v>
      </c>
      <c r="T402" s="15">
        <f t="shared" si="376"/>
        <v>310075</v>
      </c>
      <c r="U402" s="15">
        <f t="shared" si="376"/>
        <v>160150</v>
      </c>
      <c r="V402" s="15">
        <f t="shared" si="376"/>
        <v>0</v>
      </c>
      <c r="W402" s="379"/>
      <c r="X402" s="429">
        <f t="shared" ref="X402:Z402" si="377">SUM(X403,X417,X426,X439)</f>
        <v>310075</v>
      </c>
      <c r="Y402" s="429">
        <f t="shared" si="377"/>
        <v>160150</v>
      </c>
      <c r="Z402" s="429">
        <f t="shared" si="377"/>
        <v>0</v>
      </c>
      <c r="AA402" s="5"/>
      <c r="AB402" s="15">
        <f t="shared" ref="AB402:AO402" si="378">SUM(AB403,AB412,AB420)</f>
        <v>0</v>
      </c>
      <c r="AC402" s="15">
        <f t="shared" si="378"/>
        <v>0</v>
      </c>
      <c r="AD402" s="15">
        <f t="shared" si="378"/>
        <v>1</v>
      </c>
      <c r="AE402" s="15">
        <f t="shared" si="378"/>
        <v>6000</v>
      </c>
      <c r="AF402" s="15">
        <f t="shared" si="378"/>
        <v>0</v>
      </c>
      <c r="AG402" s="15">
        <f t="shared" si="378"/>
        <v>0</v>
      </c>
      <c r="AH402" s="15">
        <f t="shared" si="378"/>
        <v>0</v>
      </c>
      <c r="AI402" s="15">
        <f t="shared" si="378"/>
        <v>0</v>
      </c>
      <c r="AJ402" s="15">
        <f t="shared" si="378"/>
        <v>0</v>
      </c>
      <c r="AK402" s="15">
        <f t="shared" si="378"/>
        <v>0</v>
      </c>
      <c r="AL402" s="15">
        <f t="shared" si="378"/>
        <v>0</v>
      </c>
      <c r="AM402" s="15">
        <f t="shared" si="378"/>
        <v>0</v>
      </c>
      <c r="AN402" s="15">
        <f t="shared" si="378"/>
        <v>0</v>
      </c>
      <c r="AO402" s="15">
        <f t="shared" si="378"/>
        <v>0</v>
      </c>
    </row>
    <row r="403" spans="1:41" s="16" customFormat="1" ht="47.25">
      <c r="A403" s="64" t="s">
        <v>32</v>
      </c>
      <c r="B403" s="12" t="s">
        <v>33</v>
      </c>
      <c r="C403" s="13"/>
      <c r="D403" s="13"/>
      <c r="E403" s="14"/>
      <c r="F403" s="13"/>
      <c r="G403" s="15">
        <f>G404+G406+G409</f>
        <v>1516976.199</v>
      </c>
      <c r="H403" s="15">
        <f t="shared" ref="H403:V403" si="379">H404+H406+H409</f>
        <v>618432.19900000002</v>
      </c>
      <c r="I403" s="15">
        <f t="shared" si="379"/>
        <v>193486</v>
      </c>
      <c r="J403" s="15">
        <f t="shared" si="379"/>
        <v>24486</v>
      </c>
      <c r="K403" s="15">
        <f t="shared" si="379"/>
        <v>37379</v>
      </c>
      <c r="L403" s="15">
        <f t="shared" si="379"/>
        <v>2502</v>
      </c>
      <c r="M403" s="15">
        <f t="shared" si="379"/>
        <v>94626</v>
      </c>
      <c r="N403" s="15">
        <f t="shared" si="379"/>
        <v>8387</v>
      </c>
      <c r="O403" s="15">
        <f t="shared" si="379"/>
        <v>1483844</v>
      </c>
      <c r="P403" s="15">
        <f t="shared" si="379"/>
        <v>586029</v>
      </c>
      <c r="Q403" s="15">
        <f t="shared" si="379"/>
        <v>229431</v>
      </c>
      <c r="R403" s="15">
        <f t="shared" si="379"/>
        <v>27351</v>
      </c>
      <c r="S403" s="15">
        <f t="shared" si="379"/>
        <v>0</v>
      </c>
      <c r="T403" s="15">
        <f t="shared" si="379"/>
        <v>0</v>
      </c>
      <c r="U403" s="15">
        <f t="shared" si="379"/>
        <v>0</v>
      </c>
      <c r="V403" s="15">
        <f t="shared" si="379"/>
        <v>0</v>
      </c>
      <c r="W403" s="439"/>
      <c r="X403" s="429">
        <f t="shared" ref="X403:Z403" si="380">X404+X406+X409</f>
        <v>0</v>
      </c>
      <c r="Y403" s="429">
        <f t="shared" si="380"/>
        <v>0</v>
      </c>
      <c r="Z403" s="429">
        <f t="shared" si="380"/>
        <v>0</v>
      </c>
      <c r="AA403" s="5"/>
      <c r="AB403" s="15">
        <f t="shared" ref="AB403:AK403" si="381">AB404+AB406</f>
        <v>0</v>
      </c>
      <c r="AC403" s="15">
        <f t="shared" si="381"/>
        <v>0</v>
      </c>
      <c r="AD403" s="15">
        <f t="shared" si="381"/>
        <v>0</v>
      </c>
      <c r="AE403" s="15">
        <f t="shared" si="381"/>
        <v>0</v>
      </c>
      <c r="AF403" s="15">
        <f t="shared" si="381"/>
        <v>0</v>
      </c>
      <c r="AG403" s="15">
        <f t="shared" si="381"/>
        <v>0</v>
      </c>
      <c r="AH403" s="15">
        <f t="shared" si="381"/>
        <v>0</v>
      </c>
      <c r="AI403" s="15">
        <f t="shared" si="381"/>
        <v>0</v>
      </c>
      <c r="AJ403" s="15">
        <f t="shared" si="381"/>
        <v>0</v>
      </c>
      <c r="AK403" s="15">
        <f t="shared" si="381"/>
        <v>0</v>
      </c>
      <c r="AL403" s="15">
        <f>AL404+AL406</f>
        <v>0</v>
      </c>
      <c r="AM403" s="15">
        <f>AM404+AM406</f>
        <v>0</v>
      </c>
      <c r="AN403" s="15">
        <f>AN404+AN406</f>
        <v>0</v>
      </c>
      <c r="AO403" s="15">
        <f>AO404+AO406</f>
        <v>0</v>
      </c>
    </row>
    <row r="404" spans="1:41" s="16" customFormat="1" ht="15.75">
      <c r="A404" s="26" t="s">
        <v>34</v>
      </c>
      <c r="B404" s="27" t="s">
        <v>849</v>
      </c>
      <c r="C404" s="13"/>
      <c r="D404" s="13"/>
      <c r="E404" s="14"/>
      <c r="F404" s="13"/>
      <c r="G404" s="30">
        <f>+G405</f>
        <v>1306035</v>
      </c>
      <c r="H404" s="30">
        <f t="shared" ref="H404:Z404" si="382">+H405</f>
        <v>525288</v>
      </c>
      <c r="I404" s="30">
        <f t="shared" si="382"/>
        <v>175585</v>
      </c>
      <c r="J404" s="30">
        <f t="shared" si="382"/>
        <v>6585</v>
      </c>
      <c r="K404" s="30">
        <f t="shared" si="382"/>
        <v>0</v>
      </c>
      <c r="L404" s="30">
        <f t="shared" si="382"/>
        <v>0</v>
      </c>
      <c r="M404" s="30">
        <f t="shared" si="382"/>
        <v>83053</v>
      </c>
      <c r="N404" s="30">
        <f t="shared" si="382"/>
        <v>0</v>
      </c>
      <c r="O404" s="30">
        <f t="shared" si="382"/>
        <v>1297569</v>
      </c>
      <c r="P404" s="30">
        <f t="shared" si="382"/>
        <v>518703</v>
      </c>
      <c r="Q404" s="30">
        <f t="shared" si="382"/>
        <v>175585</v>
      </c>
      <c r="R404" s="30">
        <f t="shared" si="382"/>
        <v>6585</v>
      </c>
      <c r="S404" s="30">
        <f t="shared" si="382"/>
        <v>0</v>
      </c>
      <c r="T404" s="30">
        <f t="shared" si="382"/>
        <v>0</v>
      </c>
      <c r="U404" s="30">
        <f t="shared" si="382"/>
        <v>0</v>
      </c>
      <c r="V404" s="30">
        <f t="shared" si="382"/>
        <v>0</v>
      </c>
      <c r="W404" s="379"/>
      <c r="X404" s="431">
        <f t="shared" si="382"/>
        <v>0</v>
      </c>
      <c r="Y404" s="431">
        <f t="shared" si="382"/>
        <v>0</v>
      </c>
      <c r="Z404" s="431">
        <f t="shared" si="382"/>
        <v>0</v>
      </c>
      <c r="AA404" s="5"/>
      <c r="AB404" s="30">
        <f t="shared" ref="AB404:AK404" si="383">+AB405</f>
        <v>0</v>
      </c>
      <c r="AC404" s="30">
        <f t="shared" si="383"/>
        <v>0</v>
      </c>
      <c r="AD404" s="30">
        <f t="shared" si="383"/>
        <v>0</v>
      </c>
      <c r="AE404" s="30">
        <f t="shared" si="383"/>
        <v>0</v>
      </c>
      <c r="AF404" s="30">
        <f t="shared" si="383"/>
        <v>0</v>
      </c>
      <c r="AG404" s="30">
        <f t="shared" si="383"/>
        <v>0</v>
      </c>
      <c r="AH404" s="30">
        <f t="shared" si="383"/>
        <v>0</v>
      </c>
      <c r="AI404" s="30">
        <f t="shared" si="383"/>
        <v>0</v>
      </c>
      <c r="AJ404" s="30">
        <f t="shared" si="383"/>
        <v>0</v>
      </c>
      <c r="AK404" s="30">
        <f t="shared" si="383"/>
        <v>0</v>
      </c>
      <c r="AL404" s="30">
        <f>+AL405</f>
        <v>0</v>
      </c>
      <c r="AM404" s="30">
        <f>+AM405</f>
        <v>0</v>
      </c>
      <c r="AN404" s="30">
        <f>+AN405</f>
        <v>0</v>
      </c>
      <c r="AO404" s="30">
        <f>+AO405</f>
        <v>0</v>
      </c>
    </row>
    <row r="405" spans="1:41" s="16" customFormat="1" ht="75">
      <c r="A405" s="97" t="s">
        <v>27</v>
      </c>
      <c r="B405" s="212" t="s">
        <v>924</v>
      </c>
      <c r="C405" s="101" t="s">
        <v>925</v>
      </c>
      <c r="D405" s="101" t="s">
        <v>926</v>
      </c>
      <c r="E405" s="95" t="s">
        <v>365</v>
      </c>
      <c r="F405" s="19" t="s">
        <v>1354</v>
      </c>
      <c r="G405" s="392">
        <v>1306035</v>
      </c>
      <c r="H405" s="392">
        <f>G405-780747</f>
        <v>525288</v>
      </c>
      <c r="I405" s="392">
        <f>169000+6585</f>
        <v>175585</v>
      </c>
      <c r="J405" s="392">
        <v>6585</v>
      </c>
      <c r="K405" s="392">
        <f>L405</f>
        <v>0</v>
      </c>
      <c r="L405" s="392">
        <v>0</v>
      </c>
      <c r="M405" s="392">
        <v>83053</v>
      </c>
      <c r="N405" s="392">
        <v>0</v>
      </c>
      <c r="O405" s="392">
        <f>1128569+169000</f>
        <v>1297569</v>
      </c>
      <c r="P405" s="392">
        <f>518703</f>
        <v>518703</v>
      </c>
      <c r="Q405" s="392">
        <f>169000+6585</f>
        <v>175585</v>
      </c>
      <c r="R405" s="392">
        <v>6585</v>
      </c>
      <c r="S405" s="392">
        <v>0</v>
      </c>
      <c r="T405" s="392"/>
      <c r="U405" s="392"/>
      <c r="V405" s="392"/>
      <c r="W405" s="395"/>
      <c r="X405" s="396"/>
      <c r="Y405" s="396"/>
      <c r="Z405" s="396"/>
      <c r="AA405" s="5"/>
    </row>
    <row r="406" spans="1:41" s="16" customFormat="1" ht="30" customHeight="1">
      <c r="A406" s="26" t="s">
        <v>47</v>
      </c>
      <c r="B406" s="27" t="s">
        <v>35</v>
      </c>
      <c r="C406" s="13"/>
      <c r="D406" s="13"/>
      <c r="E406" s="14"/>
      <c r="F406" s="13"/>
      <c r="G406" s="15">
        <f>SUM(G407:G408)</f>
        <v>172447</v>
      </c>
      <c r="H406" s="15">
        <f t="shared" ref="H406:V406" si="384">SUM(H407:H408)</f>
        <v>54650</v>
      </c>
      <c r="I406" s="15">
        <f t="shared" si="384"/>
        <v>1367</v>
      </c>
      <c r="J406" s="15">
        <f t="shared" si="384"/>
        <v>1367</v>
      </c>
      <c r="K406" s="15">
        <f t="shared" si="384"/>
        <v>35303</v>
      </c>
      <c r="L406" s="15">
        <f t="shared" si="384"/>
        <v>426</v>
      </c>
      <c r="M406" s="15">
        <f t="shared" si="384"/>
        <v>3612</v>
      </c>
      <c r="N406" s="15">
        <f t="shared" si="384"/>
        <v>426</v>
      </c>
      <c r="O406" s="15">
        <f t="shared" si="384"/>
        <v>151192</v>
      </c>
      <c r="P406" s="15">
        <f t="shared" si="384"/>
        <v>32036</v>
      </c>
      <c r="Q406" s="15">
        <f t="shared" si="384"/>
        <v>34440</v>
      </c>
      <c r="R406" s="15">
        <f t="shared" si="384"/>
        <v>1367</v>
      </c>
      <c r="S406" s="15">
        <f t="shared" si="384"/>
        <v>0</v>
      </c>
      <c r="T406" s="15">
        <f t="shared" si="384"/>
        <v>0</v>
      </c>
      <c r="U406" s="15">
        <f t="shared" si="384"/>
        <v>0</v>
      </c>
      <c r="V406" s="15">
        <f t="shared" si="384"/>
        <v>0</v>
      </c>
      <c r="W406" s="379"/>
      <c r="X406" s="429">
        <f t="shared" ref="X406:Z406" si="385">SUM(X407:X408)</f>
        <v>0</v>
      </c>
      <c r="Y406" s="429">
        <f t="shared" si="385"/>
        <v>0</v>
      </c>
      <c r="Z406" s="429">
        <f t="shared" si="385"/>
        <v>0</v>
      </c>
      <c r="AA406" s="5"/>
      <c r="AB406" s="15">
        <f t="shared" ref="AB406:AK406" si="386">SUM(AB407:AB408)</f>
        <v>0</v>
      </c>
      <c r="AC406" s="15">
        <f t="shared" si="386"/>
        <v>0</v>
      </c>
      <c r="AD406" s="15">
        <f t="shared" si="386"/>
        <v>0</v>
      </c>
      <c r="AE406" s="15">
        <f t="shared" si="386"/>
        <v>0</v>
      </c>
      <c r="AF406" s="15">
        <f t="shared" si="386"/>
        <v>0</v>
      </c>
      <c r="AG406" s="15">
        <f t="shared" si="386"/>
        <v>0</v>
      </c>
      <c r="AH406" s="15">
        <f t="shared" si="386"/>
        <v>0</v>
      </c>
      <c r="AI406" s="15">
        <f t="shared" si="386"/>
        <v>0</v>
      </c>
      <c r="AJ406" s="15">
        <f t="shared" si="386"/>
        <v>0</v>
      </c>
      <c r="AK406" s="15">
        <f t="shared" si="386"/>
        <v>0</v>
      </c>
      <c r="AL406" s="15">
        <f>SUM(AL407:AL408)</f>
        <v>0</v>
      </c>
      <c r="AM406" s="15">
        <f>SUM(AM407:AM408)</f>
        <v>0</v>
      </c>
      <c r="AN406" s="15">
        <f>SUM(AN407:AN408)</f>
        <v>0</v>
      </c>
      <c r="AO406" s="15">
        <f>SUM(AO407:AO408)</f>
        <v>0</v>
      </c>
    </row>
    <row r="407" spans="1:41" s="16" customFormat="1" ht="31.5">
      <c r="A407" s="97" t="s">
        <v>27</v>
      </c>
      <c r="B407" s="452" t="s">
        <v>931</v>
      </c>
      <c r="C407" s="19" t="s">
        <v>260</v>
      </c>
      <c r="D407" s="19" t="s">
        <v>918</v>
      </c>
      <c r="E407" s="44" t="s">
        <v>932</v>
      </c>
      <c r="F407" s="101" t="s">
        <v>933</v>
      </c>
      <c r="G407" s="392">
        <v>61401</v>
      </c>
      <c r="H407" s="392">
        <f>+G407-49021</f>
        <v>12380</v>
      </c>
      <c r="I407" s="392">
        <f>+J407</f>
        <v>1367</v>
      </c>
      <c r="J407" s="392">
        <v>1367</v>
      </c>
      <c r="K407" s="392">
        <f>+L407+1804</f>
        <v>2230</v>
      </c>
      <c r="L407" s="392">
        <v>426</v>
      </c>
      <c r="M407" s="392">
        <f>+N407</f>
        <v>426</v>
      </c>
      <c r="N407" s="392">
        <v>426</v>
      </c>
      <c r="O407" s="392">
        <f>57196+1367</f>
        <v>58563</v>
      </c>
      <c r="P407" s="392">
        <f>7749+426</f>
        <v>8175</v>
      </c>
      <c r="Q407" s="392">
        <v>1367</v>
      </c>
      <c r="R407" s="392">
        <v>1367</v>
      </c>
      <c r="S407" s="392">
        <v>0</v>
      </c>
      <c r="T407" s="392">
        <v>0</v>
      </c>
      <c r="U407" s="392">
        <v>0</v>
      </c>
      <c r="V407" s="392">
        <v>0</v>
      </c>
      <c r="W407" s="24"/>
      <c r="X407" s="396">
        <v>0</v>
      </c>
      <c r="Y407" s="396">
        <v>0</v>
      </c>
      <c r="Z407" s="396">
        <v>0</v>
      </c>
      <c r="AA407" s="5"/>
    </row>
    <row r="408" spans="1:41" s="16" customFormat="1" ht="31.5">
      <c r="A408" s="97" t="s">
        <v>41</v>
      </c>
      <c r="B408" s="452" t="s">
        <v>1355</v>
      </c>
      <c r="C408" s="19" t="s">
        <v>112</v>
      </c>
      <c r="D408" s="19" t="s">
        <v>918</v>
      </c>
      <c r="E408" s="44" t="s">
        <v>1327</v>
      </c>
      <c r="F408" s="101" t="s">
        <v>1356</v>
      </c>
      <c r="G408" s="392">
        <v>111046</v>
      </c>
      <c r="H408" s="392">
        <f>+G408-68776</f>
        <v>42270</v>
      </c>
      <c r="I408" s="392">
        <f>+J408</f>
        <v>0</v>
      </c>
      <c r="J408" s="392">
        <v>0</v>
      </c>
      <c r="K408" s="392">
        <f>+L408+33073</f>
        <v>33073</v>
      </c>
      <c r="L408" s="392">
        <v>0</v>
      </c>
      <c r="M408" s="392">
        <f>+N408+3186</f>
        <v>3186</v>
      </c>
      <c r="N408" s="392">
        <v>0</v>
      </c>
      <c r="O408" s="392">
        <f>+P408+68768</f>
        <v>92629</v>
      </c>
      <c r="P408" s="392">
        <v>23861</v>
      </c>
      <c r="Q408" s="392">
        <f>+R408+33073</f>
        <v>33073</v>
      </c>
      <c r="R408" s="392">
        <v>0</v>
      </c>
      <c r="S408" s="392">
        <v>0</v>
      </c>
      <c r="T408" s="392">
        <v>0</v>
      </c>
      <c r="U408" s="392">
        <v>0</v>
      </c>
      <c r="V408" s="392">
        <v>0</v>
      </c>
      <c r="W408" s="24"/>
      <c r="X408" s="396">
        <v>0</v>
      </c>
      <c r="Y408" s="396">
        <v>0</v>
      </c>
      <c r="Z408" s="396">
        <v>0</v>
      </c>
      <c r="AA408" s="5"/>
    </row>
    <row r="409" spans="1:41" s="16" customFormat="1" ht="30" customHeight="1">
      <c r="A409" s="26" t="s">
        <v>273</v>
      </c>
      <c r="B409" s="27" t="s">
        <v>48</v>
      </c>
      <c r="C409" s="13"/>
      <c r="D409" s="13"/>
      <c r="E409" s="14"/>
      <c r="F409" s="13"/>
      <c r="G409" s="15">
        <f t="shared" ref="G409:V409" si="387">SUM(G410:G416)</f>
        <v>38494.199000000001</v>
      </c>
      <c r="H409" s="15">
        <f t="shared" si="387"/>
        <v>38494.199000000001</v>
      </c>
      <c r="I409" s="15">
        <f t="shared" si="387"/>
        <v>16534</v>
      </c>
      <c r="J409" s="15">
        <f t="shared" si="387"/>
        <v>16534</v>
      </c>
      <c r="K409" s="15">
        <f t="shared" si="387"/>
        <v>2076</v>
      </c>
      <c r="L409" s="15">
        <f t="shared" si="387"/>
        <v>2076</v>
      </c>
      <c r="M409" s="15">
        <f t="shared" si="387"/>
        <v>7961</v>
      </c>
      <c r="N409" s="15">
        <f t="shared" si="387"/>
        <v>7961</v>
      </c>
      <c r="O409" s="15">
        <f t="shared" si="387"/>
        <v>35083</v>
      </c>
      <c r="P409" s="15">
        <f t="shared" si="387"/>
        <v>35290</v>
      </c>
      <c r="Q409" s="15">
        <f t="shared" si="387"/>
        <v>19406</v>
      </c>
      <c r="R409" s="15">
        <f t="shared" si="387"/>
        <v>19399</v>
      </c>
      <c r="S409" s="15">
        <f t="shared" si="387"/>
        <v>0</v>
      </c>
      <c r="T409" s="15">
        <f t="shared" si="387"/>
        <v>0</v>
      </c>
      <c r="U409" s="15">
        <f t="shared" si="387"/>
        <v>0</v>
      </c>
      <c r="V409" s="15">
        <f t="shared" si="387"/>
        <v>0</v>
      </c>
      <c r="W409" s="379"/>
      <c r="X409" s="429">
        <f t="shared" ref="X409:Z409" si="388">SUM(X410:X416)</f>
        <v>0</v>
      </c>
      <c r="Y409" s="429">
        <f t="shared" si="388"/>
        <v>0</v>
      </c>
      <c r="Z409" s="429">
        <f t="shared" si="388"/>
        <v>0</v>
      </c>
      <c r="AA409" s="5"/>
      <c r="AB409" s="15">
        <f t="shared" ref="AB409:AK409" si="389">SUM(AB410:AB416)</f>
        <v>0</v>
      </c>
      <c r="AC409" s="15">
        <f t="shared" si="389"/>
        <v>0</v>
      </c>
      <c r="AD409" s="15">
        <f t="shared" si="389"/>
        <v>0</v>
      </c>
      <c r="AE409" s="15">
        <f t="shared" si="389"/>
        <v>0</v>
      </c>
      <c r="AF409" s="15">
        <f t="shared" si="389"/>
        <v>0</v>
      </c>
      <c r="AG409" s="15">
        <f t="shared" si="389"/>
        <v>0</v>
      </c>
      <c r="AH409" s="15">
        <f t="shared" si="389"/>
        <v>0</v>
      </c>
      <c r="AI409" s="15">
        <f t="shared" si="389"/>
        <v>0</v>
      </c>
      <c r="AJ409" s="15">
        <f t="shared" si="389"/>
        <v>0</v>
      </c>
      <c r="AK409" s="15">
        <f t="shared" si="389"/>
        <v>0</v>
      </c>
      <c r="AL409" s="15">
        <f>SUM(AL410:AL416)</f>
        <v>0</v>
      </c>
      <c r="AM409" s="15">
        <f>SUM(AM410:AM416)</f>
        <v>0</v>
      </c>
      <c r="AN409" s="15">
        <f>SUM(AN410:AN416)</f>
        <v>0</v>
      </c>
      <c r="AO409" s="15">
        <f>SUM(AO410:AO416)</f>
        <v>0</v>
      </c>
    </row>
    <row r="410" spans="1:41" s="16" customFormat="1" ht="30">
      <c r="A410" s="97" t="s">
        <v>27</v>
      </c>
      <c r="B410" s="452" t="s">
        <v>934</v>
      </c>
      <c r="C410" s="19" t="s">
        <v>71</v>
      </c>
      <c r="D410" s="19" t="s">
        <v>935</v>
      </c>
      <c r="E410" s="44" t="s">
        <v>82</v>
      </c>
      <c r="F410" s="101" t="s">
        <v>936</v>
      </c>
      <c r="G410" s="392">
        <v>5545</v>
      </c>
      <c r="H410" s="392">
        <v>5545</v>
      </c>
      <c r="I410" s="392">
        <f>+J410</f>
        <v>1300</v>
      </c>
      <c r="J410" s="392">
        <v>1300</v>
      </c>
      <c r="K410" s="392">
        <v>710</v>
      </c>
      <c r="L410" s="392">
        <v>710</v>
      </c>
      <c r="M410" s="392">
        <v>174</v>
      </c>
      <c r="N410" s="392">
        <v>174</v>
      </c>
      <c r="O410" s="392">
        <f>3780+1300</f>
        <v>5080</v>
      </c>
      <c r="P410" s="392">
        <v>5080</v>
      </c>
      <c r="Q410" s="392">
        <f>+R410</f>
        <v>1300</v>
      </c>
      <c r="R410" s="392">
        <v>1300</v>
      </c>
      <c r="S410" s="392"/>
      <c r="T410" s="392"/>
      <c r="U410" s="392"/>
      <c r="V410" s="392"/>
      <c r="W410" s="24"/>
      <c r="X410" s="396"/>
      <c r="Y410" s="396"/>
      <c r="Z410" s="396"/>
      <c r="AA410" s="5"/>
    </row>
    <row r="411" spans="1:41" s="16" customFormat="1" ht="30">
      <c r="A411" s="97" t="s">
        <v>41</v>
      </c>
      <c r="B411" s="452" t="s">
        <v>937</v>
      </c>
      <c r="C411" s="19" t="s">
        <v>112</v>
      </c>
      <c r="D411" s="19" t="s">
        <v>938</v>
      </c>
      <c r="E411" s="44" t="s">
        <v>114</v>
      </c>
      <c r="F411" s="101" t="s">
        <v>939</v>
      </c>
      <c r="G411" s="392">
        <v>5928.1989999999996</v>
      </c>
      <c r="H411" s="392">
        <v>5928.1989999999996</v>
      </c>
      <c r="I411" s="392">
        <f t="shared" ref="I411:I416" si="390">+J411</f>
        <v>3768</v>
      </c>
      <c r="J411" s="392">
        <v>3768</v>
      </c>
      <c r="K411" s="392">
        <v>520</v>
      </c>
      <c r="L411" s="392">
        <v>520</v>
      </c>
      <c r="M411" s="392">
        <v>661</v>
      </c>
      <c r="N411" s="392">
        <v>661</v>
      </c>
      <c r="O411" s="392">
        <f>1734+3768</f>
        <v>5502</v>
      </c>
      <c r="P411" s="392">
        <v>5502</v>
      </c>
      <c r="Q411" s="392">
        <f t="shared" ref="Q411" si="391">+R411</f>
        <v>3768</v>
      </c>
      <c r="R411" s="392">
        <v>3768</v>
      </c>
      <c r="S411" s="392"/>
      <c r="T411" s="392"/>
      <c r="U411" s="392"/>
      <c r="V411" s="392"/>
      <c r="W411" s="24"/>
      <c r="X411" s="396"/>
      <c r="Y411" s="396"/>
      <c r="Z411" s="396"/>
      <c r="AA411" s="5"/>
    </row>
    <row r="412" spans="1:41" s="16" customFormat="1" ht="30">
      <c r="A412" s="97" t="s">
        <v>58</v>
      </c>
      <c r="B412" s="452" t="s">
        <v>940</v>
      </c>
      <c r="C412" s="19" t="s">
        <v>54</v>
      </c>
      <c r="D412" s="19" t="s">
        <v>941</v>
      </c>
      <c r="E412" s="44" t="s">
        <v>114</v>
      </c>
      <c r="F412" s="101" t="s">
        <v>942</v>
      </c>
      <c r="G412" s="392">
        <v>5916</v>
      </c>
      <c r="H412" s="392">
        <v>5916</v>
      </c>
      <c r="I412" s="392">
        <f t="shared" si="390"/>
        <v>3059</v>
      </c>
      <c r="J412" s="392">
        <v>3059</v>
      </c>
      <c r="K412" s="392"/>
      <c r="L412" s="392"/>
      <c r="M412" s="392">
        <v>2046</v>
      </c>
      <c r="N412" s="392">
        <v>2046</v>
      </c>
      <c r="O412" s="392">
        <f>1968+3411</f>
        <v>5379</v>
      </c>
      <c r="P412" s="392">
        <v>5379</v>
      </c>
      <c r="Q412" s="392">
        <f>5916-1968</f>
        <v>3948</v>
      </c>
      <c r="R412" s="392">
        <v>3948</v>
      </c>
      <c r="S412" s="392"/>
      <c r="T412" s="392"/>
      <c r="U412" s="392"/>
      <c r="V412" s="392"/>
      <c r="W412" s="24"/>
      <c r="X412" s="396"/>
      <c r="Y412" s="396"/>
      <c r="Z412" s="396"/>
      <c r="AA412" s="5"/>
    </row>
    <row r="413" spans="1:41" s="16" customFormat="1" ht="30">
      <c r="A413" s="97" t="s">
        <v>64</v>
      </c>
      <c r="B413" s="452" t="s">
        <v>943</v>
      </c>
      <c r="C413" s="19" t="s">
        <v>54</v>
      </c>
      <c r="D413" s="19" t="s">
        <v>941</v>
      </c>
      <c r="E413" s="44" t="s">
        <v>114</v>
      </c>
      <c r="F413" s="101" t="s">
        <v>944</v>
      </c>
      <c r="G413" s="392">
        <v>5177</v>
      </c>
      <c r="H413" s="392">
        <v>5177</v>
      </c>
      <c r="I413" s="392">
        <v>2092</v>
      </c>
      <c r="J413" s="392">
        <v>2092</v>
      </c>
      <c r="K413" s="392"/>
      <c r="L413" s="392"/>
      <c r="M413" s="392">
        <v>1900</v>
      </c>
      <c r="N413" s="392">
        <v>1900</v>
      </c>
      <c r="O413" s="392">
        <f>2878+2092</f>
        <v>4970</v>
      </c>
      <c r="P413" s="392">
        <v>5177</v>
      </c>
      <c r="Q413" s="392">
        <f>5177-2878</f>
        <v>2299</v>
      </c>
      <c r="R413" s="392">
        <v>2292</v>
      </c>
      <c r="S413" s="392"/>
      <c r="T413" s="392"/>
      <c r="U413" s="392"/>
      <c r="V413" s="392"/>
      <c r="W413" s="24"/>
      <c r="X413" s="396"/>
      <c r="Y413" s="396"/>
      <c r="Z413" s="396"/>
      <c r="AA413" s="5"/>
    </row>
    <row r="414" spans="1:41" s="16" customFormat="1" ht="30">
      <c r="A414" s="97" t="s">
        <v>69</v>
      </c>
      <c r="B414" s="212" t="s">
        <v>945</v>
      </c>
      <c r="C414" s="19" t="s">
        <v>5</v>
      </c>
      <c r="D414" s="19" t="s">
        <v>946</v>
      </c>
      <c r="E414" s="70" t="s">
        <v>30</v>
      </c>
      <c r="F414" s="19" t="s">
        <v>947</v>
      </c>
      <c r="G414" s="23">
        <v>4158</v>
      </c>
      <c r="H414" s="23">
        <v>4158</v>
      </c>
      <c r="I414" s="23">
        <f>+J414</f>
        <v>3600</v>
      </c>
      <c r="J414" s="23">
        <v>3600</v>
      </c>
      <c r="K414" s="23"/>
      <c r="L414" s="23"/>
      <c r="M414" s="23">
        <v>2118</v>
      </c>
      <c r="N414" s="23">
        <v>2118</v>
      </c>
      <c r="O414" s="23">
        <v>3800</v>
      </c>
      <c r="P414" s="23">
        <v>3800</v>
      </c>
      <c r="Q414" s="23">
        <f>4158-200</f>
        <v>3958</v>
      </c>
      <c r="R414" s="23">
        <v>3958</v>
      </c>
      <c r="S414" s="23"/>
      <c r="T414" s="23"/>
      <c r="U414" s="23"/>
      <c r="V414" s="23"/>
      <c r="W414" s="24"/>
      <c r="X414" s="371"/>
      <c r="Y414" s="371"/>
      <c r="Z414" s="371"/>
      <c r="AA414" s="5"/>
    </row>
    <row r="415" spans="1:41" s="16" customFormat="1" ht="30">
      <c r="A415" s="97" t="s">
        <v>74</v>
      </c>
      <c r="B415" s="452" t="s">
        <v>948</v>
      </c>
      <c r="C415" s="19" t="s">
        <v>143</v>
      </c>
      <c r="D415" s="19" t="s">
        <v>941</v>
      </c>
      <c r="E415" s="44" t="s">
        <v>114</v>
      </c>
      <c r="F415" s="101" t="s">
        <v>949</v>
      </c>
      <c r="G415" s="392">
        <v>6499</v>
      </c>
      <c r="H415" s="392">
        <v>6499</v>
      </c>
      <c r="I415" s="392">
        <f t="shared" si="390"/>
        <v>1400</v>
      </c>
      <c r="J415" s="392">
        <v>1400</v>
      </c>
      <c r="K415" s="392"/>
      <c r="L415" s="392"/>
      <c r="M415" s="392">
        <v>588</v>
      </c>
      <c r="N415" s="392">
        <v>588</v>
      </c>
      <c r="O415" s="392">
        <f>4541+1400</f>
        <v>5941</v>
      </c>
      <c r="P415" s="392">
        <v>5941</v>
      </c>
      <c r="Q415" s="392">
        <f>6499-4541</f>
        <v>1958</v>
      </c>
      <c r="R415" s="392">
        <v>1958</v>
      </c>
      <c r="S415" s="392"/>
      <c r="T415" s="392"/>
      <c r="U415" s="392"/>
      <c r="V415" s="392"/>
      <c r="W415" s="24"/>
      <c r="X415" s="396"/>
      <c r="Y415" s="396"/>
      <c r="Z415" s="396"/>
      <c r="AA415" s="5"/>
    </row>
    <row r="416" spans="1:41" s="16" customFormat="1" ht="30">
      <c r="A416" s="97" t="s">
        <v>141</v>
      </c>
      <c r="B416" s="452" t="s">
        <v>950</v>
      </c>
      <c r="C416" s="19" t="s">
        <v>173</v>
      </c>
      <c r="D416" s="19" t="s">
        <v>941</v>
      </c>
      <c r="E416" s="44" t="s">
        <v>114</v>
      </c>
      <c r="F416" s="101" t="s">
        <v>951</v>
      </c>
      <c r="G416" s="392">
        <v>5271</v>
      </c>
      <c r="H416" s="392">
        <v>5271</v>
      </c>
      <c r="I416" s="392">
        <f t="shared" si="390"/>
        <v>1315</v>
      </c>
      <c r="J416" s="392">
        <v>1315</v>
      </c>
      <c r="K416" s="392">
        <v>846</v>
      </c>
      <c r="L416" s="392">
        <v>846</v>
      </c>
      <c r="M416" s="392">
        <v>474</v>
      </c>
      <c r="N416" s="392">
        <v>474</v>
      </c>
      <c r="O416" s="392">
        <f>3096+1315</f>
        <v>4411</v>
      </c>
      <c r="P416" s="392">
        <v>4411</v>
      </c>
      <c r="Q416" s="392">
        <f>5271-3096</f>
        <v>2175</v>
      </c>
      <c r="R416" s="392">
        <v>2175</v>
      </c>
      <c r="S416" s="392"/>
      <c r="T416" s="392"/>
      <c r="U416" s="392"/>
      <c r="V416" s="392"/>
      <c r="W416" s="24"/>
      <c r="X416" s="396"/>
      <c r="Y416" s="396"/>
      <c r="Z416" s="396"/>
      <c r="AA416" s="5"/>
    </row>
    <row r="417" spans="1:41" s="25" customFormat="1" ht="31.5">
      <c r="A417" s="11" t="s">
        <v>78</v>
      </c>
      <c r="B417" s="12" t="s">
        <v>79</v>
      </c>
      <c r="C417" s="19"/>
      <c r="D417" s="19"/>
      <c r="E417" s="70"/>
      <c r="F417" s="19"/>
      <c r="G417" s="15">
        <f t="shared" ref="G417:V417" si="392">G418+G421</f>
        <v>536841</v>
      </c>
      <c r="H417" s="15">
        <f t="shared" si="392"/>
        <v>408753</v>
      </c>
      <c r="I417" s="15">
        <f t="shared" si="392"/>
        <v>130366</v>
      </c>
      <c r="J417" s="15">
        <f t="shared" si="392"/>
        <v>130366</v>
      </c>
      <c r="K417" s="15">
        <f t="shared" si="392"/>
        <v>12035</v>
      </c>
      <c r="L417" s="15">
        <f t="shared" si="392"/>
        <v>3194</v>
      </c>
      <c r="M417" s="15">
        <f t="shared" si="392"/>
        <v>17558</v>
      </c>
      <c r="N417" s="15">
        <f t="shared" si="392"/>
        <v>13071</v>
      </c>
      <c r="O417" s="15">
        <f t="shared" si="392"/>
        <v>421176</v>
      </c>
      <c r="P417" s="15">
        <f t="shared" si="392"/>
        <v>293342</v>
      </c>
      <c r="Q417" s="15">
        <f t="shared" si="392"/>
        <v>194165</v>
      </c>
      <c r="R417" s="15">
        <f t="shared" si="392"/>
        <v>193912</v>
      </c>
      <c r="S417" s="15">
        <f t="shared" si="392"/>
        <v>0</v>
      </c>
      <c r="T417" s="15">
        <f t="shared" si="392"/>
        <v>32700</v>
      </c>
      <c r="U417" s="15">
        <f t="shared" si="392"/>
        <v>32700</v>
      </c>
      <c r="V417" s="15">
        <f t="shared" si="392"/>
        <v>0</v>
      </c>
      <c r="W417" s="24"/>
      <c r="X417" s="429">
        <f t="shared" ref="X417:Z417" si="393">X418+X421</f>
        <v>32700</v>
      </c>
      <c r="Y417" s="429">
        <f t="shared" si="393"/>
        <v>32700</v>
      </c>
      <c r="Z417" s="429">
        <f t="shared" si="393"/>
        <v>0</v>
      </c>
      <c r="AA417" s="5"/>
      <c r="AB417" s="15">
        <f t="shared" ref="AB417:AO417" si="394">AB418+AB421</f>
        <v>0</v>
      </c>
      <c r="AC417" s="15">
        <f t="shared" si="394"/>
        <v>0</v>
      </c>
      <c r="AD417" s="15">
        <f t="shared" si="394"/>
        <v>5</v>
      </c>
      <c r="AE417" s="15">
        <f t="shared" si="394"/>
        <v>56210</v>
      </c>
      <c r="AF417" s="15">
        <f t="shared" si="394"/>
        <v>0</v>
      </c>
      <c r="AG417" s="15">
        <f t="shared" si="394"/>
        <v>0</v>
      </c>
      <c r="AH417" s="15">
        <f t="shared" si="394"/>
        <v>0</v>
      </c>
      <c r="AI417" s="15">
        <f t="shared" si="394"/>
        <v>0</v>
      </c>
      <c r="AJ417" s="15">
        <f t="shared" si="394"/>
        <v>0</v>
      </c>
      <c r="AK417" s="15">
        <f t="shared" si="394"/>
        <v>0</v>
      </c>
      <c r="AL417" s="15">
        <f t="shared" si="394"/>
        <v>0</v>
      </c>
      <c r="AM417" s="15">
        <f t="shared" si="394"/>
        <v>0</v>
      </c>
      <c r="AN417" s="15">
        <f t="shared" si="394"/>
        <v>0</v>
      </c>
      <c r="AO417" s="15">
        <f t="shared" si="394"/>
        <v>0</v>
      </c>
    </row>
    <row r="418" spans="1:41" s="375" customFormat="1" ht="15.75">
      <c r="A418" s="26" t="s">
        <v>47</v>
      </c>
      <c r="B418" s="27" t="s">
        <v>35</v>
      </c>
      <c r="C418" s="135"/>
      <c r="D418" s="135"/>
      <c r="E418" s="136"/>
      <c r="F418" s="135"/>
      <c r="G418" s="30">
        <f t="shared" ref="G418:V418" si="395">SUM(G419:G420)</f>
        <v>447685</v>
      </c>
      <c r="H418" s="30">
        <f t="shared" si="395"/>
        <v>339250</v>
      </c>
      <c r="I418" s="30">
        <f t="shared" si="395"/>
        <v>97861</v>
      </c>
      <c r="J418" s="30">
        <f t="shared" si="395"/>
        <v>97861</v>
      </c>
      <c r="K418" s="30">
        <f t="shared" si="395"/>
        <v>3090</v>
      </c>
      <c r="L418" s="30">
        <f t="shared" si="395"/>
        <v>3090</v>
      </c>
      <c r="M418" s="30">
        <f t="shared" si="395"/>
        <v>13004</v>
      </c>
      <c r="N418" s="30">
        <f t="shared" si="395"/>
        <v>9914</v>
      </c>
      <c r="O418" s="30">
        <f t="shared" si="395"/>
        <v>369068</v>
      </c>
      <c r="P418" s="30">
        <f t="shared" si="395"/>
        <v>260634</v>
      </c>
      <c r="Q418" s="30">
        <f t="shared" si="395"/>
        <v>124612</v>
      </c>
      <c r="R418" s="30">
        <f t="shared" si="395"/>
        <v>124612</v>
      </c>
      <c r="S418" s="30">
        <f t="shared" si="395"/>
        <v>0</v>
      </c>
      <c r="T418" s="30">
        <f t="shared" si="395"/>
        <v>12800</v>
      </c>
      <c r="U418" s="30">
        <f t="shared" si="395"/>
        <v>12800</v>
      </c>
      <c r="V418" s="30">
        <f t="shared" si="395"/>
        <v>0</v>
      </c>
      <c r="W418" s="449"/>
      <c r="X418" s="431">
        <f t="shared" ref="X418:Z418" si="396">SUM(X419:X420)</f>
        <v>12800</v>
      </c>
      <c r="Y418" s="431">
        <f t="shared" si="396"/>
        <v>12800</v>
      </c>
      <c r="Z418" s="431">
        <f t="shared" si="396"/>
        <v>0</v>
      </c>
      <c r="AA418" s="5"/>
      <c r="AB418" s="30">
        <f t="shared" ref="AB418:AO418" si="397">SUM(AB419:AB420)</f>
        <v>0</v>
      </c>
      <c r="AC418" s="30">
        <f t="shared" si="397"/>
        <v>0</v>
      </c>
      <c r="AD418" s="30">
        <f t="shared" si="397"/>
        <v>2</v>
      </c>
      <c r="AE418" s="30">
        <f t="shared" si="397"/>
        <v>42000</v>
      </c>
      <c r="AF418" s="30">
        <f t="shared" si="397"/>
        <v>0</v>
      </c>
      <c r="AG418" s="30">
        <f t="shared" si="397"/>
        <v>0</v>
      </c>
      <c r="AH418" s="30">
        <f t="shared" si="397"/>
        <v>0</v>
      </c>
      <c r="AI418" s="30">
        <f t="shared" si="397"/>
        <v>0</v>
      </c>
      <c r="AJ418" s="30">
        <f t="shared" si="397"/>
        <v>0</v>
      </c>
      <c r="AK418" s="30">
        <f t="shared" si="397"/>
        <v>0</v>
      </c>
      <c r="AL418" s="30">
        <f t="shared" si="397"/>
        <v>0</v>
      </c>
      <c r="AM418" s="30">
        <f t="shared" si="397"/>
        <v>0</v>
      </c>
      <c r="AN418" s="30">
        <f t="shared" si="397"/>
        <v>0</v>
      </c>
      <c r="AO418" s="30">
        <f t="shared" si="397"/>
        <v>0</v>
      </c>
    </row>
    <row r="419" spans="1:41" s="375" customFormat="1" ht="31.5">
      <c r="A419" s="97" t="s">
        <v>27</v>
      </c>
      <c r="B419" s="452" t="s">
        <v>952</v>
      </c>
      <c r="C419" s="19" t="s">
        <v>43</v>
      </c>
      <c r="D419" s="19" t="s">
        <v>953</v>
      </c>
      <c r="E419" s="70" t="s">
        <v>82</v>
      </c>
      <c r="F419" s="101" t="s">
        <v>954</v>
      </c>
      <c r="G419" s="392">
        <v>375073</v>
      </c>
      <c r="H419" s="392">
        <f>+G419-108435</f>
        <v>266638</v>
      </c>
      <c r="I419" s="392">
        <f>+J419</f>
        <v>33161</v>
      </c>
      <c r="J419" s="392">
        <v>33161</v>
      </c>
      <c r="K419" s="392">
        <f>+L419</f>
        <v>3090</v>
      </c>
      <c r="L419" s="392">
        <v>3090</v>
      </c>
      <c r="M419" s="392">
        <f>+N419+3090</f>
        <v>12869</v>
      </c>
      <c r="N419" s="392">
        <v>9779</v>
      </c>
      <c r="O419" s="392">
        <f>271207+33161</f>
        <v>304368</v>
      </c>
      <c r="P419" s="392">
        <f>162773+33161</f>
        <v>195934</v>
      </c>
      <c r="Q419" s="392">
        <v>52000</v>
      </c>
      <c r="R419" s="392">
        <v>52000</v>
      </c>
      <c r="S419" s="392">
        <v>0</v>
      </c>
      <c r="T419" s="392">
        <v>12800</v>
      </c>
      <c r="U419" s="392">
        <v>12800</v>
      </c>
      <c r="V419" s="392">
        <v>0</v>
      </c>
      <c r="W419" s="24"/>
      <c r="X419" s="396">
        <v>12800</v>
      </c>
      <c r="Y419" s="396">
        <v>12800</v>
      </c>
      <c r="Z419" s="396">
        <v>0</v>
      </c>
      <c r="AA419" s="5"/>
      <c r="AD419" s="25">
        <v>1</v>
      </c>
      <c r="AE419" s="392">
        <v>36000</v>
      </c>
    </row>
    <row r="420" spans="1:41" s="375" customFormat="1" ht="47.25">
      <c r="A420" s="97" t="s">
        <v>41</v>
      </c>
      <c r="B420" s="452" t="s">
        <v>928</v>
      </c>
      <c r="C420" s="19" t="s">
        <v>29</v>
      </c>
      <c r="D420" s="19" t="s">
        <v>929</v>
      </c>
      <c r="E420" s="70" t="s">
        <v>30</v>
      </c>
      <c r="F420" s="101" t="s">
        <v>930</v>
      </c>
      <c r="G420" s="392">
        <v>72612</v>
      </c>
      <c r="H420" s="392">
        <v>72612</v>
      </c>
      <c r="I420" s="392">
        <v>64700</v>
      </c>
      <c r="J420" s="392">
        <v>64700</v>
      </c>
      <c r="K420" s="392"/>
      <c r="L420" s="392"/>
      <c r="M420" s="392">
        <v>135</v>
      </c>
      <c r="N420" s="392">
        <v>135</v>
      </c>
      <c r="O420" s="392">
        <v>64700</v>
      </c>
      <c r="P420" s="392">
        <v>64700</v>
      </c>
      <c r="Q420" s="392">
        <v>72612</v>
      </c>
      <c r="R420" s="392">
        <v>72612</v>
      </c>
      <c r="S420" s="392"/>
      <c r="T420" s="392"/>
      <c r="U420" s="392"/>
      <c r="V420" s="392"/>
      <c r="W420" s="24"/>
      <c r="X420" s="396"/>
      <c r="Y420" s="396"/>
      <c r="Z420" s="396"/>
      <c r="AA420" s="5"/>
      <c r="AD420" s="25">
        <v>1</v>
      </c>
      <c r="AE420" s="392">
        <v>6000</v>
      </c>
    </row>
    <row r="421" spans="1:41" s="25" customFormat="1" ht="15.75">
      <c r="A421" s="26" t="s">
        <v>273</v>
      </c>
      <c r="B421" s="27" t="s">
        <v>48</v>
      </c>
      <c r="C421" s="19"/>
      <c r="D421" s="19"/>
      <c r="E421" s="70"/>
      <c r="F421" s="101"/>
      <c r="G421" s="384">
        <f>SUM(G422:G425)</f>
        <v>89156</v>
      </c>
      <c r="H421" s="384">
        <f t="shared" ref="H421:V421" si="398">SUM(H422:H425)</f>
        <v>69503</v>
      </c>
      <c r="I421" s="384">
        <f t="shared" si="398"/>
        <v>32505</v>
      </c>
      <c r="J421" s="384">
        <f t="shared" si="398"/>
        <v>32505</v>
      </c>
      <c r="K421" s="384">
        <f t="shared" si="398"/>
        <v>8945</v>
      </c>
      <c r="L421" s="384">
        <f t="shared" si="398"/>
        <v>104</v>
      </c>
      <c r="M421" s="384">
        <f t="shared" si="398"/>
        <v>4554</v>
      </c>
      <c r="N421" s="384">
        <f t="shared" si="398"/>
        <v>3157</v>
      </c>
      <c r="O421" s="384">
        <f t="shared" si="398"/>
        <v>52108</v>
      </c>
      <c r="P421" s="384">
        <f t="shared" si="398"/>
        <v>32708</v>
      </c>
      <c r="Q421" s="384">
        <f t="shared" si="398"/>
        <v>69553</v>
      </c>
      <c r="R421" s="384">
        <f t="shared" si="398"/>
        <v>69300</v>
      </c>
      <c r="S421" s="384">
        <f t="shared" si="398"/>
        <v>0</v>
      </c>
      <c r="T421" s="384">
        <f t="shared" si="398"/>
        <v>19900</v>
      </c>
      <c r="U421" s="384">
        <f t="shared" si="398"/>
        <v>19900</v>
      </c>
      <c r="V421" s="384">
        <f t="shared" si="398"/>
        <v>0</v>
      </c>
      <c r="W421" s="24"/>
      <c r="X421" s="386">
        <f t="shared" ref="X421:Z421" si="399">SUM(X422:X425)</f>
        <v>19900</v>
      </c>
      <c r="Y421" s="386">
        <f t="shared" si="399"/>
        <v>19900</v>
      </c>
      <c r="Z421" s="386">
        <f t="shared" si="399"/>
        <v>0</v>
      </c>
      <c r="AA421" s="5"/>
      <c r="AB421" s="384">
        <f t="shared" ref="AB421:AK421" si="400">SUM(AB422:AB425)</f>
        <v>0</v>
      </c>
      <c r="AC421" s="384">
        <f t="shared" si="400"/>
        <v>0</v>
      </c>
      <c r="AD421" s="384">
        <f t="shared" si="400"/>
        <v>3</v>
      </c>
      <c r="AE421" s="384">
        <f t="shared" si="400"/>
        <v>14210</v>
      </c>
      <c r="AF421" s="384">
        <f t="shared" si="400"/>
        <v>0</v>
      </c>
      <c r="AG421" s="384">
        <f t="shared" si="400"/>
        <v>0</v>
      </c>
      <c r="AH421" s="384">
        <f t="shared" si="400"/>
        <v>0</v>
      </c>
      <c r="AI421" s="384">
        <f t="shared" si="400"/>
        <v>0</v>
      </c>
      <c r="AJ421" s="384">
        <f t="shared" si="400"/>
        <v>0</v>
      </c>
      <c r="AK421" s="384">
        <f t="shared" si="400"/>
        <v>0</v>
      </c>
      <c r="AL421" s="384">
        <f>SUM(AL422:AL425)</f>
        <v>0</v>
      </c>
      <c r="AM421" s="384">
        <f>SUM(AM422:AM425)</f>
        <v>0</v>
      </c>
      <c r="AN421" s="384">
        <f>SUM(AN422:AN425)</f>
        <v>0</v>
      </c>
      <c r="AO421" s="384">
        <f>SUM(AO422:AO425)</f>
        <v>0</v>
      </c>
    </row>
    <row r="422" spans="1:41" s="25" customFormat="1" ht="47.25">
      <c r="A422" s="97" t="s">
        <v>27</v>
      </c>
      <c r="B422" s="452" t="s">
        <v>955</v>
      </c>
      <c r="C422" s="19" t="s">
        <v>29</v>
      </c>
      <c r="D422" s="19" t="s">
        <v>929</v>
      </c>
      <c r="E422" s="70" t="s">
        <v>30</v>
      </c>
      <c r="F422" s="101" t="s">
        <v>956</v>
      </c>
      <c r="G422" s="392">
        <v>35299</v>
      </c>
      <c r="H422" s="392">
        <v>35299</v>
      </c>
      <c r="I422" s="392">
        <v>25000</v>
      </c>
      <c r="J422" s="392">
        <v>25000</v>
      </c>
      <c r="K422" s="392"/>
      <c r="L422" s="392"/>
      <c r="M422" s="392">
        <v>407</v>
      </c>
      <c r="N422" s="392">
        <v>407</v>
      </c>
      <c r="O422" s="392">
        <v>25000</v>
      </c>
      <c r="P422" s="392">
        <v>25000</v>
      </c>
      <c r="Q422" s="392">
        <v>35299</v>
      </c>
      <c r="R422" s="392">
        <v>35299</v>
      </c>
      <c r="S422" s="392"/>
      <c r="T422" s="392">
        <v>10000</v>
      </c>
      <c r="U422" s="392">
        <v>10000</v>
      </c>
      <c r="V422" s="392"/>
      <c r="W422" s="24"/>
      <c r="X422" s="396">
        <v>10000</v>
      </c>
      <c r="Y422" s="396">
        <v>10000</v>
      </c>
      <c r="Z422" s="396"/>
      <c r="AA422" s="5"/>
      <c r="AD422" s="25">
        <v>1</v>
      </c>
      <c r="AE422" s="392">
        <v>10000</v>
      </c>
    </row>
    <row r="423" spans="1:41" s="25" customFormat="1" ht="31.5">
      <c r="A423" s="97" t="s">
        <v>41</v>
      </c>
      <c r="B423" s="452" t="s">
        <v>957</v>
      </c>
      <c r="C423" s="19" t="s">
        <v>143</v>
      </c>
      <c r="D423" s="19" t="s">
        <v>1357</v>
      </c>
      <c r="E423" s="70" t="s">
        <v>411</v>
      </c>
      <c r="F423" s="101" t="s">
        <v>1358</v>
      </c>
      <c r="G423" s="392">
        <v>43690</v>
      </c>
      <c r="H423" s="392">
        <v>24037</v>
      </c>
      <c r="I423" s="392">
        <v>1795</v>
      </c>
      <c r="J423" s="392">
        <v>1795</v>
      </c>
      <c r="K423" s="392">
        <v>8841</v>
      </c>
      <c r="L423" s="392"/>
      <c r="M423" s="392">
        <f>1397+1795</f>
        <v>3192</v>
      </c>
      <c r="N423" s="392">
        <v>1795</v>
      </c>
      <c r="O423" s="392">
        <f>8099+11400+1795</f>
        <v>21294</v>
      </c>
      <c r="P423" s="392">
        <f>99+1795</f>
        <v>1894</v>
      </c>
      <c r="Q423" s="392">
        <f>43690-8099-11400</f>
        <v>24191</v>
      </c>
      <c r="R423" s="392">
        <f>24037-99</f>
        <v>23938</v>
      </c>
      <c r="S423" s="392"/>
      <c r="T423" s="392">
        <v>6000</v>
      </c>
      <c r="U423" s="392">
        <v>6000</v>
      </c>
      <c r="V423" s="392"/>
      <c r="W423" s="24"/>
      <c r="X423" s="396">
        <v>6000</v>
      </c>
      <c r="Y423" s="396">
        <v>6000</v>
      </c>
      <c r="Z423" s="396"/>
      <c r="AA423" s="5"/>
      <c r="AE423" s="392"/>
    </row>
    <row r="424" spans="1:41" s="25" customFormat="1" ht="30">
      <c r="A424" s="97" t="s">
        <v>58</v>
      </c>
      <c r="B424" s="452" t="s">
        <v>960</v>
      </c>
      <c r="C424" s="19" t="s">
        <v>85</v>
      </c>
      <c r="D424" s="19" t="s">
        <v>961</v>
      </c>
      <c r="E424" s="70" t="s">
        <v>30</v>
      </c>
      <c r="F424" s="101" t="s">
        <v>962</v>
      </c>
      <c r="G424" s="392">
        <v>5337</v>
      </c>
      <c r="H424" s="392">
        <v>5337</v>
      </c>
      <c r="I424" s="392">
        <f>+J424</f>
        <v>3000</v>
      </c>
      <c r="J424" s="392">
        <v>3000</v>
      </c>
      <c r="K424" s="392">
        <v>104</v>
      </c>
      <c r="L424" s="392">
        <v>104</v>
      </c>
      <c r="M424" s="392"/>
      <c r="N424" s="392"/>
      <c r="O424" s="392">
        <v>3104</v>
      </c>
      <c r="P424" s="392">
        <v>3104</v>
      </c>
      <c r="Q424" s="392">
        <f>5337-104</f>
        <v>5233</v>
      </c>
      <c r="R424" s="392">
        <v>5233</v>
      </c>
      <c r="S424" s="392"/>
      <c r="T424" s="392">
        <v>1800</v>
      </c>
      <c r="U424" s="392">
        <v>1800</v>
      </c>
      <c r="V424" s="392"/>
      <c r="W424" s="24"/>
      <c r="X424" s="396">
        <v>1800</v>
      </c>
      <c r="Y424" s="396">
        <v>1800</v>
      </c>
      <c r="Z424" s="396"/>
      <c r="AA424" s="5"/>
      <c r="AD424" s="25">
        <v>1</v>
      </c>
      <c r="AE424" s="392">
        <v>1500</v>
      </c>
    </row>
    <row r="425" spans="1:41" s="16" customFormat="1" ht="45">
      <c r="A425" s="97" t="s">
        <v>64</v>
      </c>
      <c r="B425" s="212" t="s">
        <v>963</v>
      </c>
      <c r="C425" s="19" t="s">
        <v>260</v>
      </c>
      <c r="D425" s="19" t="s">
        <v>964</v>
      </c>
      <c r="E425" s="70" t="s">
        <v>30</v>
      </c>
      <c r="F425" s="19" t="s">
        <v>965</v>
      </c>
      <c r="G425" s="23">
        <v>4830</v>
      </c>
      <c r="H425" s="23">
        <v>4830</v>
      </c>
      <c r="I425" s="23">
        <v>2710</v>
      </c>
      <c r="J425" s="23">
        <v>2710</v>
      </c>
      <c r="K425" s="23"/>
      <c r="L425" s="23"/>
      <c r="M425" s="23">
        <v>955</v>
      </c>
      <c r="N425" s="23">
        <v>955</v>
      </c>
      <c r="O425" s="23">
        <v>2710</v>
      </c>
      <c r="P425" s="23">
        <v>2710</v>
      </c>
      <c r="Q425" s="23">
        <v>4830</v>
      </c>
      <c r="R425" s="23">
        <v>4830</v>
      </c>
      <c r="S425" s="23"/>
      <c r="T425" s="23">
        <v>2100</v>
      </c>
      <c r="U425" s="23">
        <v>2100</v>
      </c>
      <c r="V425" s="23"/>
      <c r="W425" s="24"/>
      <c r="X425" s="371">
        <v>2100</v>
      </c>
      <c r="Y425" s="371">
        <v>2100</v>
      </c>
      <c r="Z425" s="371"/>
      <c r="AA425" s="5"/>
      <c r="AD425" s="25">
        <v>1</v>
      </c>
      <c r="AE425" s="23">
        <f>+O425-W425</f>
        <v>2710</v>
      </c>
    </row>
    <row r="426" spans="1:41" s="25" customFormat="1" ht="31.5">
      <c r="A426" s="11" t="s">
        <v>116</v>
      </c>
      <c r="B426" s="12" t="s">
        <v>117</v>
      </c>
      <c r="C426" s="19"/>
      <c r="D426" s="19"/>
      <c r="E426" s="70"/>
      <c r="F426" s="19"/>
      <c r="G426" s="15">
        <f>G427+G431</f>
        <v>565605</v>
      </c>
      <c r="H426" s="15">
        <f t="shared" ref="H426:V426" si="401">H427+H431</f>
        <v>307463</v>
      </c>
      <c r="I426" s="15">
        <f t="shared" si="401"/>
        <v>65690</v>
      </c>
      <c r="J426" s="15">
        <f t="shared" si="401"/>
        <v>26690</v>
      </c>
      <c r="K426" s="15">
        <f t="shared" si="401"/>
        <v>426</v>
      </c>
      <c r="L426" s="15">
        <f t="shared" si="401"/>
        <v>426</v>
      </c>
      <c r="M426" s="15">
        <f t="shared" si="401"/>
        <v>1510</v>
      </c>
      <c r="N426" s="15">
        <f t="shared" si="401"/>
        <v>1485</v>
      </c>
      <c r="O426" s="15">
        <f t="shared" si="401"/>
        <v>78622</v>
      </c>
      <c r="P426" s="15">
        <f t="shared" si="401"/>
        <v>39622</v>
      </c>
      <c r="Q426" s="15">
        <f t="shared" si="401"/>
        <v>562908</v>
      </c>
      <c r="R426" s="15">
        <f t="shared" si="401"/>
        <v>304766</v>
      </c>
      <c r="S426" s="15">
        <f t="shared" si="401"/>
        <v>0</v>
      </c>
      <c r="T426" s="15">
        <f t="shared" si="401"/>
        <v>192925</v>
      </c>
      <c r="U426" s="15">
        <f t="shared" si="401"/>
        <v>69000</v>
      </c>
      <c r="V426" s="15">
        <f t="shared" si="401"/>
        <v>0</v>
      </c>
      <c r="W426" s="24"/>
      <c r="X426" s="429">
        <f t="shared" ref="X426:Z426" si="402">X427+X431</f>
        <v>192925</v>
      </c>
      <c r="Y426" s="429">
        <f t="shared" si="402"/>
        <v>69000</v>
      </c>
      <c r="Z426" s="429">
        <f t="shared" si="402"/>
        <v>0</v>
      </c>
      <c r="AA426" s="5"/>
      <c r="AB426" s="15">
        <f t="shared" ref="AB426:AK426" si="403">AB427</f>
        <v>0</v>
      </c>
      <c r="AC426" s="15">
        <f t="shared" si="403"/>
        <v>0</v>
      </c>
      <c r="AD426" s="15">
        <f t="shared" si="403"/>
        <v>0</v>
      </c>
      <c r="AE426" s="15">
        <f t="shared" si="403"/>
        <v>0</v>
      </c>
      <c r="AF426" s="15">
        <f t="shared" si="403"/>
        <v>0</v>
      </c>
      <c r="AG426" s="15">
        <f t="shared" si="403"/>
        <v>0</v>
      </c>
      <c r="AH426" s="15">
        <f t="shared" si="403"/>
        <v>5</v>
      </c>
      <c r="AI426" s="15">
        <f t="shared" si="403"/>
        <v>57500</v>
      </c>
      <c r="AJ426" s="15">
        <f t="shared" si="403"/>
        <v>0</v>
      </c>
      <c r="AK426" s="15">
        <f t="shared" si="403"/>
        <v>0</v>
      </c>
      <c r="AL426" s="15">
        <f>AL427</f>
        <v>0</v>
      </c>
      <c r="AM426" s="15">
        <f>AM427</f>
        <v>0</v>
      </c>
      <c r="AN426" s="15">
        <f>AN427</f>
        <v>0</v>
      </c>
      <c r="AO426" s="15">
        <f>AO427</f>
        <v>0</v>
      </c>
    </row>
    <row r="427" spans="1:41" s="25" customFormat="1" ht="15.75">
      <c r="A427" s="26" t="s">
        <v>47</v>
      </c>
      <c r="B427" s="27" t="s">
        <v>35</v>
      </c>
      <c r="C427" s="19"/>
      <c r="D427" s="19"/>
      <c r="E427" s="70"/>
      <c r="F427" s="19"/>
      <c r="G427" s="30">
        <f>SUM(G428:G430)</f>
        <v>499346</v>
      </c>
      <c r="H427" s="30">
        <f t="shared" ref="H427:V427" si="404">SUM(H428:H430)</f>
        <v>241204</v>
      </c>
      <c r="I427" s="30">
        <f t="shared" si="404"/>
        <v>51090</v>
      </c>
      <c r="J427" s="30">
        <f t="shared" si="404"/>
        <v>12090</v>
      </c>
      <c r="K427" s="30">
        <f t="shared" si="404"/>
        <v>0</v>
      </c>
      <c r="L427" s="30">
        <f t="shared" si="404"/>
        <v>0</v>
      </c>
      <c r="M427" s="30">
        <f t="shared" si="404"/>
        <v>868</v>
      </c>
      <c r="N427" s="30">
        <f t="shared" si="404"/>
        <v>868</v>
      </c>
      <c r="O427" s="30">
        <f t="shared" si="404"/>
        <v>62492</v>
      </c>
      <c r="P427" s="30">
        <f t="shared" si="404"/>
        <v>23492</v>
      </c>
      <c r="Q427" s="30">
        <f t="shared" si="404"/>
        <v>498179</v>
      </c>
      <c r="R427" s="30">
        <f t="shared" si="404"/>
        <v>240037</v>
      </c>
      <c r="S427" s="30">
        <f t="shared" si="404"/>
        <v>0</v>
      </c>
      <c r="T427" s="30">
        <f t="shared" si="404"/>
        <v>173925</v>
      </c>
      <c r="U427" s="30">
        <f t="shared" si="404"/>
        <v>50000</v>
      </c>
      <c r="V427" s="30">
        <f t="shared" si="404"/>
        <v>0</v>
      </c>
      <c r="W427" s="24"/>
      <c r="X427" s="431">
        <f t="shared" ref="X427:Z427" si="405">SUM(X428:X430)</f>
        <v>173925</v>
      </c>
      <c r="Y427" s="431">
        <f t="shared" si="405"/>
        <v>50000</v>
      </c>
      <c r="Z427" s="431">
        <f t="shared" si="405"/>
        <v>0</v>
      </c>
      <c r="AA427" s="5"/>
      <c r="AB427" s="30">
        <f t="shared" ref="AB427:AK427" si="406">SUM(AB428:AB432)</f>
        <v>0</v>
      </c>
      <c r="AC427" s="30">
        <f t="shared" si="406"/>
        <v>0</v>
      </c>
      <c r="AD427" s="30">
        <f t="shared" si="406"/>
        <v>0</v>
      </c>
      <c r="AE427" s="30">
        <f t="shared" si="406"/>
        <v>0</v>
      </c>
      <c r="AF427" s="30">
        <f t="shared" si="406"/>
        <v>0</v>
      </c>
      <c r="AG427" s="30">
        <f t="shared" si="406"/>
        <v>0</v>
      </c>
      <c r="AH427" s="30">
        <f t="shared" si="406"/>
        <v>5</v>
      </c>
      <c r="AI427" s="30">
        <f t="shared" si="406"/>
        <v>57500</v>
      </c>
      <c r="AJ427" s="30">
        <f t="shared" si="406"/>
        <v>0</v>
      </c>
      <c r="AK427" s="30">
        <f t="shared" si="406"/>
        <v>0</v>
      </c>
      <c r="AL427" s="30">
        <f>SUM(AL428:AL432)</f>
        <v>0</v>
      </c>
      <c r="AM427" s="30">
        <f>SUM(AM428:AM432)</f>
        <v>0</v>
      </c>
      <c r="AN427" s="30">
        <f>SUM(AN428:AN432)</f>
        <v>0</v>
      </c>
      <c r="AO427" s="30">
        <f>SUM(AO428:AO432)</f>
        <v>0</v>
      </c>
    </row>
    <row r="428" spans="1:41" s="25" customFormat="1" ht="45">
      <c r="A428" s="97" t="s">
        <v>27</v>
      </c>
      <c r="B428" s="457" t="s">
        <v>1359</v>
      </c>
      <c r="C428" s="19" t="s">
        <v>29</v>
      </c>
      <c r="D428" s="19" t="s">
        <v>975</v>
      </c>
      <c r="E428" s="70" t="s">
        <v>30</v>
      </c>
      <c r="F428" s="19" t="s">
        <v>976</v>
      </c>
      <c r="G428" s="23">
        <v>58957</v>
      </c>
      <c r="H428" s="23">
        <v>58957</v>
      </c>
      <c r="I428" s="23">
        <v>10000</v>
      </c>
      <c r="J428" s="23">
        <v>10000</v>
      </c>
      <c r="K428" s="23"/>
      <c r="L428" s="23"/>
      <c r="M428" s="23">
        <v>257</v>
      </c>
      <c r="N428" s="23">
        <v>257</v>
      </c>
      <c r="O428" s="23">
        <v>10330</v>
      </c>
      <c r="P428" s="23">
        <v>10330</v>
      </c>
      <c r="Q428" s="23">
        <f>58957-330</f>
        <v>58627</v>
      </c>
      <c r="R428" s="23">
        <v>58627</v>
      </c>
      <c r="S428" s="23"/>
      <c r="T428" s="23">
        <v>10000</v>
      </c>
      <c r="U428" s="23">
        <v>10000</v>
      </c>
      <c r="V428" s="23"/>
      <c r="W428" s="513"/>
      <c r="X428" s="371">
        <v>10000</v>
      </c>
      <c r="Y428" s="371">
        <v>10000</v>
      </c>
      <c r="Z428" s="371"/>
      <c r="AA428" s="5"/>
      <c r="AH428" s="25">
        <v>1</v>
      </c>
      <c r="AI428" s="23">
        <v>10000</v>
      </c>
    </row>
    <row r="429" spans="1:41" s="25" customFormat="1" ht="45">
      <c r="A429" s="97" t="s">
        <v>41</v>
      </c>
      <c r="B429" s="457" t="s">
        <v>977</v>
      </c>
      <c r="C429" s="19" t="s">
        <v>29</v>
      </c>
      <c r="D429" s="19" t="s">
        <v>978</v>
      </c>
      <c r="E429" s="70" t="s">
        <v>30</v>
      </c>
      <c r="F429" s="19" t="s">
        <v>979</v>
      </c>
      <c r="G429" s="23">
        <v>116675</v>
      </c>
      <c r="H429" s="23">
        <v>116675</v>
      </c>
      <c r="I429" s="23">
        <v>2000</v>
      </c>
      <c r="J429" s="23">
        <v>2000</v>
      </c>
      <c r="K429" s="23"/>
      <c r="L429" s="23"/>
      <c r="M429" s="23">
        <v>611</v>
      </c>
      <c r="N429" s="23">
        <v>611</v>
      </c>
      <c r="O429" s="23">
        <f>837+2000</f>
        <v>2837</v>
      </c>
      <c r="P429" s="23">
        <v>2837</v>
      </c>
      <c r="Q429" s="23">
        <f>116675-837</f>
        <v>115838</v>
      </c>
      <c r="R429" s="23">
        <v>115838</v>
      </c>
      <c r="S429" s="23"/>
      <c r="T429" s="23">
        <v>10000</v>
      </c>
      <c r="U429" s="23">
        <v>10000</v>
      </c>
      <c r="V429" s="23"/>
      <c r="W429" s="513"/>
      <c r="X429" s="371">
        <v>10000</v>
      </c>
      <c r="Y429" s="371">
        <v>10000</v>
      </c>
      <c r="Z429" s="371"/>
      <c r="AA429" s="5"/>
      <c r="AH429" s="25">
        <v>1</v>
      </c>
      <c r="AI429" s="23">
        <v>10000</v>
      </c>
    </row>
    <row r="430" spans="1:41" s="25" customFormat="1" ht="75">
      <c r="A430" s="97" t="s">
        <v>58</v>
      </c>
      <c r="B430" s="212" t="s">
        <v>980</v>
      </c>
      <c r="C430" s="19" t="s">
        <v>43</v>
      </c>
      <c r="D430" s="19" t="s">
        <v>929</v>
      </c>
      <c r="E430" s="70" t="s">
        <v>30</v>
      </c>
      <c r="F430" s="19" t="s">
        <v>1187</v>
      </c>
      <c r="G430" s="23">
        <v>323714</v>
      </c>
      <c r="H430" s="23">
        <v>65572</v>
      </c>
      <c r="I430" s="23">
        <v>39090</v>
      </c>
      <c r="J430" s="23">
        <v>90</v>
      </c>
      <c r="K430" s="23"/>
      <c r="L430" s="23"/>
      <c r="M430" s="23"/>
      <c r="N430" s="23"/>
      <c r="O430" s="23">
        <f>325+49000</f>
        <v>49325</v>
      </c>
      <c r="P430" s="23">
        <f>325+10000</f>
        <v>10325</v>
      </c>
      <c r="Q430" s="23">
        <v>323714</v>
      </c>
      <c r="R430" s="23">
        <v>65572</v>
      </c>
      <c r="S430" s="23"/>
      <c r="T430" s="23">
        <v>153925</v>
      </c>
      <c r="U430" s="23">
        <v>30000</v>
      </c>
      <c r="V430" s="23"/>
      <c r="W430" s="24"/>
      <c r="X430" s="371">
        <v>153925</v>
      </c>
      <c r="Y430" s="371">
        <v>30000</v>
      </c>
      <c r="Z430" s="371"/>
      <c r="AA430" s="5"/>
      <c r="AH430" s="25">
        <v>1</v>
      </c>
      <c r="AI430" s="23">
        <v>30000</v>
      </c>
    </row>
    <row r="431" spans="1:41" s="25" customFormat="1" ht="15.75">
      <c r="A431" s="26" t="s">
        <v>273</v>
      </c>
      <c r="B431" s="27" t="s">
        <v>48</v>
      </c>
      <c r="C431" s="28"/>
      <c r="D431" s="28"/>
      <c r="E431" s="29"/>
      <c r="F431" s="28"/>
      <c r="G431" s="30">
        <f>SUM(G432:G438)</f>
        <v>66259</v>
      </c>
      <c r="H431" s="30">
        <f t="shared" ref="H431:V431" si="407">SUM(H432:H438)</f>
        <v>66259</v>
      </c>
      <c r="I431" s="30">
        <f t="shared" si="407"/>
        <v>14600</v>
      </c>
      <c r="J431" s="30">
        <f t="shared" si="407"/>
        <v>14600</v>
      </c>
      <c r="K431" s="30">
        <f t="shared" si="407"/>
        <v>426</v>
      </c>
      <c r="L431" s="30">
        <f t="shared" si="407"/>
        <v>426</v>
      </c>
      <c r="M431" s="30">
        <f t="shared" si="407"/>
        <v>642</v>
      </c>
      <c r="N431" s="30">
        <f t="shared" si="407"/>
        <v>617</v>
      </c>
      <c r="O431" s="30">
        <f t="shared" si="407"/>
        <v>16130</v>
      </c>
      <c r="P431" s="30">
        <f t="shared" si="407"/>
        <v>16130</v>
      </c>
      <c r="Q431" s="30">
        <f t="shared" si="407"/>
        <v>64729</v>
      </c>
      <c r="R431" s="30">
        <f t="shared" si="407"/>
        <v>64729</v>
      </c>
      <c r="S431" s="30">
        <f t="shared" si="407"/>
        <v>0</v>
      </c>
      <c r="T431" s="30">
        <f t="shared" si="407"/>
        <v>19000</v>
      </c>
      <c r="U431" s="30">
        <f t="shared" si="407"/>
        <v>19000</v>
      </c>
      <c r="V431" s="30">
        <f t="shared" si="407"/>
        <v>0</v>
      </c>
      <c r="W431" s="479"/>
      <c r="X431" s="431">
        <f t="shared" ref="X431:Z431" si="408">SUM(X432:X438)</f>
        <v>19000</v>
      </c>
      <c r="Y431" s="431">
        <f t="shared" si="408"/>
        <v>19000</v>
      </c>
      <c r="Z431" s="431">
        <f t="shared" si="408"/>
        <v>0</v>
      </c>
      <c r="AA431" s="5"/>
      <c r="AH431" s="25">
        <v>1</v>
      </c>
      <c r="AI431" s="23">
        <v>2500</v>
      </c>
    </row>
    <row r="432" spans="1:41" s="16" customFormat="1" ht="30">
      <c r="A432" s="97" t="s">
        <v>64</v>
      </c>
      <c r="B432" s="212" t="s">
        <v>1004</v>
      </c>
      <c r="C432" s="19" t="s">
        <v>85</v>
      </c>
      <c r="D432" s="19" t="s">
        <v>1005</v>
      </c>
      <c r="E432" s="70" t="s">
        <v>154</v>
      </c>
      <c r="F432" s="19" t="s">
        <v>1360</v>
      </c>
      <c r="G432" s="23">
        <v>5755</v>
      </c>
      <c r="H432" s="23">
        <v>5755</v>
      </c>
      <c r="I432" s="23">
        <f>+J432</f>
        <v>100</v>
      </c>
      <c r="J432" s="23">
        <v>100</v>
      </c>
      <c r="K432" s="23">
        <v>140</v>
      </c>
      <c r="L432" s="23">
        <v>140</v>
      </c>
      <c r="M432" s="23"/>
      <c r="N432" s="23"/>
      <c r="O432" s="23">
        <v>240</v>
      </c>
      <c r="P432" s="23">
        <v>240</v>
      </c>
      <c r="Q432" s="23">
        <f>5755-140</f>
        <v>5615</v>
      </c>
      <c r="R432" s="23">
        <v>5615</v>
      </c>
      <c r="S432" s="23"/>
      <c r="T432" s="23">
        <v>2500</v>
      </c>
      <c r="U432" s="23">
        <v>2500</v>
      </c>
      <c r="V432" s="23"/>
      <c r="W432" s="24"/>
      <c r="X432" s="371">
        <v>2500</v>
      </c>
      <c r="Y432" s="371">
        <v>2500</v>
      </c>
      <c r="Z432" s="371"/>
      <c r="AA432" s="5"/>
      <c r="AH432" s="25">
        <v>1</v>
      </c>
      <c r="AI432" s="23">
        <v>5000</v>
      </c>
    </row>
    <row r="433" spans="1:41" s="16" customFormat="1" ht="31.5">
      <c r="A433" s="97" t="s">
        <v>69</v>
      </c>
      <c r="B433" s="212" t="s">
        <v>981</v>
      </c>
      <c r="C433" s="19" t="s">
        <v>260</v>
      </c>
      <c r="D433" s="19" t="s">
        <v>982</v>
      </c>
      <c r="E433" s="70" t="s">
        <v>30</v>
      </c>
      <c r="F433" s="19" t="s">
        <v>983</v>
      </c>
      <c r="G433" s="23">
        <v>22500</v>
      </c>
      <c r="H433" s="23">
        <v>22500</v>
      </c>
      <c r="I433" s="23">
        <v>300</v>
      </c>
      <c r="J433" s="23">
        <v>300</v>
      </c>
      <c r="K433" s="23"/>
      <c r="L433" s="23"/>
      <c r="M433" s="23">
        <v>60</v>
      </c>
      <c r="N433" s="23">
        <v>60</v>
      </c>
      <c r="O433" s="23">
        <v>500</v>
      </c>
      <c r="P433" s="23">
        <v>500</v>
      </c>
      <c r="Q433" s="23">
        <f>22500-200</f>
        <v>22300</v>
      </c>
      <c r="R433" s="23">
        <v>22300</v>
      </c>
      <c r="S433" s="23"/>
      <c r="T433" s="23">
        <v>5000</v>
      </c>
      <c r="U433" s="23">
        <v>5000</v>
      </c>
      <c r="V433" s="23"/>
      <c r="W433" s="24"/>
      <c r="X433" s="371">
        <v>5000</v>
      </c>
      <c r="Y433" s="371">
        <v>5000</v>
      </c>
      <c r="Z433" s="371"/>
      <c r="AA433" s="5"/>
      <c r="AH433" s="25"/>
      <c r="AI433" s="23"/>
    </row>
    <row r="434" spans="1:41" s="16" customFormat="1" ht="75">
      <c r="A434" s="97" t="s">
        <v>591</v>
      </c>
      <c r="B434" s="212" t="s">
        <v>984</v>
      </c>
      <c r="C434" s="19" t="s">
        <v>60</v>
      </c>
      <c r="D434" s="19" t="s">
        <v>985</v>
      </c>
      <c r="E434" s="70" t="s">
        <v>30</v>
      </c>
      <c r="F434" s="19" t="s">
        <v>986</v>
      </c>
      <c r="G434" s="23">
        <v>11952</v>
      </c>
      <c r="H434" s="23">
        <v>11952</v>
      </c>
      <c r="I434" s="23">
        <f>+J434</f>
        <v>3300</v>
      </c>
      <c r="J434" s="23">
        <v>3300</v>
      </c>
      <c r="K434" s="23"/>
      <c r="L434" s="23"/>
      <c r="M434" s="23"/>
      <c r="N434" s="23"/>
      <c r="O434" s="23">
        <f>3300+390</f>
        <v>3690</v>
      </c>
      <c r="P434" s="23">
        <v>3690</v>
      </c>
      <c r="Q434" s="23">
        <f>11952-390</f>
        <v>11562</v>
      </c>
      <c r="R434" s="23">
        <v>11562</v>
      </c>
      <c r="S434" s="23"/>
      <c r="T434" s="23">
        <v>3000</v>
      </c>
      <c r="U434" s="23">
        <v>3000</v>
      </c>
      <c r="V434" s="23"/>
      <c r="W434" s="24"/>
      <c r="X434" s="371">
        <v>3000</v>
      </c>
      <c r="Y434" s="371">
        <v>3000</v>
      </c>
      <c r="Z434" s="371"/>
      <c r="AA434" s="5"/>
      <c r="AH434" s="25"/>
      <c r="AI434" s="23"/>
    </row>
    <row r="435" spans="1:41" s="16" customFormat="1" ht="30">
      <c r="A435" s="97" t="s">
        <v>916</v>
      </c>
      <c r="B435" s="212" t="s">
        <v>966</v>
      </c>
      <c r="C435" s="19" t="s">
        <v>60</v>
      </c>
      <c r="D435" s="19" t="s">
        <v>967</v>
      </c>
      <c r="E435" s="70" t="s">
        <v>30</v>
      </c>
      <c r="F435" s="19" t="s">
        <v>1361</v>
      </c>
      <c r="G435" s="23">
        <v>5696</v>
      </c>
      <c r="H435" s="23">
        <v>5696</v>
      </c>
      <c r="I435" s="23">
        <f>+J435</f>
        <v>3000</v>
      </c>
      <c r="J435" s="23">
        <v>3000</v>
      </c>
      <c r="K435" s="23"/>
      <c r="L435" s="23"/>
      <c r="M435" s="23">
        <v>52</v>
      </c>
      <c r="N435" s="23">
        <v>52</v>
      </c>
      <c r="O435" s="23">
        <v>3200</v>
      </c>
      <c r="P435" s="23">
        <v>3200</v>
      </c>
      <c r="Q435" s="23">
        <f>5696-200</f>
        <v>5496</v>
      </c>
      <c r="R435" s="23">
        <v>5496</v>
      </c>
      <c r="S435" s="23"/>
      <c r="T435" s="23">
        <v>2000</v>
      </c>
      <c r="U435" s="23">
        <v>2000</v>
      </c>
      <c r="V435" s="23"/>
      <c r="W435" s="24"/>
      <c r="X435" s="371">
        <v>2000</v>
      </c>
      <c r="Y435" s="371">
        <v>2000</v>
      </c>
      <c r="Z435" s="371"/>
      <c r="AA435" s="5"/>
      <c r="AH435" s="25"/>
      <c r="AI435" s="23"/>
    </row>
    <row r="436" spans="1:41" s="16" customFormat="1" ht="30">
      <c r="A436" s="97" t="s">
        <v>919</v>
      </c>
      <c r="B436" s="212" t="s">
        <v>969</v>
      </c>
      <c r="C436" s="19" t="s">
        <v>60</v>
      </c>
      <c r="D436" s="19" t="s">
        <v>967</v>
      </c>
      <c r="E436" s="70" t="s">
        <v>30</v>
      </c>
      <c r="F436" s="19" t="s">
        <v>970</v>
      </c>
      <c r="G436" s="23">
        <v>5620</v>
      </c>
      <c r="H436" s="23">
        <v>5620</v>
      </c>
      <c r="I436" s="23">
        <f>+J436</f>
        <v>3000</v>
      </c>
      <c r="J436" s="23">
        <v>3000</v>
      </c>
      <c r="K436" s="23"/>
      <c r="L436" s="23"/>
      <c r="M436" s="23">
        <v>89</v>
      </c>
      <c r="N436" s="23">
        <v>89</v>
      </c>
      <c r="O436" s="23">
        <v>3200</v>
      </c>
      <c r="P436" s="23">
        <v>3200</v>
      </c>
      <c r="Q436" s="23">
        <f>5620-200</f>
        <v>5420</v>
      </c>
      <c r="R436" s="23">
        <v>5420</v>
      </c>
      <c r="S436" s="23"/>
      <c r="T436" s="23">
        <v>2000</v>
      </c>
      <c r="U436" s="23">
        <v>2000</v>
      </c>
      <c r="V436" s="23"/>
      <c r="W436" s="24"/>
      <c r="X436" s="371">
        <v>2000</v>
      </c>
      <c r="Y436" s="371">
        <v>2000</v>
      </c>
      <c r="Z436" s="371"/>
      <c r="AA436" s="5"/>
      <c r="AH436" s="25"/>
      <c r="AI436" s="23"/>
    </row>
    <row r="437" spans="1:41" s="16" customFormat="1" ht="45">
      <c r="A437" s="97" t="s">
        <v>1044</v>
      </c>
      <c r="B437" s="212" t="s">
        <v>971</v>
      </c>
      <c r="C437" s="19" t="s">
        <v>173</v>
      </c>
      <c r="D437" s="19" t="s">
        <v>972</v>
      </c>
      <c r="E437" s="70" t="s">
        <v>30</v>
      </c>
      <c r="F437" s="19" t="s">
        <v>973</v>
      </c>
      <c r="G437" s="23">
        <v>5376</v>
      </c>
      <c r="H437" s="23">
        <v>5376</v>
      </c>
      <c r="I437" s="23">
        <f>+J437</f>
        <v>2000</v>
      </c>
      <c r="J437" s="23">
        <v>2000</v>
      </c>
      <c r="K437" s="23">
        <v>86</v>
      </c>
      <c r="L437" s="23">
        <v>86</v>
      </c>
      <c r="M437" s="23">
        <f>53+25</f>
        <v>78</v>
      </c>
      <c r="N437" s="23">
        <v>53</v>
      </c>
      <c r="O437" s="23">
        <v>2200</v>
      </c>
      <c r="P437" s="23">
        <v>2200</v>
      </c>
      <c r="Q437" s="23">
        <f>5376-200</f>
        <v>5176</v>
      </c>
      <c r="R437" s="23">
        <v>5176</v>
      </c>
      <c r="S437" s="23"/>
      <c r="T437" s="23">
        <v>2500</v>
      </c>
      <c r="U437" s="23">
        <v>2500</v>
      </c>
      <c r="V437" s="23"/>
      <c r="W437" s="24"/>
      <c r="X437" s="371">
        <v>2500</v>
      </c>
      <c r="Y437" s="371">
        <v>2500</v>
      </c>
      <c r="Z437" s="371"/>
      <c r="AA437" s="5"/>
      <c r="AH437" s="25"/>
      <c r="AI437" s="23"/>
    </row>
    <row r="438" spans="1:41" s="16" customFormat="1" ht="45">
      <c r="A438" s="97" t="s">
        <v>1189</v>
      </c>
      <c r="B438" s="212" t="s">
        <v>987</v>
      </c>
      <c r="C438" s="19" t="s">
        <v>173</v>
      </c>
      <c r="D438" s="19" t="s">
        <v>148</v>
      </c>
      <c r="E438" s="70" t="s">
        <v>30</v>
      </c>
      <c r="F438" s="19" t="s">
        <v>988</v>
      </c>
      <c r="G438" s="23">
        <v>9360</v>
      </c>
      <c r="H438" s="23">
        <v>9360</v>
      </c>
      <c r="I438" s="23">
        <f>+J438</f>
        <v>2900</v>
      </c>
      <c r="J438" s="23">
        <v>2900</v>
      </c>
      <c r="K438" s="23">
        <v>200</v>
      </c>
      <c r="L438" s="23">
        <v>200</v>
      </c>
      <c r="M438" s="23">
        <v>363</v>
      </c>
      <c r="N438" s="23">
        <v>363</v>
      </c>
      <c r="O438" s="23">
        <v>3100</v>
      </c>
      <c r="P438" s="23">
        <v>3100</v>
      </c>
      <c r="Q438" s="23">
        <v>9160</v>
      </c>
      <c r="R438" s="23">
        <v>9160</v>
      </c>
      <c r="S438" s="23"/>
      <c r="T438" s="23">
        <v>2000</v>
      </c>
      <c r="U438" s="23">
        <v>2000</v>
      </c>
      <c r="V438" s="23"/>
      <c r="W438" s="24"/>
      <c r="X438" s="371">
        <v>2000</v>
      </c>
      <c r="Y438" s="371">
        <v>2000</v>
      </c>
      <c r="Z438" s="371"/>
      <c r="AA438" s="5"/>
      <c r="AH438" s="25"/>
      <c r="AI438" s="23"/>
    </row>
    <row r="439" spans="1:41" s="25" customFormat="1" ht="31.5">
      <c r="A439" s="11" t="s">
        <v>150</v>
      </c>
      <c r="B439" s="12" t="s">
        <v>151</v>
      </c>
      <c r="C439" s="19"/>
      <c r="D439" s="19"/>
      <c r="E439" s="70"/>
      <c r="F439" s="19"/>
      <c r="G439" s="15">
        <f t="shared" ref="G439:V439" si="409">G440+G445</f>
        <v>525704</v>
      </c>
      <c r="H439" s="15">
        <f t="shared" si="409"/>
        <v>349770</v>
      </c>
      <c r="I439" s="15">
        <f t="shared" si="409"/>
        <v>1365</v>
      </c>
      <c r="J439" s="15">
        <f t="shared" si="409"/>
        <v>1365</v>
      </c>
      <c r="K439" s="15">
        <f t="shared" si="409"/>
        <v>50</v>
      </c>
      <c r="L439" s="15">
        <f t="shared" si="409"/>
        <v>50</v>
      </c>
      <c r="M439" s="15">
        <f t="shared" si="409"/>
        <v>180</v>
      </c>
      <c r="N439" s="15">
        <f t="shared" si="409"/>
        <v>180</v>
      </c>
      <c r="O439" s="15">
        <f t="shared" si="409"/>
        <v>3100</v>
      </c>
      <c r="P439" s="15">
        <f t="shared" si="409"/>
        <v>3100</v>
      </c>
      <c r="Q439" s="15">
        <f t="shared" si="409"/>
        <v>524385</v>
      </c>
      <c r="R439" s="15">
        <f t="shared" si="409"/>
        <v>350445</v>
      </c>
      <c r="S439" s="15">
        <f t="shared" si="409"/>
        <v>0</v>
      </c>
      <c r="T439" s="15">
        <f t="shared" si="409"/>
        <v>84450</v>
      </c>
      <c r="U439" s="15">
        <f t="shared" si="409"/>
        <v>58450</v>
      </c>
      <c r="V439" s="15">
        <f t="shared" si="409"/>
        <v>0</v>
      </c>
      <c r="W439" s="24"/>
      <c r="X439" s="429">
        <f t="shared" ref="X439:Z439" si="410">X440+X445</f>
        <v>84450</v>
      </c>
      <c r="Y439" s="429">
        <f t="shared" si="410"/>
        <v>58450</v>
      </c>
      <c r="Z439" s="429">
        <f t="shared" si="410"/>
        <v>0</v>
      </c>
      <c r="AA439" s="5"/>
      <c r="AB439" s="15">
        <f t="shared" ref="AB439:AO439" si="411">AB440+AB445</f>
        <v>0</v>
      </c>
      <c r="AC439" s="15">
        <f t="shared" si="411"/>
        <v>0</v>
      </c>
      <c r="AD439" s="15">
        <f t="shared" si="411"/>
        <v>0</v>
      </c>
      <c r="AE439" s="15">
        <f t="shared" si="411"/>
        <v>0</v>
      </c>
      <c r="AF439" s="15">
        <f t="shared" si="411"/>
        <v>0</v>
      </c>
      <c r="AG439" s="15">
        <f t="shared" si="411"/>
        <v>0</v>
      </c>
      <c r="AH439" s="15">
        <f t="shared" si="411"/>
        <v>0</v>
      </c>
      <c r="AI439" s="15">
        <f t="shared" si="411"/>
        <v>0</v>
      </c>
      <c r="AJ439" s="15">
        <f t="shared" si="411"/>
        <v>0</v>
      </c>
      <c r="AK439" s="15">
        <f t="shared" si="411"/>
        <v>0</v>
      </c>
      <c r="AL439" s="15">
        <f t="shared" si="411"/>
        <v>21</v>
      </c>
      <c r="AM439" s="15">
        <f t="shared" si="411"/>
        <v>42390</v>
      </c>
      <c r="AN439" s="15">
        <f t="shared" si="411"/>
        <v>0</v>
      </c>
      <c r="AO439" s="15">
        <f t="shared" si="411"/>
        <v>0</v>
      </c>
    </row>
    <row r="440" spans="1:41" s="25" customFormat="1" ht="15.75">
      <c r="A440" s="26" t="s">
        <v>47</v>
      </c>
      <c r="B440" s="27" t="s">
        <v>35</v>
      </c>
      <c r="C440" s="19"/>
      <c r="D440" s="19"/>
      <c r="E440" s="70"/>
      <c r="F440" s="19"/>
      <c r="G440" s="30">
        <f t="shared" ref="G440:V440" si="412">SUM(G441:G444)</f>
        <v>403372</v>
      </c>
      <c r="H440" s="30">
        <f t="shared" si="412"/>
        <v>229432</v>
      </c>
      <c r="I440" s="30">
        <f t="shared" si="412"/>
        <v>75</v>
      </c>
      <c r="J440" s="30">
        <f t="shared" si="412"/>
        <v>75</v>
      </c>
      <c r="K440" s="30">
        <f t="shared" si="412"/>
        <v>50</v>
      </c>
      <c r="L440" s="30">
        <f t="shared" si="412"/>
        <v>50</v>
      </c>
      <c r="M440" s="30">
        <f t="shared" si="412"/>
        <v>0</v>
      </c>
      <c r="N440" s="30">
        <f t="shared" si="412"/>
        <v>0</v>
      </c>
      <c r="O440" s="30">
        <f t="shared" si="412"/>
        <v>1394</v>
      </c>
      <c r="P440" s="30">
        <f t="shared" si="412"/>
        <v>1394</v>
      </c>
      <c r="Q440" s="30">
        <f t="shared" si="412"/>
        <v>402053</v>
      </c>
      <c r="R440" s="30">
        <f t="shared" si="412"/>
        <v>228113</v>
      </c>
      <c r="S440" s="30">
        <f t="shared" si="412"/>
        <v>0</v>
      </c>
      <c r="T440" s="30">
        <f t="shared" si="412"/>
        <v>37500</v>
      </c>
      <c r="U440" s="30">
        <f t="shared" si="412"/>
        <v>11500</v>
      </c>
      <c r="V440" s="30">
        <f t="shared" si="412"/>
        <v>0</v>
      </c>
      <c r="W440" s="24"/>
      <c r="X440" s="431">
        <f t="shared" ref="X440:Z440" si="413">SUM(X441:X444)</f>
        <v>37500</v>
      </c>
      <c r="Y440" s="431">
        <f t="shared" si="413"/>
        <v>11500</v>
      </c>
      <c r="Z440" s="431">
        <f t="shared" si="413"/>
        <v>0</v>
      </c>
      <c r="AA440" s="5"/>
      <c r="AB440" s="30">
        <f t="shared" ref="AB440:AO440" si="414">SUM(AB441:AB444)</f>
        <v>0</v>
      </c>
      <c r="AC440" s="30">
        <f t="shared" si="414"/>
        <v>0</v>
      </c>
      <c r="AD440" s="30">
        <f t="shared" si="414"/>
        <v>0</v>
      </c>
      <c r="AE440" s="30">
        <f t="shared" si="414"/>
        <v>0</v>
      </c>
      <c r="AF440" s="30">
        <f t="shared" si="414"/>
        <v>0</v>
      </c>
      <c r="AG440" s="30">
        <f t="shared" si="414"/>
        <v>0</v>
      </c>
      <c r="AH440" s="30">
        <f t="shared" si="414"/>
        <v>0</v>
      </c>
      <c r="AI440" s="30">
        <f t="shared" si="414"/>
        <v>0</v>
      </c>
      <c r="AJ440" s="30">
        <f t="shared" si="414"/>
        <v>0</v>
      </c>
      <c r="AK440" s="30">
        <f t="shared" si="414"/>
        <v>0</v>
      </c>
      <c r="AL440" s="30">
        <f t="shared" si="414"/>
        <v>4</v>
      </c>
      <c r="AM440" s="30">
        <f t="shared" si="414"/>
        <v>11580</v>
      </c>
      <c r="AN440" s="30">
        <f t="shared" si="414"/>
        <v>0</v>
      </c>
      <c r="AO440" s="30">
        <f t="shared" si="414"/>
        <v>0</v>
      </c>
    </row>
    <row r="441" spans="1:41" s="25" customFormat="1" ht="31.5">
      <c r="A441" s="97" t="s">
        <v>27</v>
      </c>
      <c r="B441" s="212" t="s">
        <v>989</v>
      </c>
      <c r="C441" s="19" t="s">
        <v>85</v>
      </c>
      <c r="D441" s="19"/>
      <c r="E441" s="70"/>
      <c r="F441" s="19"/>
      <c r="G441" s="23">
        <v>75643</v>
      </c>
      <c r="H441" s="23">
        <v>75643</v>
      </c>
      <c r="I441" s="23">
        <v>75</v>
      </c>
      <c r="J441" s="23">
        <v>75</v>
      </c>
      <c r="K441" s="23"/>
      <c r="L441" s="23"/>
      <c r="M441" s="23"/>
      <c r="N441" s="23"/>
      <c r="O441" s="23">
        <f>1319+75</f>
        <v>1394</v>
      </c>
      <c r="P441" s="23">
        <v>1394</v>
      </c>
      <c r="Q441" s="23">
        <f>75643-(1394-75)</f>
        <v>74324</v>
      </c>
      <c r="R441" s="23">
        <v>74324</v>
      </c>
      <c r="S441" s="23"/>
      <c r="T441" s="23">
        <v>5000</v>
      </c>
      <c r="U441" s="23">
        <v>5000</v>
      </c>
      <c r="V441" s="23"/>
      <c r="W441" s="24"/>
      <c r="X441" s="371">
        <v>5000</v>
      </c>
      <c r="Y441" s="371">
        <v>5000</v>
      </c>
      <c r="Z441" s="371"/>
      <c r="AA441" s="5"/>
      <c r="AL441" s="25">
        <v>1</v>
      </c>
      <c r="AM441" s="23">
        <v>5000</v>
      </c>
    </row>
    <row r="442" spans="1:41" s="25" customFormat="1" ht="31.5">
      <c r="A442" s="97" t="s">
        <v>41</v>
      </c>
      <c r="B442" s="212" t="s">
        <v>991</v>
      </c>
      <c r="C442" s="19" t="s">
        <v>85</v>
      </c>
      <c r="D442" s="19"/>
      <c r="E442" s="70"/>
      <c r="F442" s="19" t="s">
        <v>992</v>
      </c>
      <c r="G442" s="23">
        <v>86471</v>
      </c>
      <c r="H442" s="23">
        <v>19631</v>
      </c>
      <c r="I442" s="23"/>
      <c r="J442" s="23"/>
      <c r="K442" s="23"/>
      <c r="L442" s="23"/>
      <c r="M442" s="23"/>
      <c r="N442" s="23"/>
      <c r="O442" s="23"/>
      <c r="P442" s="23"/>
      <c r="Q442" s="23">
        <v>86471</v>
      </c>
      <c r="R442" s="23">
        <v>19631</v>
      </c>
      <c r="S442" s="23"/>
      <c r="T442" s="23">
        <v>25000</v>
      </c>
      <c r="U442" s="23">
        <v>5000</v>
      </c>
      <c r="V442" s="23"/>
      <c r="W442" s="24"/>
      <c r="X442" s="371">
        <v>25000</v>
      </c>
      <c r="Y442" s="371">
        <v>5000</v>
      </c>
      <c r="Z442" s="371"/>
      <c r="AA442" s="5"/>
      <c r="AL442" s="25">
        <v>1</v>
      </c>
      <c r="AM442" s="23">
        <v>5000</v>
      </c>
    </row>
    <row r="443" spans="1:41" s="5" customFormat="1" ht="31.5">
      <c r="A443" s="97" t="s">
        <v>58</v>
      </c>
      <c r="B443" s="514" t="s">
        <v>1362</v>
      </c>
      <c r="C443" s="19" t="s">
        <v>29</v>
      </c>
      <c r="D443" s="43"/>
      <c r="E443" s="44"/>
      <c r="F443" s="43"/>
      <c r="G443" s="72">
        <v>178812</v>
      </c>
      <c r="H443" s="72">
        <f>G443-66600</f>
        <v>112212</v>
      </c>
      <c r="I443" s="72"/>
      <c r="J443" s="72"/>
      <c r="K443" s="72"/>
      <c r="L443" s="72"/>
      <c r="M443" s="72"/>
      <c r="N443" s="72"/>
      <c r="O443" s="72"/>
      <c r="P443" s="72"/>
      <c r="Q443" s="72">
        <v>178812</v>
      </c>
      <c r="R443" s="72">
        <v>112212</v>
      </c>
      <c r="S443" s="72"/>
      <c r="T443" s="72">
        <v>4000</v>
      </c>
      <c r="U443" s="72">
        <v>1000</v>
      </c>
      <c r="V443" s="72"/>
      <c r="W443" s="80"/>
      <c r="X443" s="356">
        <v>4000</v>
      </c>
      <c r="Y443" s="356">
        <v>1000</v>
      </c>
      <c r="Z443" s="356"/>
      <c r="AL443" s="25">
        <v>1</v>
      </c>
      <c r="AM443" s="72">
        <v>1000</v>
      </c>
    </row>
    <row r="444" spans="1:41" s="5" customFormat="1" ht="31.5">
      <c r="A444" s="97" t="s">
        <v>64</v>
      </c>
      <c r="B444" s="514" t="s">
        <v>1363</v>
      </c>
      <c r="C444" s="19" t="s">
        <v>29</v>
      </c>
      <c r="D444" s="43"/>
      <c r="E444" s="44"/>
      <c r="F444" s="43"/>
      <c r="G444" s="72">
        <v>62446</v>
      </c>
      <c r="H444" s="72">
        <f>G444-40500</f>
        <v>21946</v>
      </c>
      <c r="I444" s="72"/>
      <c r="J444" s="72"/>
      <c r="K444" s="72">
        <v>50</v>
      </c>
      <c r="L444" s="72">
        <v>50</v>
      </c>
      <c r="M444" s="72"/>
      <c r="N444" s="72"/>
      <c r="O444" s="72"/>
      <c r="P444" s="72"/>
      <c r="Q444" s="72">
        <v>62446</v>
      </c>
      <c r="R444" s="72">
        <v>21946</v>
      </c>
      <c r="S444" s="72"/>
      <c r="T444" s="72">
        <v>3500</v>
      </c>
      <c r="U444" s="72">
        <v>500</v>
      </c>
      <c r="V444" s="72"/>
      <c r="W444" s="80"/>
      <c r="X444" s="356">
        <v>3500</v>
      </c>
      <c r="Y444" s="356">
        <v>500</v>
      </c>
      <c r="Z444" s="356"/>
      <c r="AL444" s="25">
        <v>1</v>
      </c>
      <c r="AM444" s="72">
        <v>580</v>
      </c>
    </row>
    <row r="445" spans="1:41" s="16" customFormat="1" ht="15.75">
      <c r="A445" s="26" t="s">
        <v>273</v>
      </c>
      <c r="B445" s="27" t="s">
        <v>48</v>
      </c>
      <c r="C445" s="13"/>
      <c r="D445" s="13"/>
      <c r="E445" s="14"/>
      <c r="F445" s="13"/>
      <c r="G445" s="15">
        <f t="shared" ref="G445:V445" si="415">SUM(G446:G462)</f>
        <v>122332</v>
      </c>
      <c r="H445" s="15">
        <f t="shared" si="415"/>
        <v>120338</v>
      </c>
      <c r="I445" s="15">
        <f t="shared" si="415"/>
        <v>1290</v>
      </c>
      <c r="J445" s="15">
        <f t="shared" si="415"/>
        <v>1290</v>
      </c>
      <c r="K445" s="15">
        <f t="shared" si="415"/>
        <v>0</v>
      </c>
      <c r="L445" s="15">
        <f t="shared" si="415"/>
        <v>0</v>
      </c>
      <c r="M445" s="15">
        <f t="shared" si="415"/>
        <v>180</v>
      </c>
      <c r="N445" s="15">
        <f t="shared" si="415"/>
        <v>180</v>
      </c>
      <c r="O445" s="15">
        <f t="shared" si="415"/>
        <v>1706</v>
      </c>
      <c r="P445" s="15">
        <f t="shared" si="415"/>
        <v>1706</v>
      </c>
      <c r="Q445" s="15">
        <f t="shared" si="415"/>
        <v>122332</v>
      </c>
      <c r="R445" s="15">
        <f t="shared" si="415"/>
        <v>122332</v>
      </c>
      <c r="S445" s="15">
        <f t="shared" si="415"/>
        <v>0</v>
      </c>
      <c r="T445" s="15">
        <f t="shared" si="415"/>
        <v>46950</v>
      </c>
      <c r="U445" s="15">
        <f t="shared" si="415"/>
        <v>46950</v>
      </c>
      <c r="V445" s="15">
        <f t="shared" si="415"/>
        <v>0</v>
      </c>
      <c r="W445" s="379"/>
      <c r="X445" s="429">
        <f t="shared" ref="X445:Z445" si="416">SUM(X446:X462)</f>
        <v>46950</v>
      </c>
      <c r="Y445" s="429">
        <f t="shared" si="416"/>
        <v>46950</v>
      </c>
      <c r="Z445" s="429">
        <f t="shared" si="416"/>
        <v>0</v>
      </c>
      <c r="AA445" s="5"/>
      <c r="AB445" s="15">
        <f t="shared" ref="AB445:AO445" si="417">SUM(AB446:AB462)</f>
        <v>0</v>
      </c>
      <c r="AC445" s="15">
        <f t="shared" si="417"/>
        <v>0</v>
      </c>
      <c r="AD445" s="15">
        <f t="shared" si="417"/>
        <v>0</v>
      </c>
      <c r="AE445" s="15">
        <f t="shared" si="417"/>
        <v>0</v>
      </c>
      <c r="AF445" s="15">
        <f t="shared" si="417"/>
        <v>0</v>
      </c>
      <c r="AG445" s="15">
        <f t="shared" si="417"/>
        <v>0</v>
      </c>
      <c r="AH445" s="15">
        <f t="shared" si="417"/>
        <v>0</v>
      </c>
      <c r="AI445" s="15">
        <f t="shared" si="417"/>
        <v>0</v>
      </c>
      <c r="AJ445" s="15">
        <f t="shared" si="417"/>
        <v>0</v>
      </c>
      <c r="AK445" s="15">
        <f t="shared" si="417"/>
        <v>0</v>
      </c>
      <c r="AL445" s="15">
        <f t="shared" si="417"/>
        <v>17</v>
      </c>
      <c r="AM445" s="15">
        <f t="shared" si="417"/>
        <v>30810</v>
      </c>
      <c r="AN445" s="15">
        <f t="shared" si="417"/>
        <v>0</v>
      </c>
      <c r="AO445" s="15">
        <f t="shared" si="417"/>
        <v>0</v>
      </c>
    </row>
    <row r="446" spans="1:41" s="16" customFormat="1" ht="30">
      <c r="A446" s="97" t="s">
        <v>27</v>
      </c>
      <c r="B446" s="212" t="s">
        <v>993</v>
      </c>
      <c r="C446" s="19" t="s">
        <v>29</v>
      </c>
      <c r="D446" s="19"/>
      <c r="E446" s="70" t="s">
        <v>163</v>
      </c>
      <c r="F446" s="19" t="s">
        <v>1364</v>
      </c>
      <c r="G446" s="23">
        <v>15155</v>
      </c>
      <c r="H446" s="23">
        <v>15155</v>
      </c>
      <c r="I446" s="23">
        <v>75</v>
      </c>
      <c r="J446" s="23">
        <v>75</v>
      </c>
      <c r="K446" s="23"/>
      <c r="L446" s="23"/>
      <c r="M446" s="23"/>
      <c r="N446" s="23"/>
      <c r="O446" s="23">
        <v>391</v>
      </c>
      <c r="P446" s="23">
        <v>391</v>
      </c>
      <c r="Q446" s="23">
        <v>15155</v>
      </c>
      <c r="R446" s="23">
        <v>15155</v>
      </c>
      <c r="S446" s="23"/>
      <c r="T446" s="23">
        <v>4000</v>
      </c>
      <c r="U446" s="23">
        <v>4000</v>
      </c>
      <c r="V446" s="23"/>
      <c r="W446" s="24"/>
      <c r="X446" s="371">
        <v>4000</v>
      </c>
      <c r="Y446" s="371">
        <v>4000</v>
      </c>
      <c r="Z446" s="371"/>
      <c r="AA446" s="5"/>
      <c r="AL446" s="25">
        <v>1</v>
      </c>
      <c r="AM446" s="23">
        <v>2000</v>
      </c>
    </row>
    <row r="447" spans="1:41" s="16" customFormat="1" ht="31.5">
      <c r="A447" s="97" t="s">
        <v>41</v>
      </c>
      <c r="B447" s="214" t="s">
        <v>995</v>
      </c>
      <c r="C447" s="19" t="s">
        <v>29</v>
      </c>
      <c r="D447" s="43"/>
      <c r="E447" s="44" t="s">
        <v>1365</v>
      </c>
      <c r="F447" s="43"/>
      <c r="G447" s="72">
        <v>13941</v>
      </c>
      <c r="H447" s="72">
        <v>13941</v>
      </c>
      <c r="I447" s="72"/>
      <c r="J447" s="72"/>
      <c r="K447" s="72"/>
      <c r="L447" s="72"/>
      <c r="M447" s="72"/>
      <c r="N447" s="72"/>
      <c r="O447" s="72"/>
      <c r="P447" s="72"/>
      <c r="Q447" s="72">
        <v>13941</v>
      </c>
      <c r="R447" s="72">
        <v>13941</v>
      </c>
      <c r="S447" s="72"/>
      <c r="T447" s="72">
        <v>12500</v>
      </c>
      <c r="U447" s="72">
        <v>12500</v>
      </c>
      <c r="V447" s="72"/>
      <c r="W447" s="80"/>
      <c r="X447" s="356">
        <v>12500</v>
      </c>
      <c r="Y447" s="356">
        <v>12500</v>
      </c>
      <c r="Z447" s="356"/>
      <c r="AA447" s="5"/>
      <c r="AL447" s="25">
        <v>1</v>
      </c>
      <c r="AM447" s="392">
        <v>994</v>
      </c>
    </row>
    <row r="448" spans="1:41" s="16" customFormat="1" ht="31.5">
      <c r="A448" s="97" t="s">
        <v>58</v>
      </c>
      <c r="B448" s="452" t="s">
        <v>997</v>
      </c>
      <c r="C448" s="19" t="s">
        <v>260</v>
      </c>
      <c r="D448" s="19"/>
      <c r="E448" s="70" t="s">
        <v>154</v>
      </c>
      <c r="F448" s="101"/>
      <c r="G448" s="392">
        <v>994</v>
      </c>
      <c r="H448" s="392">
        <v>994</v>
      </c>
      <c r="I448" s="23">
        <f>+J448</f>
        <v>40</v>
      </c>
      <c r="J448" s="23">
        <v>40</v>
      </c>
      <c r="K448" s="392"/>
      <c r="L448" s="392"/>
      <c r="M448" s="392"/>
      <c r="N448" s="392"/>
      <c r="O448" s="392">
        <v>40</v>
      </c>
      <c r="P448" s="392">
        <v>40</v>
      </c>
      <c r="Q448" s="392">
        <v>994</v>
      </c>
      <c r="R448" s="392">
        <v>994</v>
      </c>
      <c r="S448" s="392"/>
      <c r="T448" s="392">
        <v>900</v>
      </c>
      <c r="U448" s="392">
        <v>900</v>
      </c>
      <c r="V448" s="392"/>
      <c r="W448" s="24"/>
      <c r="X448" s="396">
        <v>900</v>
      </c>
      <c r="Y448" s="396">
        <v>900</v>
      </c>
      <c r="Z448" s="396"/>
      <c r="AA448" s="5"/>
      <c r="AL448" s="25">
        <v>1</v>
      </c>
      <c r="AM448" s="23">
        <v>2000</v>
      </c>
    </row>
    <row r="449" spans="1:41" s="16" customFormat="1" ht="47.25">
      <c r="A449" s="97" t="s">
        <v>64</v>
      </c>
      <c r="B449" s="457" t="s">
        <v>999</v>
      </c>
      <c r="C449" s="19" t="s">
        <v>29</v>
      </c>
      <c r="D449" s="19" t="s">
        <v>1000</v>
      </c>
      <c r="E449" s="70" t="s">
        <v>489</v>
      </c>
      <c r="F449" s="19"/>
      <c r="G449" s="23">
        <v>20000</v>
      </c>
      <c r="H449" s="23">
        <v>20000</v>
      </c>
      <c r="I449" s="23">
        <f>+J449</f>
        <v>200</v>
      </c>
      <c r="J449" s="23">
        <v>200</v>
      </c>
      <c r="K449" s="23"/>
      <c r="L449" s="23"/>
      <c r="M449" s="23"/>
      <c r="N449" s="23"/>
      <c r="O449" s="23">
        <v>300</v>
      </c>
      <c r="P449" s="23">
        <v>300</v>
      </c>
      <c r="Q449" s="23">
        <v>20000</v>
      </c>
      <c r="R449" s="23">
        <v>20000</v>
      </c>
      <c r="S449" s="23"/>
      <c r="T449" s="23">
        <v>2000</v>
      </c>
      <c r="U449" s="23">
        <v>2000</v>
      </c>
      <c r="V449" s="23"/>
      <c r="W449" s="24"/>
      <c r="X449" s="371">
        <v>2000</v>
      </c>
      <c r="Y449" s="371">
        <v>2000</v>
      </c>
      <c r="Z449" s="371"/>
      <c r="AA449" s="5"/>
      <c r="AL449" s="25">
        <v>1</v>
      </c>
      <c r="AM449" s="23">
        <v>2000</v>
      </c>
    </row>
    <row r="450" spans="1:41" s="16" customFormat="1" ht="31.5">
      <c r="A450" s="97" t="s">
        <v>69</v>
      </c>
      <c r="B450" s="212" t="s">
        <v>1002</v>
      </c>
      <c r="C450" s="19" t="s">
        <v>85</v>
      </c>
      <c r="D450" s="19" t="s">
        <v>1003</v>
      </c>
      <c r="E450" s="44" t="s">
        <v>321</v>
      </c>
      <c r="F450" s="19"/>
      <c r="G450" s="23">
        <v>616</v>
      </c>
      <c r="H450" s="23">
        <v>616</v>
      </c>
      <c r="I450" s="23">
        <v>75</v>
      </c>
      <c r="J450" s="23">
        <v>75</v>
      </c>
      <c r="K450" s="23"/>
      <c r="L450" s="23"/>
      <c r="M450" s="23"/>
      <c r="N450" s="23"/>
      <c r="O450" s="23">
        <v>75</v>
      </c>
      <c r="P450" s="23">
        <v>75</v>
      </c>
      <c r="Q450" s="23">
        <v>616</v>
      </c>
      <c r="R450" s="23">
        <v>616</v>
      </c>
      <c r="S450" s="23"/>
      <c r="T450" s="23">
        <v>550</v>
      </c>
      <c r="U450" s="23">
        <v>550</v>
      </c>
      <c r="V450" s="23"/>
      <c r="W450" s="24"/>
      <c r="X450" s="371">
        <v>550</v>
      </c>
      <c r="Y450" s="371">
        <v>550</v>
      </c>
      <c r="Z450" s="371"/>
      <c r="AA450" s="5"/>
      <c r="AL450" s="25">
        <v>1</v>
      </c>
      <c r="AM450" s="23">
        <v>516</v>
      </c>
    </row>
    <row r="451" spans="1:41" s="16" customFormat="1" ht="30">
      <c r="A451" s="97" t="s">
        <v>74</v>
      </c>
      <c r="B451" s="212" t="s">
        <v>1009</v>
      </c>
      <c r="C451" s="19" t="s">
        <v>112</v>
      </c>
      <c r="D451" s="19" t="s">
        <v>1010</v>
      </c>
      <c r="E451" s="70" t="s">
        <v>154</v>
      </c>
      <c r="F451" s="19" t="s">
        <v>1366</v>
      </c>
      <c r="G451" s="23">
        <v>8000</v>
      </c>
      <c r="H451" s="23">
        <v>8000</v>
      </c>
      <c r="I451" s="23">
        <f t="shared" ref="I451:I457" si="418">+J451</f>
        <v>100</v>
      </c>
      <c r="J451" s="23">
        <v>100</v>
      </c>
      <c r="K451" s="23"/>
      <c r="L451" s="23"/>
      <c r="M451" s="23"/>
      <c r="N451" s="23"/>
      <c r="O451" s="23">
        <f t="shared" ref="O451:O455" si="419">+P451</f>
        <v>100</v>
      </c>
      <c r="P451" s="23">
        <v>100</v>
      </c>
      <c r="Q451" s="23">
        <v>8000</v>
      </c>
      <c r="R451" s="23">
        <v>8000</v>
      </c>
      <c r="S451" s="23"/>
      <c r="T451" s="23">
        <v>2000</v>
      </c>
      <c r="U451" s="23">
        <v>2000</v>
      </c>
      <c r="V451" s="23"/>
      <c r="W451" s="24"/>
      <c r="X451" s="371">
        <v>2000</v>
      </c>
      <c r="Y451" s="371">
        <v>2000</v>
      </c>
      <c r="Z451" s="371"/>
      <c r="AA451" s="5"/>
      <c r="AL451" s="25">
        <v>1</v>
      </c>
      <c r="AM451" s="23">
        <v>2000</v>
      </c>
    </row>
    <row r="452" spans="1:41" s="16" customFormat="1" ht="30">
      <c r="A452" s="97" t="s">
        <v>141</v>
      </c>
      <c r="B452" s="212" t="s">
        <v>1021</v>
      </c>
      <c r="C452" s="19" t="s">
        <v>71</v>
      </c>
      <c r="D452" s="19" t="s">
        <v>1022</v>
      </c>
      <c r="E452" s="70" t="s">
        <v>154</v>
      </c>
      <c r="F452" s="19" t="s">
        <v>1367</v>
      </c>
      <c r="G452" s="23">
        <v>5496</v>
      </c>
      <c r="H452" s="23">
        <v>5496</v>
      </c>
      <c r="I452" s="23">
        <f t="shared" si="418"/>
        <v>100</v>
      </c>
      <c r="J452" s="23">
        <v>100</v>
      </c>
      <c r="K452" s="23"/>
      <c r="L452" s="23"/>
      <c r="M452" s="23"/>
      <c r="N452" s="23"/>
      <c r="O452" s="23">
        <f t="shared" si="419"/>
        <v>100</v>
      </c>
      <c r="P452" s="23">
        <v>100</v>
      </c>
      <c r="Q452" s="23">
        <v>5496</v>
      </c>
      <c r="R452" s="23">
        <v>5496</v>
      </c>
      <c r="S452" s="23"/>
      <c r="T452" s="23">
        <v>2000</v>
      </c>
      <c r="U452" s="23">
        <v>2000</v>
      </c>
      <c r="V452" s="23"/>
      <c r="W452" s="24"/>
      <c r="X452" s="371">
        <v>2000</v>
      </c>
      <c r="Y452" s="371">
        <v>2000</v>
      </c>
      <c r="Z452" s="371"/>
      <c r="AA452" s="5"/>
      <c r="AL452" s="25">
        <v>1</v>
      </c>
      <c r="AM452" s="23">
        <v>2000</v>
      </c>
    </row>
    <row r="453" spans="1:41" s="16" customFormat="1" ht="30">
      <c r="A453" s="97" t="s">
        <v>146</v>
      </c>
      <c r="B453" s="212" t="s">
        <v>1024</v>
      </c>
      <c r="C453" s="19" t="s">
        <v>66</v>
      </c>
      <c r="D453" s="19" t="s">
        <v>1025</v>
      </c>
      <c r="E453" s="70" t="s">
        <v>154</v>
      </c>
      <c r="F453" s="19" t="s">
        <v>1026</v>
      </c>
      <c r="G453" s="23">
        <v>6705</v>
      </c>
      <c r="H453" s="23">
        <v>6705</v>
      </c>
      <c r="I453" s="23">
        <f t="shared" si="418"/>
        <v>200</v>
      </c>
      <c r="J453" s="23">
        <v>200</v>
      </c>
      <c r="K453" s="23"/>
      <c r="L453" s="23"/>
      <c r="M453" s="23">
        <v>180</v>
      </c>
      <c r="N453" s="23">
        <v>180</v>
      </c>
      <c r="O453" s="23">
        <f t="shared" si="419"/>
        <v>200</v>
      </c>
      <c r="P453" s="23">
        <v>200</v>
      </c>
      <c r="Q453" s="23">
        <v>6705</v>
      </c>
      <c r="R453" s="23">
        <v>6705</v>
      </c>
      <c r="S453" s="23"/>
      <c r="T453" s="23">
        <v>2000</v>
      </c>
      <c r="U453" s="23">
        <v>2000</v>
      </c>
      <c r="V453" s="23"/>
      <c r="W453" s="24"/>
      <c r="X453" s="371">
        <v>2000</v>
      </c>
      <c r="Y453" s="371">
        <v>2000</v>
      </c>
      <c r="Z453" s="371"/>
      <c r="AA453" s="5"/>
      <c r="AL453" s="25">
        <v>1</v>
      </c>
      <c r="AM453" s="23">
        <v>2000</v>
      </c>
    </row>
    <row r="454" spans="1:41" s="16" customFormat="1" ht="45">
      <c r="A454" s="97" t="s">
        <v>179</v>
      </c>
      <c r="B454" s="212" t="s">
        <v>1027</v>
      </c>
      <c r="C454" s="19" t="s">
        <v>260</v>
      </c>
      <c r="D454" s="19" t="s">
        <v>1028</v>
      </c>
      <c r="E454" s="70" t="s">
        <v>154</v>
      </c>
      <c r="F454" s="19" t="s">
        <v>1368</v>
      </c>
      <c r="G454" s="23">
        <v>6987</v>
      </c>
      <c r="H454" s="23">
        <v>6987</v>
      </c>
      <c r="I454" s="23">
        <f t="shared" si="418"/>
        <v>100</v>
      </c>
      <c r="J454" s="23">
        <v>100</v>
      </c>
      <c r="K454" s="23"/>
      <c r="L454" s="23"/>
      <c r="M454" s="23"/>
      <c r="N454" s="23"/>
      <c r="O454" s="23">
        <f t="shared" si="419"/>
        <v>100</v>
      </c>
      <c r="P454" s="23">
        <v>100</v>
      </c>
      <c r="Q454" s="23">
        <v>6987</v>
      </c>
      <c r="R454" s="23">
        <v>6987</v>
      </c>
      <c r="S454" s="23"/>
      <c r="T454" s="23">
        <v>2000</v>
      </c>
      <c r="U454" s="23">
        <v>2000</v>
      </c>
      <c r="V454" s="23"/>
      <c r="W454" s="24"/>
      <c r="X454" s="371">
        <v>2000</v>
      </c>
      <c r="Y454" s="371">
        <v>2000</v>
      </c>
      <c r="Z454" s="371"/>
      <c r="AA454" s="5"/>
      <c r="AL454" s="25">
        <v>1</v>
      </c>
      <c r="AM454" s="23">
        <v>2000</v>
      </c>
    </row>
    <row r="455" spans="1:41" s="16" customFormat="1" ht="30">
      <c r="A455" s="97" t="s">
        <v>182</v>
      </c>
      <c r="B455" s="212" t="s">
        <v>1030</v>
      </c>
      <c r="C455" s="19" t="s">
        <v>260</v>
      </c>
      <c r="D455" s="19"/>
      <c r="E455" s="70" t="s">
        <v>154</v>
      </c>
      <c r="F455" s="19" t="s">
        <v>1369</v>
      </c>
      <c r="G455" s="23">
        <v>4414</v>
      </c>
      <c r="H455" s="23">
        <v>4414</v>
      </c>
      <c r="I455" s="23">
        <f t="shared" si="418"/>
        <v>100</v>
      </c>
      <c r="J455" s="23">
        <v>100</v>
      </c>
      <c r="K455" s="23"/>
      <c r="L455" s="23"/>
      <c r="M455" s="23"/>
      <c r="N455" s="23"/>
      <c r="O455" s="23">
        <f t="shared" si="419"/>
        <v>100</v>
      </c>
      <c r="P455" s="23">
        <v>100</v>
      </c>
      <c r="Q455" s="23">
        <v>4414</v>
      </c>
      <c r="R455" s="23">
        <v>4414</v>
      </c>
      <c r="S455" s="23"/>
      <c r="T455" s="23">
        <v>2000</v>
      </c>
      <c r="U455" s="23">
        <v>2000</v>
      </c>
      <c r="V455" s="23"/>
      <c r="W455" s="24"/>
      <c r="X455" s="371">
        <v>2000</v>
      </c>
      <c r="Y455" s="371">
        <v>2000</v>
      </c>
      <c r="Z455" s="371"/>
      <c r="AA455" s="5"/>
      <c r="AL455" s="25">
        <v>1</v>
      </c>
      <c r="AM455" s="23">
        <v>2000</v>
      </c>
    </row>
    <row r="456" spans="1:41" s="16" customFormat="1" ht="30">
      <c r="A456" s="97" t="s">
        <v>187</v>
      </c>
      <c r="B456" s="212" t="s">
        <v>1034</v>
      </c>
      <c r="C456" s="19" t="s">
        <v>260</v>
      </c>
      <c r="D456" s="19"/>
      <c r="E456" s="70" t="s">
        <v>154</v>
      </c>
      <c r="F456" s="19" t="s">
        <v>1370</v>
      </c>
      <c r="G456" s="23">
        <v>9401</v>
      </c>
      <c r="H456" s="23">
        <v>9401</v>
      </c>
      <c r="I456" s="23"/>
      <c r="J456" s="23"/>
      <c r="K456" s="23"/>
      <c r="L456" s="23"/>
      <c r="M456" s="23"/>
      <c r="N456" s="23"/>
      <c r="O456" s="23"/>
      <c r="P456" s="23"/>
      <c r="Q456" s="23">
        <v>9401</v>
      </c>
      <c r="R456" s="23">
        <v>9401</v>
      </c>
      <c r="S456" s="23"/>
      <c r="T456" s="23">
        <v>2000</v>
      </c>
      <c r="U456" s="23">
        <v>2000</v>
      </c>
      <c r="V456" s="23"/>
      <c r="W456" s="24"/>
      <c r="X456" s="371">
        <v>2000</v>
      </c>
      <c r="Y456" s="371">
        <v>2000</v>
      </c>
      <c r="Z456" s="371"/>
      <c r="AA456" s="5"/>
      <c r="AL456" s="25">
        <v>1</v>
      </c>
      <c r="AM456" s="23">
        <v>2000</v>
      </c>
    </row>
    <row r="457" spans="1:41" s="16" customFormat="1" ht="15.75">
      <c r="A457" s="97" t="s">
        <v>191</v>
      </c>
      <c r="B457" s="212" t="s">
        <v>1036</v>
      </c>
      <c r="C457" s="19" t="s">
        <v>29</v>
      </c>
      <c r="D457" s="19"/>
      <c r="E457" s="70" t="s">
        <v>154</v>
      </c>
      <c r="F457" s="19"/>
      <c r="G457" s="23">
        <v>6408</v>
      </c>
      <c r="H457" s="23">
        <v>4414</v>
      </c>
      <c r="I457" s="23">
        <f t="shared" si="418"/>
        <v>200</v>
      </c>
      <c r="J457" s="23">
        <v>200</v>
      </c>
      <c r="K457" s="23"/>
      <c r="L457" s="23"/>
      <c r="M457" s="23"/>
      <c r="N457" s="23"/>
      <c r="O457" s="23">
        <f t="shared" ref="O457" si="420">+P457</f>
        <v>200</v>
      </c>
      <c r="P457" s="23">
        <v>200</v>
      </c>
      <c r="Q457" s="23">
        <v>6408</v>
      </c>
      <c r="R457" s="23">
        <v>6408</v>
      </c>
      <c r="S457" s="23"/>
      <c r="T457" s="23">
        <v>2000</v>
      </c>
      <c r="U457" s="23">
        <v>2000</v>
      </c>
      <c r="V457" s="23"/>
      <c r="W457" s="24"/>
      <c r="X457" s="371">
        <v>2000</v>
      </c>
      <c r="Y457" s="371">
        <v>2000</v>
      </c>
      <c r="Z457" s="371"/>
      <c r="AA457" s="5"/>
      <c r="AL457" s="25">
        <v>1</v>
      </c>
      <c r="AM457" s="23">
        <v>2000</v>
      </c>
    </row>
    <row r="458" spans="1:41" s="16" customFormat="1" ht="30">
      <c r="A458" s="97" t="s">
        <v>195</v>
      </c>
      <c r="B458" s="212" t="s">
        <v>1037</v>
      </c>
      <c r="C458" s="19" t="s">
        <v>173</v>
      </c>
      <c r="D458" s="19"/>
      <c r="E458" s="70" t="s">
        <v>166</v>
      </c>
      <c r="F458" s="19" t="s">
        <v>1371</v>
      </c>
      <c r="G458" s="23">
        <v>5237</v>
      </c>
      <c r="H458" s="23">
        <v>5237</v>
      </c>
      <c r="I458" s="23">
        <f>+J458</f>
        <v>100</v>
      </c>
      <c r="J458" s="23">
        <v>100</v>
      </c>
      <c r="K458" s="23"/>
      <c r="L458" s="23"/>
      <c r="M458" s="23"/>
      <c r="N458" s="23"/>
      <c r="O458" s="23">
        <f>+P458</f>
        <v>100</v>
      </c>
      <c r="P458" s="23">
        <v>100</v>
      </c>
      <c r="Q458" s="23">
        <v>5237</v>
      </c>
      <c r="R458" s="23">
        <v>5237</v>
      </c>
      <c r="S458" s="23"/>
      <c r="T458" s="23">
        <v>5000</v>
      </c>
      <c r="U458" s="23">
        <v>5000</v>
      </c>
      <c r="V458" s="23"/>
      <c r="W458" s="24"/>
      <c r="X458" s="371">
        <v>5000</v>
      </c>
      <c r="Y458" s="371">
        <v>5000</v>
      </c>
      <c r="Z458" s="371"/>
      <c r="AA458" s="5"/>
      <c r="AL458" s="25">
        <v>1</v>
      </c>
      <c r="AM458" s="23">
        <v>2000</v>
      </c>
    </row>
    <row r="459" spans="1:41" s="16" customFormat="1" ht="15.75">
      <c r="A459" s="97" t="s">
        <v>590</v>
      </c>
      <c r="B459" s="212" t="s">
        <v>1039</v>
      </c>
      <c r="C459" s="19" t="s">
        <v>5</v>
      </c>
      <c r="D459" s="19"/>
      <c r="E459" s="70" t="s">
        <v>120</v>
      </c>
      <c r="F459" s="19"/>
      <c r="G459" s="23">
        <f>H459</f>
        <v>5000</v>
      </c>
      <c r="H459" s="23">
        <v>5000</v>
      </c>
      <c r="I459" s="23">
        <v>0</v>
      </c>
      <c r="J459" s="23">
        <v>0</v>
      </c>
      <c r="K459" s="23">
        <v>0</v>
      </c>
      <c r="L459" s="23">
        <v>0</v>
      </c>
      <c r="M459" s="23">
        <v>0</v>
      </c>
      <c r="N459" s="23">
        <v>0</v>
      </c>
      <c r="O459" s="23">
        <v>0</v>
      </c>
      <c r="P459" s="23">
        <v>0</v>
      </c>
      <c r="Q459" s="23">
        <f>R459</f>
        <v>5000</v>
      </c>
      <c r="R459" s="23">
        <v>5000</v>
      </c>
      <c r="S459" s="23"/>
      <c r="T459" s="23">
        <f t="shared" ref="T459:T460" si="421">U459</f>
        <v>2000</v>
      </c>
      <c r="U459" s="23">
        <v>2000</v>
      </c>
      <c r="V459" s="23"/>
      <c r="W459" s="24"/>
      <c r="X459" s="371">
        <f t="shared" ref="X459:X460" si="422">Y459</f>
        <v>2000</v>
      </c>
      <c r="Y459" s="371">
        <v>2000</v>
      </c>
      <c r="Z459" s="371"/>
      <c r="AA459" s="5"/>
      <c r="AL459" s="25">
        <v>1</v>
      </c>
      <c r="AM459" s="23">
        <v>2000</v>
      </c>
    </row>
    <row r="460" spans="1:41" s="16" customFormat="1" ht="30">
      <c r="A460" s="97" t="s">
        <v>591</v>
      </c>
      <c r="B460" s="212" t="s">
        <v>1042</v>
      </c>
      <c r="C460" s="19" t="s">
        <v>5</v>
      </c>
      <c r="D460" s="19"/>
      <c r="E460" s="70" t="s">
        <v>120</v>
      </c>
      <c r="F460" s="19" t="s">
        <v>1372</v>
      </c>
      <c r="G460" s="23">
        <f>H460</f>
        <v>5000</v>
      </c>
      <c r="H460" s="23">
        <v>5000</v>
      </c>
      <c r="I460" s="23">
        <v>0</v>
      </c>
      <c r="J460" s="23">
        <v>0</v>
      </c>
      <c r="K460" s="23">
        <v>0</v>
      </c>
      <c r="L460" s="23">
        <v>0</v>
      </c>
      <c r="M460" s="23">
        <v>0</v>
      </c>
      <c r="N460" s="23">
        <v>0</v>
      </c>
      <c r="O460" s="23">
        <v>0</v>
      </c>
      <c r="P460" s="23">
        <v>0</v>
      </c>
      <c r="Q460" s="23">
        <f>R460</f>
        <v>5000</v>
      </c>
      <c r="R460" s="23">
        <v>5000</v>
      </c>
      <c r="S460" s="23"/>
      <c r="T460" s="23">
        <f t="shared" si="421"/>
        <v>2000</v>
      </c>
      <c r="U460" s="23">
        <v>2000</v>
      </c>
      <c r="V460" s="23"/>
      <c r="W460" s="24"/>
      <c r="X460" s="371">
        <f t="shared" si="422"/>
        <v>2000</v>
      </c>
      <c r="Y460" s="371">
        <v>2000</v>
      </c>
      <c r="Z460" s="371"/>
      <c r="AA460" s="5"/>
      <c r="AL460" s="25">
        <v>1</v>
      </c>
      <c r="AM460" s="23">
        <v>2000</v>
      </c>
    </row>
    <row r="461" spans="1:41" s="16" customFormat="1" ht="30">
      <c r="A461" s="97" t="s">
        <v>916</v>
      </c>
      <c r="B461" s="212" t="s">
        <v>1045</v>
      </c>
      <c r="C461" s="19" t="s">
        <v>5</v>
      </c>
      <c r="D461" s="19"/>
      <c r="E461" s="70" t="s">
        <v>120</v>
      </c>
      <c r="F461" s="19" t="s">
        <v>1373</v>
      </c>
      <c r="G461" s="23">
        <f>H461</f>
        <v>2000</v>
      </c>
      <c r="H461" s="23">
        <v>2000</v>
      </c>
      <c r="I461" s="23">
        <v>0</v>
      </c>
      <c r="J461" s="23">
        <v>0</v>
      </c>
      <c r="K461" s="23">
        <v>0</v>
      </c>
      <c r="L461" s="23">
        <v>0</v>
      </c>
      <c r="M461" s="23">
        <v>0</v>
      </c>
      <c r="N461" s="23">
        <v>0</v>
      </c>
      <c r="O461" s="23">
        <v>0</v>
      </c>
      <c r="P461" s="23">
        <v>0</v>
      </c>
      <c r="Q461" s="23">
        <f>R461</f>
        <v>2000</v>
      </c>
      <c r="R461" s="23">
        <v>2000</v>
      </c>
      <c r="S461" s="23"/>
      <c r="T461" s="23">
        <f>U461</f>
        <v>2000</v>
      </c>
      <c r="U461" s="23">
        <v>2000</v>
      </c>
      <c r="V461" s="23"/>
      <c r="W461" s="24"/>
      <c r="X461" s="371">
        <f>Y461</f>
        <v>2000</v>
      </c>
      <c r="Y461" s="371">
        <v>2000</v>
      </c>
      <c r="Z461" s="371"/>
      <c r="AA461" s="5"/>
      <c r="AL461" s="25">
        <v>1</v>
      </c>
      <c r="AM461" s="23">
        <v>2000</v>
      </c>
    </row>
    <row r="462" spans="1:41" s="16" customFormat="1" ht="45">
      <c r="A462" s="97" t="s">
        <v>919</v>
      </c>
      <c r="B462" s="212" t="s">
        <v>1012</v>
      </c>
      <c r="C462" s="19" t="s">
        <v>484</v>
      </c>
      <c r="D462" s="19" t="s">
        <v>1013</v>
      </c>
      <c r="E462" s="70" t="s">
        <v>489</v>
      </c>
      <c r="F462" s="19"/>
      <c r="G462" s="23">
        <f>H462</f>
        <v>6978</v>
      </c>
      <c r="H462" s="23">
        <v>6978</v>
      </c>
      <c r="I462" s="23"/>
      <c r="J462" s="23"/>
      <c r="K462" s="23"/>
      <c r="L462" s="23"/>
      <c r="M462" s="23"/>
      <c r="N462" s="23"/>
      <c r="O462" s="23"/>
      <c r="P462" s="23"/>
      <c r="Q462" s="23">
        <f>G462</f>
        <v>6978</v>
      </c>
      <c r="R462" s="23">
        <f>G462</f>
        <v>6978</v>
      </c>
      <c r="S462" s="23"/>
      <c r="T462" s="23">
        <f>U462</f>
        <v>2000</v>
      </c>
      <c r="U462" s="23">
        <v>2000</v>
      </c>
      <c r="V462" s="23"/>
      <c r="W462" s="24"/>
      <c r="X462" s="371">
        <f>Y462</f>
        <v>2000</v>
      </c>
      <c r="Y462" s="371">
        <v>2000</v>
      </c>
      <c r="Z462" s="371"/>
      <c r="AA462" s="5"/>
      <c r="AL462" s="25">
        <v>1</v>
      </c>
      <c r="AM462" s="23">
        <v>1300</v>
      </c>
    </row>
    <row r="463" spans="1:41" s="16" customFormat="1" ht="15.75">
      <c r="A463" s="97"/>
      <c r="B463" s="212"/>
      <c r="C463" s="19"/>
      <c r="D463" s="19"/>
      <c r="E463" s="70"/>
      <c r="F463" s="19"/>
      <c r="G463" s="23"/>
      <c r="H463" s="23"/>
      <c r="I463" s="23"/>
      <c r="J463" s="23">
        <f>54814-17268-J464</f>
        <v>0</v>
      </c>
      <c r="K463" s="23"/>
      <c r="L463" s="23"/>
      <c r="M463" s="23"/>
      <c r="N463" s="23"/>
      <c r="O463" s="23"/>
      <c r="P463" s="23"/>
      <c r="Q463" s="23"/>
      <c r="R463" s="23"/>
      <c r="S463" s="23"/>
      <c r="T463" s="23"/>
      <c r="U463" s="23"/>
      <c r="V463" s="23"/>
      <c r="W463" s="24"/>
      <c r="X463" s="371"/>
      <c r="Y463" s="371"/>
      <c r="Z463" s="371"/>
      <c r="AA463" s="5"/>
    </row>
    <row r="464" spans="1:41" s="208" customFormat="1" ht="30.75" customHeight="1">
      <c r="A464" s="147" t="s">
        <v>1047</v>
      </c>
      <c r="B464" s="209" t="s">
        <v>1374</v>
      </c>
      <c r="C464" s="126"/>
      <c r="D464" s="126"/>
      <c r="E464" s="127"/>
      <c r="F464" s="126"/>
      <c r="G464" s="210">
        <f>SUM(G465,G471)</f>
        <v>529024</v>
      </c>
      <c r="H464" s="210">
        <f t="shared" ref="H464:V464" si="423">SUM(H465,H471)</f>
        <v>200532</v>
      </c>
      <c r="I464" s="210">
        <f t="shared" si="423"/>
        <v>44546</v>
      </c>
      <c r="J464" s="210">
        <f t="shared" si="423"/>
        <v>37546</v>
      </c>
      <c r="K464" s="210">
        <f t="shared" si="423"/>
        <v>1870</v>
      </c>
      <c r="L464" s="210">
        <f t="shared" si="423"/>
        <v>689</v>
      </c>
      <c r="M464" s="210">
        <f t="shared" si="423"/>
        <v>13367</v>
      </c>
      <c r="N464" s="210">
        <f t="shared" si="423"/>
        <v>13367</v>
      </c>
      <c r="O464" s="210">
        <f t="shared" si="423"/>
        <v>163523</v>
      </c>
      <c r="P464" s="210">
        <f t="shared" si="423"/>
        <v>64436</v>
      </c>
      <c r="Q464" s="210">
        <f t="shared" si="423"/>
        <v>519501</v>
      </c>
      <c r="R464" s="210">
        <f t="shared" si="423"/>
        <v>243563</v>
      </c>
      <c r="S464" s="210">
        <f t="shared" si="423"/>
        <v>0</v>
      </c>
      <c r="T464" s="210">
        <f t="shared" si="423"/>
        <v>105337</v>
      </c>
      <c r="U464" s="210">
        <f t="shared" si="423"/>
        <v>53326</v>
      </c>
      <c r="V464" s="210">
        <f t="shared" si="423"/>
        <v>0</v>
      </c>
      <c r="W464" s="410"/>
      <c r="X464" s="429">
        <f t="shared" ref="X464:Z464" si="424">SUM(X465,X471)</f>
        <v>115337</v>
      </c>
      <c r="Y464" s="429">
        <f t="shared" si="424"/>
        <v>63326</v>
      </c>
      <c r="Z464" s="429">
        <f t="shared" si="424"/>
        <v>0</v>
      </c>
      <c r="AA464" s="348">
        <f>+U464/(2704380-258412-300000)*100</f>
        <v>2.4849391976022006</v>
      </c>
      <c r="AB464" s="210">
        <f t="shared" ref="AB464:AK464" si="425">SUM(AB465,AB471)</f>
        <v>4</v>
      </c>
      <c r="AC464" s="210">
        <f t="shared" si="425"/>
        <v>700</v>
      </c>
      <c r="AD464" s="210">
        <f t="shared" si="425"/>
        <v>4</v>
      </c>
      <c r="AE464" s="210">
        <f t="shared" si="425"/>
        <v>36663</v>
      </c>
      <c r="AF464" s="210">
        <f t="shared" si="425"/>
        <v>0</v>
      </c>
      <c r="AG464" s="210">
        <f t="shared" si="425"/>
        <v>0</v>
      </c>
      <c r="AH464" s="210">
        <f t="shared" si="425"/>
        <v>0</v>
      </c>
      <c r="AI464" s="210">
        <f t="shared" si="425"/>
        <v>0</v>
      </c>
      <c r="AJ464" s="210">
        <f t="shared" si="425"/>
        <v>0</v>
      </c>
      <c r="AK464" s="210">
        <f t="shared" si="425"/>
        <v>0</v>
      </c>
      <c r="AL464" s="210">
        <f>SUM(AL465,AL471)</f>
        <v>3</v>
      </c>
      <c r="AM464" s="210">
        <f>SUM(AM465,AM471)</f>
        <v>3818</v>
      </c>
      <c r="AN464" s="210">
        <f>SUM(AN465,AN471)</f>
        <v>0</v>
      </c>
      <c r="AO464" s="210">
        <f>SUM(AO465,AO471)</f>
        <v>0</v>
      </c>
    </row>
    <row r="465" spans="1:41" s="16" customFormat="1" ht="27.75" customHeight="1">
      <c r="A465" s="11"/>
      <c r="B465" s="12" t="s">
        <v>26</v>
      </c>
      <c r="C465" s="13"/>
      <c r="D465" s="13"/>
      <c r="E465" s="14"/>
      <c r="F465" s="13"/>
      <c r="G465" s="15">
        <f>SUM(G466:G470)</f>
        <v>0</v>
      </c>
      <c r="H465" s="15">
        <f t="shared" ref="H465:V465" si="426">SUM(H466:H470)</f>
        <v>0</v>
      </c>
      <c r="I465" s="15">
        <f t="shared" si="426"/>
        <v>150</v>
      </c>
      <c r="J465" s="15">
        <f t="shared" si="426"/>
        <v>150</v>
      </c>
      <c r="K465" s="15">
        <f t="shared" si="426"/>
        <v>0</v>
      </c>
      <c r="L465" s="15">
        <f t="shared" si="426"/>
        <v>0</v>
      </c>
      <c r="M465" s="15">
        <f t="shared" si="426"/>
        <v>0</v>
      </c>
      <c r="N465" s="15">
        <f t="shared" si="426"/>
        <v>0</v>
      </c>
      <c r="O465" s="15">
        <f t="shared" si="426"/>
        <v>150</v>
      </c>
      <c r="P465" s="15">
        <f t="shared" si="426"/>
        <v>150</v>
      </c>
      <c r="Q465" s="15">
        <f t="shared" si="426"/>
        <v>0</v>
      </c>
      <c r="R465" s="15">
        <f t="shared" si="426"/>
        <v>0</v>
      </c>
      <c r="S465" s="15">
        <f t="shared" si="426"/>
        <v>0</v>
      </c>
      <c r="T465" s="15">
        <f t="shared" si="426"/>
        <v>950</v>
      </c>
      <c r="U465" s="15">
        <f t="shared" si="426"/>
        <v>950</v>
      </c>
      <c r="V465" s="15">
        <f t="shared" si="426"/>
        <v>0</v>
      </c>
      <c r="W465" s="379"/>
      <c r="X465" s="429">
        <f t="shared" ref="X465:Z465" si="427">SUM(X466:X470)</f>
        <v>950</v>
      </c>
      <c r="Y465" s="429">
        <f t="shared" si="427"/>
        <v>950</v>
      </c>
      <c r="Z465" s="429">
        <f t="shared" si="427"/>
        <v>0</v>
      </c>
      <c r="AA465" s="5"/>
      <c r="AB465" s="15">
        <f t="shared" ref="AB465:AK465" si="428">SUM(AB466:AB469)</f>
        <v>4</v>
      </c>
      <c r="AC465" s="15">
        <f t="shared" si="428"/>
        <v>700</v>
      </c>
      <c r="AD465" s="15">
        <f t="shared" si="428"/>
        <v>0</v>
      </c>
      <c r="AE465" s="15">
        <f t="shared" si="428"/>
        <v>0</v>
      </c>
      <c r="AF465" s="15">
        <f t="shared" si="428"/>
        <v>0</v>
      </c>
      <c r="AG465" s="15">
        <f t="shared" si="428"/>
        <v>0</v>
      </c>
      <c r="AH465" s="15">
        <f t="shared" si="428"/>
        <v>0</v>
      </c>
      <c r="AI465" s="15">
        <f t="shared" si="428"/>
        <v>0</v>
      </c>
      <c r="AJ465" s="15">
        <f t="shared" si="428"/>
        <v>0</v>
      </c>
      <c r="AK465" s="15">
        <f t="shared" si="428"/>
        <v>0</v>
      </c>
      <c r="AL465" s="15">
        <f>SUM(AL466:AL469)</f>
        <v>0</v>
      </c>
      <c r="AM465" s="15">
        <f>SUM(AM466:AM469)</f>
        <v>0</v>
      </c>
      <c r="AN465" s="15">
        <f>SUM(AN466:AN469)</f>
        <v>0</v>
      </c>
      <c r="AO465" s="15">
        <f>SUM(AO466:AO469)</f>
        <v>0</v>
      </c>
    </row>
    <row r="466" spans="1:41" s="16" customFormat="1" ht="63">
      <c r="A466" s="97">
        <v>1</v>
      </c>
      <c r="B466" s="212" t="s">
        <v>1375</v>
      </c>
      <c r="C466" s="19" t="s">
        <v>29</v>
      </c>
      <c r="D466" s="19" t="s">
        <v>1376</v>
      </c>
      <c r="E466" s="70" t="s">
        <v>30</v>
      </c>
      <c r="F466" s="19"/>
      <c r="G466" s="23"/>
      <c r="H466" s="23"/>
      <c r="I466" s="23">
        <f>+J466</f>
        <v>50</v>
      </c>
      <c r="J466" s="23">
        <v>50</v>
      </c>
      <c r="K466" s="23">
        <v>0</v>
      </c>
      <c r="L466" s="23"/>
      <c r="M466" s="23">
        <v>0</v>
      </c>
      <c r="N466" s="23"/>
      <c r="O466" s="23">
        <f>+P466</f>
        <v>50</v>
      </c>
      <c r="P466" s="23">
        <v>50</v>
      </c>
      <c r="Q466" s="23"/>
      <c r="R466" s="23"/>
      <c r="S466" s="23"/>
      <c r="T466" s="23">
        <v>100</v>
      </c>
      <c r="U466" s="23">
        <v>100</v>
      </c>
      <c r="V466" s="23"/>
      <c r="W466" s="24"/>
      <c r="X466" s="371">
        <v>100</v>
      </c>
      <c r="Y466" s="371">
        <v>100</v>
      </c>
      <c r="Z466" s="371"/>
      <c r="AA466" s="5"/>
      <c r="AB466" s="25">
        <v>1</v>
      </c>
      <c r="AC466" s="23">
        <v>50</v>
      </c>
    </row>
    <row r="467" spans="1:41" s="16" customFormat="1" ht="30.75" customHeight="1">
      <c r="A467" s="97" t="s">
        <v>41</v>
      </c>
      <c r="B467" s="212" t="s">
        <v>1048</v>
      </c>
      <c r="C467" s="19" t="s">
        <v>43</v>
      </c>
      <c r="D467" s="19" t="s">
        <v>1049</v>
      </c>
      <c r="E467" s="70" t="s">
        <v>30</v>
      </c>
      <c r="F467" s="19"/>
      <c r="G467" s="23"/>
      <c r="H467" s="23"/>
      <c r="I467" s="23">
        <v>0</v>
      </c>
      <c r="J467" s="23"/>
      <c r="K467" s="23">
        <v>0</v>
      </c>
      <c r="L467" s="23"/>
      <c r="M467" s="23">
        <v>0</v>
      </c>
      <c r="N467" s="23"/>
      <c r="O467" s="23">
        <v>0</v>
      </c>
      <c r="P467" s="23"/>
      <c r="Q467" s="23"/>
      <c r="R467" s="23"/>
      <c r="S467" s="23"/>
      <c r="T467" s="23">
        <v>50</v>
      </c>
      <c r="U467" s="23">
        <v>50</v>
      </c>
      <c r="V467" s="23"/>
      <c r="W467" s="24"/>
      <c r="X467" s="371">
        <v>50</v>
      </c>
      <c r="Y467" s="371">
        <v>50</v>
      </c>
      <c r="Z467" s="371"/>
      <c r="AA467" s="5"/>
      <c r="AB467" s="25">
        <v>1</v>
      </c>
      <c r="AC467" s="23">
        <v>50</v>
      </c>
    </row>
    <row r="468" spans="1:41" s="16" customFormat="1" ht="21.75" customHeight="1">
      <c r="A468" s="97" t="s">
        <v>58</v>
      </c>
      <c r="B468" s="212" t="s">
        <v>1377</v>
      </c>
      <c r="C468" s="19" t="s">
        <v>112</v>
      </c>
      <c r="D468" s="19" t="s">
        <v>1378</v>
      </c>
      <c r="E468" s="70" t="s">
        <v>120</v>
      </c>
      <c r="F468" s="19"/>
      <c r="G468" s="23"/>
      <c r="H468" s="23"/>
      <c r="I468" s="23">
        <f>+J468</f>
        <v>100</v>
      </c>
      <c r="J468" s="23">
        <v>100</v>
      </c>
      <c r="K468" s="23">
        <v>0</v>
      </c>
      <c r="L468" s="23"/>
      <c r="M468" s="23">
        <v>0</v>
      </c>
      <c r="N468" s="23"/>
      <c r="O468" s="23">
        <f>+P468</f>
        <v>100</v>
      </c>
      <c r="P468" s="23">
        <v>100</v>
      </c>
      <c r="Q468" s="23"/>
      <c r="R468" s="23"/>
      <c r="S468" s="23"/>
      <c r="T468" s="23">
        <v>400</v>
      </c>
      <c r="U468" s="23">
        <v>400</v>
      </c>
      <c r="V468" s="23"/>
      <c r="W468" s="24"/>
      <c r="X468" s="371">
        <v>400</v>
      </c>
      <c r="Y468" s="371">
        <v>400</v>
      </c>
      <c r="Z468" s="371"/>
      <c r="AA468" s="5"/>
      <c r="AB468" s="25">
        <v>1</v>
      </c>
      <c r="AC468" s="23">
        <v>400</v>
      </c>
    </row>
    <row r="469" spans="1:41" s="16" customFormat="1" ht="31.5">
      <c r="A469" s="97" t="s">
        <v>64</v>
      </c>
      <c r="B469" s="212" t="s">
        <v>1379</v>
      </c>
      <c r="C469" s="19"/>
      <c r="D469" s="19" t="s">
        <v>1051</v>
      </c>
      <c r="E469" s="70" t="s">
        <v>163</v>
      </c>
      <c r="F469" s="19"/>
      <c r="G469" s="23"/>
      <c r="H469" s="23"/>
      <c r="I469" s="23">
        <v>0</v>
      </c>
      <c r="J469" s="23"/>
      <c r="K469" s="23">
        <v>0</v>
      </c>
      <c r="L469" s="23"/>
      <c r="M469" s="23">
        <v>0</v>
      </c>
      <c r="N469" s="23"/>
      <c r="O469" s="23">
        <v>0</v>
      </c>
      <c r="P469" s="23"/>
      <c r="Q469" s="23"/>
      <c r="R469" s="23"/>
      <c r="S469" s="23"/>
      <c r="T469" s="23">
        <v>200</v>
      </c>
      <c r="U469" s="23">
        <v>200</v>
      </c>
      <c r="V469" s="23"/>
      <c r="W469" s="24"/>
      <c r="X469" s="371">
        <v>200</v>
      </c>
      <c r="Y469" s="371">
        <v>200</v>
      </c>
      <c r="Z469" s="371"/>
      <c r="AA469" s="5"/>
      <c r="AB469" s="25">
        <v>1</v>
      </c>
      <c r="AC469" s="23">
        <v>200</v>
      </c>
    </row>
    <row r="470" spans="1:41" s="16" customFormat="1" ht="31.5">
      <c r="A470" s="97" t="s">
        <v>69</v>
      </c>
      <c r="B470" s="212" t="s">
        <v>1053</v>
      </c>
      <c r="C470" s="19" t="s">
        <v>60</v>
      </c>
      <c r="D470" s="19" t="s">
        <v>1054</v>
      </c>
      <c r="E470" s="44" t="s">
        <v>120</v>
      </c>
      <c r="F470" s="19"/>
      <c r="G470" s="23"/>
      <c r="H470" s="23"/>
      <c r="I470" s="23"/>
      <c r="J470" s="23"/>
      <c r="K470" s="23"/>
      <c r="L470" s="23"/>
      <c r="M470" s="23"/>
      <c r="N470" s="23"/>
      <c r="O470" s="23"/>
      <c r="P470" s="23"/>
      <c r="Q470" s="23"/>
      <c r="R470" s="23"/>
      <c r="S470" s="23"/>
      <c r="T470" s="23">
        <v>200</v>
      </c>
      <c r="U470" s="23">
        <v>200</v>
      </c>
      <c r="V470" s="23"/>
      <c r="W470" s="24"/>
      <c r="X470" s="371">
        <v>200</v>
      </c>
      <c r="Y470" s="371">
        <v>200</v>
      </c>
      <c r="Z470" s="371"/>
      <c r="AA470" s="5"/>
      <c r="AB470" s="25"/>
      <c r="AC470" s="23"/>
    </row>
    <row r="471" spans="1:41" s="16" customFormat="1" ht="15.75">
      <c r="A471" s="11"/>
      <c r="B471" s="12" t="s">
        <v>31</v>
      </c>
      <c r="C471" s="13"/>
      <c r="D471" s="13"/>
      <c r="E471" s="14"/>
      <c r="F471" s="13"/>
      <c r="G471" s="15">
        <f t="shared" ref="G471:V471" si="429">SUM(G472,G482,G490)</f>
        <v>529024</v>
      </c>
      <c r="H471" s="15">
        <f t="shared" si="429"/>
        <v>200532</v>
      </c>
      <c r="I471" s="15">
        <f t="shared" si="429"/>
        <v>44396</v>
      </c>
      <c r="J471" s="15">
        <f t="shared" si="429"/>
        <v>37396</v>
      </c>
      <c r="K471" s="15">
        <f t="shared" si="429"/>
        <v>1870</v>
      </c>
      <c r="L471" s="15">
        <f t="shared" si="429"/>
        <v>689</v>
      </c>
      <c r="M471" s="15">
        <f t="shared" si="429"/>
        <v>13367</v>
      </c>
      <c r="N471" s="15">
        <f t="shared" si="429"/>
        <v>13367</v>
      </c>
      <c r="O471" s="15">
        <f t="shared" si="429"/>
        <v>163373</v>
      </c>
      <c r="P471" s="15">
        <f t="shared" si="429"/>
        <v>64286</v>
      </c>
      <c r="Q471" s="15">
        <f t="shared" si="429"/>
        <v>519501</v>
      </c>
      <c r="R471" s="15">
        <f t="shared" si="429"/>
        <v>243563</v>
      </c>
      <c r="S471" s="15">
        <f t="shared" si="429"/>
        <v>0</v>
      </c>
      <c r="T471" s="15">
        <f t="shared" si="429"/>
        <v>104387</v>
      </c>
      <c r="U471" s="15">
        <f t="shared" si="429"/>
        <v>52376</v>
      </c>
      <c r="V471" s="15">
        <f t="shared" si="429"/>
        <v>0</v>
      </c>
      <c r="W471" s="379"/>
      <c r="X471" s="429">
        <f t="shared" ref="X471:Z471" si="430">SUM(X472,X482,X490)</f>
        <v>114387</v>
      </c>
      <c r="Y471" s="429">
        <f t="shared" si="430"/>
        <v>62376</v>
      </c>
      <c r="Z471" s="429">
        <f t="shared" si="430"/>
        <v>0</v>
      </c>
      <c r="AA471" s="5"/>
      <c r="AB471" s="15">
        <f t="shared" ref="AB471:AO471" si="431">SUM(AB472,AB482,AB490)</f>
        <v>0</v>
      </c>
      <c r="AC471" s="15">
        <f t="shared" si="431"/>
        <v>0</v>
      </c>
      <c r="AD471" s="15">
        <f t="shared" si="431"/>
        <v>4</v>
      </c>
      <c r="AE471" s="15">
        <f t="shared" si="431"/>
        <v>36663</v>
      </c>
      <c r="AF471" s="15">
        <f t="shared" si="431"/>
        <v>0</v>
      </c>
      <c r="AG471" s="15">
        <f t="shared" si="431"/>
        <v>0</v>
      </c>
      <c r="AH471" s="15">
        <f t="shared" si="431"/>
        <v>0</v>
      </c>
      <c r="AI471" s="15">
        <f t="shared" si="431"/>
        <v>0</v>
      </c>
      <c r="AJ471" s="15">
        <f t="shared" si="431"/>
        <v>0</v>
      </c>
      <c r="AK471" s="15">
        <f t="shared" si="431"/>
        <v>0</v>
      </c>
      <c r="AL471" s="15">
        <f t="shared" si="431"/>
        <v>3</v>
      </c>
      <c r="AM471" s="15">
        <f t="shared" si="431"/>
        <v>3818</v>
      </c>
      <c r="AN471" s="15">
        <f t="shared" si="431"/>
        <v>0</v>
      </c>
      <c r="AO471" s="15">
        <f t="shared" si="431"/>
        <v>0</v>
      </c>
    </row>
    <row r="472" spans="1:41" s="16" customFormat="1" ht="47.25">
      <c r="A472" s="11" t="s">
        <v>32</v>
      </c>
      <c r="B472" s="12" t="s">
        <v>33</v>
      </c>
      <c r="C472" s="13"/>
      <c r="D472" s="13"/>
      <c r="E472" s="14"/>
      <c r="F472" s="13"/>
      <c r="G472" s="15">
        <f>G473</f>
        <v>42701</v>
      </c>
      <c r="H472" s="15">
        <f t="shared" ref="H472:Z472" si="432">H473</f>
        <v>5147</v>
      </c>
      <c r="I472" s="15">
        <f t="shared" si="432"/>
        <v>12416</v>
      </c>
      <c r="J472" s="15">
        <f t="shared" si="432"/>
        <v>12416</v>
      </c>
      <c r="K472" s="15">
        <f t="shared" si="432"/>
        <v>1570</v>
      </c>
      <c r="L472" s="15">
        <f t="shared" si="432"/>
        <v>389</v>
      </c>
      <c r="M472" s="15">
        <f t="shared" si="432"/>
        <v>5412</v>
      </c>
      <c r="N472" s="15">
        <f t="shared" si="432"/>
        <v>5412</v>
      </c>
      <c r="O472" s="15">
        <f t="shared" si="432"/>
        <v>15110</v>
      </c>
      <c r="P472" s="15">
        <f t="shared" si="432"/>
        <v>13975</v>
      </c>
      <c r="Q472" s="15">
        <f t="shared" si="432"/>
        <v>48200</v>
      </c>
      <c r="R472" s="15">
        <f t="shared" si="432"/>
        <v>48200</v>
      </c>
      <c r="S472" s="15">
        <f t="shared" si="432"/>
        <v>0</v>
      </c>
      <c r="T472" s="15">
        <f t="shared" si="432"/>
        <v>9000</v>
      </c>
      <c r="U472" s="15">
        <f t="shared" si="432"/>
        <v>9000</v>
      </c>
      <c r="V472" s="15">
        <f t="shared" si="432"/>
        <v>0</v>
      </c>
      <c r="W472" s="379"/>
      <c r="X472" s="429">
        <f t="shared" si="432"/>
        <v>9000</v>
      </c>
      <c r="Y472" s="429">
        <f t="shared" si="432"/>
        <v>9000</v>
      </c>
      <c r="Z472" s="429">
        <f t="shared" si="432"/>
        <v>0</v>
      </c>
      <c r="AA472" s="5"/>
      <c r="AB472" s="15">
        <f t="shared" ref="AB472:AK472" si="433">AB473</f>
        <v>0</v>
      </c>
      <c r="AC472" s="15">
        <f t="shared" si="433"/>
        <v>0</v>
      </c>
      <c r="AD472" s="15">
        <f t="shared" si="433"/>
        <v>0</v>
      </c>
      <c r="AE472" s="15">
        <f t="shared" si="433"/>
        <v>0</v>
      </c>
      <c r="AF472" s="15">
        <f t="shared" si="433"/>
        <v>0</v>
      </c>
      <c r="AG472" s="15">
        <f t="shared" si="433"/>
        <v>0</v>
      </c>
      <c r="AH472" s="15">
        <f t="shared" si="433"/>
        <v>0</v>
      </c>
      <c r="AI472" s="15">
        <f t="shared" si="433"/>
        <v>0</v>
      </c>
      <c r="AJ472" s="15">
        <f t="shared" si="433"/>
        <v>0</v>
      </c>
      <c r="AK472" s="15">
        <f t="shared" si="433"/>
        <v>0</v>
      </c>
      <c r="AL472" s="15">
        <f>AL473</f>
        <v>0</v>
      </c>
      <c r="AM472" s="15">
        <f>AM473</f>
        <v>0</v>
      </c>
      <c r="AN472" s="15">
        <f>AN473</f>
        <v>0</v>
      </c>
      <c r="AO472" s="15">
        <f>AO473</f>
        <v>0</v>
      </c>
    </row>
    <row r="473" spans="1:41" s="31" customFormat="1" ht="15.75">
      <c r="A473" s="26" t="s">
        <v>273</v>
      </c>
      <c r="B473" s="27" t="s">
        <v>48</v>
      </c>
      <c r="C473" s="28"/>
      <c r="D473" s="28"/>
      <c r="E473" s="29"/>
      <c r="F473" s="28"/>
      <c r="G473" s="30">
        <f t="shared" ref="G473:V473" si="434">SUM(G474:G476)</f>
        <v>42701</v>
      </c>
      <c r="H473" s="30">
        <f t="shared" si="434"/>
        <v>5147</v>
      </c>
      <c r="I473" s="30">
        <f t="shared" si="434"/>
        <v>12416</v>
      </c>
      <c r="J473" s="30">
        <f t="shared" si="434"/>
        <v>12416</v>
      </c>
      <c r="K473" s="30">
        <f t="shared" si="434"/>
        <v>1570</v>
      </c>
      <c r="L473" s="30">
        <f t="shared" si="434"/>
        <v>389</v>
      </c>
      <c r="M473" s="30">
        <f t="shared" si="434"/>
        <v>5412</v>
      </c>
      <c r="N473" s="30">
        <f t="shared" si="434"/>
        <v>5412</v>
      </c>
      <c r="O473" s="30">
        <f t="shared" si="434"/>
        <v>15110</v>
      </c>
      <c r="P473" s="30">
        <f t="shared" si="434"/>
        <v>13975</v>
      </c>
      <c r="Q473" s="30">
        <f t="shared" si="434"/>
        <v>48200</v>
      </c>
      <c r="R473" s="30">
        <f t="shared" si="434"/>
        <v>48200</v>
      </c>
      <c r="S473" s="30">
        <f t="shared" si="434"/>
        <v>0</v>
      </c>
      <c r="T473" s="30">
        <f t="shared" si="434"/>
        <v>9000</v>
      </c>
      <c r="U473" s="30">
        <f t="shared" si="434"/>
        <v>9000</v>
      </c>
      <c r="V473" s="30">
        <f t="shared" si="434"/>
        <v>0</v>
      </c>
      <c r="W473" s="479"/>
      <c r="X473" s="431">
        <f t="shared" ref="X473:Z473" si="435">SUM(X474:X476)</f>
        <v>9000</v>
      </c>
      <c r="Y473" s="431">
        <f t="shared" si="435"/>
        <v>9000</v>
      </c>
      <c r="Z473" s="431">
        <f t="shared" si="435"/>
        <v>0</v>
      </c>
      <c r="AA473" s="5"/>
      <c r="AB473" s="30">
        <f t="shared" ref="AB473:AO473" si="436">SUM(AB474:AB476)</f>
        <v>0</v>
      </c>
      <c r="AC473" s="30">
        <f t="shared" si="436"/>
        <v>0</v>
      </c>
      <c r="AD473" s="30">
        <f t="shared" si="436"/>
        <v>0</v>
      </c>
      <c r="AE473" s="30">
        <f t="shared" si="436"/>
        <v>0</v>
      </c>
      <c r="AF473" s="30">
        <f t="shared" si="436"/>
        <v>0</v>
      </c>
      <c r="AG473" s="30">
        <f t="shared" si="436"/>
        <v>0</v>
      </c>
      <c r="AH473" s="30">
        <f t="shared" si="436"/>
        <v>0</v>
      </c>
      <c r="AI473" s="30">
        <f t="shared" si="436"/>
        <v>0</v>
      </c>
      <c r="AJ473" s="30">
        <f t="shared" si="436"/>
        <v>0</v>
      </c>
      <c r="AK473" s="30">
        <f t="shared" si="436"/>
        <v>0</v>
      </c>
      <c r="AL473" s="30">
        <f t="shared" si="436"/>
        <v>0</v>
      </c>
      <c r="AM473" s="30">
        <f t="shared" si="436"/>
        <v>0</v>
      </c>
      <c r="AN473" s="30">
        <f t="shared" si="436"/>
        <v>0</v>
      </c>
      <c r="AO473" s="30">
        <f t="shared" si="436"/>
        <v>0</v>
      </c>
    </row>
    <row r="474" spans="1:41" s="16" customFormat="1" ht="45">
      <c r="A474" s="97" t="s">
        <v>27</v>
      </c>
      <c r="B474" s="212" t="s">
        <v>1380</v>
      </c>
      <c r="C474" s="19" t="s">
        <v>173</v>
      </c>
      <c r="D474" s="19" t="s">
        <v>1381</v>
      </c>
      <c r="E474" s="70" t="s">
        <v>1382</v>
      </c>
      <c r="F474" s="19" t="s">
        <v>1383</v>
      </c>
      <c r="G474" s="23">
        <v>5147</v>
      </c>
      <c r="H474" s="23">
        <v>5147</v>
      </c>
      <c r="I474" s="23">
        <f>+J474</f>
        <v>3200</v>
      </c>
      <c r="J474" s="23">
        <v>3200</v>
      </c>
      <c r="K474" s="23">
        <v>389</v>
      </c>
      <c r="L474" s="23">
        <v>389</v>
      </c>
      <c r="M474" s="23">
        <v>676</v>
      </c>
      <c r="N474" s="23">
        <v>676</v>
      </c>
      <c r="O474" s="23">
        <v>4975</v>
      </c>
      <c r="P474" s="23">
        <v>4975</v>
      </c>
      <c r="Q474" s="23">
        <v>3200</v>
      </c>
      <c r="R474" s="23">
        <v>3200</v>
      </c>
      <c r="S474" s="23"/>
      <c r="T474" s="23"/>
      <c r="U474" s="23"/>
      <c r="V474" s="23"/>
      <c r="W474" s="24"/>
      <c r="X474" s="371"/>
      <c r="Y474" s="371"/>
      <c r="Z474" s="371"/>
      <c r="AA474" s="5"/>
    </row>
    <row r="475" spans="1:41" s="16" customFormat="1" ht="63">
      <c r="A475" s="97" t="s">
        <v>41</v>
      </c>
      <c r="B475" s="212" t="s">
        <v>1384</v>
      </c>
      <c r="C475" s="19" t="s">
        <v>278</v>
      </c>
      <c r="D475" s="19"/>
      <c r="E475" s="70" t="s">
        <v>411</v>
      </c>
      <c r="F475" s="19" t="s">
        <v>1385</v>
      </c>
      <c r="G475" s="23">
        <v>37554</v>
      </c>
      <c r="H475" s="23"/>
      <c r="I475" s="23">
        <v>216</v>
      </c>
      <c r="J475" s="23">
        <v>216</v>
      </c>
      <c r="K475" s="23"/>
      <c r="L475" s="23"/>
      <c r="M475" s="23"/>
      <c r="N475" s="23"/>
      <c r="O475" s="23"/>
      <c r="P475" s="23"/>
      <c r="Q475" s="23"/>
      <c r="R475" s="23"/>
      <c r="S475" s="23"/>
      <c r="T475" s="23"/>
      <c r="U475" s="23"/>
      <c r="V475" s="23"/>
      <c r="W475" s="24"/>
      <c r="X475" s="371"/>
      <c r="Y475" s="371"/>
      <c r="Z475" s="371"/>
      <c r="AA475" s="5"/>
    </row>
    <row r="476" spans="1:41" s="16" customFormat="1" ht="75">
      <c r="A476" s="97" t="s">
        <v>58</v>
      </c>
      <c r="B476" s="212" t="s">
        <v>539</v>
      </c>
      <c r="C476" s="19" t="s">
        <v>540</v>
      </c>
      <c r="D476" s="19"/>
      <c r="E476" s="70"/>
      <c r="F476" s="19"/>
      <c r="G476" s="23">
        <f t="shared" ref="G476:V476" si="437">SUM(G477:G481)</f>
        <v>0</v>
      </c>
      <c r="H476" s="23">
        <f t="shared" si="437"/>
        <v>0</v>
      </c>
      <c r="I476" s="23">
        <f t="shared" si="437"/>
        <v>9000</v>
      </c>
      <c r="J476" s="23">
        <f t="shared" si="437"/>
        <v>9000</v>
      </c>
      <c r="K476" s="23">
        <f t="shared" si="437"/>
        <v>1181</v>
      </c>
      <c r="L476" s="23">
        <f t="shared" si="437"/>
        <v>0</v>
      </c>
      <c r="M476" s="23">
        <f t="shared" si="437"/>
        <v>4736</v>
      </c>
      <c r="N476" s="23">
        <f t="shared" si="437"/>
        <v>4736</v>
      </c>
      <c r="O476" s="23">
        <f t="shared" si="437"/>
        <v>10135</v>
      </c>
      <c r="P476" s="23">
        <f t="shared" si="437"/>
        <v>9000</v>
      </c>
      <c r="Q476" s="23">
        <f t="shared" si="437"/>
        <v>45000</v>
      </c>
      <c r="R476" s="23">
        <f t="shared" si="437"/>
        <v>45000</v>
      </c>
      <c r="S476" s="23">
        <f t="shared" si="437"/>
        <v>0</v>
      </c>
      <c r="T476" s="23">
        <f t="shared" si="437"/>
        <v>9000</v>
      </c>
      <c r="U476" s="23">
        <f t="shared" si="437"/>
        <v>9000</v>
      </c>
      <c r="V476" s="23">
        <f t="shared" si="437"/>
        <v>0</v>
      </c>
      <c r="W476" s="24"/>
      <c r="X476" s="371">
        <f t="shared" ref="X476:Z476" si="438">SUM(X477:X481)</f>
        <v>9000</v>
      </c>
      <c r="Y476" s="371">
        <f t="shared" si="438"/>
        <v>9000</v>
      </c>
      <c r="Z476" s="371">
        <f t="shared" si="438"/>
        <v>0</v>
      </c>
      <c r="AA476" s="5"/>
    </row>
    <row r="477" spans="1:41" s="16" customFormat="1" ht="15.75">
      <c r="A477" s="97"/>
      <c r="B477" s="231" t="s">
        <v>541</v>
      </c>
      <c r="C477" s="19"/>
      <c r="D477" s="19"/>
      <c r="E477" s="70"/>
      <c r="F477" s="19"/>
      <c r="G477" s="23"/>
      <c r="H477" s="23"/>
      <c r="I477" s="23">
        <v>872</v>
      </c>
      <c r="J477" s="23">
        <v>872</v>
      </c>
      <c r="K477" s="23">
        <v>1000</v>
      </c>
      <c r="L477" s="23"/>
      <c r="M477" s="23"/>
      <c r="N477" s="23"/>
      <c r="O477" s="23">
        <v>1872</v>
      </c>
      <c r="P477" s="23">
        <v>872</v>
      </c>
      <c r="Q477" s="23">
        <v>5000</v>
      </c>
      <c r="R477" s="23">
        <v>5000</v>
      </c>
      <c r="S477" s="23"/>
      <c r="T477" s="23">
        <v>1000</v>
      </c>
      <c r="U477" s="23">
        <v>1000</v>
      </c>
      <c r="V477" s="23"/>
      <c r="W477" s="24"/>
      <c r="X477" s="371">
        <v>1000</v>
      </c>
      <c r="Y477" s="371">
        <v>1000</v>
      </c>
      <c r="Z477" s="371"/>
      <c r="AA477" s="5"/>
    </row>
    <row r="478" spans="1:41" s="16" customFormat="1" ht="15.75">
      <c r="A478" s="97"/>
      <c r="B478" s="231" t="s">
        <v>542</v>
      </c>
      <c r="C478" s="19"/>
      <c r="D478" s="19"/>
      <c r="E478" s="70"/>
      <c r="F478" s="19"/>
      <c r="G478" s="23"/>
      <c r="H478" s="23"/>
      <c r="I478" s="23">
        <v>890</v>
      </c>
      <c r="J478" s="23">
        <v>890</v>
      </c>
      <c r="K478" s="23">
        <v>133</v>
      </c>
      <c r="L478" s="23"/>
      <c r="M478" s="23">
        <v>152</v>
      </c>
      <c r="N478" s="23">
        <v>152</v>
      </c>
      <c r="O478" s="23">
        <v>1023</v>
      </c>
      <c r="P478" s="23">
        <v>890</v>
      </c>
      <c r="Q478" s="23">
        <v>5000</v>
      </c>
      <c r="R478" s="23">
        <v>5000</v>
      </c>
      <c r="S478" s="23"/>
      <c r="T478" s="23">
        <v>1000</v>
      </c>
      <c r="U478" s="23">
        <v>1000</v>
      </c>
      <c r="V478" s="23"/>
      <c r="W478" s="24"/>
      <c r="X478" s="371">
        <v>1000</v>
      </c>
      <c r="Y478" s="371">
        <v>1000</v>
      </c>
      <c r="Z478" s="371"/>
      <c r="AA478" s="5"/>
    </row>
    <row r="479" spans="1:41" s="16" customFormat="1" ht="15.75">
      <c r="A479" s="97"/>
      <c r="B479" s="515" t="s">
        <v>543</v>
      </c>
      <c r="C479" s="172"/>
      <c r="D479" s="172"/>
      <c r="E479" s="163"/>
      <c r="F479" s="172"/>
      <c r="G479" s="173"/>
      <c r="H479" s="173"/>
      <c r="I479" s="72">
        <v>4008</v>
      </c>
      <c r="J479" s="72">
        <v>4008</v>
      </c>
      <c r="K479" s="72">
        <v>46</v>
      </c>
      <c r="L479" s="72"/>
      <c r="M479" s="72">
        <v>2987</v>
      </c>
      <c r="N479" s="72">
        <v>2987</v>
      </c>
      <c r="O479" s="72">
        <v>4008</v>
      </c>
      <c r="P479" s="72">
        <v>4008</v>
      </c>
      <c r="Q479" s="72">
        <v>20000</v>
      </c>
      <c r="R479" s="72">
        <v>20000</v>
      </c>
      <c r="S479" s="72"/>
      <c r="T479" s="72">
        <v>4000</v>
      </c>
      <c r="U479" s="72">
        <v>4000</v>
      </c>
      <c r="V479" s="72"/>
      <c r="W479" s="24"/>
      <c r="X479" s="356">
        <v>4000</v>
      </c>
      <c r="Y479" s="356">
        <v>4000</v>
      </c>
      <c r="Z479" s="356"/>
      <c r="AA479" s="5"/>
    </row>
    <row r="480" spans="1:41" s="16" customFormat="1" ht="15.75">
      <c r="A480" s="97"/>
      <c r="B480" s="515" t="s">
        <v>544</v>
      </c>
      <c r="C480" s="172"/>
      <c r="D480" s="172"/>
      <c r="E480" s="163"/>
      <c r="F480" s="172"/>
      <c r="G480" s="173"/>
      <c r="H480" s="173"/>
      <c r="I480" s="72">
        <v>2230</v>
      </c>
      <c r="J480" s="72">
        <v>2230</v>
      </c>
      <c r="K480" s="72">
        <v>2</v>
      </c>
      <c r="L480" s="72"/>
      <c r="M480" s="72">
        <v>1278</v>
      </c>
      <c r="N480" s="72">
        <v>1278</v>
      </c>
      <c r="O480" s="72">
        <v>2232</v>
      </c>
      <c r="P480" s="72">
        <v>2230</v>
      </c>
      <c r="Q480" s="72">
        <v>10000</v>
      </c>
      <c r="R480" s="72">
        <v>10000</v>
      </c>
      <c r="S480" s="72"/>
      <c r="T480" s="72">
        <v>2000</v>
      </c>
      <c r="U480" s="72">
        <v>2000</v>
      </c>
      <c r="V480" s="72"/>
      <c r="W480" s="24"/>
      <c r="X480" s="356">
        <v>2000</v>
      </c>
      <c r="Y480" s="356">
        <v>2000</v>
      </c>
      <c r="Z480" s="356"/>
      <c r="AA480" s="5"/>
    </row>
    <row r="481" spans="1:41" s="16" customFormat="1" ht="15.75">
      <c r="A481" s="97"/>
      <c r="B481" s="515" t="s">
        <v>545</v>
      </c>
      <c r="C481" s="172"/>
      <c r="D481" s="172"/>
      <c r="E481" s="163"/>
      <c r="F481" s="172"/>
      <c r="G481" s="173"/>
      <c r="H481" s="173"/>
      <c r="I481" s="72">
        <v>1000</v>
      </c>
      <c r="J481" s="72">
        <v>1000</v>
      </c>
      <c r="K481" s="72"/>
      <c r="L481" s="72"/>
      <c r="M481" s="72">
        <v>319</v>
      </c>
      <c r="N481" s="72">
        <v>319</v>
      </c>
      <c r="O481" s="72">
        <v>1000</v>
      </c>
      <c r="P481" s="72">
        <v>1000</v>
      </c>
      <c r="Q481" s="72">
        <v>5000</v>
      </c>
      <c r="R481" s="72">
        <v>5000</v>
      </c>
      <c r="S481" s="72"/>
      <c r="T481" s="72">
        <v>1000</v>
      </c>
      <c r="U481" s="72">
        <v>1000</v>
      </c>
      <c r="V481" s="72"/>
      <c r="W481" s="24"/>
      <c r="X481" s="356">
        <v>1000</v>
      </c>
      <c r="Y481" s="356">
        <v>1000</v>
      </c>
      <c r="Z481" s="356"/>
      <c r="AA481" s="5"/>
    </row>
    <row r="482" spans="1:41" s="16" customFormat="1" ht="31.5">
      <c r="A482" s="11" t="s">
        <v>78</v>
      </c>
      <c r="B482" s="12" t="s">
        <v>79</v>
      </c>
      <c r="C482" s="13"/>
      <c r="D482" s="13"/>
      <c r="E482" s="14"/>
      <c r="F482" s="13"/>
      <c r="G482" s="15">
        <f>SUM(G483,G485)</f>
        <v>419963</v>
      </c>
      <c r="H482" s="15">
        <f t="shared" ref="H482:V482" si="439">SUM(H483,H485)</f>
        <v>129804</v>
      </c>
      <c r="I482" s="15">
        <f t="shared" si="439"/>
        <v>31740</v>
      </c>
      <c r="J482" s="15">
        <f t="shared" si="439"/>
        <v>24740</v>
      </c>
      <c r="K482" s="15">
        <f t="shared" si="439"/>
        <v>300</v>
      </c>
      <c r="L482" s="15">
        <f t="shared" si="439"/>
        <v>300</v>
      </c>
      <c r="M482" s="15">
        <f t="shared" si="439"/>
        <v>7955</v>
      </c>
      <c r="N482" s="15">
        <f t="shared" si="439"/>
        <v>7955</v>
      </c>
      <c r="O482" s="15">
        <f t="shared" si="439"/>
        <v>148001</v>
      </c>
      <c r="P482" s="15">
        <f t="shared" si="439"/>
        <v>50049</v>
      </c>
      <c r="Q482" s="15">
        <f t="shared" si="439"/>
        <v>404963</v>
      </c>
      <c r="R482" s="15">
        <f t="shared" si="439"/>
        <v>129804</v>
      </c>
      <c r="S482" s="15">
        <f t="shared" si="439"/>
        <v>0</v>
      </c>
      <c r="T482" s="15">
        <f t="shared" si="439"/>
        <v>84390</v>
      </c>
      <c r="U482" s="15">
        <f t="shared" si="439"/>
        <v>33276</v>
      </c>
      <c r="V482" s="15">
        <f t="shared" si="439"/>
        <v>0</v>
      </c>
      <c r="W482" s="379"/>
      <c r="X482" s="429">
        <f t="shared" ref="X482:Z482" si="440">SUM(X483,X485)</f>
        <v>94390</v>
      </c>
      <c r="Y482" s="429">
        <f t="shared" si="440"/>
        <v>43276</v>
      </c>
      <c r="Z482" s="429">
        <f t="shared" si="440"/>
        <v>0</v>
      </c>
      <c r="AA482" s="5"/>
      <c r="AB482" s="15">
        <f t="shared" ref="AB482:AK482" si="441">SUM(AB483,AB485)</f>
        <v>0</v>
      </c>
      <c r="AC482" s="15">
        <f t="shared" si="441"/>
        <v>0</v>
      </c>
      <c r="AD482" s="15">
        <f t="shared" si="441"/>
        <v>4</v>
      </c>
      <c r="AE482" s="15">
        <f t="shared" si="441"/>
        <v>36663</v>
      </c>
      <c r="AF482" s="15">
        <f t="shared" si="441"/>
        <v>0</v>
      </c>
      <c r="AG482" s="15">
        <f t="shared" si="441"/>
        <v>0</v>
      </c>
      <c r="AH482" s="15">
        <f t="shared" si="441"/>
        <v>0</v>
      </c>
      <c r="AI482" s="15">
        <f t="shared" si="441"/>
        <v>0</v>
      </c>
      <c r="AJ482" s="15">
        <f t="shared" si="441"/>
        <v>0</v>
      </c>
      <c r="AK482" s="15">
        <f t="shared" si="441"/>
        <v>0</v>
      </c>
      <c r="AL482" s="15">
        <f>SUM(AL483,AL485)</f>
        <v>0</v>
      </c>
      <c r="AM482" s="15">
        <f>SUM(AM483,AM485)</f>
        <v>0</v>
      </c>
      <c r="AN482" s="15">
        <f>SUM(AN483,AN485)</f>
        <v>0</v>
      </c>
      <c r="AO482" s="15">
        <f>SUM(AO483,AO485)</f>
        <v>0</v>
      </c>
    </row>
    <row r="483" spans="1:41" s="31" customFormat="1" ht="15.75">
      <c r="A483" s="26" t="s">
        <v>47</v>
      </c>
      <c r="B483" s="27" t="s">
        <v>35</v>
      </c>
      <c r="C483" s="28"/>
      <c r="D483" s="28"/>
      <c r="E483" s="29"/>
      <c r="F483" s="28"/>
      <c r="G483" s="30">
        <f>G484</f>
        <v>40929</v>
      </c>
      <c r="H483" s="30">
        <f t="shared" ref="H483:Z483" si="442">H484</f>
        <v>40929</v>
      </c>
      <c r="I483" s="30">
        <f t="shared" si="442"/>
        <v>13916</v>
      </c>
      <c r="J483" s="30">
        <f t="shared" si="442"/>
        <v>13916</v>
      </c>
      <c r="K483" s="30">
        <f t="shared" si="442"/>
        <v>0</v>
      </c>
      <c r="L483" s="30">
        <f t="shared" si="442"/>
        <v>0</v>
      </c>
      <c r="M483" s="30">
        <f t="shared" si="442"/>
        <v>7955</v>
      </c>
      <c r="N483" s="30">
        <f t="shared" si="442"/>
        <v>7955</v>
      </c>
      <c r="O483" s="30">
        <f t="shared" si="442"/>
        <v>15118</v>
      </c>
      <c r="P483" s="30">
        <f t="shared" si="442"/>
        <v>15118</v>
      </c>
      <c r="Q483" s="30">
        <f t="shared" si="442"/>
        <v>40929</v>
      </c>
      <c r="R483" s="30">
        <f t="shared" si="442"/>
        <v>40929</v>
      </c>
      <c r="S483" s="30">
        <f t="shared" si="442"/>
        <v>0</v>
      </c>
      <c r="T483" s="30">
        <f t="shared" si="442"/>
        <v>10000</v>
      </c>
      <c r="U483" s="30">
        <f t="shared" si="442"/>
        <v>10000</v>
      </c>
      <c r="V483" s="30">
        <f t="shared" si="442"/>
        <v>0</v>
      </c>
      <c r="W483" s="479"/>
      <c r="X483" s="431">
        <f t="shared" si="442"/>
        <v>20000</v>
      </c>
      <c r="Y483" s="431">
        <f t="shared" si="442"/>
        <v>20000</v>
      </c>
      <c r="Z483" s="431">
        <f t="shared" si="442"/>
        <v>0</v>
      </c>
      <c r="AA483" s="5"/>
      <c r="AB483" s="30">
        <f t="shared" ref="AB483:AK483" si="443">AB484</f>
        <v>0</v>
      </c>
      <c r="AC483" s="30">
        <f t="shared" si="443"/>
        <v>0</v>
      </c>
      <c r="AD483" s="30">
        <f t="shared" si="443"/>
        <v>1</v>
      </c>
      <c r="AE483" s="30">
        <f t="shared" si="443"/>
        <v>23525</v>
      </c>
      <c r="AF483" s="30">
        <f t="shared" si="443"/>
        <v>0</v>
      </c>
      <c r="AG483" s="30">
        <f t="shared" si="443"/>
        <v>0</v>
      </c>
      <c r="AH483" s="30">
        <f t="shared" si="443"/>
        <v>0</v>
      </c>
      <c r="AI483" s="30">
        <f t="shared" si="443"/>
        <v>0</v>
      </c>
      <c r="AJ483" s="30">
        <f t="shared" si="443"/>
        <v>0</v>
      </c>
      <c r="AK483" s="30">
        <f t="shared" si="443"/>
        <v>0</v>
      </c>
      <c r="AL483" s="30">
        <f>AL484</f>
        <v>0</v>
      </c>
      <c r="AM483" s="30">
        <f>AM484</f>
        <v>0</v>
      </c>
      <c r="AN483" s="30">
        <f>AN484</f>
        <v>0</v>
      </c>
      <c r="AO483" s="30">
        <f>AO484</f>
        <v>0</v>
      </c>
    </row>
    <row r="484" spans="1:41" s="16" customFormat="1" ht="31.5">
      <c r="A484" s="97"/>
      <c r="B484" s="212" t="s">
        <v>1055</v>
      </c>
      <c r="C484" s="19" t="s">
        <v>112</v>
      </c>
      <c r="D484" s="19" t="s">
        <v>1056</v>
      </c>
      <c r="E484" s="70" t="s">
        <v>1057</v>
      </c>
      <c r="F484" s="19" t="s">
        <v>1386</v>
      </c>
      <c r="G484" s="23">
        <v>40929</v>
      </c>
      <c r="H484" s="23">
        <v>40929</v>
      </c>
      <c r="I484" s="23">
        <f>+J484</f>
        <v>13916</v>
      </c>
      <c r="J484" s="23">
        <v>13916</v>
      </c>
      <c r="K484" s="23"/>
      <c r="L484" s="23"/>
      <c r="M484" s="23">
        <v>7955</v>
      </c>
      <c r="N484" s="23">
        <v>7955</v>
      </c>
      <c r="O484" s="23">
        <v>15118</v>
      </c>
      <c r="P484" s="23">
        <v>15118</v>
      </c>
      <c r="Q484" s="23">
        <v>40929</v>
      </c>
      <c r="R484" s="23">
        <v>40929</v>
      </c>
      <c r="S484" s="23"/>
      <c r="T484" s="23">
        <v>10000</v>
      </c>
      <c r="U484" s="23">
        <v>10000</v>
      </c>
      <c r="V484" s="23"/>
      <c r="W484" s="24"/>
      <c r="X484" s="371">
        <v>20000</v>
      </c>
      <c r="Y484" s="371">
        <v>20000</v>
      </c>
      <c r="Z484" s="371"/>
      <c r="AA484" s="5"/>
      <c r="AD484" s="25">
        <v>1</v>
      </c>
      <c r="AE484" s="23">
        <v>23525</v>
      </c>
    </row>
    <row r="485" spans="1:41" s="31" customFormat="1" ht="15.75">
      <c r="A485" s="26" t="s">
        <v>273</v>
      </c>
      <c r="B485" s="27" t="s">
        <v>48</v>
      </c>
      <c r="C485" s="28"/>
      <c r="D485" s="28"/>
      <c r="E485" s="29"/>
      <c r="F485" s="28"/>
      <c r="G485" s="30">
        <f>SUM(G486:G489)</f>
        <v>379034</v>
      </c>
      <c r="H485" s="30">
        <f t="shared" ref="H485:V485" si="444">SUM(H486:H489)</f>
        <v>88875</v>
      </c>
      <c r="I485" s="30">
        <f t="shared" si="444"/>
        <v>17824</v>
      </c>
      <c r="J485" s="30">
        <f t="shared" si="444"/>
        <v>10824</v>
      </c>
      <c r="K485" s="30">
        <f t="shared" si="444"/>
        <v>300</v>
      </c>
      <c r="L485" s="30">
        <f t="shared" si="444"/>
        <v>300</v>
      </c>
      <c r="M485" s="30">
        <f t="shared" si="444"/>
        <v>0</v>
      </c>
      <c r="N485" s="30">
        <f t="shared" si="444"/>
        <v>0</v>
      </c>
      <c r="O485" s="30">
        <f t="shared" si="444"/>
        <v>132883</v>
      </c>
      <c r="P485" s="30">
        <f t="shared" si="444"/>
        <v>34931</v>
      </c>
      <c r="Q485" s="30">
        <f t="shared" si="444"/>
        <v>364034</v>
      </c>
      <c r="R485" s="30">
        <f t="shared" si="444"/>
        <v>88875</v>
      </c>
      <c r="S485" s="30">
        <f t="shared" si="444"/>
        <v>0</v>
      </c>
      <c r="T485" s="30">
        <f t="shared" si="444"/>
        <v>74390</v>
      </c>
      <c r="U485" s="30">
        <f t="shared" si="444"/>
        <v>23276</v>
      </c>
      <c r="V485" s="30">
        <f t="shared" si="444"/>
        <v>0</v>
      </c>
      <c r="W485" s="479"/>
      <c r="X485" s="431">
        <f t="shared" ref="X485:Z485" si="445">SUM(X486:X489)</f>
        <v>74390</v>
      </c>
      <c r="Y485" s="431">
        <f t="shared" si="445"/>
        <v>23276</v>
      </c>
      <c r="Z485" s="431">
        <f t="shared" si="445"/>
        <v>0</v>
      </c>
      <c r="AA485" s="5"/>
      <c r="AB485" s="30">
        <f t="shared" ref="AB485:AK485" si="446">SUM(AB486:AB489)</f>
        <v>0</v>
      </c>
      <c r="AC485" s="30">
        <f t="shared" si="446"/>
        <v>0</v>
      </c>
      <c r="AD485" s="30">
        <f t="shared" si="446"/>
        <v>3</v>
      </c>
      <c r="AE485" s="30">
        <f t="shared" si="446"/>
        <v>13138</v>
      </c>
      <c r="AF485" s="30">
        <f t="shared" si="446"/>
        <v>0</v>
      </c>
      <c r="AG485" s="30">
        <f t="shared" si="446"/>
        <v>0</v>
      </c>
      <c r="AH485" s="30">
        <f t="shared" si="446"/>
        <v>0</v>
      </c>
      <c r="AI485" s="30">
        <f t="shared" si="446"/>
        <v>0</v>
      </c>
      <c r="AJ485" s="30">
        <f t="shared" si="446"/>
        <v>0</v>
      </c>
      <c r="AK485" s="30">
        <f t="shared" si="446"/>
        <v>0</v>
      </c>
      <c r="AL485" s="30">
        <f>SUM(AL486:AL489)</f>
        <v>0</v>
      </c>
      <c r="AM485" s="30">
        <f>SUM(AM486:AM489)</f>
        <v>0</v>
      </c>
      <c r="AN485" s="30">
        <f>SUM(AN486:AN489)</f>
        <v>0</v>
      </c>
      <c r="AO485" s="30">
        <f>SUM(AO486:AO489)</f>
        <v>0</v>
      </c>
    </row>
    <row r="486" spans="1:41" s="16" customFormat="1" ht="31.5">
      <c r="A486" s="97" t="s">
        <v>27</v>
      </c>
      <c r="B486" s="212" t="s">
        <v>1387</v>
      </c>
      <c r="C486" s="19" t="s">
        <v>43</v>
      </c>
      <c r="D486" s="19" t="s">
        <v>1388</v>
      </c>
      <c r="E486" s="70" t="s">
        <v>235</v>
      </c>
      <c r="F486" s="19" t="s">
        <v>1389</v>
      </c>
      <c r="G486" s="23">
        <v>7191</v>
      </c>
      <c r="H486" s="23">
        <v>7024</v>
      </c>
      <c r="I486" s="23">
        <f t="shared" ref="I486:I487" si="447">+J486</f>
        <v>2300</v>
      </c>
      <c r="J486" s="23">
        <v>2300</v>
      </c>
      <c r="K486" s="23">
        <v>300</v>
      </c>
      <c r="L486" s="23">
        <v>300</v>
      </c>
      <c r="M486" s="23"/>
      <c r="N486" s="23"/>
      <c r="O486" s="23">
        <f>P486</f>
        <v>3291</v>
      </c>
      <c r="P486" s="23">
        <v>3291</v>
      </c>
      <c r="Q486" s="23">
        <v>7191</v>
      </c>
      <c r="R486" s="23">
        <v>7024</v>
      </c>
      <c r="S486" s="23"/>
      <c r="T486" s="23">
        <v>3906</v>
      </c>
      <c r="U486" s="23">
        <v>3700</v>
      </c>
      <c r="V486" s="23"/>
      <c r="W486" s="24"/>
      <c r="X486" s="371">
        <v>3906</v>
      </c>
      <c r="Y486" s="371">
        <v>3700</v>
      </c>
      <c r="Z486" s="371"/>
      <c r="AA486" s="5"/>
      <c r="AD486" s="25">
        <v>1</v>
      </c>
      <c r="AE486" s="23">
        <v>848</v>
      </c>
    </row>
    <row r="487" spans="1:41" s="16" customFormat="1" ht="31.5">
      <c r="A487" s="97" t="s">
        <v>41</v>
      </c>
      <c r="B487" s="212" t="s">
        <v>1390</v>
      </c>
      <c r="C487" s="19" t="s">
        <v>29</v>
      </c>
      <c r="D487" s="19"/>
      <c r="E487" s="70" t="s">
        <v>1391</v>
      </c>
      <c r="F487" s="19" t="s">
        <v>1392</v>
      </c>
      <c r="G487" s="23">
        <v>17723</v>
      </c>
      <c r="H487" s="23">
        <v>2723</v>
      </c>
      <c r="I487" s="23">
        <f t="shared" si="447"/>
        <v>1500</v>
      </c>
      <c r="J487" s="23">
        <v>1500</v>
      </c>
      <c r="K487" s="23"/>
      <c r="L487" s="23"/>
      <c r="M487" s="23"/>
      <c r="N487" s="23"/>
      <c r="O487" s="23">
        <v>16754</v>
      </c>
      <c r="P487" s="23">
        <v>1754</v>
      </c>
      <c r="Q487" s="23">
        <v>2723</v>
      </c>
      <c r="R487" s="23">
        <v>2723</v>
      </c>
      <c r="S487" s="23"/>
      <c r="T487" s="23">
        <f>U487</f>
        <v>1200</v>
      </c>
      <c r="U487" s="23">
        <v>1200</v>
      </c>
      <c r="V487" s="23"/>
      <c r="W487" s="24"/>
      <c r="X487" s="371">
        <f>Y487</f>
        <v>1200</v>
      </c>
      <c r="Y487" s="371">
        <v>1200</v>
      </c>
      <c r="Z487" s="371"/>
      <c r="AA487" s="5"/>
      <c r="AD487" s="25"/>
      <c r="AE487" s="23"/>
    </row>
    <row r="488" spans="1:41" s="16" customFormat="1" ht="31.5">
      <c r="A488" s="97" t="s">
        <v>58</v>
      </c>
      <c r="B488" s="212" t="s">
        <v>1059</v>
      </c>
      <c r="C488" s="19" t="s">
        <v>1060</v>
      </c>
      <c r="D488" s="19" t="s">
        <v>1393</v>
      </c>
      <c r="E488" s="70" t="s">
        <v>38</v>
      </c>
      <c r="F488" s="19" t="s">
        <v>1062</v>
      </c>
      <c r="G488" s="23">
        <v>127050</v>
      </c>
      <c r="H488" s="23">
        <v>28248</v>
      </c>
      <c r="I488" s="23">
        <f>+J488</f>
        <v>1944</v>
      </c>
      <c r="J488" s="23">
        <f>19212-17268</f>
        <v>1944</v>
      </c>
      <c r="K488" s="23"/>
      <c r="L488" s="23"/>
      <c r="M488" s="23"/>
      <c r="N488" s="23"/>
      <c r="O488" s="23">
        <v>100758</v>
      </c>
      <c r="P488" s="23">
        <v>24806</v>
      </c>
      <c r="Q488" s="23">
        <v>127050</v>
      </c>
      <c r="R488" s="23">
        <v>28248</v>
      </c>
      <c r="S488" s="23"/>
      <c r="T488" s="23">
        <v>28854</v>
      </c>
      <c r="U488" s="23">
        <v>8196</v>
      </c>
      <c r="V488" s="23"/>
      <c r="W488" s="24"/>
      <c r="X488" s="371">
        <v>28854</v>
      </c>
      <c r="Y488" s="371">
        <v>8196</v>
      </c>
      <c r="Z488" s="371"/>
      <c r="AA488" s="5"/>
      <c r="AD488" s="25">
        <v>1</v>
      </c>
      <c r="AE488" s="23">
        <v>2110</v>
      </c>
    </row>
    <row r="489" spans="1:41" s="16" customFormat="1" ht="47.25">
      <c r="A489" s="97" t="s">
        <v>64</v>
      </c>
      <c r="B489" s="212" t="s">
        <v>1063</v>
      </c>
      <c r="C489" s="19" t="s">
        <v>1060</v>
      </c>
      <c r="D489" s="19" t="s">
        <v>1064</v>
      </c>
      <c r="E489" s="70" t="s">
        <v>120</v>
      </c>
      <c r="F489" s="43" t="s">
        <v>1065</v>
      </c>
      <c r="G489" s="23">
        <v>227070</v>
      </c>
      <c r="H489" s="23">
        <v>50880</v>
      </c>
      <c r="I489" s="23">
        <v>12080</v>
      </c>
      <c r="J489" s="23">
        <v>5080</v>
      </c>
      <c r="K489" s="23"/>
      <c r="L489" s="23"/>
      <c r="M489" s="23"/>
      <c r="N489" s="23"/>
      <c r="O489" s="23">
        <v>12080</v>
      </c>
      <c r="P489" s="23">
        <v>5080</v>
      </c>
      <c r="Q489" s="23">
        <v>227070</v>
      </c>
      <c r="R489" s="23">
        <v>50880</v>
      </c>
      <c r="S489" s="23"/>
      <c r="T489" s="23">
        <v>40430</v>
      </c>
      <c r="U489" s="23">
        <v>10180</v>
      </c>
      <c r="V489" s="23"/>
      <c r="W489" s="24" t="s">
        <v>1118</v>
      </c>
      <c r="X489" s="371">
        <v>40430</v>
      </c>
      <c r="Y489" s="371">
        <v>10180</v>
      </c>
      <c r="Z489" s="371"/>
      <c r="AA489" s="5"/>
      <c r="AD489" s="25">
        <v>1</v>
      </c>
      <c r="AE489" s="23">
        <v>10180</v>
      </c>
    </row>
    <row r="490" spans="1:41" s="16" customFormat="1" ht="31.5">
      <c r="A490" s="11" t="s">
        <v>150</v>
      </c>
      <c r="B490" s="12" t="s">
        <v>151</v>
      </c>
      <c r="C490" s="13"/>
      <c r="D490" s="13"/>
      <c r="E490" s="14"/>
      <c r="F490" s="13"/>
      <c r="G490" s="15">
        <f>SUM(G491)</f>
        <v>66360</v>
      </c>
      <c r="H490" s="15">
        <f t="shared" ref="H490:Z490" si="448">SUM(H491)</f>
        <v>65581</v>
      </c>
      <c r="I490" s="15">
        <f t="shared" si="448"/>
        <v>240</v>
      </c>
      <c r="J490" s="15">
        <f t="shared" si="448"/>
        <v>240</v>
      </c>
      <c r="K490" s="15">
        <f t="shared" si="448"/>
        <v>0</v>
      </c>
      <c r="L490" s="15">
        <f t="shared" si="448"/>
        <v>0</v>
      </c>
      <c r="M490" s="15">
        <f t="shared" si="448"/>
        <v>0</v>
      </c>
      <c r="N490" s="15">
        <f t="shared" si="448"/>
        <v>0</v>
      </c>
      <c r="O490" s="15">
        <f t="shared" si="448"/>
        <v>262</v>
      </c>
      <c r="P490" s="15">
        <f t="shared" si="448"/>
        <v>262</v>
      </c>
      <c r="Q490" s="15">
        <f t="shared" si="448"/>
        <v>66338</v>
      </c>
      <c r="R490" s="15">
        <f t="shared" si="448"/>
        <v>65559</v>
      </c>
      <c r="S490" s="15">
        <f t="shared" si="448"/>
        <v>0</v>
      </c>
      <c r="T490" s="15">
        <f t="shared" si="448"/>
        <v>10997</v>
      </c>
      <c r="U490" s="15">
        <f t="shared" si="448"/>
        <v>10100</v>
      </c>
      <c r="V490" s="15">
        <f t="shared" si="448"/>
        <v>0</v>
      </c>
      <c r="W490" s="379"/>
      <c r="X490" s="429">
        <f t="shared" si="448"/>
        <v>10997</v>
      </c>
      <c r="Y490" s="429">
        <f t="shared" si="448"/>
        <v>10100</v>
      </c>
      <c r="Z490" s="429">
        <f t="shared" si="448"/>
        <v>0</v>
      </c>
      <c r="AA490" s="5"/>
      <c r="AB490" s="15">
        <f t="shared" ref="AB490:AK490" si="449">SUM(AB491)</f>
        <v>0</v>
      </c>
      <c r="AC490" s="15">
        <f t="shared" si="449"/>
        <v>0</v>
      </c>
      <c r="AD490" s="15">
        <f t="shared" si="449"/>
        <v>0</v>
      </c>
      <c r="AE490" s="15">
        <f t="shared" si="449"/>
        <v>0</v>
      </c>
      <c r="AF490" s="15">
        <f t="shared" si="449"/>
        <v>0</v>
      </c>
      <c r="AG490" s="15">
        <f t="shared" si="449"/>
        <v>0</v>
      </c>
      <c r="AH490" s="15">
        <f t="shared" si="449"/>
        <v>0</v>
      </c>
      <c r="AI490" s="15">
        <f t="shared" si="449"/>
        <v>0</v>
      </c>
      <c r="AJ490" s="15">
        <f t="shared" si="449"/>
        <v>0</v>
      </c>
      <c r="AK490" s="15">
        <f t="shared" si="449"/>
        <v>0</v>
      </c>
      <c r="AL490" s="15">
        <f>SUM(AL491)</f>
        <v>3</v>
      </c>
      <c r="AM490" s="15">
        <f>SUM(AM491)</f>
        <v>3818</v>
      </c>
      <c r="AN490" s="15">
        <f>SUM(AN491)</f>
        <v>0</v>
      </c>
      <c r="AO490" s="15">
        <f>SUM(AO491)</f>
        <v>0</v>
      </c>
    </row>
    <row r="491" spans="1:41" s="31" customFormat="1" ht="15.75">
      <c r="A491" s="26" t="s">
        <v>273</v>
      </c>
      <c r="B491" s="27" t="s">
        <v>48</v>
      </c>
      <c r="C491" s="28"/>
      <c r="D491" s="28"/>
      <c r="E491" s="29"/>
      <c r="F491" s="28"/>
      <c r="G491" s="30">
        <f t="shared" ref="G491:V491" si="450">SUM(G492:G496)</f>
        <v>66360</v>
      </c>
      <c r="H491" s="30">
        <f t="shared" si="450"/>
        <v>65581</v>
      </c>
      <c r="I491" s="30">
        <f t="shared" si="450"/>
        <v>240</v>
      </c>
      <c r="J491" s="30">
        <f t="shared" si="450"/>
        <v>240</v>
      </c>
      <c r="K491" s="30">
        <f t="shared" si="450"/>
        <v>0</v>
      </c>
      <c r="L491" s="30">
        <f t="shared" si="450"/>
        <v>0</v>
      </c>
      <c r="M491" s="30">
        <f t="shared" si="450"/>
        <v>0</v>
      </c>
      <c r="N491" s="30">
        <f t="shared" si="450"/>
        <v>0</v>
      </c>
      <c r="O491" s="30">
        <f t="shared" si="450"/>
        <v>262</v>
      </c>
      <c r="P491" s="30">
        <f t="shared" si="450"/>
        <v>262</v>
      </c>
      <c r="Q491" s="30">
        <f t="shared" si="450"/>
        <v>66338</v>
      </c>
      <c r="R491" s="30">
        <f t="shared" si="450"/>
        <v>65559</v>
      </c>
      <c r="S491" s="30">
        <f t="shared" si="450"/>
        <v>0</v>
      </c>
      <c r="T491" s="30">
        <f t="shared" si="450"/>
        <v>10997</v>
      </c>
      <c r="U491" s="30">
        <f t="shared" si="450"/>
        <v>10100</v>
      </c>
      <c r="V491" s="30">
        <f t="shared" si="450"/>
        <v>0</v>
      </c>
      <c r="W491" s="479"/>
      <c r="X491" s="431">
        <f t="shared" ref="X491:Z491" si="451">SUM(X492:X496)</f>
        <v>10997</v>
      </c>
      <c r="Y491" s="431">
        <f t="shared" si="451"/>
        <v>10100</v>
      </c>
      <c r="Z491" s="431">
        <f t="shared" si="451"/>
        <v>0</v>
      </c>
      <c r="AA491" s="5"/>
      <c r="AB491" s="30">
        <f t="shared" ref="AB491:AK491" si="452">SUM(AB492:AB494)</f>
        <v>0</v>
      </c>
      <c r="AC491" s="30">
        <f t="shared" si="452"/>
        <v>0</v>
      </c>
      <c r="AD491" s="30">
        <f t="shared" si="452"/>
        <v>0</v>
      </c>
      <c r="AE491" s="30">
        <f t="shared" si="452"/>
        <v>0</v>
      </c>
      <c r="AF491" s="30">
        <f t="shared" si="452"/>
        <v>0</v>
      </c>
      <c r="AG491" s="30">
        <f t="shared" si="452"/>
        <v>0</v>
      </c>
      <c r="AH491" s="30">
        <f t="shared" si="452"/>
        <v>0</v>
      </c>
      <c r="AI491" s="30">
        <f t="shared" si="452"/>
        <v>0</v>
      </c>
      <c r="AJ491" s="30">
        <f t="shared" si="452"/>
        <v>0</v>
      </c>
      <c r="AK491" s="30">
        <f t="shared" si="452"/>
        <v>0</v>
      </c>
      <c r="AL491" s="30">
        <f>SUM(AL492:AL494)</f>
        <v>3</v>
      </c>
      <c r="AM491" s="30">
        <f>SUM(AM492:AM494)</f>
        <v>3818</v>
      </c>
      <c r="AN491" s="30">
        <f>SUM(AN492:AN494)</f>
        <v>0</v>
      </c>
      <c r="AO491" s="30">
        <f>SUM(AO492:AO494)</f>
        <v>0</v>
      </c>
    </row>
    <row r="492" spans="1:41" s="16" customFormat="1" ht="47.25">
      <c r="A492" s="97" t="s">
        <v>27</v>
      </c>
      <c r="B492" s="212" t="s">
        <v>1066</v>
      </c>
      <c r="C492" s="19" t="s">
        <v>5</v>
      </c>
      <c r="D492" s="19">
        <v>290</v>
      </c>
      <c r="E492" s="70" t="s">
        <v>94</v>
      </c>
      <c r="F492" s="19" t="s">
        <v>1394</v>
      </c>
      <c r="G492" s="23">
        <v>1544</v>
      </c>
      <c r="H492" s="23">
        <v>1544</v>
      </c>
      <c r="I492" s="23">
        <f>+J492</f>
        <v>100</v>
      </c>
      <c r="J492" s="23">
        <v>100</v>
      </c>
      <c r="K492" s="23">
        <v>0</v>
      </c>
      <c r="L492" s="23"/>
      <c r="M492" s="23">
        <v>0</v>
      </c>
      <c r="N492" s="23"/>
      <c r="O492" s="23">
        <v>122</v>
      </c>
      <c r="P492" s="23">
        <v>122</v>
      </c>
      <c r="Q492" s="23">
        <v>1522</v>
      </c>
      <c r="R492" s="23">
        <v>1522</v>
      </c>
      <c r="S492" s="23"/>
      <c r="T492" s="23">
        <v>1400</v>
      </c>
      <c r="U492" s="23">
        <v>1400</v>
      </c>
      <c r="V492" s="23"/>
      <c r="W492" s="24"/>
      <c r="X492" s="371">
        <v>1400</v>
      </c>
      <c r="Y492" s="371">
        <v>1400</v>
      </c>
      <c r="Z492" s="371"/>
      <c r="AA492" s="5"/>
      <c r="AL492" s="25">
        <v>1</v>
      </c>
      <c r="AM492" s="23">
        <v>2000</v>
      </c>
    </row>
    <row r="493" spans="1:41" s="16" customFormat="1" ht="30">
      <c r="A493" s="97" t="s">
        <v>41</v>
      </c>
      <c r="B493" s="212" t="s">
        <v>1068</v>
      </c>
      <c r="C493" s="19" t="s">
        <v>43</v>
      </c>
      <c r="D493" s="19" t="s">
        <v>1069</v>
      </c>
      <c r="E493" s="70" t="s">
        <v>489</v>
      </c>
      <c r="F493" s="43" t="s">
        <v>1070</v>
      </c>
      <c r="G493" s="23">
        <v>16050</v>
      </c>
      <c r="H493" s="23">
        <v>16050</v>
      </c>
      <c r="I493" s="23">
        <f t="shared" ref="I493" si="453">+J493</f>
        <v>90</v>
      </c>
      <c r="J493" s="23">
        <v>90</v>
      </c>
      <c r="K493" s="23">
        <v>0</v>
      </c>
      <c r="L493" s="23"/>
      <c r="M493" s="23">
        <v>0</v>
      </c>
      <c r="N493" s="23"/>
      <c r="O493" s="23">
        <v>90</v>
      </c>
      <c r="P493" s="23">
        <v>90</v>
      </c>
      <c r="Q493" s="23">
        <v>16050</v>
      </c>
      <c r="R493" s="23">
        <v>16050</v>
      </c>
      <c r="S493" s="23"/>
      <c r="T493" s="23">
        <v>5000</v>
      </c>
      <c r="U493" s="23">
        <v>5000</v>
      </c>
      <c r="V493" s="23"/>
      <c r="W493" s="24"/>
      <c r="X493" s="371">
        <v>5000</v>
      </c>
      <c r="Y493" s="371">
        <v>5000</v>
      </c>
      <c r="Z493" s="371"/>
      <c r="AA493" s="5"/>
      <c r="AL493" s="25">
        <v>1</v>
      </c>
      <c r="AM493" s="23">
        <v>1047</v>
      </c>
    </row>
    <row r="494" spans="1:41" s="16" customFormat="1" ht="38.25">
      <c r="A494" s="97" t="s">
        <v>58</v>
      </c>
      <c r="B494" s="212" t="s">
        <v>1071</v>
      </c>
      <c r="C494" s="19" t="s">
        <v>143</v>
      </c>
      <c r="D494" s="19" t="s">
        <v>1072</v>
      </c>
      <c r="E494" s="70">
        <v>2017</v>
      </c>
      <c r="F494" s="516"/>
      <c r="G494" s="23">
        <v>1495</v>
      </c>
      <c r="H494" s="23">
        <v>1047</v>
      </c>
      <c r="I494" s="23"/>
      <c r="J494" s="23"/>
      <c r="K494" s="23"/>
      <c r="L494" s="23"/>
      <c r="M494" s="23"/>
      <c r="N494" s="23"/>
      <c r="O494" s="23"/>
      <c r="P494" s="23"/>
      <c r="Q494" s="23">
        <v>1495</v>
      </c>
      <c r="R494" s="23">
        <v>1047</v>
      </c>
      <c r="S494" s="23"/>
      <c r="T494" s="23">
        <v>1495</v>
      </c>
      <c r="U494" s="23">
        <v>1000</v>
      </c>
      <c r="V494" s="23"/>
      <c r="W494" s="80" t="s">
        <v>1073</v>
      </c>
      <c r="X494" s="371">
        <v>1495</v>
      </c>
      <c r="Y494" s="371">
        <v>1000</v>
      </c>
      <c r="Z494" s="371"/>
      <c r="AA494" s="5"/>
      <c r="AL494" s="25">
        <v>1</v>
      </c>
      <c r="AM494" s="23">
        <v>771</v>
      </c>
    </row>
    <row r="495" spans="1:41" s="16" customFormat="1" ht="38.25">
      <c r="A495" s="97" t="s">
        <v>64</v>
      </c>
      <c r="B495" s="212" t="s">
        <v>1074</v>
      </c>
      <c r="C495" s="19" t="s">
        <v>143</v>
      </c>
      <c r="D495" s="19" t="s">
        <v>1072</v>
      </c>
      <c r="E495" s="70">
        <v>2017</v>
      </c>
      <c r="F495" s="516"/>
      <c r="G495" s="23">
        <v>1102</v>
      </c>
      <c r="H495" s="23">
        <v>771</v>
      </c>
      <c r="I495" s="23"/>
      <c r="J495" s="23"/>
      <c r="K495" s="23"/>
      <c r="L495" s="23"/>
      <c r="M495" s="23"/>
      <c r="N495" s="23"/>
      <c r="O495" s="23"/>
      <c r="P495" s="23"/>
      <c r="Q495" s="23">
        <v>1102</v>
      </c>
      <c r="R495" s="23">
        <v>771</v>
      </c>
      <c r="S495" s="23"/>
      <c r="T495" s="23">
        <v>1102</v>
      </c>
      <c r="U495" s="23">
        <v>700</v>
      </c>
      <c r="V495" s="23"/>
      <c r="W495" s="80" t="s">
        <v>1075</v>
      </c>
      <c r="X495" s="371">
        <v>1102</v>
      </c>
      <c r="Y495" s="371">
        <v>700</v>
      </c>
      <c r="Z495" s="371"/>
      <c r="AA495" s="5"/>
      <c r="AL495" s="25"/>
      <c r="AM495" s="23"/>
    </row>
    <row r="496" spans="1:41" s="16" customFormat="1" ht="30">
      <c r="A496" s="97" t="s">
        <v>69</v>
      </c>
      <c r="B496" s="212" t="s">
        <v>533</v>
      </c>
      <c r="C496" s="19" t="s">
        <v>143</v>
      </c>
      <c r="D496" s="19" t="s">
        <v>534</v>
      </c>
      <c r="E496" s="70" t="s">
        <v>163</v>
      </c>
      <c r="F496" s="19" t="s">
        <v>535</v>
      </c>
      <c r="G496" s="23">
        <v>46169</v>
      </c>
      <c r="H496" s="23">
        <v>46169</v>
      </c>
      <c r="I496" s="23">
        <f>+J496</f>
        <v>50</v>
      </c>
      <c r="J496" s="23">
        <v>50</v>
      </c>
      <c r="K496" s="23"/>
      <c r="L496" s="23"/>
      <c r="M496" s="23"/>
      <c r="N496" s="23"/>
      <c r="O496" s="23">
        <f t="shared" ref="O496" si="454">+P496</f>
        <v>50</v>
      </c>
      <c r="P496" s="23">
        <v>50</v>
      </c>
      <c r="Q496" s="23">
        <v>46169</v>
      </c>
      <c r="R496" s="23">
        <v>46169</v>
      </c>
      <c r="S496" s="23"/>
      <c r="T496" s="23">
        <v>2000</v>
      </c>
      <c r="U496" s="23">
        <v>2000</v>
      </c>
      <c r="V496" s="23"/>
      <c r="W496" s="24"/>
      <c r="X496" s="371">
        <v>2000</v>
      </c>
      <c r="Y496" s="371">
        <v>2000</v>
      </c>
      <c r="Z496" s="371"/>
      <c r="AA496" s="5"/>
      <c r="AL496" s="25">
        <v>1</v>
      </c>
      <c r="AM496" s="23">
        <v>2000</v>
      </c>
    </row>
    <row r="497" spans="1:41" s="16" customFormat="1" ht="15.75">
      <c r="A497" s="97"/>
      <c r="B497" s="212"/>
      <c r="C497" s="19"/>
      <c r="D497" s="19"/>
      <c r="E497" s="70"/>
      <c r="F497" s="19"/>
      <c r="G497" s="23"/>
      <c r="H497" s="23"/>
      <c r="I497" s="23"/>
      <c r="J497" s="23">
        <f>147734-J498</f>
        <v>0</v>
      </c>
      <c r="K497" s="23"/>
      <c r="L497" s="23"/>
      <c r="M497" s="23"/>
      <c r="N497" s="23"/>
      <c r="O497" s="23"/>
      <c r="P497" s="23"/>
      <c r="Q497" s="23"/>
      <c r="R497" s="23"/>
      <c r="S497" s="23"/>
      <c r="T497" s="23"/>
      <c r="U497" s="23"/>
      <c r="V497" s="23"/>
      <c r="W497" s="24"/>
      <c r="X497" s="371"/>
      <c r="Y497" s="371"/>
      <c r="Z497" s="371"/>
      <c r="AA497" s="5"/>
    </row>
    <row r="498" spans="1:41" s="208" customFormat="1" ht="27.75" customHeight="1">
      <c r="A498" s="147" t="s">
        <v>1119</v>
      </c>
      <c r="B498" s="209" t="s">
        <v>1395</v>
      </c>
      <c r="C498" s="126"/>
      <c r="D498" s="126"/>
      <c r="E498" s="127"/>
      <c r="F498" s="126"/>
      <c r="G498" s="210">
        <f>G499+G501</f>
        <v>1001494</v>
      </c>
      <c r="H498" s="210">
        <f>H499+H501</f>
        <v>697378</v>
      </c>
      <c r="I498" s="210">
        <f t="shared" ref="I498:V498" si="455">I499+I501</f>
        <v>159842</v>
      </c>
      <c r="J498" s="210">
        <f t="shared" si="455"/>
        <v>147734</v>
      </c>
      <c r="K498" s="210">
        <f t="shared" si="455"/>
        <v>129844</v>
      </c>
      <c r="L498" s="210">
        <f t="shared" si="455"/>
        <v>129844</v>
      </c>
      <c r="M498" s="210">
        <f t="shared" si="455"/>
        <v>68211.778000000006</v>
      </c>
      <c r="N498" s="210">
        <f t="shared" si="455"/>
        <v>67253.877999999997</v>
      </c>
      <c r="O498" s="210">
        <f t="shared" si="455"/>
        <v>306257.19099999999</v>
      </c>
      <c r="P498" s="210">
        <f t="shared" si="455"/>
        <v>293380.19099999999</v>
      </c>
      <c r="Q498" s="210">
        <f t="shared" si="455"/>
        <v>793130</v>
      </c>
      <c r="R498" s="210">
        <f t="shared" si="455"/>
        <v>587222</v>
      </c>
      <c r="S498" s="210">
        <f t="shared" si="455"/>
        <v>0</v>
      </c>
      <c r="T498" s="210">
        <f t="shared" si="455"/>
        <v>216279</v>
      </c>
      <c r="U498" s="210">
        <f t="shared" si="455"/>
        <v>161438</v>
      </c>
      <c r="V498" s="210">
        <f t="shared" si="455"/>
        <v>0</v>
      </c>
      <c r="W498" s="410"/>
      <c r="X498" s="429">
        <f t="shared" ref="X498:Z498" si="456">X499+X501</f>
        <v>217927</v>
      </c>
      <c r="Y498" s="429">
        <f t="shared" si="456"/>
        <v>163438</v>
      </c>
      <c r="Z498" s="429">
        <f t="shared" si="456"/>
        <v>0</v>
      </c>
      <c r="AA498" s="348">
        <f>+U498/(2704380-258412-300000)*100</f>
        <v>7.5228521580936905</v>
      </c>
      <c r="AB498" s="210">
        <f t="shared" ref="AB498:AO498" si="457">AB499+AB501</f>
        <v>2</v>
      </c>
      <c r="AC498" s="210">
        <f t="shared" si="457"/>
        <v>250</v>
      </c>
      <c r="AD498" s="210">
        <f t="shared" si="457"/>
        <v>11</v>
      </c>
      <c r="AE498" s="210">
        <f t="shared" si="457"/>
        <v>77912</v>
      </c>
      <c r="AF498" s="210">
        <f t="shared" si="457"/>
        <v>0</v>
      </c>
      <c r="AG498" s="210">
        <f t="shared" si="457"/>
        <v>0</v>
      </c>
      <c r="AH498" s="210">
        <f t="shared" si="457"/>
        <v>7</v>
      </c>
      <c r="AI498" s="210">
        <f t="shared" si="457"/>
        <v>26000</v>
      </c>
      <c r="AJ498" s="210">
        <f t="shared" si="457"/>
        <v>0</v>
      </c>
      <c r="AK498" s="210">
        <f t="shared" si="457"/>
        <v>0</v>
      </c>
      <c r="AL498" s="210">
        <f t="shared" si="457"/>
        <v>11</v>
      </c>
      <c r="AM498" s="210">
        <f t="shared" si="457"/>
        <v>24618</v>
      </c>
      <c r="AN498" s="210">
        <f t="shared" si="457"/>
        <v>0</v>
      </c>
      <c r="AO498" s="210">
        <f t="shared" si="457"/>
        <v>0</v>
      </c>
    </row>
    <row r="499" spans="1:41" s="16" customFormat="1" ht="19.5" customHeight="1">
      <c r="A499" s="11"/>
      <c r="B499" s="12" t="s">
        <v>26</v>
      </c>
      <c r="C499" s="13"/>
      <c r="D499" s="13"/>
      <c r="E499" s="14"/>
      <c r="F499" s="13"/>
      <c r="G499" s="15">
        <f>SUM(G500:G500)</f>
        <v>20000</v>
      </c>
      <c r="H499" s="15">
        <f>SUM(H500:H500)</f>
        <v>20000</v>
      </c>
      <c r="I499" s="15">
        <f t="shared" ref="I499:Z499" si="458">SUM(I500:I500)</f>
        <v>0</v>
      </c>
      <c r="J499" s="15">
        <f t="shared" si="458"/>
        <v>0</v>
      </c>
      <c r="K499" s="15">
        <f t="shared" si="458"/>
        <v>0</v>
      </c>
      <c r="L499" s="15">
        <f t="shared" si="458"/>
        <v>0</v>
      </c>
      <c r="M499" s="15">
        <f t="shared" si="458"/>
        <v>0</v>
      </c>
      <c r="N499" s="15">
        <f t="shared" si="458"/>
        <v>0</v>
      </c>
      <c r="O499" s="15">
        <f t="shared" si="458"/>
        <v>0</v>
      </c>
      <c r="P499" s="15">
        <f t="shared" si="458"/>
        <v>0</v>
      </c>
      <c r="Q499" s="15">
        <f t="shared" si="458"/>
        <v>20000</v>
      </c>
      <c r="R499" s="15">
        <f t="shared" si="458"/>
        <v>20000</v>
      </c>
      <c r="S499" s="15">
        <f t="shared" si="458"/>
        <v>0</v>
      </c>
      <c r="T499" s="15">
        <f t="shared" si="458"/>
        <v>100</v>
      </c>
      <c r="U499" s="15">
        <f t="shared" si="458"/>
        <v>100</v>
      </c>
      <c r="V499" s="15">
        <f t="shared" si="458"/>
        <v>0</v>
      </c>
      <c r="W499" s="379"/>
      <c r="X499" s="429">
        <f t="shared" si="458"/>
        <v>100</v>
      </c>
      <c r="Y499" s="429">
        <f t="shared" si="458"/>
        <v>100</v>
      </c>
      <c r="Z499" s="429">
        <f t="shared" si="458"/>
        <v>0</v>
      </c>
      <c r="AA499" s="5"/>
      <c r="AB499" s="15">
        <f t="shared" ref="AB499:AO499" si="459">SUM(AB500:AB500)</f>
        <v>1</v>
      </c>
      <c r="AC499" s="15">
        <f t="shared" si="459"/>
        <v>100</v>
      </c>
      <c r="AD499" s="15">
        <f t="shared" si="459"/>
        <v>0</v>
      </c>
      <c r="AE499" s="15">
        <f t="shared" si="459"/>
        <v>0</v>
      </c>
      <c r="AF499" s="15">
        <f t="shared" si="459"/>
        <v>0</v>
      </c>
      <c r="AG499" s="15">
        <f t="shared" si="459"/>
        <v>0</v>
      </c>
      <c r="AH499" s="15">
        <f t="shared" si="459"/>
        <v>0</v>
      </c>
      <c r="AI499" s="15">
        <f t="shared" si="459"/>
        <v>0</v>
      </c>
      <c r="AJ499" s="15">
        <f t="shared" si="459"/>
        <v>0</v>
      </c>
      <c r="AK499" s="15">
        <f t="shared" si="459"/>
        <v>0</v>
      </c>
      <c r="AL499" s="15">
        <f t="shared" si="459"/>
        <v>0</v>
      </c>
      <c r="AM499" s="15">
        <f t="shared" si="459"/>
        <v>0</v>
      </c>
      <c r="AN499" s="15">
        <f t="shared" si="459"/>
        <v>0</v>
      </c>
      <c r="AO499" s="15">
        <f t="shared" si="459"/>
        <v>0</v>
      </c>
    </row>
    <row r="500" spans="1:41" s="25" customFormat="1" ht="31.5">
      <c r="A500" s="190" t="s">
        <v>27</v>
      </c>
      <c r="B500" s="517" t="s">
        <v>28</v>
      </c>
      <c r="C500" s="101" t="s">
        <v>29</v>
      </c>
      <c r="D500" s="19"/>
      <c r="E500" s="312" t="s">
        <v>30</v>
      </c>
      <c r="F500" s="19"/>
      <c r="G500" s="366">
        <v>20000</v>
      </c>
      <c r="H500" s="366">
        <v>20000</v>
      </c>
      <c r="I500" s="392">
        <v>0</v>
      </c>
      <c r="J500" s="23">
        <v>0</v>
      </c>
      <c r="K500" s="23"/>
      <c r="L500" s="23"/>
      <c r="M500" s="23"/>
      <c r="N500" s="23"/>
      <c r="O500" s="392"/>
      <c r="P500" s="23"/>
      <c r="Q500" s="366">
        <v>20000</v>
      </c>
      <c r="R500" s="366">
        <v>20000</v>
      </c>
      <c r="S500" s="23"/>
      <c r="T500" s="366">
        <v>100</v>
      </c>
      <c r="U500" s="392">
        <v>100</v>
      </c>
      <c r="V500" s="23"/>
      <c r="W500" s="24"/>
      <c r="X500" s="367">
        <v>100</v>
      </c>
      <c r="Y500" s="396">
        <v>100</v>
      </c>
      <c r="Z500" s="371"/>
      <c r="AA500" s="5"/>
      <c r="AB500" s="25">
        <v>1</v>
      </c>
      <c r="AC500" s="392">
        <v>100</v>
      </c>
    </row>
    <row r="501" spans="1:41" s="16" customFormat="1" ht="19.5" customHeight="1">
      <c r="A501" s="11"/>
      <c r="B501" s="357" t="s">
        <v>31</v>
      </c>
      <c r="C501" s="13"/>
      <c r="D501" s="13"/>
      <c r="E501" s="14"/>
      <c r="F501" s="13"/>
      <c r="G501" s="15">
        <f t="shared" ref="G501:V501" si="460">SUM(G502,G514,G528,G538)</f>
        <v>981494</v>
      </c>
      <c r="H501" s="15">
        <f t="shared" si="460"/>
        <v>677378</v>
      </c>
      <c r="I501" s="15">
        <f t="shared" si="460"/>
        <v>159842</v>
      </c>
      <c r="J501" s="15">
        <f t="shared" si="460"/>
        <v>147734</v>
      </c>
      <c r="K501" s="15">
        <f t="shared" si="460"/>
        <v>129844</v>
      </c>
      <c r="L501" s="15">
        <f t="shared" si="460"/>
        <v>129844</v>
      </c>
      <c r="M501" s="15">
        <f t="shared" si="460"/>
        <v>68211.778000000006</v>
      </c>
      <c r="N501" s="15">
        <f t="shared" si="460"/>
        <v>67253.877999999997</v>
      </c>
      <c r="O501" s="15">
        <f t="shared" si="460"/>
        <v>306257.19099999999</v>
      </c>
      <c r="P501" s="15">
        <f t="shared" si="460"/>
        <v>293380.19099999999</v>
      </c>
      <c r="Q501" s="15">
        <f t="shared" si="460"/>
        <v>773130</v>
      </c>
      <c r="R501" s="15">
        <f t="shared" si="460"/>
        <v>567222</v>
      </c>
      <c r="S501" s="15">
        <f t="shared" si="460"/>
        <v>0</v>
      </c>
      <c r="T501" s="15">
        <f t="shared" si="460"/>
        <v>216179</v>
      </c>
      <c r="U501" s="15">
        <f t="shared" si="460"/>
        <v>161338</v>
      </c>
      <c r="V501" s="15">
        <f t="shared" si="460"/>
        <v>0</v>
      </c>
      <c r="W501" s="379"/>
      <c r="X501" s="429">
        <f t="shared" ref="X501:Z501" si="461">SUM(X502,X514,X528,X538)</f>
        <v>217827</v>
      </c>
      <c r="Y501" s="429">
        <f t="shared" si="461"/>
        <v>163338</v>
      </c>
      <c r="Z501" s="429">
        <f t="shared" si="461"/>
        <v>0</v>
      </c>
      <c r="AA501" s="5"/>
      <c r="AB501" s="15">
        <f t="shared" ref="AB501:AO501" si="462">SUM(AB502,AB514,AB528,AB538)</f>
        <v>1</v>
      </c>
      <c r="AC501" s="15">
        <f t="shared" si="462"/>
        <v>150</v>
      </c>
      <c r="AD501" s="15">
        <f t="shared" si="462"/>
        <v>11</v>
      </c>
      <c r="AE501" s="15">
        <f t="shared" si="462"/>
        <v>77912</v>
      </c>
      <c r="AF501" s="15">
        <f t="shared" si="462"/>
        <v>0</v>
      </c>
      <c r="AG501" s="15">
        <f t="shared" si="462"/>
        <v>0</v>
      </c>
      <c r="AH501" s="15">
        <f t="shared" si="462"/>
        <v>7</v>
      </c>
      <c r="AI501" s="15">
        <f t="shared" si="462"/>
        <v>26000</v>
      </c>
      <c r="AJ501" s="15">
        <f t="shared" si="462"/>
        <v>0</v>
      </c>
      <c r="AK501" s="15">
        <f t="shared" si="462"/>
        <v>0</v>
      </c>
      <c r="AL501" s="15">
        <f t="shared" si="462"/>
        <v>11</v>
      </c>
      <c r="AM501" s="15">
        <f t="shared" si="462"/>
        <v>24618</v>
      </c>
      <c r="AN501" s="15">
        <f t="shared" si="462"/>
        <v>0</v>
      </c>
      <c r="AO501" s="15">
        <f t="shared" si="462"/>
        <v>0</v>
      </c>
    </row>
    <row r="502" spans="1:41" s="16" customFormat="1" ht="47.25">
      <c r="A502" s="11" t="s">
        <v>32</v>
      </c>
      <c r="B502" s="12" t="s">
        <v>33</v>
      </c>
      <c r="C502" s="13"/>
      <c r="D502" s="13"/>
      <c r="E502" s="14"/>
      <c r="F502" s="13"/>
      <c r="G502" s="15">
        <f>G506+G503</f>
        <v>227362</v>
      </c>
      <c r="H502" s="15">
        <f t="shared" ref="H502:V502" si="463">H506+H503</f>
        <v>174911</v>
      </c>
      <c r="I502" s="15">
        <f t="shared" si="463"/>
        <v>90146</v>
      </c>
      <c r="J502" s="15">
        <f t="shared" si="463"/>
        <v>88622</v>
      </c>
      <c r="K502" s="15">
        <f t="shared" si="463"/>
        <v>64308</v>
      </c>
      <c r="L502" s="15">
        <f t="shared" si="463"/>
        <v>64308</v>
      </c>
      <c r="M502" s="15">
        <f t="shared" si="463"/>
        <v>49380</v>
      </c>
      <c r="N502" s="15">
        <f t="shared" si="463"/>
        <v>49139</v>
      </c>
      <c r="O502" s="15">
        <f t="shared" si="463"/>
        <v>165345.19099999999</v>
      </c>
      <c r="P502" s="15">
        <f t="shared" si="463"/>
        <v>163821.19099999999</v>
      </c>
      <c r="Q502" s="15">
        <f t="shared" si="463"/>
        <v>104911</v>
      </c>
      <c r="R502" s="15">
        <f t="shared" si="463"/>
        <v>101487</v>
      </c>
      <c r="S502" s="15">
        <f t="shared" si="463"/>
        <v>0</v>
      </c>
      <c r="T502" s="15">
        <f t="shared" si="463"/>
        <v>11070</v>
      </c>
      <c r="U502" s="15">
        <f t="shared" si="463"/>
        <v>11070</v>
      </c>
      <c r="V502" s="15">
        <f t="shared" si="463"/>
        <v>0</v>
      </c>
      <c r="W502" s="379"/>
      <c r="X502" s="429">
        <f t="shared" ref="X502:Z502" si="464">X506+X503</f>
        <v>23070</v>
      </c>
      <c r="Y502" s="429">
        <f t="shared" si="464"/>
        <v>23070</v>
      </c>
      <c r="Z502" s="429">
        <f t="shared" si="464"/>
        <v>0</v>
      </c>
      <c r="AA502" s="5"/>
      <c r="AB502" s="15">
        <f t="shared" ref="AB502:AK502" si="465">AB506+AB503</f>
        <v>0</v>
      </c>
      <c r="AC502" s="15">
        <f t="shared" si="465"/>
        <v>0</v>
      </c>
      <c r="AD502" s="15">
        <f t="shared" si="465"/>
        <v>0</v>
      </c>
      <c r="AE502" s="15">
        <f t="shared" si="465"/>
        <v>0</v>
      </c>
      <c r="AF502" s="15">
        <f t="shared" si="465"/>
        <v>0</v>
      </c>
      <c r="AG502" s="15">
        <f t="shared" si="465"/>
        <v>0</v>
      </c>
      <c r="AH502" s="15">
        <f t="shared" si="465"/>
        <v>0</v>
      </c>
      <c r="AI502" s="15">
        <f t="shared" si="465"/>
        <v>0</v>
      </c>
      <c r="AJ502" s="15">
        <f t="shared" si="465"/>
        <v>0</v>
      </c>
      <c r="AK502" s="15">
        <f t="shared" si="465"/>
        <v>0</v>
      </c>
      <c r="AL502" s="15">
        <f>AL506+AL503</f>
        <v>0</v>
      </c>
      <c r="AM502" s="15">
        <f>AM506+AM503</f>
        <v>0</v>
      </c>
      <c r="AN502" s="15">
        <f>AN506+AN503</f>
        <v>0</v>
      </c>
      <c r="AO502" s="15">
        <f>AO506+AO503</f>
        <v>0</v>
      </c>
    </row>
    <row r="503" spans="1:41" s="31" customFormat="1" ht="15.75">
      <c r="A503" s="26" t="s">
        <v>273</v>
      </c>
      <c r="B503" s="27" t="s">
        <v>35</v>
      </c>
      <c r="C503" s="28"/>
      <c r="D503" s="28"/>
      <c r="E503" s="29"/>
      <c r="F503" s="28"/>
      <c r="G503" s="30">
        <f>SUM(G504:G505)</f>
        <v>155890</v>
      </c>
      <c r="H503" s="30">
        <f t="shared" ref="H503:V503" si="466">SUM(H504:H505)</f>
        <v>119454</v>
      </c>
      <c r="I503" s="30">
        <f t="shared" si="466"/>
        <v>63864</v>
      </c>
      <c r="J503" s="30">
        <f t="shared" si="466"/>
        <v>63864</v>
      </c>
      <c r="K503" s="30">
        <f t="shared" si="466"/>
        <v>45629</v>
      </c>
      <c r="L503" s="30">
        <f t="shared" si="466"/>
        <v>45629</v>
      </c>
      <c r="M503" s="30">
        <f t="shared" si="466"/>
        <v>38559</v>
      </c>
      <c r="N503" s="30">
        <f t="shared" si="466"/>
        <v>38559</v>
      </c>
      <c r="O503" s="30">
        <f t="shared" si="466"/>
        <v>119493</v>
      </c>
      <c r="P503" s="30">
        <f t="shared" si="466"/>
        <v>119493</v>
      </c>
      <c r="Q503" s="30">
        <f t="shared" si="466"/>
        <v>63864</v>
      </c>
      <c r="R503" s="30">
        <f t="shared" si="466"/>
        <v>63864</v>
      </c>
      <c r="S503" s="30">
        <f t="shared" si="466"/>
        <v>0</v>
      </c>
      <c r="T503" s="30">
        <f t="shared" si="466"/>
        <v>0</v>
      </c>
      <c r="U503" s="30">
        <f t="shared" si="466"/>
        <v>0</v>
      </c>
      <c r="V503" s="30">
        <f t="shared" si="466"/>
        <v>0</v>
      </c>
      <c r="W503" s="479"/>
      <c r="X503" s="431">
        <f t="shared" ref="X503:Z503" si="467">SUM(X504:X505)</f>
        <v>10000</v>
      </c>
      <c r="Y503" s="431">
        <f t="shared" si="467"/>
        <v>10000</v>
      </c>
      <c r="Z503" s="431">
        <f t="shared" si="467"/>
        <v>0</v>
      </c>
      <c r="AA503" s="5"/>
      <c r="AB503" s="30">
        <f t="shared" ref="AB503:AK503" si="468">SUM(AB504:AB505)</f>
        <v>0</v>
      </c>
      <c r="AC503" s="30">
        <f t="shared" si="468"/>
        <v>0</v>
      </c>
      <c r="AD503" s="30">
        <f t="shared" si="468"/>
        <v>0</v>
      </c>
      <c r="AE503" s="30">
        <f t="shared" si="468"/>
        <v>0</v>
      </c>
      <c r="AF503" s="30">
        <f t="shared" si="468"/>
        <v>0</v>
      </c>
      <c r="AG503" s="30">
        <f t="shared" si="468"/>
        <v>0</v>
      </c>
      <c r="AH503" s="30">
        <f t="shared" si="468"/>
        <v>0</v>
      </c>
      <c r="AI503" s="30">
        <f t="shared" si="468"/>
        <v>0</v>
      </c>
      <c r="AJ503" s="30">
        <f t="shared" si="468"/>
        <v>0</v>
      </c>
      <c r="AK503" s="30">
        <f t="shared" si="468"/>
        <v>0</v>
      </c>
      <c r="AL503" s="30">
        <f>SUM(AL504:AL505)</f>
        <v>0</v>
      </c>
      <c r="AM503" s="30">
        <f>SUM(AM504:AM505)</f>
        <v>0</v>
      </c>
      <c r="AN503" s="30">
        <f>SUM(AN504:AN505)</f>
        <v>0</v>
      </c>
      <c r="AO503" s="30">
        <f>SUM(AO504:AO505)</f>
        <v>0</v>
      </c>
    </row>
    <row r="504" spans="1:41" s="25" customFormat="1" ht="30">
      <c r="A504" s="190" t="s">
        <v>27</v>
      </c>
      <c r="B504" s="214" t="s">
        <v>36</v>
      </c>
      <c r="C504" s="19" t="s">
        <v>29</v>
      </c>
      <c r="D504" s="403" t="s">
        <v>37</v>
      </c>
      <c r="E504" s="312" t="s">
        <v>38</v>
      </c>
      <c r="F504" s="19" t="s">
        <v>39</v>
      </c>
      <c r="G504" s="366">
        <v>95590</v>
      </c>
      <c r="H504" s="366">
        <v>95590</v>
      </c>
      <c r="I504" s="392">
        <f>+J504</f>
        <v>40000</v>
      </c>
      <c r="J504" s="392">
        <v>40000</v>
      </c>
      <c r="K504" s="392">
        <f>L504</f>
        <v>45629</v>
      </c>
      <c r="L504" s="392">
        <v>45629</v>
      </c>
      <c r="M504" s="392">
        <f>N504</f>
        <v>14695</v>
      </c>
      <c r="N504" s="392">
        <f>5525+9170</f>
        <v>14695</v>
      </c>
      <c r="O504" s="392">
        <v>95629</v>
      </c>
      <c r="P504" s="392">
        <v>95629</v>
      </c>
      <c r="Q504" s="392">
        <f>+R504</f>
        <v>40000</v>
      </c>
      <c r="R504" s="392">
        <v>40000</v>
      </c>
      <c r="S504" s="392"/>
      <c r="T504" s="392">
        <f>U504</f>
        <v>0</v>
      </c>
      <c r="U504" s="392"/>
      <c r="V504" s="392"/>
      <c r="W504" s="24"/>
      <c r="X504" s="396">
        <v>0</v>
      </c>
      <c r="Y504" s="396">
        <v>0</v>
      </c>
      <c r="Z504" s="396">
        <v>0</v>
      </c>
      <c r="AA504" s="5"/>
    </row>
    <row r="505" spans="1:41" s="25" customFormat="1" ht="60">
      <c r="A505" s="190" t="s">
        <v>41</v>
      </c>
      <c r="B505" s="214" t="s">
        <v>42</v>
      </c>
      <c r="C505" s="19" t="s">
        <v>43</v>
      </c>
      <c r="D505" s="403" t="s">
        <v>44</v>
      </c>
      <c r="E505" s="312" t="s">
        <v>45</v>
      </c>
      <c r="F505" s="19" t="s">
        <v>46</v>
      </c>
      <c r="G505" s="366">
        <v>60300</v>
      </c>
      <c r="H505" s="392">
        <v>23864</v>
      </c>
      <c r="I505" s="392">
        <f>+J505</f>
        <v>23864</v>
      </c>
      <c r="J505" s="392">
        <v>23864</v>
      </c>
      <c r="K505" s="392">
        <f>L505</f>
        <v>0</v>
      </c>
      <c r="L505" s="392">
        <v>0</v>
      </c>
      <c r="M505" s="392">
        <f>N505</f>
        <v>23864</v>
      </c>
      <c r="N505" s="392">
        <v>23864</v>
      </c>
      <c r="O505" s="392">
        <f>+P505</f>
        <v>23864</v>
      </c>
      <c r="P505" s="392">
        <v>23864</v>
      </c>
      <c r="Q505" s="392">
        <f>+R505</f>
        <v>23864</v>
      </c>
      <c r="R505" s="392">
        <v>23864</v>
      </c>
      <c r="S505" s="392"/>
      <c r="T505" s="392">
        <f>U505</f>
        <v>0</v>
      </c>
      <c r="U505" s="392"/>
      <c r="V505" s="392"/>
      <c r="W505" s="24"/>
      <c r="X505" s="396">
        <v>10000</v>
      </c>
      <c r="Y505" s="396">
        <v>10000</v>
      </c>
      <c r="Z505" s="396"/>
      <c r="AA505" s="5"/>
    </row>
    <row r="506" spans="1:41" s="31" customFormat="1" ht="15.75">
      <c r="A506" s="26" t="s">
        <v>273</v>
      </c>
      <c r="B506" s="27" t="s">
        <v>48</v>
      </c>
      <c r="C506" s="28"/>
      <c r="D506" s="28"/>
      <c r="E506" s="29"/>
      <c r="F506" s="28"/>
      <c r="G506" s="30">
        <f>SUM(G507:G513)</f>
        <v>71472</v>
      </c>
      <c r="H506" s="30">
        <f t="shared" ref="H506:Z506" si="469">SUM(H507:H513)</f>
        <v>55457</v>
      </c>
      <c r="I506" s="30">
        <f t="shared" si="469"/>
        <v>26282</v>
      </c>
      <c r="J506" s="30">
        <f t="shared" si="469"/>
        <v>24758</v>
      </c>
      <c r="K506" s="30">
        <f t="shared" si="469"/>
        <v>18679</v>
      </c>
      <c r="L506" s="30">
        <f t="shared" si="469"/>
        <v>18679</v>
      </c>
      <c r="M506" s="30">
        <f t="shared" si="469"/>
        <v>10821</v>
      </c>
      <c r="N506" s="30">
        <f t="shared" si="469"/>
        <v>10580</v>
      </c>
      <c r="O506" s="30">
        <f t="shared" si="469"/>
        <v>45852.190999999999</v>
      </c>
      <c r="P506" s="30">
        <f t="shared" si="469"/>
        <v>44328.190999999999</v>
      </c>
      <c r="Q506" s="30">
        <f t="shared" si="469"/>
        <v>41047</v>
      </c>
      <c r="R506" s="30">
        <f t="shared" si="469"/>
        <v>37623</v>
      </c>
      <c r="S506" s="30">
        <f t="shared" si="469"/>
        <v>0</v>
      </c>
      <c r="T506" s="30">
        <f t="shared" si="469"/>
        <v>11070</v>
      </c>
      <c r="U506" s="30">
        <f t="shared" si="469"/>
        <v>11070</v>
      </c>
      <c r="V506" s="30">
        <f t="shared" si="469"/>
        <v>0</v>
      </c>
      <c r="W506" s="479"/>
      <c r="X506" s="431">
        <f t="shared" si="469"/>
        <v>13070</v>
      </c>
      <c r="Y506" s="431">
        <f t="shared" si="469"/>
        <v>13070</v>
      </c>
      <c r="Z506" s="431">
        <f t="shared" si="469"/>
        <v>0</v>
      </c>
      <c r="AA506" s="5"/>
      <c r="AB506" s="30">
        <f t="shared" ref="AB506:AK506" si="470">SUM(AB507:AB513)</f>
        <v>0</v>
      </c>
      <c r="AC506" s="30">
        <f t="shared" si="470"/>
        <v>0</v>
      </c>
      <c r="AD506" s="30">
        <f t="shared" si="470"/>
        <v>0</v>
      </c>
      <c r="AE506" s="30">
        <f t="shared" si="470"/>
        <v>0</v>
      </c>
      <c r="AF506" s="30">
        <f t="shared" si="470"/>
        <v>0</v>
      </c>
      <c r="AG506" s="30">
        <f t="shared" si="470"/>
        <v>0</v>
      </c>
      <c r="AH506" s="30">
        <f t="shared" si="470"/>
        <v>0</v>
      </c>
      <c r="AI506" s="30">
        <f t="shared" si="470"/>
        <v>0</v>
      </c>
      <c r="AJ506" s="30">
        <f t="shared" si="470"/>
        <v>0</v>
      </c>
      <c r="AK506" s="30">
        <f t="shared" si="470"/>
        <v>0</v>
      </c>
      <c r="AL506" s="30">
        <f>SUM(AL507:AL513)</f>
        <v>0</v>
      </c>
      <c r="AM506" s="30">
        <f>SUM(AM507:AM513)</f>
        <v>0</v>
      </c>
      <c r="AN506" s="30">
        <f>SUM(AN507:AN513)</f>
        <v>0</v>
      </c>
      <c r="AO506" s="30">
        <f>SUM(AO507:AO513)</f>
        <v>0</v>
      </c>
    </row>
    <row r="507" spans="1:41" s="25" customFormat="1" ht="30">
      <c r="A507" s="190" t="s">
        <v>27</v>
      </c>
      <c r="B507" s="214" t="s">
        <v>49</v>
      </c>
      <c r="C507" s="19" t="s">
        <v>29</v>
      </c>
      <c r="D507" s="403" t="s">
        <v>50</v>
      </c>
      <c r="E507" s="312" t="s">
        <v>51</v>
      </c>
      <c r="F507" s="19" t="s">
        <v>1396</v>
      </c>
      <c r="G507" s="366">
        <v>27958</v>
      </c>
      <c r="H507" s="366">
        <v>27958</v>
      </c>
      <c r="I507" s="392">
        <f t="shared" ref="I507:I511" si="471">+J507</f>
        <v>10946</v>
      </c>
      <c r="J507" s="392">
        <v>10946</v>
      </c>
      <c r="K507" s="392">
        <f t="shared" ref="K507:K513" si="472">L507</f>
        <v>8859</v>
      </c>
      <c r="L507" s="392">
        <v>8859</v>
      </c>
      <c r="M507" s="392">
        <f>N507</f>
        <v>3219</v>
      </c>
      <c r="N507" s="392">
        <v>3219</v>
      </c>
      <c r="O507" s="392">
        <f>8859+10117</f>
        <v>18976</v>
      </c>
      <c r="P507" s="392">
        <f>8859+10117</f>
        <v>18976</v>
      </c>
      <c r="Q507" s="392">
        <f t="shared" ref="Q507" si="473">+R507</f>
        <v>19928</v>
      </c>
      <c r="R507" s="392">
        <f>+J507+U507</f>
        <v>19928</v>
      </c>
      <c r="S507" s="392"/>
      <c r="T507" s="392">
        <f>U507</f>
        <v>8982</v>
      </c>
      <c r="U507" s="392">
        <v>8982</v>
      </c>
      <c r="V507" s="392"/>
      <c r="W507" s="24"/>
      <c r="X507" s="396">
        <v>8982</v>
      </c>
      <c r="Y507" s="396">
        <v>8982</v>
      </c>
      <c r="Z507" s="396"/>
      <c r="AA507" s="5"/>
    </row>
    <row r="508" spans="1:41" s="25" customFormat="1" ht="30">
      <c r="A508" s="190" t="s">
        <v>41</v>
      </c>
      <c r="B508" s="214" t="s">
        <v>53</v>
      </c>
      <c r="C508" s="19" t="s">
        <v>54</v>
      </c>
      <c r="D508" s="403" t="s">
        <v>55</v>
      </c>
      <c r="E508" s="312" t="s">
        <v>56</v>
      </c>
      <c r="F508" s="19" t="s">
        <v>57</v>
      </c>
      <c r="G508" s="366">
        <v>14088</v>
      </c>
      <c r="H508" s="366">
        <v>14088</v>
      </c>
      <c r="I508" s="392">
        <f t="shared" si="471"/>
        <v>8000</v>
      </c>
      <c r="J508" s="392">
        <v>8000</v>
      </c>
      <c r="K508" s="392">
        <f t="shared" si="472"/>
        <v>4000</v>
      </c>
      <c r="L508" s="392">
        <v>4000</v>
      </c>
      <c r="M508" s="392">
        <f>N508</f>
        <v>4557</v>
      </c>
      <c r="N508" s="392">
        <v>4557</v>
      </c>
      <c r="O508" s="392">
        <v>12000</v>
      </c>
      <c r="P508" s="392">
        <v>12000</v>
      </c>
      <c r="Q508" s="392">
        <f>R508</f>
        <v>10088</v>
      </c>
      <c r="R508" s="392">
        <f>+J508+U508</f>
        <v>10088</v>
      </c>
      <c r="S508" s="392"/>
      <c r="T508" s="392">
        <f>U508</f>
        <v>2088</v>
      </c>
      <c r="U508" s="392">
        <v>2088</v>
      </c>
      <c r="V508" s="392"/>
      <c r="W508" s="24"/>
      <c r="X508" s="396">
        <v>2088</v>
      </c>
      <c r="Y508" s="396">
        <v>2088</v>
      </c>
      <c r="Z508" s="396"/>
      <c r="AA508" s="5"/>
    </row>
    <row r="509" spans="1:41" s="25" customFormat="1" ht="60">
      <c r="A509" s="190" t="s">
        <v>58</v>
      </c>
      <c r="B509" s="214" t="s">
        <v>96</v>
      </c>
      <c r="C509" s="19" t="s">
        <v>5</v>
      </c>
      <c r="D509" s="403" t="s">
        <v>97</v>
      </c>
      <c r="E509" s="312" t="s">
        <v>30</v>
      </c>
      <c r="F509" s="19" t="s">
        <v>98</v>
      </c>
      <c r="G509" s="366">
        <v>11605</v>
      </c>
      <c r="H509" s="366">
        <v>3621</v>
      </c>
      <c r="I509" s="392">
        <v>1900</v>
      </c>
      <c r="J509" s="392">
        <v>1900</v>
      </c>
      <c r="K509" s="392">
        <f t="shared" si="472"/>
        <v>0</v>
      </c>
      <c r="L509" s="392">
        <v>0</v>
      </c>
      <c r="M509" s="392">
        <v>774</v>
      </c>
      <c r="N509" s="392">
        <v>628</v>
      </c>
      <c r="O509" s="392">
        <f>+P509</f>
        <v>3621</v>
      </c>
      <c r="P509" s="392">
        <v>3621</v>
      </c>
      <c r="Q509" s="392">
        <v>5521</v>
      </c>
      <c r="R509" s="392">
        <v>3621</v>
      </c>
      <c r="S509" s="392"/>
      <c r="T509" s="392">
        <f>U509</f>
        <v>0</v>
      </c>
      <c r="U509" s="392">
        <v>0</v>
      </c>
      <c r="V509" s="392"/>
      <c r="W509" s="24"/>
      <c r="X509" s="396">
        <v>0</v>
      </c>
      <c r="Y509" s="396">
        <v>0</v>
      </c>
      <c r="Z509" s="396"/>
      <c r="AA509" s="5"/>
    </row>
    <row r="510" spans="1:41" s="25" customFormat="1" ht="30">
      <c r="A510" s="190" t="s">
        <v>69</v>
      </c>
      <c r="B510" s="214" t="s">
        <v>59</v>
      </c>
      <c r="C510" s="19" t="s">
        <v>60</v>
      </c>
      <c r="D510" s="403" t="s">
        <v>61</v>
      </c>
      <c r="E510" s="312" t="s">
        <v>62</v>
      </c>
      <c r="F510" s="19" t="s">
        <v>63</v>
      </c>
      <c r="G510" s="366">
        <v>5814</v>
      </c>
      <c r="H510" s="366">
        <v>2735</v>
      </c>
      <c r="I510" s="392">
        <f t="shared" si="471"/>
        <v>578</v>
      </c>
      <c r="J510" s="392">
        <v>578</v>
      </c>
      <c r="K510" s="392">
        <f t="shared" si="472"/>
        <v>2168</v>
      </c>
      <c r="L510" s="392">
        <v>2168</v>
      </c>
      <c r="M510" s="392">
        <f>N510</f>
        <v>0</v>
      </c>
      <c r="N510" s="392">
        <v>0</v>
      </c>
      <c r="O510" s="392">
        <f>2168+578</f>
        <v>2746</v>
      </c>
      <c r="P510" s="392">
        <f>2168+578</f>
        <v>2746</v>
      </c>
      <c r="Q510" s="392">
        <f t="shared" ref="Q510" si="474">+R510</f>
        <v>578</v>
      </c>
      <c r="R510" s="392">
        <v>578</v>
      </c>
      <c r="S510" s="392"/>
      <c r="T510" s="392">
        <f>U510</f>
        <v>0</v>
      </c>
      <c r="U510" s="392"/>
      <c r="V510" s="392"/>
      <c r="W510" s="24"/>
      <c r="X510" s="396">
        <v>1000</v>
      </c>
      <c r="Y510" s="396">
        <v>1000</v>
      </c>
      <c r="Z510" s="396"/>
      <c r="AA510" s="5"/>
    </row>
    <row r="511" spans="1:41" s="25" customFormat="1" ht="60">
      <c r="A511" s="190" t="s">
        <v>74</v>
      </c>
      <c r="B511" s="214" t="s">
        <v>65</v>
      </c>
      <c r="C511" s="19" t="s">
        <v>66</v>
      </c>
      <c r="D511" s="403" t="s">
        <v>67</v>
      </c>
      <c r="E511" s="312">
        <v>2016</v>
      </c>
      <c r="F511" s="19" t="s">
        <v>68</v>
      </c>
      <c r="G511" s="366">
        <v>7600</v>
      </c>
      <c r="H511" s="366">
        <v>4172</v>
      </c>
      <c r="I511" s="392">
        <f t="shared" si="471"/>
        <v>525</v>
      </c>
      <c r="J511" s="392">
        <v>525</v>
      </c>
      <c r="K511" s="392">
        <f t="shared" si="472"/>
        <v>3652</v>
      </c>
      <c r="L511" s="392">
        <v>3652</v>
      </c>
      <c r="M511" s="392">
        <f>N511</f>
        <v>934</v>
      </c>
      <c r="N511" s="392">
        <f>934+0</f>
        <v>934</v>
      </c>
      <c r="O511" s="392">
        <f>450+462.315+312.992+274.693+103.187+136.319+298.512+270.682+408.491+934+525</f>
        <v>4176.1909999999998</v>
      </c>
      <c r="P511" s="392">
        <f>450+462.315+312.992+274.693+103.187+136.319+298.512+270.682+408.491+934+525</f>
        <v>4176.1909999999998</v>
      </c>
      <c r="Q511" s="392">
        <f>R511</f>
        <v>525</v>
      </c>
      <c r="R511" s="392">
        <v>525</v>
      </c>
      <c r="S511" s="392"/>
      <c r="T511" s="392">
        <f>U511</f>
        <v>0</v>
      </c>
      <c r="U511" s="392"/>
      <c r="V511" s="392"/>
      <c r="W511" s="24"/>
      <c r="X511" s="396">
        <v>1000</v>
      </c>
      <c r="Y511" s="396">
        <v>1000</v>
      </c>
      <c r="Z511" s="396"/>
      <c r="AA511" s="5"/>
    </row>
    <row r="512" spans="1:41" s="25" customFormat="1" ht="60">
      <c r="A512" s="190" t="s">
        <v>141</v>
      </c>
      <c r="B512" s="214" t="s">
        <v>70</v>
      </c>
      <c r="C512" s="19" t="s">
        <v>71</v>
      </c>
      <c r="D512" s="403" t="s">
        <v>72</v>
      </c>
      <c r="E512" s="312" t="s">
        <v>30</v>
      </c>
      <c r="F512" s="19" t="s">
        <v>73</v>
      </c>
      <c r="G512" s="366">
        <v>1774</v>
      </c>
      <c r="H512" s="366">
        <v>1774</v>
      </c>
      <c r="I512" s="392">
        <f>+J512</f>
        <v>1700</v>
      </c>
      <c r="J512" s="392">
        <v>1700</v>
      </c>
      <c r="K512" s="392">
        <f t="shared" si="472"/>
        <v>0</v>
      </c>
      <c r="L512" s="392">
        <v>0</v>
      </c>
      <c r="M512" s="392">
        <f>N512</f>
        <v>794</v>
      </c>
      <c r="N512" s="392">
        <v>794</v>
      </c>
      <c r="O512" s="392">
        <f>+P512</f>
        <v>1700</v>
      </c>
      <c r="P512" s="392">
        <v>1700</v>
      </c>
      <c r="Q512" s="366">
        <v>1774</v>
      </c>
      <c r="R512" s="366">
        <v>1774</v>
      </c>
      <c r="S512" s="392"/>
      <c r="T512" s="366"/>
      <c r="U512" s="366"/>
      <c r="V512" s="392"/>
      <c r="W512" s="24"/>
      <c r="X512" s="367"/>
      <c r="Y512" s="367"/>
      <c r="Z512" s="396"/>
      <c r="AA512" s="5"/>
    </row>
    <row r="513" spans="1:41" s="25" customFormat="1" ht="31.5">
      <c r="A513" s="518">
        <v>8</v>
      </c>
      <c r="B513" s="214" t="s">
        <v>75</v>
      </c>
      <c r="C513" s="19" t="s">
        <v>71</v>
      </c>
      <c r="D513" s="403" t="s">
        <v>76</v>
      </c>
      <c r="E513" s="312" t="s">
        <v>30</v>
      </c>
      <c r="F513" s="19" t="s">
        <v>77</v>
      </c>
      <c r="G513" s="366">
        <v>2633</v>
      </c>
      <c r="H513" s="366">
        <v>1109</v>
      </c>
      <c r="I513" s="366">
        <v>2633</v>
      </c>
      <c r="J513" s="366">
        <v>1109</v>
      </c>
      <c r="K513" s="392">
        <f t="shared" si="472"/>
        <v>0</v>
      </c>
      <c r="L513" s="392">
        <v>0</v>
      </c>
      <c r="M513" s="392">
        <v>543</v>
      </c>
      <c r="N513" s="392">
        <v>448</v>
      </c>
      <c r="O513" s="392">
        <f>1109+1524</f>
        <v>2633</v>
      </c>
      <c r="P513" s="392">
        <v>1109</v>
      </c>
      <c r="Q513" s="366">
        <v>2633</v>
      </c>
      <c r="R513" s="366">
        <v>1109</v>
      </c>
      <c r="S513" s="392"/>
      <c r="T513" s="392"/>
      <c r="U513" s="392"/>
      <c r="V513" s="392"/>
      <c r="W513" s="24"/>
      <c r="X513" s="396"/>
      <c r="Y513" s="396"/>
      <c r="Z513" s="396"/>
      <c r="AA513" s="5"/>
    </row>
    <row r="514" spans="1:41" s="16" customFormat="1" ht="31.5">
      <c r="A514" s="11" t="s">
        <v>78</v>
      </c>
      <c r="B514" s="12" t="s">
        <v>79</v>
      </c>
      <c r="C514" s="13"/>
      <c r="D514" s="13"/>
      <c r="E514" s="14"/>
      <c r="F514" s="13"/>
      <c r="G514" s="399">
        <f>G517+G515</f>
        <v>402145</v>
      </c>
      <c r="H514" s="399">
        <f>H517+H515</f>
        <v>252306</v>
      </c>
      <c r="I514" s="399">
        <f t="shared" ref="I514:V514" si="475">I517+I515</f>
        <v>43538</v>
      </c>
      <c r="J514" s="399">
        <f t="shared" si="475"/>
        <v>43538</v>
      </c>
      <c r="K514" s="399">
        <f t="shared" si="475"/>
        <v>63553</v>
      </c>
      <c r="L514" s="399">
        <f t="shared" si="475"/>
        <v>63553</v>
      </c>
      <c r="M514" s="399">
        <f t="shared" si="475"/>
        <v>11758</v>
      </c>
      <c r="N514" s="399">
        <f t="shared" si="475"/>
        <v>11633</v>
      </c>
      <c r="O514" s="399">
        <f t="shared" si="475"/>
        <v>107860</v>
      </c>
      <c r="P514" s="399">
        <f t="shared" si="475"/>
        <v>107091</v>
      </c>
      <c r="Q514" s="399">
        <f t="shared" si="475"/>
        <v>325641</v>
      </c>
      <c r="R514" s="399">
        <f t="shared" si="475"/>
        <v>187352</v>
      </c>
      <c r="S514" s="399">
        <f t="shared" si="475"/>
        <v>0</v>
      </c>
      <c r="T514" s="399">
        <f t="shared" si="475"/>
        <v>109340</v>
      </c>
      <c r="U514" s="399">
        <f t="shared" si="475"/>
        <v>89650</v>
      </c>
      <c r="V514" s="399">
        <f t="shared" si="475"/>
        <v>0</v>
      </c>
      <c r="W514" s="379"/>
      <c r="X514" s="400">
        <f t="shared" ref="X514:Z514" si="476">X517+X515</f>
        <v>109340</v>
      </c>
      <c r="Y514" s="400">
        <f t="shared" si="476"/>
        <v>89650</v>
      </c>
      <c r="Z514" s="400">
        <f t="shared" si="476"/>
        <v>0</v>
      </c>
      <c r="AA514" s="5"/>
      <c r="AB514" s="399">
        <f t="shared" ref="AB514:AK514" si="477">AB517+AB515</f>
        <v>0</v>
      </c>
      <c r="AC514" s="399">
        <f t="shared" si="477"/>
        <v>0</v>
      </c>
      <c r="AD514" s="399">
        <f t="shared" si="477"/>
        <v>11</v>
      </c>
      <c r="AE514" s="399">
        <f t="shared" si="477"/>
        <v>77912</v>
      </c>
      <c r="AF514" s="399">
        <f t="shared" si="477"/>
        <v>0</v>
      </c>
      <c r="AG514" s="399">
        <f t="shared" si="477"/>
        <v>0</v>
      </c>
      <c r="AH514" s="399">
        <f t="shared" si="477"/>
        <v>0</v>
      </c>
      <c r="AI514" s="399">
        <f t="shared" si="477"/>
        <v>0</v>
      </c>
      <c r="AJ514" s="399">
        <f t="shared" si="477"/>
        <v>0</v>
      </c>
      <c r="AK514" s="399">
        <f t="shared" si="477"/>
        <v>0</v>
      </c>
      <c r="AL514" s="399">
        <f>AL517+AL515</f>
        <v>0</v>
      </c>
      <c r="AM514" s="399">
        <f>AM517+AM515</f>
        <v>0</v>
      </c>
      <c r="AN514" s="399">
        <f>AN517+AN515</f>
        <v>0</v>
      </c>
      <c r="AO514" s="399">
        <f>AO517+AO515</f>
        <v>0</v>
      </c>
    </row>
    <row r="515" spans="1:41" s="31" customFormat="1" ht="15.75">
      <c r="A515" s="26" t="s">
        <v>47</v>
      </c>
      <c r="B515" s="27" t="s">
        <v>35</v>
      </c>
      <c r="C515" s="28"/>
      <c r="D515" s="28"/>
      <c r="E515" s="29"/>
      <c r="F515" s="28"/>
      <c r="G515" s="401">
        <f>G516</f>
        <v>221846</v>
      </c>
      <c r="H515" s="401">
        <f>H516</f>
        <v>93356</v>
      </c>
      <c r="I515" s="401">
        <f t="shared" ref="I515:Z515" si="478">I516</f>
        <v>9000</v>
      </c>
      <c r="J515" s="401">
        <f t="shared" si="478"/>
        <v>9000</v>
      </c>
      <c r="K515" s="401">
        <f t="shared" si="478"/>
        <v>60000</v>
      </c>
      <c r="L515" s="401">
        <f t="shared" si="478"/>
        <v>60000</v>
      </c>
      <c r="M515" s="401">
        <f t="shared" si="478"/>
        <v>348</v>
      </c>
      <c r="N515" s="401">
        <f t="shared" si="478"/>
        <v>348</v>
      </c>
      <c r="O515" s="401">
        <f t="shared" si="478"/>
        <v>69000</v>
      </c>
      <c r="P515" s="401">
        <f t="shared" si="478"/>
        <v>69000</v>
      </c>
      <c r="Q515" s="401">
        <f t="shared" si="478"/>
        <v>161846</v>
      </c>
      <c r="R515" s="401">
        <f t="shared" si="478"/>
        <v>33356</v>
      </c>
      <c r="S515" s="401">
        <f t="shared" si="478"/>
        <v>0</v>
      </c>
      <c r="T515" s="401">
        <f t="shared" si="478"/>
        <v>35726</v>
      </c>
      <c r="U515" s="401">
        <f t="shared" si="478"/>
        <v>24356</v>
      </c>
      <c r="V515" s="401">
        <f t="shared" si="478"/>
        <v>0</v>
      </c>
      <c r="W515" s="479"/>
      <c r="X515" s="402">
        <f t="shared" si="478"/>
        <v>35726</v>
      </c>
      <c r="Y515" s="402">
        <f t="shared" si="478"/>
        <v>24356</v>
      </c>
      <c r="Z515" s="402">
        <f t="shared" si="478"/>
        <v>0</v>
      </c>
      <c r="AA515" s="5"/>
      <c r="AB515" s="401">
        <f t="shared" ref="AB515:AK515" si="479">AB516</f>
        <v>0</v>
      </c>
      <c r="AC515" s="401">
        <f t="shared" si="479"/>
        <v>0</v>
      </c>
      <c r="AD515" s="401">
        <f t="shared" si="479"/>
        <v>1</v>
      </c>
      <c r="AE515" s="401">
        <f t="shared" si="479"/>
        <v>24000</v>
      </c>
      <c r="AF515" s="401">
        <f t="shared" si="479"/>
        <v>0</v>
      </c>
      <c r="AG515" s="401">
        <f t="shared" si="479"/>
        <v>0</v>
      </c>
      <c r="AH515" s="401">
        <f t="shared" si="479"/>
        <v>0</v>
      </c>
      <c r="AI515" s="401">
        <f t="shared" si="479"/>
        <v>0</v>
      </c>
      <c r="AJ515" s="401">
        <f t="shared" si="479"/>
        <v>0</v>
      </c>
      <c r="AK515" s="401">
        <f t="shared" si="479"/>
        <v>0</v>
      </c>
      <c r="AL515" s="401">
        <f>AL516</f>
        <v>0</v>
      </c>
      <c r="AM515" s="401">
        <f>AM516</f>
        <v>0</v>
      </c>
      <c r="AN515" s="401">
        <f>AN516</f>
        <v>0</v>
      </c>
      <c r="AO515" s="401">
        <f>AO516</f>
        <v>0</v>
      </c>
    </row>
    <row r="516" spans="1:41" s="25" customFormat="1" ht="30">
      <c r="A516" s="518">
        <v>1</v>
      </c>
      <c r="B516" s="214" t="s">
        <v>80</v>
      </c>
      <c r="C516" s="19" t="s">
        <v>29</v>
      </c>
      <c r="D516" s="403" t="s">
        <v>81</v>
      </c>
      <c r="E516" s="312" t="s">
        <v>82</v>
      </c>
      <c r="F516" s="19" t="s">
        <v>83</v>
      </c>
      <c r="G516" s="366">
        <v>221846</v>
      </c>
      <c r="H516" s="366">
        <v>93356</v>
      </c>
      <c r="I516" s="392">
        <f>+J516</f>
        <v>9000</v>
      </c>
      <c r="J516" s="392">
        <v>9000</v>
      </c>
      <c r="K516" s="392">
        <f>L516</f>
        <v>60000</v>
      </c>
      <c r="L516" s="392">
        <v>60000</v>
      </c>
      <c r="M516" s="392">
        <f>N516</f>
        <v>348</v>
      </c>
      <c r="N516" s="392">
        <f>348+0</f>
        <v>348</v>
      </c>
      <c r="O516" s="392">
        <f>P516</f>
        <v>69000</v>
      </c>
      <c r="P516" s="392">
        <f>60000+9000</f>
        <v>69000</v>
      </c>
      <c r="Q516" s="392">
        <f>+G516-60000</f>
        <v>161846</v>
      </c>
      <c r="R516" s="392">
        <f>+H516-60000</f>
        <v>33356</v>
      </c>
      <c r="S516" s="392"/>
      <c r="T516" s="392">
        <v>35726</v>
      </c>
      <c r="U516" s="392">
        <f>24356</f>
        <v>24356</v>
      </c>
      <c r="V516" s="392"/>
      <c r="W516" s="24"/>
      <c r="X516" s="396">
        <v>35726</v>
      </c>
      <c r="Y516" s="396">
        <v>24356</v>
      </c>
      <c r="Z516" s="396"/>
      <c r="AA516" s="5"/>
      <c r="AD516" s="25">
        <v>1</v>
      </c>
      <c r="AE516" s="392">
        <v>24000</v>
      </c>
    </row>
    <row r="517" spans="1:41" s="31" customFormat="1" ht="15.75">
      <c r="A517" s="26" t="s">
        <v>273</v>
      </c>
      <c r="B517" s="27" t="s">
        <v>48</v>
      </c>
      <c r="C517" s="28"/>
      <c r="D517" s="28"/>
      <c r="E517" s="29"/>
      <c r="F517" s="28"/>
      <c r="G517" s="401">
        <f>SUM(G518:G527)</f>
        <v>180299</v>
      </c>
      <c r="H517" s="401">
        <f t="shared" ref="H517:Z517" si="480">SUM(H518:H527)</f>
        <v>158950</v>
      </c>
      <c r="I517" s="401">
        <f t="shared" si="480"/>
        <v>34538</v>
      </c>
      <c r="J517" s="401">
        <f t="shared" si="480"/>
        <v>34538</v>
      </c>
      <c r="K517" s="401">
        <f t="shared" si="480"/>
        <v>3553</v>
      </c>
      <c r="L517" s="401">
        <f t="shared" si="480"/>
        <v>3553</v>
      </c>
      <c r="M517" s="401">
        <f t="shared" si="480"/>
        <v>11410</v>
      </c>
      <c r="N517" s="401">
        <f t="shared" si="480"/>
        <v>11285</v>
      </c>
      <c r="O517" s="401">
        <f t="shared" si="480"/>
        <v>38860</v>
      </c>
      <c r="P517" s="401">
        <f t="shared" si="480"/>
        <v>38091</v>
      </c>
      <c r="Q517" s="401">
        <f t="shared" si="480"/>
        <v>163795</v>
      </c>
      <c r="R517" s="401">
        <f t="shared" si="480"/>
        <v>153996</v>
      </c>
      <c r="S517" s="401">
        <f t="shared" si="480"/>
        <v>0</v>
      </c>
      <c r="T517" s="401">
        <f t="shared" si="480"/>
        <v>73614</v>
      </c>
      <c r="U517" s="401">
        <f t="shared" si="480"/>
        <v>65294</v>
      </c>
      <c r="V517" s="401">
        <f t="shared" si="480"/>
        <v>0</v>
      </c>
      <c r="W517" s="479"/>
      <c r="X517" s="402">
        <f t="shared" si="480"/>
        <v>73614</v>
      </c>
      <c r="Y517" s="402">
        <f t="shared" si="480"/>
        <v>65294</v>
      </c>
      <c r="Z517" s="402">
        <f t="shared" si="480"/>
        <v>0</v>
      </c>
      <c r="AA517" s="5"/>
      <c r="AB517" s="401">
        <f t="shared" ref="AB517:AK517" si="481">SUM(AB518:AB527)</f>
        <v>0</v>
      </c>
      <c r="AC517" s="401">
        <f t="shared" si="481"/>
        <v>0</v>
      </c>
      <c r="AD517" s="401">
        <f t="shared" si="481"/>
        <v>10</v>
      </c>
      <c r="AE517" s="401">
        <f t="shared" si="481"/>
        <v>53912</v>
      </c>
      <c r="AF517" s="401">
        <f t="shared" si="481"/>
        <v>0</v>
      </c>
      <c r="AG517" s="401">
        <f t="shared" si="481"/>
        <v>0</v>
      </c>
      <c r="AH517" s="401">
        <f t="shared" si="481"/>
        <v>0</v>
      </c>
      <c r="AI517" s="401">
        <f t="shared" si="481"/>
        <v>0</v>
      </c>
      <c r="AJ517" s="401">
        <f t="shared" si="481"/>
        <v>0</v>
      </c>
      <c r="AK517" s="401">
        <f t="shared" si="481"/>
        <v>0</v>
      </c>
      <c r="AL517" s="401">
        <f>SUM(AL518:AL527)</f>
        <v>0</v>
      </c>
      <c r="AM517" s="401">
        <f>SUM(AM518:AM527)</f>
        <v>0</v>
      </c>
      <c r="AN517" s="401">
        <f>SUM(AN518:AN527)</f>
        <v>0</v>
      </c>
      <c r="AO517" s="401">
        <f>SUM(AO518:AO527)</f>
        <v>0</v>
      </c>
    </row>
    <row r="518" spans="1:41" s="25" customFormat="1" ht="75">
      <c r="A518" s="518">
        <v>1</v>
      </c>
      <c r="B518" s="35" t="s">
        <v>84</v>
      </c>
      <c r="C518" s="36" t="s">
        <v>85</v>
      </c>
      <c r="D518" s="101" t="s">
        <v>86</v>
      </c>
      <c r="E518" s="37" t="s">
        <v>87</v>
      </c>
      <c r="F518" s="101" t="s">
        <v>88</v>
      </c>
      <c r="G518" s="365">
        <v>36842</v>
      </c>
      <c r="H518" s="365">
        <v>36842</v>
      </c>
      <c r="I518" s="392">
        <f t="shared" ref="I518:I526" si="482">+J518</f>
        <v>7000</v>
      </c>
      <c r="J518" s="365">
        <v>7000</v>
      </c>
      <c r="K518" s="365">
        <f>L518</f>
        <v>600</v>
      </c>
      <c r="L518" s="365">
        <v>600</v>
      </c>
      <c r="M518" s="366">
        <f>N518</f>
        <v>2862</v>
      </c>
      <c r="N518" s="366">
        <f>261+2601</f>
        <v>2862</v>
      </c>
      <c r="O518" s="365">
        <f>P518</f>
        <v>7600</v>
      </c>
      <c r="P518" s="365">
        <v>7600</v>
      </c>
      <c r="Q518" s="519">
        <f>R518</f>
        <v>33980</v>
      </c>
      <c r="R518" s="104">
        <v>33980</v>
      </c>
      <c r="S518" s="23"/>
      <c r="T518" s="366">
        <v>6326</v>
      </c>
      <c r="U518" s="366">
        <v>6326</v>
      </c>
      <c r="V518" s="23"/>
      <c r="W518" s="24"/>
      <c r="X518" s="367">
        <v>6326</v>
      </c>
      <c r="Y518" s="367">
        <v>6326</v>
      </c>
      <c r="Z518" s="371"/>
      <c r="AA518" s="5"/>
      <c r="AD518" s="25">
        <v>1</v>
      </c>
      <c r="AE518" s="366">
        <v>6326</v>
      </c>
    </row>
    <row r="519" spans="1:41" s="25" customFormat="1" ht="30">
      <c r="A519" s="518">
        <v>2</v>
      </c>
      <c r="B519" s="214" t="s">
        <v>89</v>
      </c>
      <c r="C519" s="403" t="s">
        <v>738</v>
      </c>
      <c r="D519" s="403" t="s">
        <v>90</v>
      </c>
      <c r="E519" s="458" t="s">
        <v>45</v>
      </c>
      <c r="F519" s="101" t="s">
        <v>91</v>
      </c>
      <c r="G519" s="392">
        <v>13454</v>
      </c>
      <c r="H519" s="392">
        <v>5521</v>
      </c>
      <c r="I519" s="392">
        <f t="shared" si="482"/>
        <v>1000</v>
      </c>
      <c r="J519" s="392">
        <v>1000</v>
      </c>
      <c r="K519" s="392"/>
      <c r="L519" s="392"/>
      <c r="M519" s="392"/>
      <c r="N519" s="392"/>
      <c r="O519" s="392">
        <v>1000</v>
      </c>
      <c r="P519" s="392">
        <v>1000</v>
      </c>
      <c r="Q519" s="392">
        <v>5521</v>
      </c>
      <c r="R519" s="392">
        <v>5521</v>
      </c>
      <c r="S519" s="392"/>
      <c r="T519" s="392">
        <v>2761</v>
      </c>
      <c r="U519" s="392">
        <v>2761</v>
      </c>
      <c r="V519" s="392"/>
      <c r="W519" s="24"/>
      <c r="X519" s="396">
        <v>2761</v>
      </c>
      <c r="Y519" s="396">
        <v>2761</v>
      </c>
      <c r="Z519" s="396"/>
      <c r="AA519" s="5"/>
      <c r="AD519" s="25">
        <v>1</v>
      </c>
      <c r="AE519" s="392">
        <v>2761</v>
      </c>
    </row>
    <row r="520" spans="1:41" s="25" customFormat="1" ht="45">
      <c r="A520" s="518">
        <v>3</v>
      </c>
      <c r="B520" s="517" t="s">
        <v>92</v>
      </c>
      <c r="C520" s="101" t="s">
        <v>1397</v>
      </c>
      <c r="D520" s="101" t="s">
        <v>93</v>
      </c>
      <c r="E520" s="312" t="s">
        <v>94</v>
      </c>
      <c r="F520" s="403" t="s">
        <v>95</v>
      </c>
      <c r="G520" s="392">
        <v>10443</v>
      </c>
      <c r="H520" s="392">
        <v>4978</v>
      </c>
      <c r="I520" s="392">
        <f t="shared" si="482"/>
        <v>2848</v>
      </c>
      <c r="J520" s="392">
        <v>2848</v>
      </c>
      <c r="K520" s="23"/>
      <c r="L520" s="23"/>
      <c r="M520" s="23"/>
      <c r="N520" s="23"/>
      <c r="O520" s="392">
        <f>1117+1500+1000</f>
        <v>3617</v>
      </c>
      <c r="P520" s="392">
        <v>2848</v>
      </c>
      <c r="Q520" s="392">
        <f>+G520-O520</f>
        <v>6826</v>
      </c>
      <c r="R520" s="392">
        <v>4978</v>
      </c>
      <c r="S520" s="23"/>
      <c r="T520" s="392">
        <f>+Q520</f>
        <v>6826</v>
      </c>
      <c r="U520" s="392">
        <v>2130</v>
      </c>
      <c r="V520" s="23"/>
      <c r="W520" s="24"/>
      <c r="X520" s="396">
        <v>6826</v>
      </c>
      <c r="Y520" s="396">
        <v>2130</v>
      </c>
      <c r="Z520" s="371"/>
      <c r="AA520" s="5"/>
      <c r="AD520" s="25">
        <v>1</v>
      </c>
      <c r="AE520" s="392">
        <v>3981</v>
      </c>
    </row>
    <row r="521" spans="1:41" s="25" customFormat="1" ht="75">
      <c r="A521" s="518">
        <v>4</v>
      </c>
      <c r="B521" s="214" t="s">
        <v>99</v>
      </c>
      <c r="C521" s="101" t="s">
        <v>1398</v>
      </c>
      <c r="D521" s="101" t="s">
        <v>100</v>
      </c>
      <c r="E521" s="95" t="s">
        <v>94</v>
      </c>
      <c r="F521" s="41" t="s">
        <v>1399</v>
      </c>
      <c r="G521" s="104">
        <v>6408</v>
      </c>
      <c r="H521" s="104">
        <v>6408</v>
      </c>
      <c r="I521" s="392">
        <f t="shared" si="482"/>
        <v>2560</v>
      </c>
      <c r="J521" s="104">
        <v>2560</v>
      </c>
      <c r="K521" s="104">
        <f>L521</f>
        <v>362</v>
      </c>
      <c r="L521" s="104">
        <v>362</v>
      </c>
      <c r="M521" s="104">
        <v>32</v>
      </c>
      <c r="N521" s="104">
        <v>32</v>
      </c>
      <c r="O521" s="104">
        <f>362+I521</f>
        <v>2922</v>
      </c>
      <c r="P521" s="104">
        <f>O521</f>
        <v>2922</v>
      </c>
      <c r="Q521" s="104">
        <f>R521</f>
        <v>6408</v>
      </c>
      <c r="R521" s="104">
        <v>6408</v>
      </c>
      <c r="S521" s="104"/>
      <c r="T521" s="104">
        <f>Q521-O521</f>
        <v>3486</v>
      </c>
      <c r="U521" s="104">
        <f>+R521-P521</f>
        <v>3486</v>
      </c>
      <c r="V521" s="104"/>
      <c r="W521" s="24"/>
      <c r="X521" s="372">
        <v>3486</v>
      </c>
      <c r="Y521" s="372">
        <v>3486</v>
      </c>
      <c r="Z521" s="372"/>
      <c r="AA521" s="5"/>
      <c r="AD521" s="25">
        <v>1</v>
      </c>
      <c r="AE521" s="104">
        <f>AD521</f>
        <v>1</v>
      </c>
    </row>
    <row r="522" spans="1:41" s="25" customFormat="1" ht="45">
      <c r="A522" s="518">
        <v>5</v>
      </c>
      <c r="B522" s="214" t="s">
        <v>105</v>
      </c>
      <c r="C522" s="101" t="s">
        <v>925</v>
      </c>
      <c r="D522" s="101" t="s">
        <v>106</v>
      </c>
      <c r="E522" s="95" t="s">
        <v>94</v>
      </c>
      <c r="F522" s="41" t="s">
        <v>107</v>
      </c>
      <c r="G522" s="104">
        <v>30091</v>
      </c>
      <c r="H522" s="104">
        <v>30091</v>
      </c>
      <c r="I522" s="392">
        <f t="shared" si="482"/>
        <v>6900</v>
      </c>
      <c r="J522" s="104">
        <v>6900</v>
      </c>
      <c r="K522" s="104">
        <f>L522</f>
        <v>499</v>
      </c>
      <c r="L522" s="104">
        <v>499</v>
      </c>
      <c r="M522" s="104">
        <f>N522</f>
        <v>3979</v>
      </c>
      <c r="N522" s="104">
        <v>3979</v>
      </c>
      <c r="O522" s="104">
        <f>P522</f>
        <v>7399</v>
      </c>
      <c r="P522" s="104">
        <f>+J522+L522</f>
        <v>7399</v>
      </c>
      <c r="Q522" s="104">
        <f>R522</f>
        <v>30091</v>
      </c>
      <c r="R522" s="104">
        <f>+H522</f>
        <v>30091</v>
      </c>
      <c r="S522" s="104"/>
      <c r="T522" s="104">
        <f>U522</f>
        <v>22692</v>
      </c>
      <c r="U522" s="104">
        <f>+R522-P522</f>
        <v>22692</v>
      </c>
      <c r="V522" s="104"/>
      <c r="W522" s="24"/>
      <c r="X522" s="372">
        <v>22692</v>
      </c>
      <c r="Y522" s="372">
        <v>22692</v>
      </c>
      <c r="Z522" s="372"/>
      <c r="AA522" s="5"/>
      <c r="AD522" s="25">
        <v>1</v>
      </c>
      <c r="AE522" s="104">
        <v>21992</v>
      </c>
    </row>
    <row r="523" spans="1:41" s="25" customFormat="1" ht="30">
      <c r="A523" s="518">
        <v>6</v>
      </c>
      <c r="B523" s="214" t="s">
        <v>102</v>
      </c>
      <c r="C523" s="19" t="s">
        <v>29</v>
      </c>
      <c r="D523" s="403" t="s">
        <v>103</v>
      </c>
      <c r="E523" s="312" t="s">
        <v>30</v>
      </c>
      <c r="F523" s="19" t="s">
        <v>104</v>
      </c>
      <c r="G523" s="366">
        <v>21991</v>
      </c>
      <c r="H523" s="366">
        <v>21991</v>
      </c>
      <c r="I523" s="392">
        <f t="shared" si="482"/>
        <v>6100</v>
      </c>
      <c r="J523" s="392">
        <v>6100</v>
      </c>
      <c r="K523" s="392">
        <f>L523</f>
        <v>1043</v>
      </c>
      <c r="L523" s="392">
        <v>1043</v>
      </c>
      <c r="M523" s="392">
        <f>N523</f>
        <v>3000</v>
      </c>
      <c r="N523" s="392">
        <v>3000</v>
      </c>
      <c r="O523" s="392">
        <f>4043+3100</f>
        <v>7143</v>
      </c>
      <c r="P523" s="392">
        <f>4043+3100</f>
        <v>7143</v>
      </c>
      <c r="Q523" s="392">
        <f>R523</f>
        <v>20948</v>
      </c>
      <c r="R523" s="392">
        <f>+H523-L523</f>
        <v>20948</v>
      </c>
      <c r="S523" s="392"/>
      <c r="T523" s="392">
        <f>U523</f>
        <v>14848</v>
      </c>
      <c r="U523" s="392">
        <f>+R523-J523</f>
        <v>14848</v>
      </c>
      <c r="V523" s="392"/>
      <c r="W523" s="24"/>
      <c r="X523" s="396">
        <v>14848</v>
      </c>
      <c r="Y523" s="396">
        <v>14848</v>
      </c>
      <c r="Z523" s="396"/>
      <c r="AA523" s="5"/>
      <c r="AD523" s="25">
        <v>1</v>
      </c>
      <c r="AE523" s="392">
        <v>5800</v>
      </c>
    </row>
    <row r="524" spans="1:41" s="25" customFormat="1" ht="31.5">
      <c r="A524" s="518">
        <v>7</v>
      </c>
      <c r="B524" s="214" t="s">
        <v>131</v>
      </c>
      <c r="C524" s="19" t="s">
        <v>29</v>
      </c>
      <c r="D524" s="403" t="s">
        <v>132</v>
      </c>
      <c r="E524" s="312" t="s">
        <v>30</v>
      </c>
      <c r="F524" s="19" t="s">
        <v>133</v>
      </c>
      <c r="G524" s="366">
        <v>21488</v>
      </c>
      <c r="H524" s="366">
        <v>21488</v>
      </c>
      <c r="I524" s="392">
        <f t="shared" si="482"/>
        <v>1000</v>
      </c>
      <c r="J524" s="392">
        <v>1000</v>
      </c>
      <c r="K524" s="392"/>
      <c r="L524" s="392"/>
      <c r="M524" s="392"/>
      <c r="N524" s="392"/>
      <c r="O524" s="392">
        <f t="shared" ref="O524" si="483">+P524</f>
        <v>1000</v>
      </c>
      <c r="P524" s="392">
        <v>1000</v>
      </c>
      <c r="Q524" s="366">
        <f>R524</f>
        <v>21488</v>
      </c>
      <c r="R524" s="366">
        <f>+H524</f>
        <v>21488</v>
      </c>
      <c r="S524" s="392"/>
      <c r="T524" s="392">
        <v>5000</v>
      </c>
      <c r="U524" s="392">
        <v>5000</v>
      </c>
      <c r="V524" s="392"/>
      <c r="W524" s="24"/>
      <c r="X524" s="396">
        <v>5000</v>
      </c>
      <c r="Y524" s="396">
        <v>5000</v>
      </c>
      <c r="Z524" s="396"/>
      <c r="AA524" s="5"/>
      <c r="AD524" s="25">
        <v>1</v>
      </c>
      <c r="AE524" s="392">
        <v>5000</v>
      </c>
    </row>
    <row r="525" spans="1:41" s="25" customFormat="1" ht="45">
      <c r="A525" s="518">
        <v>8</v>
      </c>
      <c r="B525" s="214" t="s">
        <v>135</v>
      </c>
      <c r="C525" s="19" t="s">
        <v>29</v>
      </c>
      <c r="D525" s="403" t="s">
        <v>136</v>
      </c>
      <c r="E525" s="312" t="s">
        <v>30</v>
      </c>
      <c r="F525" s="19" t="s">
        <v>137</v>
      </c>
      <c r="G525" s="366">
        <v>21832</v>
      </c>
      <c r="H525" s="366">
        <v>21832</v>
      </c>
      <c r="I525" s="392">
        <f t="shared" si="482"/>
        <v>4550</v>
      </c>
      <c r="J525" s="392">
        <v>4550</v>
      </c>
      <c r="K525" s="392">
        <f>L525</f>
        <v>249</v>
      </c>
      <c r="L525" s="392">
        <v>249</v>
      </c>
      <c r="M525" s="392">
        <f>N525</f>
        <v>429</v>
      </c>
      <c r="N525" s="392">
        <v>429</v>
      </c>
      <c r="O525" s="392">
        <f>4249+550</f>
        <v>4799</v>
      </c>
      <c r="P525" s="392">
        <f>4249+550</f>
        <v>4799</v>
      </c>
      <c r="Q525" s="366">
        <f>R525</f>
        <v>21583</v>
      </c>
      <c r="R525" s="366">
        <f>+H525-L525</f>
        <v>21583</v>
      </c>
      <c r="S525" s="392"/>
      <c r="T525" s="392">
        <v>5000</v>
      </c>
      <c r="U525" s="392">
        <v>5000</v>
      </c>
      <c r="V525" s="392"/>
      <c r="W525" s="24"/>
      <c r="X525" s="396">
        <v>5000</v>
      </c>
      <c r="Y525" s="396">
        <v>5000</v>
      </c>
      <c r="Z525" s="396"/>
      <c r="AA525" s="5"/>
      <c r="AD525" s="25">
        <v>1</v>
      </c>
      <c r="AE525" s="392">
        <v>5000</v>
      </c>
    </row>
    <row r="526" spans="1:41" s="25" customFormat="1" ht="30">
      <c r="A526" s="518">
        <v>9</v>
      </c>
      <c r="B526" s="214" t="s">
        <v>108</v>
      </c>
      <c r="C526" s="19" t="s">
        <v>71</v>
      </c>
      <c r="D526" s="403" t="s">
        <v>109</v>
      </c>
      <c r="E526" s="312" t="s">
        <v>30</v>
      </c>
      <c r="F526" s="19" t="s">
        <v>110</v>
      </c>
      <c r="G526" s="366">
        <v>10805</v>
      </c>
      <c r="H526" s="366">
        <v>5847</v>
      </c>
      <c r="I526" s="392">
        <f t="shared" si="482"/>
        <v>1000</v>
      </c>
      <c r="J526" s="392">
        <v>1000</v>
      </c>
      <c r="K526" s="392"/>
      <c r="L526" s="392"/>
      <c r="M526" s="392">
        <f>N526</f>
        <v>983</v>
      </c>
      <c r="N526" s="392">
        <v>983</v>
      </c>
      <c r="O526" s="392">
        <f t="shared" ref="O526" si="484">+P526</f>
        <v>1000</v>
      </c>
      <c r="P526" s="392">
        <v>1000</v>
      </c>
      <c r="Q526" s="366">
        <v>10805</v>
      </c>
      <c r="R526" s="366">
        <v>5847</v>
      </c>
      <c r="S526" s="392"/>
      <c r="T526" s="392">
        <v>1551</v>
      </c>
      <c r="U526" s="392">
        <v>1551</v>
      </c>
      <c r="V526" s="392"/>
      <c r="W526" s="24"/>
      <c r="X526" s="396">
        <v>1551</v>
      </c>
      <c r="Y526" s="396">
        <v>1551</v>
      </c>
      <c r="Z526" s="396"/>
      <c r="AA526" s="5"/>
      <c r="AD526" s="25">
        <v>1</v>
      </c>
      <c r="AE526" s="392">
        <v>1551</v>
      </c>
    </row>
    <row r="527" spans="1:41" s="25" customFormat="1" ht="30">
      <c r="A527" s="518">
        <v>10</v>
      </c>
      <c r="B527" s="214" t="s">
        <v>111</v>
      </c>
      <c r="C527" s="19" t="s">
        <v>112</v>
      </c>
      <c r="D527" s="403" t="s">
        <v>113</v>
      </c>
      <c r="E527" s="312" t="s">
        <v>1400</v>
      </c>
      <c r="F527" s="19" t="s">
        <v>1401</v>
      </c>
      <c r="G527" s="366">
        <v>6945</v>
      </c>
      <c r="H527" s="366">
        <v>3952</v>
      </c>
      <c r="I527" s="392">
        <f>+J527</f>
        <v>1580</v>
      </c>
      <c r="J527" s="392">
        <v>1580</v>
      </c>
      <c r="K527" s="392">
        <f>L527</f>
        <v>800</v>
      </c>
      <c r="L527" s="392">
        <v>800</v>
      </c>
      <c r="M527" s="392">
        <v>125</v>
      </c>
      <c r="N527" s="392">
        <v>0</v>
      </c>
      <c r="O527" s="392">
        <f>800+1580</f>
        <v>2380</v>
      </c>
      <c r="P527" s="392">
        <f>800+1580</f>
        <v>2380</v>
      </c>
      <c r="Q527" s="392">
        <f>G527-800</f>
        <v>6145</v>
      </c>
      <c r="R527" s="392">
        <f>+H527-800</f>
        <v>3152</v>
      </c>
      <c r="S527" s="392"/>
      <c r="T527" s="392">
        <v>5124</v>
      </c>
      <c r="U527" s="392">
        <v>1500</v>
      </c>
      <c r="V527" s="392"/>
      <c r="W527" s="24"/>
      <c r="X527" s="396">
        <v>5124</v>
      </c>
      <c r="Y527" s="396">
        <v>1500</v>
      </c>
      <c r="Z527" s="396"/>
      <c r="AA527" s="5"/>
      <c r="AD527" s="25">
        <v>1</v>
      </c>
      <c r="AE527" s="392">
        <v>1500</v>
      </c>
    </row>
    <row r="528" spans="1:41" s="5" customFormat="1" ht="31.5">
      <c r="A528" s="11" t="s">
        <v>116</v>
      </c>
      <c r="B528" s="12" t="s">
        <v>117</v>
      </c>
      <c r="C528" s="43"/>
      <c r="D528" s="43"/>
      <c r="E528" s="44"/>
      <c r="F528" s="43"/>
      <c r="G528" s="45">
        <f>SUM(G529,G531)</f>
        <v>244772</v>
      </c>
      <c r="H528" s="45">
        <f t="shared" ref="H528:V528" si="485">SUM(H529,H531)</f>
        <v>175159</v>
      </c>
      <c r="I528" s="45">
        <f t="shared" si="485"/>
        <v>26008</v>
      </c>
      <c r="J528" s="45">
        <f t="shared" si="485"/>
        <v>15424</v>
      </c>
      <c r="K528" s="45">
        <f t="shared" si="485"/>
        <v>1983</v>
      </c>
      <c r="L528" s="45">
        <f t="shared" si="485"/>
        <v>1983</v>
      </c>
      <c r="M528" s="45">
        <f t="shared" si="485"/>
        <v>7073.7780000000002</v>
      </c>
      <c r="N528" s="45">
        <f t="shared" si="485"/>
        <v>6481.8779999999997</v>
      </c>
      <c r="O528" s="45">
        <f t="shared" si="485"/>
        <v>31902</v>
      </c>
      <c r="P528" s="45">
        <f t="shared" si="485"/>
        <v>22318</v>
      </c>
      <c r="Q528" s="45">
        <f t="shared" si="485"/>
        <v>238878</v>
      </c>
      <c r="R528" s="45">
        <f t="shared" si="485"/>
        <v>203384</v>
      </c>
      <c r="S528" s="45">
        <f t="shared" si="485"/>
        <v>0</v>
      </c>
      <c r="T528" s="45">
        <f t="shared" si="485"/>
        <v>50000</v>
      </c>
      <c r="U528" s="45">
        <f t="shared" si="485"/>
        <v>30000</v>
      </c>
      <c r="V528" s="45">
        <f t="shared" si="485"/>
        <v>0</v>
      </c>
      <c r="W528" s="269"/>
      <c r="X528" s="347">
        <f t="shared" ref="X528:Z528" si="486">SUM(X529,X531)</f>
        <v>46000</v>
      </c>
      <c r="Y528" s="347">
        <f t="shared" si="486"/>
        <v>26000</v>
      </c>
      <c r="Z528" s="347">
        <f t="shared" si="486"/>
        <v>0</v>
      </c>
      <c r="AB528" s="45">
        <f t="shared" ref="AB528:AK528" si="487">SUM(AB529,AB531)</f>
        <v>0</v>
      </c>
      <c r="AC528" s="45">
        <f t="shared" si="487"/>
        <v>0</v>
      </c>
      <c r="AD528" s="45">
        <f t="shared" si="487"/>
        <v>0</v>
      </c>
      <c r="AE528" s="45">
        <f t="shared" si="487"/>
        <v>0</v>
      </c>
      <c r="AF528" s="45">
        <f t="shared" si="487"/>
        <v>0</v>
      </c>
      <c r="AG528" s="45">
        <f t="shared" si="487"/>
        <v>0</v>
      </c>
      <c r="AH528" s="45">
        <f t="shared" si="487"/>
        <v>7</v>
      </c>
      <c r="AI528" s="45">
        <f t="shared" si="487"/>
        <v>26000</v>
      </c>
      <c r="AJ528" s="45">
        <f t="shared" si="487"/>
        <v>0</v>
      </c>
      <c r="AK528" s="45">
        <f t="shared" si="487"/>
        <v>0</v>
      </c>
      <c r="AL528" s="45">
        <f>SUM(AL529,AL531)</f>
        <v>0</v>
      </c>
      <c r="AM528" s="45">
        <f>SUM(AM529,AM531)</f>
        <v>0</v>
      </c>
      <c r="AN528" s="45">
        <f>SUM(AN529,AN531)</f>
        <v>0</v>
      </c>
      <c r="AO528" s="45">
        <f>SUM(AO529,AO531)</f>
        <v>0</v>
      </c>
    </row>
    <row r="529" spans="1:41" s="5" customFormat="1" ht="15.75">
      <c r="A529" s="26" t="s">
        <v>47</v>
      </c>
      <c r="B529" s="27" t="s">
        <v>35</v>
      </c>
      <c r="C529" s="43"/>
      <c r="D529" s="43"/>
      <c r="E529" s="44"/>
      <c r="F529" s="43"/>
      <c r="G529" s="45">
        <f>G530</f>
        <v>113480</v>
      </c>
      <c r="H529" s="45">
        <f t="shared" ref="H529:Z529" si="488">H530</f>
        <v>74075</v>
      </c>
      <c r="I529" s="45">
        <f t="shared" si="488"/>
        <v>11000</v>
      </c>
      <c r="J529" s="45">
        <f t="shared" si="488"/>
        <v>416</v>
      </c>
      <c r="K529" s="45">
        <f t="shared" si="488"/>
        <v>0</v>
      </c>
      <c r="L529" s="45">
        <f t="shared" si="488"/>
        <v>0</v>
      </c>
      <c r="M529" s="45">
        <f t="shared" si="488"/>
        <v>1007.778</v>
      </c>
      <c r="N529" s="45">
        <f t="shared" si="488"/>
        <v>415.87800000000004</v>
      </c>
      <c r="O529" s="45">
        <f t="shared" si="488"/>
        <v>14911</v>
      </c>
      <c r="P529" s="45">
        <f t="shared" si="488"/>
        <v>5327</v>
      </c>
      <c r="Q529" s="45">
        <f t="shared" si="488"/>
        <v>109569</v>
      </c>
      <c r="R529" s="45">
        <f t="shared" si="488"/>
        <v>74075</v>
      </c>
      <c r="S529" s="45">
        <f t="shared" si="488"/>
        <v>0</v>
      </c>
      <c r="T529" s="45">
        <f t="shared" si="488"/>
        <v>25000</v>
      </c>
      <c r="U529" s="45">
        <f t="shared" si="488"/>
        <v>5000</v>
      </c>
      <c r="V529" s="45">
        <f t="shared" si="488"/>
        <v>0</v>
      </c>
      <c r="W529" s="269"/>
      <c r="X529" s="347">
        <f t="shared" si="488"/>
        <v>25000</v>
      </c>
      <c r="Y529" s="347">
        <f t="shared" si="488"/>
        <v>5000</v>
      </c>
      <c r="Z529" s="347">
        <f t="shared" si="488"/>
        <v>0</v>
      </c>
      <c r="AB529" s="45">
        <f t="shared" ref="AB529:AK529" si="489">AB530</f>
        <v>0</v>
      </c>
      <c r="AC529" s="45">
        <f t="shared" si="489"/>
        <v>0</v>
      </c>
      <c r="AD529" s="45">
        <f t="shared" si="489"/>
        <v>0</v>
      </c>
      <c r="AE529" s="45">
        <f t="shared" si="489"/>
        <v>0</v>
      </c>
      <c r="AF529" s="45">
        <f t="shared" si="489"/>
        <v>0</v>
      </c>
      <c r="AG529" s="45">
        <f t="shared" si="489"/>
        <v>0</v>
      </c>
      <c r="AH529" s="45">
        <f t="shared" si="489"/>
        <v>1</v>
      </c>
      <c r="AI529" s="45">
        <f t="shared" si="489"/>
        <v>5000</v>
      </c>
      <c r="AJ529" s="45">
        <f t="shared" si="489"/>
        <v>0</v>
      </c>
      <c r="AK529" s="45">
        <f t="shared" si="489"/>
        <v>0</v>
      </c>
      <c r="AL529" s="45">
        <f>AL530</f>
        <v>0</v>
      </c>
      <c r="AM529" s="45">
        <f>AM530</f>
        <v>0</v>
      </c>
      <c r="AN529" s="45">
        <f>AN530</f>
        <v>0</v>
      </c>
      <c r="AO529" s="45">
        <f>AO530</f>
        <v>0</v>
      </c>
    </row>
    <row r="530" spans="1:41" s="25" customFormat="1" ht="31.5">
      <c r="A530" s="518"/>
      <c r="B530" s="214" t="s">
        <v>118</v>
      </c>
      <c r="C530" s="101" t="s">
        <v>29</v>
      </c>
      <c r="D530" s="101" t="s">
        <v>119</v>
      </c>
      <c r="E530" s="95" t="s">
        <v>120</v>
      </c>
      <c r="F530" s="41" t="s">
        <v>121</v>
      </c>
      <c r="G530" s="104">
        <v>113480</v>
      </c>
      <c r="H530" s="104">
        <v>74075</v>
      </c>
      <c r="I530" s="104">
        <v>11000</v>
      </c>
      <c r="J530" s="104">
        <v>416</v>
      </c>
      <c r="K530" s="104"/>
      <c r="L530" s="104"/>
      <c r="M530" s="104">
        <f>415.778+592</f>
        <v>1007.778</v>
      </c>
      <c r="N530" s="104">
        <v>415.87800000000004</v>
      </c>
      <c r="O530" s="104">
        <v>14911</v>
      </c>
      <c r="P530" s="104">
        <f>416+1000+3911</f>
        <v>5327</v>
      </c>
      <c r="Q530" s="104">
        <v>109569</v>
      </c>
      <c r="R530" s="104">
        <v>74075</v>
      </c>
      <c r="S530" s="104"/>
      <c r="T530" s="104">
        <v>25000</v>
      </c>
      <c r="U530" s="104">
        <v>5000</v>
      </c>
      <c r="V530" s="104"/>
      <c r="W530" s="24"/>
      <c r="X530" s="372">
        <v>25000</v>
      </c>
      <c r="Y530" s="372">
        <v>5000</v>
      </c>
      <c r="Z530" s="372"/>
      <c r="AA530" s="5"/>
      <c r="AH530" s="25">
        <v>1</v>
      </c>
      <c r="AI530" s="104">
        <v>5000</v>
      </c>
    </row>
    <row r="531" spans="1:41" s="5" customFormat="1" ht="15.75">
      <c r="A531" s="26" t="s">
        <v>273</v>
      </c>
      <c r="B531" s="27" t="s">
        <v>48</v>
      </c>
      <c r="C531" s="43"/>
      <c r="D531" s="43"/>
      <c r="E531" s="44"/>
      <c r="F531" s="43"/>
      <c r="G531" s="45">
        <f>SUM(G532:G537)</f>
        <v>131292</v>
      </c>
      <c r="H531" s="45">
        <f t="shared" ref="H531:Z531" si="490">SUM(H532:H537)</f>
        <v>101084</v>
      </c>
      <c r="I531" s="45">
        <f t="shared" si="490"/>
        <v>15008</v>
      </c>
      <c r="J531" s="45">
        <f t="shared" si="490"/>
        <v>15008</v>
      </c>
      <c r="K531" s="45">
        <f t="shared" si="490"/>
        <v>1983</v>
      </c>
      <c r="L531" s="45">
        <f t="shared" si="490"/>
        <v>1983</v>
      </c>
      <c r="M531" s="45">
        <f t="shared" si="490"/>
        <v>6066</v>
      </c>
      <c r="N531" s="45">
        <f t="shared" si="490"/>
        <v>6066</v>
      </c>
      <c r="O531" s="45">
        <f t="shared" si="490"/>
        <v>16991</v>
      </c>
      <c r="P531" s="45">
        <f t="shared" si="490"/>
        <v>16991</v>
      </c>
      <c r="Q531" s="45">
        <f t="shared" si="490"/>
        <v>129309</v>
      </c>
      <c r="R531" s="45">
        <f t="shared" si="490"/>
        <v>129309</v>
      </c>
      <c r="S531" s="45">
        <f t="shared" si="490"/>
        <v>0</v>
      </c>
      <c r="T531" s="45">
        <f t="shared" si="490"/>
        <v>25000</v>
      </c>
      <c r="U531" s="45">
        <f t="shared" si="490"/>
        <v>25000</v>
      </c>
      <c r="V531" s="45">
        <f t="shared" si="490"/>
        <v>0</v>
      </c>
      <c r="W531" s="269"/>
      <c r="X531" s="347">
        <f t="shared" si="490"/>
        <v>21000</v>
      </c>
      <c r="Y531" s="347">
        <f t="shared" si="490"/>
        <v>21000</v>
      </c>
      <c r="Z531" s="347">
        <f t="shared" si="490"/>
        <v>0</v>
      </c>
      <c r="AB531" s="45">
        <f t="shared" ref="AB531:AK531" si="491">SUM(AB532:AB537)</f>
        <v>0</v>
      </c>
      <c r="AC531" s="45">
        <f t="shared" si="491"/>
        <v>0</v>
      </c>
      <c r="AD531" s="45">
        <f t="shared" si="491"/>
        <v>0</v>
      </c>
      <c r="AE531" s="45">
        <f t="shared" si="491"/>
        <v>0</v>
      </c>
      <c r="AF531" s="45">
        <f t="shared" si="491"/>
        <v>0</v>
      </c>
      <c r="AG531" s="45">
        <f t="shared" si="491"/>
        <v>0</v>
      </c>
      <c r="AH531" s="45">
        <f t="shared" si="491"/>
        <v>6</v>
      </c>
      <c r="AI531" s="45">
        <f t="shared" si="491"/>
        <v>21000</v>
      </c>
      <c r="AJ531" s="45">
        <f t="shared" si="491"/>
        <v>0</v>
      </c>
      <c r="AK531" s="45">
        <f t="shared" si="491"/>
        <v>0</v>
      </c>
      <c r="AL531" s="45">
        <f>SUM(AL532:AL537)</f>
        <v>0</v>
      </c>
      <c r="AM531" s="45">
        <f>SUM(AM532:AM537)</f>
        <v>0</v>
      </c>
      <c r="AN531" s="45">
        <f>SUM(AN532:AN537)</f>
        <v>0</v>
      </c>
      <c r="AO531" s="45">
        <f>SUM(AO532:AO537)</f>
        <v>0</v>
      </c>
    </row>
    <row r="532" spans="1:41" s="25" customFormat="1" ht="30">
      <c r="A532" s="518" t="s">
        <v>27</v>
      </c>
      <c r="B532" s="214" t="s">
        <v>122</v>
      </c>
      <c r="C532" s="101" t="s">
        <v>29</v>
      </c>
      <c r="D532" s="101" t="s">
        <v>123</v>
      </c>
      <c r="E532" s="95" t="s">
        <v>45</v>
      </c>
      <c r="F532" s="41" t="s">
        <v>124</v>
      </c>
      <c r="G532" s="104">
        <v>11952</v>
      </c>
      <c r="H532" s="104">
        <v>11952</v>
      </c>
      <c r="I532" s="392">
        <f t="shared" ref="I532:I540" si="492">+J532</f>
        <v>3408</v>
      </c>
      <c r="J532" s="104">
        <v>3408</v>
      </c>
      <c r="K532" s="104">
        <f>L532</f>
        <v>475</v>
      </c>
      <c r="L532" s="104">
        <v>475</v>
      </c>
      <c r="M532" s="104">
        <f>N532</f>
        <v>1792</v>
      </c>
      <c r="N532" s="104">
        <v>1792</v>
      </c>
      <c r="O532" s="104">
        <f>P532</f>
        <v>3883</v>
      </c>
      <c r="P532" s="104">
        <f>+J532+L532</f>
        <v>3883</v>
      </c>
      <c r="Q532" s="104">
        <f>R532</f>
        <v>11477</v>
      </c>
      <c r="R532" s="104">
        <f>+H532-L532</f>
        <v>11477</v>
      </c>
      <c r="S532" s="104"/>
      <c r="T532" s="104">
        <v>4000</v>
      </c>
      <c r="U532" s="104">
        <v>4000</v>
      </c>
      <c r="V532" s="104"/>
      <c r="W532" s="24"/>
      <c r="X532" s="372">
        <v>4000</v>
      </c>
      <c r="Y532" s="372">
        <v>4000</v>
      </c>
      <c r="Z532" s="372"/>
      <c r="AA532" s="5"/>
      <c r="AH532" s="25">
        <v>1</v>
      </c>
      <c r="AI532" s="104">
        <v>4000</v>
      </c>
    </row>
    <row r="533" spans="1:41" s="25" customFormat="1" ht="45">
      <c r="A533" s="518" t="s">
        <v>41</v>
      </c>
      <c r="B533" s="214" t="s">
        <v>125</v>
      </c>
      <c r="C533" s="101" t="s">
        <v>29</v>
      </c>
      <c r="D533" s="101" t="s">
        <v>126</v>
      </c>
      <c r="E533" s="95" t="s">
        <v>30</v>
      </c>
      <c r="F533" s="41" t="s">
        <v>127</v>
      </c>
      <c r="G533" s="104">
        <v>33572</v>
      </c>
      <c r="H533" s="104">
        <v>33572</v>
      </c>
      <c r="I533" s="392">
        <f t="shared" si="492"/>
        <v>6000</v>
      </c>
      <c r="J533" s="104">
        <v>6000</v>
      </c>
      <c r="K533" s="104">
        <f>L533</f>
        <v>500</v>
      </c>
      <c r="L533" s="104">
        <v>500</v>
      </c>
      <c r="M533" s="104">
        <f>N533</f>
        <v>2822</v>
      </c>
      <c r="N533" s="104">
        <v>2822</v>
      </c>
      <c r="O533" s="104">
        <f>P533</f>
        <v>6500</v>
      </c>
      <c r="P533" s="104">
        <f>+J533+L533</f>
        <v>6500</v>
      </c>
      <c r="Q533" s="104">
        <f>SUM(R533:S533)</f>
        <v>33072</v>
      </c>
      <c r="R533" s="104">
        <f>H533-L533</f>
        <v>33072</v>
      </c>
      <c r="S533" s="104"/>
      <c r="T533" s="104">
        <v>5000</v>
      </c>
      <c r="U533" s="104">
        <v>5000</v>
      </c>
      <c r="V533" s="104"/>
      <c r="W533" s="24"/>
      <c r="X533" s="372">
        <v>5000</v>
      </c>
      <c r="Y533" s="372">
        <v>5000</v>
      </c>
      <c r="Z533" s="372"/>
      <c r="AA533" s="5"/>
      <c r="AH533" s="25">
        <v>1</v>
      </c>
      <c r="AI533" s="104">
        <v>5000</v>
      </c>
    </row>
    <row r="534" spans="1:41" s="25" customFormat="1" ht="45">
      <c r="A534" s="518" t="s">
        <v>58</v>
      </c>
      <c r="B534" s="214" t="s">
        <v>128</v>
      </c>
      <c r="C534" s="101" t="s">
        <v>29</v>
      </c>
      <c r="D534" s="101" t="s">
        <v>129</v>
      </c>
      <c r="E534" s="95" t="s">
        <v>30</v>
      </c>
      <c r="F534" s="41" t="s">
        <v>130</v>
      </c>
      <c r="G534" s="104">
        <v>9786</v>
      </c>
      <c r="H534" s="104">
        <v>9786</v>
      </c>
      <c r="I534" s="392">
        <f t="shared" si="492"/>
        <v>2600</v>
      </c>
      <c r="J534" s="104">
        <v>2600</v>
      </c>
      <c r="K534" s="104">
        <f>L534</f>
        <v>623</v>
      </c>
      <c r="L534" s="104">
        <v>623</v>
      </c>
      <c r="M534" s="104">
        <v>68</v>
      </c>
      <c r="N534" s="104">
        <v>68</v>
      </c>
      <c r="O534" s="104">
        <f>623+2600</f>
        <v>3223</v>
      </c>
      <c r="P534" s="104">
        <f>623+2600</f>
        <v>3223</v>
      </c>
      <c r="Q534" s="104">
        <v>9163</v>
      </c>
      <c r="R534" s="104">
        <v>9163</v>
      </c>
      <c r="S534" s="104"/>
      <c r="T534" s="104">
        <v>3000</v>
      </c>
      <c r="U534" s="104">
        <v>3000</v>
      </c>
      <c r="V534" s="104"/>
      <c r="W534" s="24"/>
      <c r="X534" s="372">
        <v>3000</v>
      </c>
      <c r="Y534" s="372">
        <v>3000</v>
      </c>
      <c r="Z534" s="372"/>
      <c r="AA534" s="5"/>
      <c r="AH534" s="25">
        <v>1</v>
      </c>
      <c r="AI534" s="104">
        <v>3000</v>
      </c>
    </row>
    <row r="535" spans="1:41" s="25" customFormat="1" ht="45">
      <c r="A535" s="518" t="s">
        <v>64</v>
      </c>
      <c r="B535" s="214" t="s">
        <v>138</v>
      </c>
      <c r="C535" s="19" t="s">
        <v>29</v>
      </c>
      <c r="D535" s="403" t="s">
        <v>139</v>
      </c>
      <c r="E535" s="312" t="s">
        <v>30</v>
      </c>
      <c r="F535" s="19" t="s">
        <v>140</v>
      </c>
      <c r="G535" s="366">
        <v>11305</v>
      </c>
      <c r="H535" s="366">
        <v>11305</v>
      </c>
      <c r="I535" s="392">
        <f t="shared" si="492"/>
        <v>3000</v>
      </c>
      <c r="J535" s="392">
        <v>3000</v>
      </c>
      <c r="K535" s="392">
        <f>L535</f>
        <v>385</v>
      </c>
      <c r="L535" s="392">
        <v>385</v>
      </c>
      <c r="M535" s="392">
        <f>+N535</f>
        <v>1384</v>
      </c>
      <c r="N535" s="392">
        <v>1384</v>
      </c>
      <c r="O535" s="392">
        <f>+P535</f>
        <v>3385</v>
      </c>
      <c r="P535" s="392">
        <f>385+3000</f>
        <v>3385</v>
      </c>
      <c r="Q535" s="392">
        <f>+R535</f>
        <v>10920</v>
      </c>
      <c r="R535" s="392">
        <f>+H535-L535</f>
        <v>10920</v>
      </c>
      <c r="S535" s="392"/>
      <c r="T535" s="392">
        <v>3000</v>
      </c>
      <c r="U535" s="392">
        <v>3000</v>
      </c>
      <c r="V535" s="392"/>
      <c r="W535" s="24"/>
      <c r="X535" s="396">
        <v>3000</v>
      </c>
      <c r="Y535" s="396">
        <v>3000</v>
      </c>
      <c r="Z535" s="396"/>
      <c r="AA535" s="5"/>
      <c r="AH535" s="25">
        <v>1</v>
      </c>
      <c r="AI535" s="392">
        <v>3000</v>
      </c>
    </row>
    <row r="536" spans="1:41" s="25" customFormat="1" ht="60">
      <c r="A536" s="518" t="s">
        <v>69</v>
      </c>
      <c r="B536" s="214" t="s">
        <v>142</v>
      </c>
      <c r="C536" s="19" t="s">
        <v>143</v>
      </c>
      <c r="D536" s="403" t="s">
        <v>144</v>
      </c>
      <c r="E536" s="312" t="s">
        <v>30</v>
      </c>
      <c r="F536" s="19" t="s">
        <v>145</v>
      </c>
      <c r="G536" s="366">
        <v>43677</v>
      </c>
      <c r="H536" s="366">
        <v>23580</v>
      </c>
      <c r="I536" s="392">
        <f t="shared" si="492"/>
        <v>0</v>
      </c>
      <c r="J536" s="392">
        <v>0</v>
      </c>
      <c r="K536" s="392"/>
      <c r="L536" s="392"/>
      <c r="M536" s="392"/>
      <c r="N536" s="392"/>
      <c r="O536" s="392">
        <f t="shared" ref="O536" si="493">+P536</f>
        <v>0</v>
      </c>
      <c r="P536" s="392"/>
      <c r="Q536" s="366">
        <v>43677</v>
      </c>
      <c r="R536" s="366">
        <v>43677</v>
      </c>
      <c r="S536" s="392"/>
      <c r="T536" s="392">
        <v>5000</v>
      </c>
      <c r="U536" s="392">
        <v>5000</v>
      </c>
      <c r="V536" s="392"/>
      <c r="W536" s="24"/>
      <c r="X536" s="396">
        <v>3000</v>
      </c>
      <c r="Y536" s="396">
        <v>3000</v>
      </c>
      <c r="Z536" s="396"/>
      <c r="AA536" s="5"/>
      <c r="AH536" s="25">
        <v>1</v>
      </c>
      <c r="AI536" s="392">
        <v>3000</v>
      </c>
    </row>
    <row r="537" spans="1:41" s="25" customFormat="1" ht="45">
      <c r="A537" s="518" t="s">
        <v>74</v>
      </c>
      <c r="B537" s="214" t="s">
        <v>147</v>
      </c>
      <c r="C537" s="19" t="s">
        <v>71</v>
      </c>
      <c r="D537" s="403" t="s">
        <v>148</v>
      </c>
      <c r="E537" s="312" t="s">
        <v>30</v>
      </c>
      <c r="F537" s="19" t="s">
        <v>149</v>
      </c>
      <c r="G537" s="366">
        <v>21000</v>
      </c>
      <c r="H537" s="366">
        <v>10889</v>
      </c>
      <c r="I537" s="392">
        <f>+J537</f>
        <v>0</v>
      </c>
      <c r="J537" s="392">
        <v>0</v>
      </c>
      <c r="K537" s="392"/>
      <c r="L537" s="392"/>
      <c r="M537" s="392"/>
      <c r="N537" s="392"/>
      <c r="O537" s="392">
        <f>+P537</f>
        <v>0</v>
      </c>
      <c r="P537" s="392"/>
      <c r="Q537" s="366">
        <v>21000</v>
      </c>
      <c r="R537" s="366">
        <v>21000</v>
      </c>
      <c r="S537" s="392"/>
      <c r="T537" s="392">
        <v>5000</v>
      </c>
      <c r="U537" s="392">
        <v>5000</v>
      </c>
      <c r="V537" s="392"/>
      <c r="W537" s="24"/>
      <c r="X537" s="396">
        <v>3000</v>
      </c>
      <c r="Y537" s="396">
        <v>3000</v>
      </c>
      <c r="Z537" s="396"/>
      <c r="AA537" s="5"/>
      <c r="AH537" s="25">
        <v>1</v>
      </c>
      <c r="AI537" s="392">
        <v>3000</v>
      </c>
    </row>
    <row r="538" spans="1:41" s="5" customFormat="1" ht="31.5">
      <c r="A538" s="11" t="s">
        <v>150</v>
      </c>
      <c r="B538" s="12" t="s">
        <v>151</v>
      </c>
      <c r="C538" s="43"/>
      <c r="D538" s="43"/>
      <c r="E538" s="44"/>
      <c r="F538" s="43"/>
      <c r="G538" s="45">
        <f>SUM(G539)</f>
        <v>107215</v>
      </c>
      <c r="H538" s="45">
        <f t="shared" ref="H538:Z538" si="494">SUM(H539)</f>
        <v>75002</v>
      </c>
      <c r="I538" s="392">
        <f t="shared" si="492"/>
        <v>150</v>
      </c>
      <c r="J538" s="45">
        <f t="shared" ref="J538" si="495">SUM(J539)</f>
        <v>150</v>
      </c>
      <c r="K538" s="45">
        <f t="shared" si="494"/>
        <v>0</v>
      </c>
      <c r="L538" s="45">
        <f t="shared" si="494"/>
        <v>0</v>
      </c>
      <c r="M538" s="45">
        <f t="shared" si="494"/>
        <v>0</v>
      </c>
      <c r="N538" s="45">
        <f t="shared" si="494"/>
        <v>0</v>
      </c>
      <c r="O538" s="45">
        <f t="shared" si="494"/>
        <v>1150</v>
      </c>
      <c r="P538" s="45">
        <f t="shared" si="494"/>
        <v>150</v>
      </c>
      <c r="Q538" s="45">
        <f t="shared" si="494"/>
        <v>103700</v>
      </c>
      <c r="R538" s="45">
        <f t="shared" si="494"/>
        <v>74999</v>
      </c>
      <c r="S538" s="45">
        <f t="shared" si="494"/>
        <v>0</v>
      </c>
      <c r="T538" s="45">
        <f t="shared" si="494"/>
        <v>45769</v>
      </c>
      <c r="U538" s="45">
        <f t="shared" si="494"/>
        <v>30618</v>
      </c>
      <c r="V538" s="45">
        <f t="shared" si="494"/>
        <v>0</v>
      </c>
      <c r="W538" s="352"/>
      <c r="X538" s="347">
        <f t="shared" si="494"/>
        <v>39417</v>
      </c>
      <c r="Y538" s="347">
        <f t="shared" si="494"/>
        <v>24618</v>
      </c>
      <c r="Z538" s="347">
        <f t="shared" si="494"/>
        <v>0</v>
      </c>
      <c r="AB538" s="45">
        <f t="shared" ref="AB538:AK538" si="496">SUM(AB539)</f>
        <v>1</v>
      </c>
      <c r="AC538" s="45">
        <f t="shared" si="496"/>
        <v>150</v>
      </c>
      <c r="AD538" s="45">
        <f t="shared" si="496"/>
        <v>0</v>
      </c>
      <c r="AE538" s="45">
        <f t="shared" si="496"/>
        <v>0</v>
      </c>
      <c r="AF538" s="45">
        <f t="shared" si="496"/>
        <v>0</v>
      </c>
      <c r="AG538" s="45">
        <f t="shared" si="496"/>
        <v>0</v>
      </c>
      <c r="AH538" s="45">
        <f t="shared" si="496"/>
        <v>0</v>
      </c>
      <c r="AI538" s="45">
        <f t="shared" si="496"/>
        <v>0</v>
      </c>
      <c r="AJ538" s="45">
        <f t="shared" si="496"/>
        <v>0</v>
      </c>
      <c r="AK538" s="45">
        <f t="shared" si="496"/>
        <v>0</v>
      </c>
      <c r="AL538" s="45">
        <f>SUM(AL539)</f>
        <v>11</v>
      </c>
      <c r="AM538" s="45">
        <f>SUM(AM539)</f>
        <v>24618</v>
      </c>
      <c r="AN538" s="45">
        <f>SUM(AN539)</f>
        <v>0</v>
      </c>
      <c r="AO538" s="45">
        <f>SUM(AO539)</f>
        <v>0</v>
      </c>
    </row>
    <row r="539" spans="1:41" s="5" customFormat="1" ht="15.75">
      <c r="A539" s="26" t="s">
        <v>273</v>
      </c>
      <c r="B539" s="27" t="s">
        <v>48</v>
      </c>
      <c r="C539" s="43"/>
      <c r="D539" s="43"/>
      <c r="E539" s="44"/>
      <c r="F539" s="43"/>
      <c r="G539" s="45">
        <f>SUM(G540:G552)</f>
        <v>107215</v>
      </c>
      <c r="H539" s="45">
        <f t="shared" ref="H539:V539" si="497">SUM(H540:H552)</f>
        <v>75002</v>
      </c>
      <c r="I539" s="45">
        <f t="shared" si="497"/>
        <v>150</v>
      </c>
      <c r="J539" s="45">
        <f t="shared" si="497"/>
        <v>150</v>
      </c>
      <c r="K539" s="45">
        <f t="shared" si="497"/>
        <v>0</v>
      </c>
      <c r="L539" s="45">
        <f t="shared" si="497"/>
        <v>0</v>
      </c>
      <c r="M539" s="45">
        <f t="shared" si="497"/>
        <v>0</v>
      </c>
      <c r="N539" s="45">
        <f t="shared" si="497"/>
        <v>0</v>
      </c>
      <c r="O539" s="45">
        <f t="shared" si="497"/>
        <v>1150</v>
      </c>
      <c r="P539" s="45">
        <f t="shared" si="497"/>
        <v>150</v>
      </c>
      <c r="Q539" s="45">
        <f t="shared" si="497"/>
        <v>103700</v>
      </c>
      <c r="R539" s="45">
        <f t="shared" si="497"/>
        <v>74999</v>
      </c>
      <c r="S539" s="45">
        <f t="shared" si="497"/>
        <v>0</v>
      </c>
      <c r="T539" s="45">
        <f t="shared" si="497"/>
        <v>45769</v>
      </c>
      <c r="U539" s="45">
        <f t="shared" si="497"/>
        <v>30618</v>
      </c>
      <c r="V539" s="45">
        <f t="shared" si="497"/>
        <v>0</v>
      </c>
      <c r="W539" s="520"/>
      <c r="X539" s="347">
        <f>SUM(X540:X552)</f>
        <v>39417</v>
      </c>
      <c r="Y539" s="347">
        <f>SUM(Y540:Y552)</f>
        <v>24618</v>
      </c>
      <c r="Z539" s="347">
        <f>SUM(Z540:Z552)</f>
        <v>0</v>
      </c>
      <c r="AB539" s="45">
        <f t="shared" ref="AB539:AO539" si="498">SUM(AB540:AB552)</f>
        <v>1</v>
      </c>
      <c r="AC539" s="45">
        <f t="shared" si="498"/>
        <v>150</v>
      </c>
      <c r="AD539" s="45">
        <f t="shared" si="498"/>
        <v>0</v>
      </c>
      <c r="AE539" s="45">
        <f t="shared" si="498"/>
        <v>0</v>
      </c>
      <c r="AF539" s="45">
        <f t="shared" si="498"/>
        <v>0</v>
      </c>
      <c r="AG539" s="45">
        <f t="shared" si="498"/>
        <v>0</v>
      </c>
      <c r="AH539" s="45">
        <f t="shared" si="498"/>
        <v>0</v>
      </c>
      <c r="AI539" s="45">
        <f t="shared" si="498"/>
        <v>0</v>
      </c>
      <c r="AJ539" s="45">
        <f t="shared" si="498"/>
        <v>0</v>
      </c>
      <c r="AK539" s="45">
        <f t="shared" si="498"/>
        <v>0</v>
      </c>
      <c r="AL539" s="45">
        <f t="shared" si="498"/>
        <v>11</v>
      </c>
      <c r="AM539" s="45">
        <f t="shared" si="498"/>
        <v>24618</v>
      </c>
      <c r="AN539" s="45">
        <f t="shared" si="498"/>
        <v>0</v>
      </c>
      <c r="AO539" s="45">
        <f t="shared" si="498"/>
        <v>0</v>
      </c>
    </row>
    <row r="540" spans="1:41" s="25" customFormat="1" ht="45">
      <c r="A540" s="190" t="s">
        <v>27</v>
      </c>
      <c r="B540" s="517" t="s">
        <v>152</v>
      </c>
      <c r="C540" s="101" t="s">
        <v>29</v>
      </c>
      <c r="D540" s="19" t="s">
        <v>153</v>
      </c>
      <c r="E540" s="312" t="s">
        <v>154</v>
      </c>
      <c r="F540" s="19" t="s">
        <v>155</v>
      </c>
      <c r="G540" s="366">
        <v>4789</v>
      </c>
      <c r="H540" s="392">
        <v>4789</v>
      </c>
      <c r="I540" s="392">
        <f t="shared" si="492"/>
        <v>150</v>
      </c>
      <c r="J540" s="23">
        <v>150</v>
      </c>
      <c r="K540" s="23"/>
      <c r="L540" s="23"/>
      <c r="M540" s="23"/>
      <c r="N540" s="23"/>
      <c r="O540" s="392">
        <f t="shared" ref="O540" si="499">+P540</f>
        <v>150</v>
      </c>
      <c r="P540" s="23">
        <v>150</v>
      </c>
      <c r="Q540" s="366">
        <v>4786</v>
      </c>
      <c r="R540" s="392">
        <v>4786</v>
      </c>
      <c r="S540" s="23"/>
      <c r="T540" s="392">
        <f>+U540</f>
        <v>2000</v>
      </c>
      <c r="U540" s="392">
        <v>2000</v>
      </c>
      <c r="V540" s="23"/>
      <c r="W540" s="24"/>
      <c r="X540" s="396">
        <v>2000</v>
      </c>
      <c r="Y540" s="396">
        <v>2000</v>
      </c>
      <c r="Z540" s="371"/>
      <c r="AA540" s="5"/>
      <c r="AL540" s="25">
        <v>1</v>
      </c>
      <c r="AM540" s="392">
        <v>4000</v>
      </c>
    </row>
    <row r="541" spans="1:41" s="25" customFormat="1" ht="31.5">
      <c r="A541" s="190" t="s">
        <v>41</v>
      </c>
      <c r="B541" s="517" t="s">
        <v>156</v>
      </c>
      <c r="C541" s="101" t="s">
        <v>29</v>
      </c>
      <c r="D541" s="19" t="s">
        <v>157</v>
      </c>
      <c r="E541" s="312" t="s">
        <v>154</v>
      </c>
      <c r="F541" s="19" t="s">
        <v>158</v>
      </c>
      <c r="G541" s="366">
        <v>5158</v>
      </c>
      <c r="H541" s="392">
        <v>5158</v>
      </c>
      <c r="I541" s="392">
        <v>0</v>
      </c>
      <c r="J541" s="23">
        <v>0</v>
      </c>
      <c r="K541" s="23"/>
      <c r="L541" s="23"/>
      <c r="M541" s="23"/>
      <c r="N541" s="23"/>
      <c r="O541" s="392"/>
      <c r="P541" s="23"/>
      <c r="Q541" s="366">
        <v>5158</v>
      </c>
      <c r="R541" s="392">
        <v>5158</v>
      </c>
      <c r="S541" s="23"/>
      <c r="T541" s="392">
        <f t="shared" ref="T541:T543" si="500">+U541</f>
        <v>2000</v>
      </c>
      <c r="U541" s="392">
        <v>2000</v>
      </c>
      <c r="V541" s="23"/>
      <c r="W541" s="24"/>
      <c r="X541" s="367">
        <v>2000</v>
      </c>
      <c r="Y541" s="396">
        <v>2000</v>
      </c>
      <c r="Z541" s="371"/>
      <c r="AA541" s="5"/>
      <c r="AB541" s="25">
        <v>1</v>
      </c>
      <c r="AC541" s="392">
        <v>150</v>
      </c>
    </row>
    <row r="542" spans="1:41" s="25" customFormat="1" ht="30">
      <c r="A542" s="190" t="s">
        <v>58</v>
      </c>
      <c r="B542" s="517" t="s">
        <v>159</v>
      </c>
      <c r="C542" s="101" t="s">
        <v>29</v>
      </c>
      <c r="D542" s="19" t="s">
        <v>160</v>
      </c>
      <c r="E542" s="312" t="s">
        <v>154</v>
      </c>
      <c r="F542" s="19" t="s">
        <v>1402</v>
      </c>
      <c r="G542" s="366">
        <v>8665</v>
      </c>
      <c r="H542" s="366">
        <v>8665</v>
      </c>
      <c r="I542" s="392">
        <f t="shared" ref="I542" si="501">+J542</f>
        <v>0</v>
      </c>
      <c r="J542" s="23"/>
      <c r="K542" s="23"/>
      <c r="L542" s="23"/>
      <c r="M542" s="23"/>
      <c r="N542" s="23"/>
      <c r="O542" s="392">
        <f t="shared" ref="O542" si="502">+P542</f>
        <v>0</v>
      </c>
      <c r="P542" s="23"/>
      <c r="Q542" s="366">
        <v>8665</v>
      </c>
      <c r="R542" s="366">
        <v>8665</v>
      </c>
      <c r="S542" s="23"/>
      <c r="T542" s="392">
        <f t="shared" si="500"/>
        <v>2000</v>
      </c>
      <c r="U542" s="392">
        <v>2000</v>
      </c>
      <c r="V542" s="23"/>
      <c r="W542" s="24"/>
      <c r="X542" s="396">
        <v>2000</v>
      </c>
      <c r="Y542" s="396">
        <v>2000</v>
      </c>
      <c r="Z542" s="371"/>
      <c r="AA542" s="5"/>
      <c r="AL542" s="25">
        <v>1</v>
      </c>
      <c r="AM542" s="392">
        <v>4000</v>
      </c>
    </row>
    <row r="543" spans="1:41" s="25" customFormat="1" ht="31.5">
      <c r="A543" s="190" t="s">
        <v>64</v>
      </c>
      <c r="B543" s="517" t="s">
        <v>162</v>
      </c>
      <c r="C543" s="101" t="s">
        <v>29</v>
      </c>
      <c r="D543" s="19"/>
      <c r="E543" s="312" t="s">
        <v>163</v>
      </c>
      <c r="F543" s="19" t="s">
        <v>164</v>
      </c>
      <c r="G543" s="366">
        <v>14581</v>
      </c>
      <c r="H543" s="366">
        <v>14581</v>
      </c>
      <c r="I543" s="392"/>
      <c r="J543" s="23"/>
      <c r="K543" s="23"/>
      <c r="L543" s="23"/>
      <c r="M543" s="23"/>
      <c r="N543" s="23"/>
      <c r="O543" s="392"/>
      <c r="P543" s="23"/>
      <c r="Q543" s="366">
        <v>14581</v>
      </c>
      <c r="R543" s="366">
        <v>14581</v>
      </c>
      <c r="S543" s="23"/>
      <c r="T543" s="392">
        <f t="shared" si="500"/>
        <v>2000</v>
      </c>
      <c r="U543" s="392">
        <v>2000</v>
      </c>
      <c r="V543" s="23"/>
      <c r="W543" s="24"/>
      <c r="X543" s="367">
        <v>2000</v>
      </c>
      <c r="Y543" s="396">
        <v>2000</v>
      </c>
      <c r="Z543" s="371"/>
      <c r="AA543" s="5"/>
      <c r="AL543" s="25">
        <v>1</v>
      </c>
      <c r="AM543" s="392">
        <v>2000</v>
      </c>
    </row>
    <row r="544" spans="1:41" s="25" customFormat="1" ht="31.5">
      <c r="A544" s="190" t="s">
        <v>69</v>
      </c>
      <c r="B544" s="517" t="s">
        <v>165</v>
      </c>
      <c r="C544" s="101" t="s">
        <v>112</v>
      </c>
      <c r="D544" s="19"/>
      <c r="E544" s="312" t="s">
        <v>166</v>
      </c>
      <c r="F544" s="19" t="s">
        <v>167</v>
      </c>
      <c r="G544" s="366">
        <v>2769</v>
      </c>
      <c r="H544" s="392">
        <v>1118</v>
      </c>
      <c r="I544" s="392">
        <f>+J544</f>
        <v>0</v>
      </c>
      <c r="J544" s="23"/>
      <c r="K544" s="23"/>
      <c r="L544" s="23"/>
      <c r="M544" s="23"/>
      <c r="N544" s="23"/>
      <c r="O544" s="392"/>
      <c r="P544" s="23"/>
      <c r="Q544" s="366">
        <v>2769</v>
      </c>
      <c r="R544" s="392">
        <v>1118</v>
      </c>
      <c r="S544" s="23"/>
      <c r="T544" s="366">
        <v>2769</v>
      </c>
      <c r="U544" s="392">
        <v>1118</v>
      </c>
      <c r="V544" s="23"/>
      <c r="W544" s="24"/>
      <c r="X544" s="367">
        <v>2769</v>
      </c>
      <c r="Y544" s="396">
        <v>1118</v>
      </c>
      <c r="Z544" s="371"/>
      <c r="AA544" s="5"/>
      <c r="AL544" s="25">
        <v>1</v>
      </c>
      <c r="AM544" s="392">
        <v>1118</v>
      </c>
    </row>
    <row r="545" spans="1:41" s="25" customFormat="1" ht="45">
      <c r="A545" s="190" t="s">
        <v>74</v>
      </c>
      <c r="B545" s="517" t="s">
        <v>168</v>
      </c>
      <c r="C545" s="101" t="s">
        <v>5</v>
      </c>
      <c r="D545" s="19" t="s">
        <v>169</v>
      </c>
      <c r="E545" s="312" t="s">
        <v>154</v>
      </c>
      <c r="F545" s="19" t="s">
        <v>170</v>
      </c>
      <c r="G545" s="366">
        <v>9894</v>
      </c>
      <c r="H545" s="392">
        <v>4215</v>
      </c>
      <c r="I545" s="392">
        <v>0</v>
      </c>
      <c r="J545" s="23">
        <v>0</v>
      </c>
      <c r="K545" s="23">
        <v>0</v>
      </c>
      <c r="L545" s="23">
        <v>0</v>
      </c>
      <c r="M545" s="23">
        <v>0</v>
      </c>
      <c r="N545" s="23">
        <v>0</v>
      </c>
      <c r="O545" s="392">
        <v>0</v>
      </c>
      <c r="P545" s="23">
        <v>0</v>
      </c>
      <c r="Q545" s="366">
        <v>9894</v>
      </c>
      <c r="R545" s="392">
        <v>4215</v>
      </c>
      <c r="S545" s="23"/>
      <c r="T545" s="366">
        <v>6000</v>
      </c>
      <c r="U545" s="392">
        <v>4000</v>
      </c>
      <c r="V545" s="23"/>
      <c r="W545" s="24" t="s">
        <v>171</v>
      </c>
      <c r="X545" s="367">
        <v>4000</v>
      </c>
      <c r="Y545" s="396">
        <v>2000</v>
      </c>
      <c r="Z545" s="371"/>
      <c r="AA545" s="5"/>
      <c r="AL545" s="25">
        <v>1</v>
      </c>
      <c r="AM545" s="392">
        <v>2000</v>
      </c>
    </row>
    <row r="546" spans="1:41" s="25" customFormat="1" ht="18">
      <c r="A546" s="190" t="s">
        <v>141</v>
      </c>
      <c r="B546" s="517" t="s">
        <v>172</v>
      </c>
      <c r="C546" s="101" t="s">
        <v>173</v>
      </c>
      <c r="D546" s="19" t="s">
        <v>174</v>
      </c>
      <c r="E546" s="312" t="s">
        <v>154</v>
      </c>
      <c r="F546" s="19"/>
      <c r="G546" s="366">
        <v>12931</v>
      </c>
      <c r="H546" s="392">
        <v>8557</v>
      </c>
      <c r="I546" s="392">
        <f>+J546</f>
        <v>0</v>
      </c>
      <c r="J546" s="23"/>
      <c r="K546" s="23"/>
      <c r="L546" s="23"/>
      <c r="M546" s="23"/>
      <c r="N546" s="23"/>
      <c r="O546" s="392"/>
      <c r="P546" s="23"/>
      <c r="Q546" s="366">
        <f>+G546</f>
        <v>12931</v>
      </c>
      <c r="R546" s="392">
        <f>+H546</f>
        <v>8557</v>
      </c>
      <c r="S546" s="23"/>
      <c r="T546" s="366">
        <v>6000</v>
      </c>
      <c r="U546" s="392">
        <v>4000</v>
      </c>
      <c r="V546" s="23"/>
      <c r="W546" s="24" t="s">
        <v>171</v>
      </c>
      <c r="X546" s="367">
        <v>4000</v>
      </c>
      <c r="Y546" s="396">
        <v>2000</v>
      </c>
      <c r="Z546" s="371"/>
      <c r="AA546" s="5"/>
      <c r="AM546" s="521"/>
    </row>
    <row r="547" spans="1:41" s="25" customFormat="1" ht="18">
      <c r="A547" s="190" t="s">
        <v>146</v>
      </c>
      <c r="B547" s="517" t="s">
        <v>176</v>
      </c>
      <c r="C547" s="101" t="s">
        <v>60</v>
      </c>
      <c r="D547" s="19" t="s">
        <v>174</v>
      </c>
      <c r="E547" s="312" t="s">
        <v>154</v>
      </c>
      <c r="F547" s="19"/>
      <c r="G547" s="366">
        <v>10677</v>
      </c>
      <c r="H547" s="392">
        <v>7747</v>
      </c>
      <c r="I547" s="392">
        <f>+J547</f>
        <v>0</v>
      </c>
      <c r="J547" s="23"/>
      <c r="K547" s="23"/>
      <c r="L547" s="23"/>
      <c r="M547" s="23"/>
      <c r="N547" s="23"/>
      <c r="O547" s="392"/>
      <c r="P547" s="23"/>
      <c r="Q547" s="366">
        <f>+G547</f>
        <v>10677</v>
      </c>
      <c r="R547" s="392">
        <f>+H547</f>
        <v>7747</v>
      </c>
      <c r="S547" s="23"/>
      <c r="T547" s="366">
        <v>6000</v>
      </c>
      <c r="U547" s="392">
        <v>4000</v>
      </c>
      <c r="V547" s="23"/>
      <c r="W547" s="24" t="s">
        <v>178</v>
      </c>
      <c r="X547" s="367">
        <v>4000</v>
      </c>
      <c r="Y547" s="396">
        <v>2000</v>
      </c>
      <c r="Z547" s="371"/>
      <c r="AA547" s="5"/>
      <c r="AL547" s="25">
        <v>1</v>
      </c>
      <c r="AM547" s="392">
        <v>2000</v>
      </c>
    </row>
    <row r="548" spans="1:41" s="25" customFormat="1" ht="30">
      <c r="A548" s="190" t="s">
        <v>179</v>
      </c>
      <c r="B548" s="517" t="s">
        <v>180</v>
      </c>
      <c r="C548" s="101" t="s">
        <v>66</v>
      </c>
      <c r="D548" s="19" t="s">
        <v>160</v>
      </c>
      <c r="E548" s="312" t="s">
        <v>30</v>
      </c>
      <c r="F548" s="19" t="s">
        <v>181</v>
      </c>
      <c r="G548" s="366">
        <v>5592</v>
      </c>
      <c r="H548" s="392">
        <v>3080</v>
      </c>
      <c r="I548" s="392">
        <f>+J548</f>
        <v>0</v>
      </c>
      <c r="J548" s="23"/>
      <c r="K548" s="23"/>
      <c r="L548" s="23"/>
      <c r="M548" s="23"/>
      <c r="N548" s="23"/>
      <c r="O548" s="392"/>
      <c r="P548" s="23"/>
      <c r="Q548" s="366">
        <v>3080</v>
      </c>
      <c r="R548" s="392">
        <v>3080</v>
      </c>
      <c r="S548" s="23"/>
      <c r="T548" s="366">
        <v>5000</v>
      </c>
      <c r="U548" s="392">
        <v>3000</v>
      </c>
      <c r="V548" s="23"/>
      <c r="W548" s="24" t="s">
        <v>178</v>
      </c>
      <c r="X548" s="367">
        <v>1500</v>
      </c>
      <c r="Y548" s="396">
        <v>1500</v>
      </c>
      <c r="Z548" s="371"/>
      <c r="AA548" s="5"/>
      <c r="AL548" s="25">
        <v>1</v>
      </c>
      <c r="AM548" s="392">
        <v>1500</v>
      </c>
    </row>
    <row r="549" spans="1:41" s="25" customFormat="1" ht="30">
      <c r="A549" s="190" t="s">
        <v>182</v>
      </c>
      <c r="B549" s="517" t="s">
        <v>183</v>
      </c>
      <c r="C549" s="101" t="s">
        <v>71</v>
      </c>
      <c r="D549" s="19" t="s">
        <v>184</v>
      </c>
      <c r="E549" s="312" t="s">
        <v>166</v>
      </c>
      <c r="F549" s="19" t="s">
        <v>1403</v>
      </c>
      <c r="G549" s="366">
        <v>5395</v>
      </c>
      <c r="H549" s="392">
        <f>5395-2890</f>
        <v>2505</v>
      </c>
      <c r="I549" s="392"/>
      <c r="J549" s="23"/>
      <c r="K549" s="23"/>
      <c r="L549" s="23"/>
      <c r="M549" s="23"/>
      <c r="N549" s="23"/>
      <c r="O549" s="392"/>
      <c r="P549" s="23"/>
      <c r="Q549" s="366">
        <v>5395</v>
      </c>
      <c r="R549" s="392">
        <v>2505</v>
      </c>
      <c r="S549" s="23"/>
      <c r="T549" s="366">
        <v>2000</v>
      </c>
      <c r="U549" s="392">
        <v>1000</v>
      </c>
      <c r="V549" s="23"/>
      <c r="W549" s="24" t="s">
        <v>186</v>
      </c>
      <c r="X549" s="367">
        <v>2000</v>
      </c>
      <c r="Y549" s="396">
        <v>2000</v>
      </c>
      <c r="Z549" s="371"/>
      <c r="AA549" s="5"/>
      <c r="AL549" s="25">
        <v>1</v>
      </c>
      <c r="AM549" s="392">
        <v>2000</v>
      </c>
    </row>
    <row r="550" spans="1:41" s="25" customFormat="1" ht="30">
      <c r="A550" s="190" t="s">
        <v>187</v>
      </c>
      <c r="B550" s="517" t="s">
        <v>188</v>
      </c>
      <c r="C550" s="101" t="s">
        <v>60</v>
      </c>
      <c r="D550" s="19" t="s">
        <v>189</v>
      </c>
      <c r="E550" s="312" t="s">
        <v>166</v>
      </c>
      <c r="F550" s="19" t="s">
        <v>190</v>
      </c>
      <c r="G550" s="366">
        <v>6148</v>
      </c>
      <c r="H550" s="392">
        <v>3072</v>
      </c>
      <c r="I550" s="392">
        <f>+J550</f>
        <v>0</v>
      </c>
      <c r="J550" s="23">
        <v>0</v>
      </c>
      <c r="K550" s="23"/>
      <c r="L550" s="23"/>
      <c r="M550" s="23"/>
      <c r="N550" s="23"/>
      <c r="O550" s="392">
        <v>1000</v>
      </c>
      <c r="P550" s="23">
        <v>0</v>
      </c>
      <c r="Q550" s="366">
        <f>+G550-O550</f>
        <v>5148</v>
      </c>
      <c r="R550" s="392">
        <f>+H550</f>
        <v>3072</v>
      </c>
      <c r="S550" s="23"/>
      <c r="T550" s="366">
        <v>3000</v>
      </c>
      <c r="U550" s="392">
        <v>1500</v>
      </c>
      <c r="V550" s="23"/>
      <c r="W550" s="24"/>
      <c r="X550" s="367">
        <v>5148</v>
      </c>
      <c r="Y550" s="396">
        <v>2000</v>
      </c>
      <c r="Z550" s="371"/>
      <c r="AA550" s="5"/>
      <c r="AL550" s="25">
        <v>1</v>
      </c>
      <c r="AM550" s="392">
        <v>2000</v>
      </c>
    </row>
    <row r="551" spans="1:41" s="25" customFormat="1" ht="30">
      <c r="A551" s="190" t="s">
        <v>191</v>
      </c>
      <c r="B551" s="517" t="s">
        <v>192</v>
      </c>
      <c r="C551" s="101" t="s">
        <v>5</v>
      </c>
      <c r="D551" s="19" t="s">
        <v>193</v>
      </c>
      <c r="E551" s="312" t="s">
        <v>154</v>
      </c>
      <c r="F551" s="19" t="s">
        <v>194</v>
      </c>
      <c r="G551" s="366">
        <v>13632</v>
      </c>
      <c r="H551" s="392">
        <v>6626</v>
      </c>
      <c r="I551" s="392">
        <v>0</v>
      </c>
      <c r="J551" s="23">
        <v>0</v>
      </c>
      <c r="K551" s="23">
        <v>0</v>
      </c>
      <c r="L551" s="23">
        <v>0</v>
      </c>
      <c r="M551" s="23">
        <v>0</v>
      </c>
      <c r="N551" s="23">
        <v>0</v>
      </c>
      <c r="O551" s="392">
        <v>0</v>
      </c>
      <c r="P551" s="23">
        <v>0</v>
      </c>
      <c r="Q551" s="366">
        <v>13632</v>
      </c>
      <c r="R551" s="392">
        <v>6626</v>
      </c>
      <c r="S551" s="23"/>
      <c r="T551" s="366">
        <v>4000</v>
      </c>
      <c r="U551" s="392">
        <v>2000</v>
      </c>
      <c r="V551" s="23"/>
      <c r="W551" s="24"/>
      <c r="X551" s="367">
        <v>4000</v>
      </c>
      <c r="Y551" s="396">
        <v>2000</v>
      </c>
      <c r="Z551" s="371"/>
      <c r="AA551" s="5"/>
      <c r="AL551" s="25">
        <v>1</v>
      </c>
      <c r="AM551" s="392">
        <v>2000</v>
      </c>
    </row>
    <row r="552" spans="1:41" s="25" customFormat="1" ht="30">
      <c r="A552" s="190" t="s">
        <v>195</v>
      </c>
      <c r="B552" s="517" t="s">
        <v>196</v>
      </c>
      <c r="C552" s="101" t="s">
        <v>5</v>
      </c>
      <c r="D552" s="19" t="s">
        <v>197</v>
      </c>
      <c r="E552" s="312" t="s">
        <v>120</v>
      </c>
      <c r="F552" s="19" t="s">
        <v>198</v>
      </c>
      <c r="G552" s="366">
        <v>6984</v>
      </c>
      <c r="H552" s="392">
        <v>4889</v>
      </c>
      <c r="I552" s="392">
        <v>0</v>
      </c>
      <c r="J552" s="23">
        <v>0</v>
      </c>
      <c r="K552" s="23">
        <v>0</v>
      </c>
      <c r="L552" s="23">
        <v>0</v>
      </c>
      <c r="M552" s="23">
        <v>0</v>
      </c>
      <c r="N552" s="23">
        <v>0</v>
      </c>
      <c r="O552" s="392">
        <v>0</v>
      </c>
      <c r="P552" s="23">
        <v>0</v>
      </c>
      <c r="Q552" s="366">
        <v>6984</v>
      </c>
      <c r="R552" s="392">
        <v>4889</v>
      </c>
      <c r="S552" s="23"/>
      <c r="T552" s="366">
        <v>3000</v>
      </c>
      <c r="U552" s="392">
        <v>2000</v>
      </c>
      <c r="V552" s="23"/>
      <c r="W552" s="24"/>
      <c r="X552" s="367">
        <v>4000</v>
      </c>
      <c r="Y552" s="396">
        <v>2000</v>
      </c>
      <c r="Z552" s="371"/>
      <c r="AA552" s="5"/>
      <c r="AL552" s="25">
        <v>1</v>
      </c>
      <c r="AM552" s="392">
        <v>2000</v>
      </c>
    </row>
    <row r="553" spans="1:41" s="25" customFormat="1" ht="15.75">
      <c r="A553" s="190"/>
      <c r="B553" s="214"/>
      <c r="C553" s="19"/>
      <c r="D553" s="403"/>
      <c r="E553" s="312"/>
      <c r="F553" s="19"/>
      <c r="G553" s="366"/>
      <c r="H553" s="366"/>
      <c r="I553" s="392"/>
      <c r="J553" s="392">
        <f>156766-J554</f>
        <v>0</v>
      </c>
      <c r="K553" s="392"/>
      <c r="L553" s="392"/>
      <c r="M553" s="392"/>
      <c r="N553" s="392"/>
      <c r="O553" s="392"/>
      <c r="P553" s="392"/>
      <c r="Q553" s="392"/>
      <c r="R553" s="392"/>
      <c r="S553" s="392"/>
      <c r="T553" s="392"/>
      <c r="U553" s="392"/>
      <c r="V553" s="392"/>
      <c r="W553" s="24"/>
      <c r="X553" s="396"/>
      <c r="Y553" s="396"/>
      <c r="Z553" s="396"/>
      <c r="AA553" s="5"/>
    </row>
    <row r="554" spans="1:41" s="208" customFormat="1" ht="24.75" customHeight="1">
      <c r="A554" s="147" t="s">
        <v>1120</v>
      </c>
      <c r="B554" s="209" t="s">
        <v>1404</v>
      </c>
      <c r="C554" s="126"/>
      <c r="D554" s="126"/>
      <c r="E554" s="127"/>
      <c r="F554" s="126"/>
      <c r="G554" s="63">
        <f>G555</f>
        <v>1528189</v>
      </c>
      <c r="H554" s="63">
        <f t="shared" ref="H554:Z554" si="503">H555</f>
        <v>828885</v>
      </c>
      <c r="I554" s="63">
        <f t="shared" si="503"/>
        <v>181766</v>
      </c>
      <c r="J554" s="63">
        <f t="shared" si="503"/>
        <v>156766</v>
      </c>
      <c r="K554" s="63">
        <f t="shared" si="503"/>
        <v>3616</v>
      </c>
      <c r="L554" s="63">
        <f t="shared" si="503"/>
        <v>2765</v>
      </c>
      <c r="M554" s="63">
        <f t="shared" si="503"/>
        <v>77703.360000000001</v>
      </c>
      <c r="N554" s="63">
        <f t="shared" si="503"/>
        <v>71654.36</v>
      </c>
      <c r="O554" s="63">
        <f t="shared" si="503"/>
        <v>314919</v>
      </c>
      <c r="P554" s="63">
        <f t="shared" si="503"/>
        <v>238606</v>
      </c>
      <c r="Q554" s="63">
        <f t="shared" si="503"/>
        <v>1377718</v>
      </c>
      <c r="R554" s="63">
        <f t="shared" si="503"/>
        <v>751130</v>
      </c>
      <c r="S554" s="63">
        <f t="shared" si="503"/>
        <v>0</v>
      </c>
      <c r="T554" s="63">
        <f t="shared" si="503"/>
        <v>132362</v>
      </c>
      <c r="U554" s="63">
        <f t="shared" si="503"/>
        <v>86228</v>
      </c>
      <c r="V554" s="63">
        <f t="shared" si="503"/>
        <v>0</v>
      </c>
      <c r="W554" s="410"/>
      <c r="X554" s="347">
        <f t="shared" si="503"/>
        <v>85866</v>
      </c>
      <c r="Y554" s="347">
        <f t="shared" si="503"/>
        <v>84228</v>
      </c>
      <c r="Z554" s="347">
        <f t="shared" si="503"/>
        <v>0</v>
      </c>
      <c r="AA554" s="348">
        <f>+U554/(2704380-258412-300000)*100</f>
        <v>4.0181400654622994</v>
      </c>
      <c r="AB554" s="63">
        <f t="shared" ref="AB554:AK554" si="504">AB555</f>
        <v>0</v>
      </c>
      <c r="AC554" s="63">
        <f t="shared" si="504"/>
        <v>0</v>
      </c>
      <c r="AD554" s="63">
        <f t="shared" si="504"/>
        <v>5</v>
      </c>
      <c r="AE554" s="63">
        <f t="shared" si="504"/>
        <v>21581</v>
      </c>
      <c r="AF554" s="63">
        <f t="shared" si="504"/>
        <v>0</v>
      </c>
      <c r="AG554" s="63">
        <f t="shared" si="504"/>
        <v>0</v>
      </c>
      <c r="AH554" s="63">
        <f t="shared" si="504"/>
        <v>2</v>
      </c>
      <c r="AI554" s="63">
        <f t="shared" si="504"/>
        <v>20000</v>
      </c>
      <c r="AJ554" s="63">
        <f t="shared" si="504"/>
        <v>0</v>
      </c>
      <c r="AK554" s="63">
        <f t="shared" si="504"/>
        <v>0</v>
      </c>
      <c r="AL554" s="63">
        <f>AL555</f>
        <v>6</v>
      </c>
      <c r="AM554" s="63">
        <f>AM555</f>
        <v>55045</v>
      </c>
      <c r="AN554" s="63">
        <f>AN555</f>
        <v>0</v>
      </c>
      <c r="AO554" s="63">
        <f>AO555</f>
        <v>0</v>
      </c>
    </row>
    <row r="555" spans="1:41" s="353" customFormat="1" ht="15.75">
      <c r="A555" s="82"/>
      <c r="B555" s="357" t="s">
        <v>31</v>
      </c>
      <c r="C555" s="350"/>
      <c r="D555" s="350"/>
      <c r="E555" s="351"/>
      <c r="F555" s="350"/>
      <c r="G555" s="45">
        <f t="shared" ref="G555:V555" si="505">SUM(G556,G568,G577,G583)</f>
        <v>1528189</v>
      </c>
      <c r="H555" s="45">
        <f t="shared" si="505"/>
        <v>828885</v>
      </c>
      <c r="I555" s="45">
        <f t="shared" si="505"/>
        <v>181766</v>
      </c>
      <c r="J555" s="45">
        <f t="shared" si="505"/>
        <v>156766</v>
      </c>
      <c r="K555" s="45">
        <f t="shared" si="505"/>
        <v>3616</v>
      </c>
      <c r="L555" s="45">
        <f t="shared" si="505"/>
        <v>2765</v>
      </c>
      <c r="M555" s="45">
        <f t="shared" si="505"/>
        <v>77703.360000000001</v>
      </c>
      <c r="N555" s="45">
        <f t="shared" si="505"/>
        <v>71654.36</v>
      </c>
      <c r="O555" s="45">
        <f t="shared" si="505"/>
        <v>314919</v>
      </c>
      <c r="P555" s="45">
        <f t="shared" si="505"/>
        <v>238606</v>
      </c>
      <c r="Q555" s="45">
        <f t="shared" si="505"/>
        <v>1377718</v>
      </c>
      <c r="R555" s="45">
        <f t="shared" si="505"/>
        <v>751130</v>
      </c>
      <c r="S555" s="45">
        <f t="shared" si="505"/>
        <v>0</v>
      </c>
      <c r="T555" s="45">
        <f t="shared" si="505"/>
        <v>132362</v>
      </c>
      <c r="U555" s="45">
        <f t="shared" si="505"/>
        <v>86228</v>
      </c>
      <c r="V555" s="45">
        <f t="shared" si="505"/>
        <v>0</v>
      </c>
      <c r="W555" s="352"/>
      <c r="X555" s="347">
        <f>SUM(X556,X568,X577,X583)</f>
        <v>85866</v>
      </c>
      <c r="Y555" s="347">
        <f>SUM(Y556,Y568,Y577,Y583)</f>
        <v>84228</v>
      </c>
      <c r="Z555" s="347">
        <f>SUM(Z556,Z568,Z577,Z583)</f>
        <v>0</v>
      </c>
      <c r="AA555" s="5"/>
      <c r="AB555" s="45">
        <f t="shared" ref="AB555:AO555" si="506">SUM(AB556,AB568,AB577,AB583)</f>
        <v>0</v>
      </c>
      <c r="AC555" s="45">
        <f t="shared" si="506"/>
        <v>0</v>
      </c>
      <c r="AD555" s="45">
        <f t="shared" si="506"/>
        <v>5</v>
      </c>
      <c r="AE555" s="45">
        <f t="shared" si="506"/>
        <v>21581</v>
      </c>
      <c r="AF555" s="45">
        <f t="shared" si="506"/>
        <v>0</v>
      </c>
      <c r="AG555" s="45">
        <f t="shared" si="506"/>
        <v>0</v>
      </c>
      <c r="AH555" s="45">
        <f t="shared" si="506"/>
        <v>2</v>
      </c>
      <c r="AI555" s="45">
        <f t="shared" si="506"/>
        <v>20000</v>
      </c>
      <c r="AJ555" s="45">
        <f t="shared" si="506"/>
        <v>0</v>
      </c>
      <c r="AK555" s="45">
        <f t="shared" si="506"/>
        <v>0</v>
      </c>
      <c r="AL555" s="45">
        <f t="shared" si="506"/>
        <v>6</v>
      </c>
      <c r="AM555" s="45">
        <f t="shared" si="506"/>
        <v>55045</v>
      </c>
      <c r="AN555" s="45">
        <f t="shared" si="506"/>
        <v>0</v>
      </c>
      <c r="AO555" s="45">
        <f t="shared" si="506"/>
        <v>0</v>
      </c>
    </row>
    <row r="556" spans="1:41" s="16" customFormat="1" ht="47.25">
      <c r="A556" s="11" t="s">
        <v>32</v>
      </c>
      <c r="B556" s="12" t="s">
        <v>33</v>
      </c>
      <c r="C556" s="13"/>
      <c r="D556" s="13"/>
      <c r="E556" s="14"/>
      <c r="F556" s="13"/>
      <c r="G556" s="362">
        <f t="shared" ref="G556:V556" si="507">SUM(G557,G559)</f>
        <v>107509</v>
      </c>
      <c r="H556" s="362">
        <f t="shared" si="507"/>
        <v>107509</v>
      </c>
      <c r="I556" s="362">
        <f t="shared" si="507"/>
        <v>88339</v>
      </c>
      <c r="J556" s="362">
        <f t="shared" si="507"/>
        <v>88339</v>
      </c>
      <c r="K556" s="362">
        <f t="shared" si="507"/>
        <v>2596</v>
      </c>
      <c r="L556" s="362">
        <f t="shared" si="507"/>
        <v>2596</v>
      </c>
      <c r="M556" s="362">
        <f t="shared" si="507"/>
        <v>54652</v>
      </c>
      <c r="N556" s="362">
        <f t="shared" si="507"/>
        <v>54652</v>
      </c>
      <c r="O556" s="362">
        <f t="shared" si="507"/>
        <v>99483</v>
      </c>
      <c r="P556" s="362">
        <f t="shared" si="507"/>
        <v>99483</v>
      </c>
      <c r="Q556" s="362">
        <f t="shared" si="507"/>
        <v>89047</v>
      </c>
      <c r="R556" s="362">
        <f t="shared" si="507"/>
        <v>89047</v>
      </c>
      <c r="S556" s="362">
        <f t="shared" si="507"/>
        <v>0</v>
      </c>
      <c r="T556" s="362">
        <f t="shared" si="507"/>
        <v>0</v>
      </c>
      <c r="U556" s="362">
        <f t="shared" si="507"/>
        <v>0</v>
      </c>
      <c r="V556" s="362">
        <f t="shared" si="507"/>
        <v>0</v>
      </c>
      <c r="W556" s="379"/>
      <c r="X556" s="364">
        <f>SUM(X557,X559)</f>
        <v>0</v>
      </c>
      <c r="Y556" s="364">
        <f>SUM(Y557,Y559)</f>
        <v>0</v>
      </c>
      <c r="Z556" s="364">
        <f>SUM(Z557,Z559)</f>
        <v>0</v>
      </c>
      <c r="AA556" s="5"/>
      <c r="AB556" s="362">
        <f t="shared" ref="AB556:AO556" si="508">SUM(AB557,AB559)</f>
        <v>0</v>
      </c>
      <c r="AC556" s="362">
        <f t="shared" si="508"/>
        <v>0</v>
      </c>
      <c r="AD556" s="362">
        <f t="shared" si="508"/>
        <v>0</v>
      </c>
      <c r="AE556" s="362">
        <f t="shared" si="508"/>
        <v>0</v>
      </c>
      <c r="AF556" s="362">
        <f t="shared" si="508"/>
        <v>0</v>
      </c>
      <c r="AG556" s="362">
        <f t="shared" si="508"/>
        <v>0</v>
      </c>
      <c r="AH556" s="362">
        <f t="shared" si="508"/>
        <v>0</v>
      </c>
      <c r="AI556" s="362">
        <f t="shared" si="508"/>
        <v>0</v>
      </c>
      <c r="AJ556" s="362">
        <f t="shared" si="508"/>
        <v>0</v>
      </c>
      <c r="AK556" s="362">
        <f t="shared" si="508"/>
        <v>0</v>
      </c>
      <c r="AL556" s="362">
        <f t="shared" si="508"/>
        <v>0</v>
      </c>
      <c r="AM556" s="362">
        <f t="shared" si="508"/>
        <v>0</v>
      </c>
      <c r="AN556" s="362">
        <f t="shared" si="508"/>
        <v>0</v>
      </c>
      <c r="AO556" s="362">
        <f t="shared" si="508"/>
        <v>0</v>
      </c>
    </row>
    <row r="557" spans="1:41" s="31" customFormat="1" ht="15.75">
      <c r="A557" s="26" t="s">
        <v>47</v>
      </c>
      <c r="B557" s="27" t="s">
        <v>35</v>
      </c>
      <c r="C557" s="28"/>
      <c r="D557" s="28"/>
      <c r="E557" s="29"/>
      <c r="F557" s="28"/>
      <c r="G557" s="384">
        <f t="shared" ref="G557:V557" si="509">SUM(G558:G558)</f>
        <v>70485</v>
      </c>
      <c r="H557" s="384">
        <f t="shared" si="509"/>
        <v>70485</v>
      </c>
      <c r="I557" s="384">
        <f t="shared" si="509"/>
        <v>64200</v>
      </c>
      <c r="J557" s="384">
        <f t="shared" si="509"/>
        <v>64200</v>
      </c>
      <c r="K557" s="384">
        <f t="shared" si="509"/>
        <v>0</v>
      </c>
      <c r="L557" s="384">
        <f t="shared" si="509"/>
        <v>0</v>
      </c>
      <c r="M557" s="384">
        <f t="shared" si="509"/>
        <v>50000</v>
      </c>
      <c r="N557" s="384">
        <f t="shared" si="509"/>
        <v>50000</v>
      </c>
      <c r="O557" s="384">
        <f t="shared" si="509"/>
        <v>64200</v>
      </c>
      <c r="P557" s="384">
        <f t="shared" si="509"/>
        <v>64200</v>
      </c>
      <c r="Q557" s="384">
        <f t="shared" si="509"/>
        <v>64200</v>
      </c>
      <c r="R557" s="384">
        <f t="shared" si="509"/>
        <v>64200</v>
      </c>
      <c r="S557" s="384">
        <f t="shared" si="509"/>
        <v>0</v>
      </c>
      <c r="T557" s="384">
        <f t="shared" si="509"/>
        <v>0</v>
      </c>
      <c r="U557" s="384">
        <f t="shared" si="509"/>
        <v>0</v>
      </c>
      <c r="V557" s="384">
        <f t="shared" si="509"/>
        <v>0</v>
      </c>
      <c r="W557" s="479"/>
      <c r="X557" s="386">
        <f>SUM(X558:X558)</f>
        <v>0</v>
      </c>
      <c r="Y557" s="386">
        <f>SUM(Y558:Y558)</f>
        <v>0</v>
      </c>
      <c r="Z557" s="386">
        <f>SUM(Z558:Z558)</f>
        <v>0</v>
      </c>
      <c r="AA557" s="5"/>
      <c r="AB557" s="384">
        <f t="shared" ref="AB557:AO557" si="510">SUM(AB558:AB558)</f>
        <v>0</v>
      </c>
      <c r="AC557" s="384">
        <f t="shared" si="510"/>
        <v>0</v>
      </c>
      <c r="AD557" s="384">
        <f t="shared" si="510"/>
        <v>0</v>
      </c>
      <c r="AE557" s="384">
        <f t="shared" si="510"/>
        <v>0</v>
      </c>
      <c r="AF557" s="384">
        <f t="shared" si="510"/>
        <v>0</v>
      </c>
      <c r="AG557" s="384">
        <f t="shared" si="510"/>
        <v>0</v>
      </c>
      <c r="AH557" s="384">
        <f t="shared" si="510"/>
        <v>0</v>
      </c>
      <c r="AI557" s="384">
        <f t="shared" si="510"/>
        <v>0</v>
      </c>
      <c r="AJ557" s="384">
        <f t="shared" si="510"/>
        <v>0</v>
      </c>
      <c r="AK557" s="384">
        <f t="shared" si="510"/>
        <v>0</v>
      </c>
      <c r="AL557" s="384">
        <f t="shared" si="510"/>
        <v>0</v>
      </c>
      <c r="AM557" s="384">
        <f t="shared" si="510"/>
        <v>0</v>
      </c>
      <c r="AN557" s="384">
        <f t="shared" si="510"/>
        <v>0</v>
      </c>
      <c r="AO557" s="384">
        <f t="shared" si="510"/>
        <v>0</v>
      </c>
    </row>
    <row r="558" spans="1:41" s="16" customFormat="1" ht="31.5">
      <c r="A558" s="138">
        <v>1</v>
      </c>
      <c r="B558" s="229" t="s">
        <v>1405</v>
      </c>
      <c r="C558" s="41" t="s">
        <v>29</v>
      </c>
      <c r="D558" s="403">
        <v>36906</v>
      </c>
      <c r="E558" s="522" t="s">
        <v>1406</v>
      </c>
      <c r="F558" s="41" t="s">
        <v>1407</v>
      </c>
      <c r="G558" s="392">
        <v>70485</v>
      </c>
      <c r="H558" s="392">
        <v>70485</v>
      </c>
      <c r="I558" s="392">
        <v>64200</v>
      </c>
      <c r="J558" s="392">
        <v>64200</v>
      </c>
      <c r="K558" s="15"/>
      <c r="L558" s="15"/>
      <c r="M558" s="392">
        <v>50000</v>
      </c>
      <c r="N558" s="392">
        <v>50000</v>
      </c>
      <c r="O558" s="392">
        <v>64200</v>
      </c>
      <c r="P558" s="392">
        <v>64200</v>
      </c>
      <c r="Q558" s="392">
        <v>64200</v>
      </c>
      <c r="R558" s="392">
        <v>64200</v>
      </c>
      <c r="S558" s="15"/>
      <c r="T558" s="392"/>
      <c r="U558" s="392"/>
      <c r="V558" s="15"/>
      <c r="W558" s="379"/>
      <c r="X558" s="396"/>
      <c r="Y558" s="396"/>
      <c r="Z558" s="429"/>
      <c r="AA558" s="5"/>
    </row>
    <row r="559" spans="1:41" s="31" customFormat="1" ht="15.75">
      <c r="A559" s="26" t="s">
        <v>273</v>
      </c>
      <c r="B559" s="27" t="s">
        <v>48</v>
      </c>
      <c r="C559" s="28"/>
      <c r="D559" s="28"/>
      <c r="E559" s="29"/>
      <c r="F559" s="28"/>
      <c r="G559" s="384">
        <f>SUM(G560:G567)</f>
        <v>37024</v>
      </c>
      <c r="H559" s="384">
        <f t="shared" ref="H559:Z559" si="511">SUM(H560:H567)</f>
        <v>37024</v>
      </c>
      <c r="I559" s="384">
        <f t="shared" si="511"/>
        <v>24139</v>
      </c>
      <c r="J559" s="384">
        <f t="shared" si="511"/>
        <v>24139</v>
      </c>
      <c r="K559" s="384">
        <f t="shared" si="511"/>
        <v>2596</v>
      </c>
      <c r="L559" s="384">
        <f t="shared" si="511"/>
        <v>2596</v>
      </c>
      <c r="M559" s="384">
        <f t="shared" si="511"/>
        <v>4652</v>
      </c>
      <c r="N559" s="384">
        <f t="shared" si="511"/>
        <v>4652</v>
      </c>
      <c r="O559" s="384">
        <f t="shared" si="511"/>
        <v>35283</v>
      </c>
      <c r="P559" s="384">
        <f t="shared" si="511"/>
        <v>35283</v>
      </c>
      <c r="Q559" s="384">
        <f t="shared" si="511"/>
        <v>24847</v>
      </c>
      <c r="R559" s="384">
        <f t="shared" si="511"/>
        <v>24847</v>
      </c>
      <c r="S559" s="384">
        <f t="shared" si="511"/>
        <v>0</v>
      </c>
      <c r="T559" s="384">
        <f t="shared" si="511"/>
        <v>0</v>
      </c>
      <c r="U559" s="384">
        <f t="shared" si="511"/>
        <v>0</v>
      </c>
      <c r="V559" s="384">
        <f t="shared" si="511"/>
        <v>0</v>
      </c>
      <c r="W559" s="479"/>
      <c r="X559" s="386">
        <f t="shared" si="511"/>
        <v>0</v>
      </c>
      <c r="Y559" s="386">
        <f t="shared" si="511"/>
        <v>0</v>
      </c>
      <c r="Z559" s="386">
        <f t="shared" si="511"/>
        <v>0</v>
      </c>
      <c r="AA559" s="5"/>
      <c r="AB559" s="384">
        <f t="shared" ref="AB559:AK559" si="512">SUM(AB560:AB567)</f>
        <v>0</v>
      </c>
      <c r="AC559" s="384">
        <f t="shared" si="512"/>
        <v>0</v>
      </c>
      <c r="AD559" s="384">
        <f t="shared" si="512"/>
        <v>0</v>
      </c>
      <c r="AE559" s="384">
        <f t="shared" si="512"/>
        <v>0</v>
      </c>
      <c r="AF559" s="384">
        <f t="shared" si="512"/>
        <v>0</v>
      </c>
      <c r="AG559" s="384">
        <f t="shared" si="512"/>
        <v>0</v>
      </c>
      <c r="AH559" s="384">
        <f t="shared" si="512"/>
        <v>0</v>
      </c>
      <c r="AI559" s="384">
        <f t="shared" si="512"/>
        <v>0</v>
      </c>
      <c r="AJ559" s="384">
        <f t="shared" si="512"/>
        <v>0</v>
      </c>
      <c r="AK559" s="384">
        <f t="shared" si="512"/>
        <v>0</v>
      </c>
      <c r="AL559" s="384">
        <f>SUM(AL560:AL567)</f>
        <v>0</v>
      </c>
      <c r="AM559" s="384">
        <f>SUM(AM560:AM567)</f>
        <v>0</v>
      </c>
      <c r="AN559" s="384">
        <f>SUM(AN560:AN567)</f>
        <v>0</v>
      </c>
      <c r="AO559" s="384">
        <f>SUM(AO560:AO567)</f>
        <v>0</v>
      </c>
    </row>
    <row r="560" spans="1:41" s="16" customFormat="1" ht="31.5">
      <c r="A560" s="138">
        <v>1</v>
      </c>
      <c r="B560" s="229" t="s">
        <v>1408</v>
      </c>
      <c r="C560" s="41" t="s">
        <v>29</v>
      </c>
      <c r="D560" s="403">
        <v>1000</v>
      </c>
      <c r="E560" s="523" t="s">
        <v>114</v>
      </c>
      <c r="F560" s="524" t="s">
        <v>1409</v>
      </c>
      <c r="G560" s="392">
        <v>4402</v>
      </c>
      <c r="H560" s="392">
        <v>4402</v>
      </c>
      <c r="I560" s="392">
        <v>2510</v>
      </c>
      <c r="J560" s="392">
        <v>2510</v>
      </c>
      <c r="K560" s="392">
        <v>1750</v>
      </c>
      <c r="L560" s="392">
        <v>1750</v>
      </c>
      <c r="M560" s="392">
        <v>1162</v>
      </c>
      <c r="N560" s="392">
        <v>1162</v>
      </c>
      <c r="O560" s="392">
        <f>I560+K560</f>
        <v>4260</v>
      </c>
      <c r="P560" s="392">
        <f>J560+L560</f>
        <v>4260</v>
      </c>
      <c r="Q560" s="392">
        <v>2510</v>
      </c>
      <c r="R560" s="392">
        <v>2510</v>
      </c>
      <c r="S560" s="15"/>
      <c r="T560" s="392"/>
      <c r="U560" s="392"/>
      <c r="V560" s="15"/>
      <c r="W560" s="379"/>
      <c r="X560" s="396"/>
      <c r="Y560" s="396"/>
      <c r="Z560" s="429"/>
      <c r="AA560" s="5"/>
    </row>
    <row r="561" spans="1:41" s="16" customFormat="1" ht="31.5">
      <c r="A561" s="138">
        <v>2</v>
      </c>
      <c r="B561" s="229" t="s">
        <v>1410</v>
      </c>
      <c r="C561" s="41" t="s">
        <v>143</v>
      </c>
      <c r="D561" s="41" t="s">
        <v>1411</v>
      </c>
      <c r="E561" s="523" t="s">
        <v>114</v>
      </c>
      <c r="F561" s="524" t="s">
        <v>1412</v>
      </c>
      <c r="G561" s="392">
        <v>2053</v>
      </c>
      <c r="H561" s="392">
        <v>2053</v>
      </c>
      <c r="I561" s="392">
        <v>1137</v>
      </c>
      <c r="J561" s="392">
        <v>1137</v>
      </c>
      <c r="K561" s="392">
        <v>846</v>
      </c>
      <c r="L561" s="392">
        <v>846</v>
      </c>
      <c r="M561" s="392">
        <v>455</v>
      </c>
      <c r="N561" s="392">
        <v>455</v>
      </c>
      <c r="O561" s="392">
        <f>I561+K561</f>
        <v>1983</v>
      </c>
      <c r="P561" s="392">
        <f>J561+L561</f>
        <v>1983</v>
      </c>
      <c r="Q561" s="392">
        <v>1137</v>
      </c>
      <c r="R561" s="392">
        <v>1137</v>
      </c>
      <c r="S561" s="15"/>
      <c r="T561" s="392"/>
      <c r="U561" s="392"/>
      <c r="V561" s="15"/>
      <c r="W561" s="379"/>
      <c r="X561" s="396"/>
      <c r="Y561" s="396"/>
      <c r="Z561" s="429"/>
      <c r="AA561" s="5"/>
    </row>
    <row r="562" spans="1:41" s="16" customFormat="1" ht="31.5">
      <c r="A562" s="138">
        <v>3</v>
      </c>
      <c r="B562" s="229" t="s">
        <v>1413</v>
      </c>
      <c r="C562" s="41" t="s">
        <v>60</v>
      </c>
      <c r="D562" s="403">
        <v>1000</v>
      </c>
      <c r="E562" s="522" t="s">
        <v>1406</v>
      </c>
      <c r="F562" s="41" t="s">
        <v>1414</v>
      </c>
      <c r="G562" s="392">
        <v>1984</v>
      </c>
      <c r="H562" s="392">
        <v>1984</v>
      </c>
      <c r="I562" s="392">
        <v>1984</v>
      </c>
      <c r="J562" s="392">
        <v>1984</v>
      </c>
      <c r="K562" s="15"/>
      <c r="L562" s="15"/>
      <c r="M562" s="15"/>
      <c r="N562" s="15"/>
      <c r="O562" s="392">
        <v>1984</v>
      </c>
      <c r="P562" s="392">
        <v>1984</v>
      </c>
      <c r="Q562" s="392">
        <v>1984</v>
      </c>
      <c r="R562" s="392">
        <v>1984</v>
      </c>
      <c r="S562" s="15"/>
      <c r="T562" s="392"/>
      <c r="U562" s="392"/>
      <c r="V562" s="15"/>
      <c r="W562" s="379"/>
      <c r="X562" s="396"/>
      <c r="Y562" s="396"/>
      <c r="Z562" s="429"/>
      <c r="AA562" s="5"/>
    </row>
    <row r="563" spans="1:41" s="16" customFormat="1" ht="31.5">
      <c r="A563" s="138">
        <v>4</v>
      </c>
      <c r="B563" s="229" t="s">
        <v>1415</v>
      </c>
      <c r="C563" s="41" t="s">
        <v>60</v>
      </c>
      <c r="D563" s="41" t="s">
        <v>1416</v>
      </c>
      <c r="E563" s="522" t="s">
        <v>1406</v>
      </c>
      <c r="F563" s="41" t="s">
        <v>1417</v>
      </c>
      <c r="G563" s="392">
        <v>2608</v>
      </c>
      <c r="H563" s="392">
        <v>2608</v>
      </c>
      <c r="I563" s="392">
        <v>2000</v>
      </c>
      <c r="J563" s="392">
        <v>2000</v>
      </c>
      <c r="K563" s="15"/>
      <c r="L563" s="15"/>
      <c r="M563" s="15"/>
      <c r="N563" s="15"/>
      <c r="O563" s="392">
        <v>2000</v>
      </c>
      <c r="P563" s="392">
        <v>2000</v>
      </c>
      <c r="Q563" s="392">
        <v>2608</v>
      </c>
      <c r="R563" s="392">
        <v>2608</v>
      </c>
      <c r="S563" s="15"/>
      <c r="T563" s="392"/>
      <c r="U563" s="392"/>
      <c r="V563" s="15"/>
      <c r="W563" s="379"/>
      <c r="X563" s="396"/>
      <c r="Y563" s="396"/>
      <c r="Z563" s="429"/>
      <c r="AA563" s="5"/>
    </row>
    <row r="564" spans="1:41" s="16" customFormat="1" ht="31.5">
      <c r="A564" s="138">
        <v>5</v>
      </c>
      <c r="B564" s="229" t="s">
        <v>1418</v>
      </c>
      <c r="C564" s="41" t="s">
        <v>85</v>
      </c>
      <c r="D564" s="41">
        <v>355</v>
      </c>
      <c r="E564" s="522" t="s">
        <v>1406</v>
      </c>
      <c r="F564" s="41" t="s">
        <v>1419</v>
      </c>
      <c r="G564" s="392">
        <v>2486</v>
      </c>
      <c r="H564" s="392">
        <v>2486</v>
      </c>
      <c r="I564" s="392">
        <v>2368</v>
      </c>
      <c r="J564" s="392">
        <v>2368</v>
      </c>
      <c r="K564" s="15"/>
      <c r="L564" s="15"/>
      <c r="M564" s="15"/>
      <c r="N564" s="15"/>
      <c r="O564" s="392">
        <v>2368</v>
      </c>
      <c r="P564" s="392">
        <v>2368</v>
      </c>
      <c r="Q564" s="392">
        <v>2468</v>
      </c>
      <c r="R564" s="392">
        <v>2468</v>
      </c>
      <c r="S564" s="15"/>
      <c r="T564" s="392"/>
      <c r="U564" s="392"/>
      <c r="V564" s="15"/>
      <c r="W564" s="379"/>
      <c r="X564" s="396"/>
      <c r="Y564" s="396"/>
      <c r="Z564" s="429"/>
      <c r="AA564" s="5"/>
    </row>
    <row r="565" spans="1:41" s="16" customFormat="1" ht="63">
      <c r="A565" s="138">
        <v>6</v>
      </c>
      <c r="B565" s="507" t="s">
        <v>1420</v>
      </c>
      <c r="C565" s="525" t="s">
        <v>85</v>
      </c>
      <c r="D565" s="509" t="s">
        <v>1421</v>
      </c>
      <c r="E565" s="526">
        <v>2016</v>
      </c>
      <c r="F565" s="509" t="s">
        <v>1422</v>
      </c>
      <c r="G565" s="527">
        <v>2481</v>
      </c>
      <c r="H565" s="72">
        <f>G565</f>
        <v>2481</v>
      </c>
      <c r="I565" s="72">
        <v>2406</v>
      </c>
      <c r="J565" s="72">
        <v>2406</v>
      </c>
      <c r="K565" s="72">
        <v>0</v>
      </c>
      <c r="L565" s="72">
        <v>0</v>
      </c>
      <c r="M565" s="72">
        <v>0</v>
      </c>
      <c r="N565" s="72">
        <v>0</v>
      </c>
      <c r="O565" s="72">
        <f>J565</f>
        <v>2406</v>
      </c>
      <c r="P565" s="72">
        <f>O565</f>
        <v>2406</v>
      </c>
      <c r="Q565" s="72">
        <v>2406</v>
      </c>
      <c r="R565" s="72">
        <v>2406</v>
      </c>
      <c r="S565" s="72"/>
      <c r="T565" s="72"/>
      <c r="U565" s="72"/>
      <c r="V565" s="72"/>
      <c r="W565" s="269"/>
      <c r="X565" s="356"/>
      <c r="Y565" s="356"/>
      <c r="Z565" s="356"/>
      <c r="AA565" s="5"/>
    </row>
    <row r="566" spans="1:41" s="25" customFormat="1" ht="31.5">
      <c r="A566" s="138">
        <v>7</v>
      </c>
      <c r="B566" s="212" t="s">
        <v>1423</v>
      </c>
      <c r="C566" s="19" t="s">
        <v>85</v>
      </c>
      <c r="D566" s="19" t="s">
        <v>1424</v>
      </c>
      <c r="E566" s="70" t="s">
        <v>114</v>
      </c>
      <c r="F566" s="19" t="s">
        <v>1425</v>
      </c>
      <c r="G566" s="392">
        <f>H566</f>
        <v>12785</v>
      </c>
      <c r="H566" s="392">
        <v>12785</v>
      </c>
      <c r="I566" s="392">
        <v>7234</v>
      </c>
      <c r="J566" s="392">
        <v>7234</v>
      </c>
      <c r="K566" s="392">
        <f>L566</f>
        <v>0</v>
      </c>
      <c r="L566" s="392">
        <v>0</v>
      </c>
      <c r="M566" s="392">
        <f>N566</f>
        <v>1497</v>
      </c>
      <c r="N566" s="392">
        <v>1497</v>
      </c>
      <c r="O566" s="392">
        <f>P566</f>
        <v>12522</v>
      </c>
      <c r="P566" s="392">
        <f>5288+7234</f>
        <v>12522</v>
      </c>
      <c r="Q566" s="392">
        <v>7234</v>
      </c>
      <c r="R566" s="392">
        <v>7234</v>
      </c>
      <c r="S566" s="392"/>
      <c r="T566" s="392"/>
      <c r="U566" s="392"/>
      <c r="V566" s="392"/>
      <c r="W566" s="395"/>
      <c r="X566" s="396"/>
      <c r="Y566" s="396"/>
      <c r="Z566" s="396"/>
      <c r="AA566" s="5"/>
    </row>
    <row r="567" spans="1:41" s="25" customFormat="1" ht="31.5">
      <c r="A567" s="138">
        <v>8</v>
      </c>
      <c r="B567" s="212" t="s">
        <v>1426</v>
      </c>
      <c r="C567" s="19" t="s">
        <v>85</v>
      </c>
      <c r="D567" s="19" t="s">
        <v>1427</v>
      </c>
      <c r="E567" s="70" t="s">
        <v>114</v>
      </c>
      <c r="F567" s="19" t="s">
        <v>1428</v>
      </c>
      <c r="G567" s="392">
        <f>H567</f>
        <v>8225</v>
      </c>
      <c r="H567" s="392">
        <v>8225</v>
      </c>
      <c r="I567" s="392">
        <v>4500</v>
      </c>
      <c r="J567" s="392">
        <v>4500</v>
      </c>
      <c r="K567" s="392">
        <f>L567</f>
        <v>0</v>
      </c>
      <c r="L567" s="392">
        <v>0</v>
      </c>
      <c r="M567" s="392">
        <f>N567</f>
        <v>1538</v>
      </c>
      <c r="N567" s="392">
        <v>1538</v>
      </c>
      <c r="O567" s="392">
        <f>P567</f>
        <v>7760</v>
      </c>
      <c r="P567" s="392">
        <f>3260+4500</f>
        <v>7760</v>
      </c>
      <c r="Q567" s="392">
        <v>4500</v>
      </c>
      <c r="R567" s="392">
        <v>4500</v>
      </c>
      <c r="S567" s="392"/>
      <c r="T567" s="392"/>
      <c r="U567" s="392"/>
      <c r="V567" s="392"/>
      <c r="W567" s="395"/>
      <c r="X567" s="396"/>
      <c r="Y567" s="396"/>
      <c r="Z567" s="396"/>
      <c r="AA567" s="5"/>
    </row>
    <row r="568" spans="1:41" s="16" customFormat="1" ht="32.25" customHeight="1">
      <c r="A568" s="11" t="s">
        <v>78</v>
      </c>
      <c r="B568" s="12" t="s">
        <v>611</v>
      </c>
      <c r="C568" s="13"/>
      <c r="D568" s="13"/>
      <c r="E568" s="14"/>
      <c r="F568" s="13"/>
      <c r="G568" s="362">
        <f>G572+G569</f>
        <v>232216</v>
      </c>
      <c r="H568" s="362">
        <f t="shared" ref="H568:V568" si="513">H572+H569</f>
        <v>97912</v>
      </c>
      <c r="I568" s="362">
        <f t="shared" si="513"/>
        <v>70287</v>
      </c>
      <c r="J568" s="362">
        <f t="shared" si="513"/>
        <v>52787</v>
      </c>
      <c r="K568" s="362">
        <f t="shared" si="513"/>
        <v>851</v>
      </c>
      <c r="L568" s="362">
        <f t="shared" si="513"/>
        <v>0</v>
      </c>
      <c r="M568" s="362">
        <f t="shared" si="513"/>
        <v>15795.76</v>
      </c>
      <c r="N568" s="362">
        <f t="shared" si="513"/>
        <v>9746.76</v>
      </c>
      <c r="O568" s="362">
        <f t="shared" si="513"/>
        <v>129127</v>
      </c>
      <c r="P568" s="362">
        <f t="shared" si="513"/>
        <v>60314</v>
      </c>
      <c r="Q568" s="362">
        <f t="shared" si="513"/>
        <v>163376</v>
      </c>
      <c r="R568" s="362">
        <f t="shared" si="513"/>
        <v>101788</v>
      </c>
      <c r="S568" s="362">
        <f t="shared" si="513"/>
        <v>0</v>
      </c>
      <c r="T568" s="362">
        <f t="shared" si="513"/>
        <v>44469</v>
      </c>
      <c r="U568" s="362">
        <f t="shared" si="513"/>
        <v>21466</v>
      </c>
      <c r="V568" s="362">
        <f t="shared" si="513"/>
        <v>0</v>
      </c>
      <c r="W568" s="379"/>
      <c r="X568" s="364">
        <f t="shared" ref="X568:Z568" si="514">X572+X569</f>
        <v>32866</v>
      </c>
      <c r="Y568" s="364">
        <f t="shared" si="514"/>
        <v>21466</v>
      </c>
      <c r="Z568" s="364">
        <f t="shared" si="514"/>
        <v>0</v>
      </c>
      <c r="AA568" s="5"/>
      <c r="AB568" s="362">
        <f t="shared" ref="AB568:AK568" si="515">AB572+AB569</f>
        <v>0</v>
      </c>
      <c r="AC568" s="362">
        <f t="shared" si="515"/>
        <v>0</v>
      </c>
      <c r="AD568" s="362">
        <f t="shared" si="515"/>
        <v>5</v>
      </c>
      <c r="AE568" s="362">
        <f t="shared" si="515"/>
        <v>21581</v>
      </c>
      <c r="AF568" s="362">
        <f t="shared" si="515"/>
        <v>0</v>
      </c>
      <c r="AG568" s="362">
        <f t="shared" si="515"/>
        <v>0</v>
      </c>
      <c r="AH568" s="362">
        <f t="shared" si="515"/>
        <v>0</v>
      </c>
      <c r="AI568" s="362">
        <f t="shared" si="515"/>
        <v>0</v>
      </c>
      <c r="AJ568" s="362">
        <f t="shared" si="515"/>
        <v>0</v>
      </c>
      <c r="AK568" s="362">
        <f t="shared" si="515"/>
        <v>0</v>
      </c>
      <c r="AL568" s="362">
        <f>AL572+AL569</f>
        <v>0</v>
      </c>
      <c r="AM568" s="362">
        <f>AM572+AM569</f>
        <v>0</v>
      </c>
      <c r="AN568" s="362">
        <f>AN572+AN569</f>
        <v>0</v>
      </c>
      <c r="AO568" s="362">
        <f>AO572+AO569</f>
        <v>0</v>
      </c>
    </row>
    <row r="569" spans="1:41" s="31" customFormat="1" ht="15.75">
      <c r="A569" s="26" t="s">
        <v>47</v>
      </c>
      <c r="B569" s="27" t="s">
        <v>35</v>
      </c>
      <c r="C569" s="28"/>
      <c r="D569" s="28"/>
      <c r="E569" s="29"/>
      <c r="F569" s="28"/>
      <c r="G569" s="384">
        <f>SUM(G570:G571)</f>
        <v>164532</v>
      </c>
      <c r="H569" s="384">
        <f t="shared" ref="H569:V569" si="516">SUM(H570:H571)</f>
        <v>75228</v>
      </c>
      <c r="I569" s="384">
        <f t="shared" si="516"/>
        <v>47287</v>
      </c>
      <c r="J569" s="384">
        <f t="shared" si="516"/>
        <v>44787</v>
      </c>
      <c r="K569" s="384">
        <f t="shared" si="516"/>
        <v>0</v>
      </c>
      <c r="L569" s="384">
        <f t="shared" si="516"/>
        <v>0</v>
      </c>
      <c r="M569" s="384">
        <f t="shared" si="516"/>
        <v>9293</v>
      </c>
      <c r="N569" s="384">
        <f t="shared" si="516"/>
        <v>9293</v>
      </c>
      <c r="O569" s="384">
        <f t="shared" si="516"/>
        <v>87327</v>
      </c>
      <c r="P569" s="384">
        <f t="shared" si="516"/>
        <v>52114</v>
      </c>
      <c r="Q569" s="384">
        <f t="shared" si="516"/>
        <v>114492</v>
      </c>
      <c r="R569" s="384">
        <f t="shared" si="516"/>
        <v>57901</v>
      </c>
      <c r="S569" s="384">
        <f t="shared" si="516"/>
        <v>0</v>
      </c>
      <c r="T569" s="384">
        <f t="shared" si="516"/>
        <v>35000</v>
      </c>
      <c r="U569" s="384">
        <f t="shared" si="516"/>
        <v>7000</v>
      </c>
      <c r="V569" s="384">
        <f t="shared" si="516"/>
        <v>0</v>
      </c>
      <c r="W569" s="479"/>
      <c r="X569" s="384">
        <f t="shared" ref="X569:Z569" si="517">SUM(X570:X571)</f>
        <v>7000</v>
      </c>
      <c r="Y569" s="384">
        <f t="shared" si="517"/>
        <v>7000</v>
      </c>
      <c r="Z569" s="384">
        <f t="shared" si="517"/>
        <v>0</v>
      </c>
      <c r="AA569" s="5"/>
      <c r="AB569" s="384">
        <f t="shared" ref="AB569:AK569" si="518">AB571</f>
        <v>0</v>
      </c>
      <c r="AC569" s="384">
        <f t="shared" si="518"/>
        <v>0</v>
      </c>
      <c r="AD569" s="384">
        <f t="shared" si="518"/>
        <v>1</v>
      </c>
      <c r="AE569" s="384">
        <f t="shared" si="518"/>
        <v>7000</v>
      </c>
      <c r="AF569" s="384">
        <f t="shared" si="518"/>
        <v>0</v>
      </c>
      <c r="AG569" s="384">
        <f t="shared" si="518"/>
        <v>0</v>
      </c>
      <c r="AH569" s="384">
        <f t="shared" si="518"/>
        <v>0</v>
      </c>
      <c r="AI569" s="384">
        <f t="shared" si="518"/>
        <v>0</v>
      </c>
      <c r="AJ569" s="384">
        <f t="shared" si="518"/>
        <v>0</v>
      </c>
      <c r="AK569" s="384">
        <f t="shared" si="518"/>
        <v>0</v>
      </c>
      <c r="AL569" s="384">
        <f>AL571</f>
        <v>0</v>
      </c>
      <c r="AM569" s="384">
        <f>AM571</f>
        <v>0</v>
      </c>
      <c r="AN569" s="384">
        <f>AN571</f>
        <v>0</v>
      </c>
      <c r="AO569" s="384">
        <f>AO571</f>
        <v>0</v>
      </c>
    </row>
    <row r="570" spans="1:41" s="16" customFormat="1" ht="51">
      <c r="A570" s="138">
        <v>1</v>
      </c>
      <c r="B570" s="507" t="s">
        <v>1429</v>
      </c>
      <c r="C570" s="525" t="s">
        <v>43</v>
      </c>
      <c r="D570" s="509" t="s">
        <v>1430</v>
      </c>
      <c r="E570" s="526" t="s">
        <v>1431</v>
      </c>
      <c r="F570" s="509" t="s">
        <v>1432</v>
      </c>
      <c r="G570" s="527">
        <v>94091</v>
      </c>
      <c r="H570" s="72">
        <v>4787</v>
      </c>
      <c r="I570" s="72">
        <v>7287</v>
      </c>
      <c r="J570" s="72">
        <v>4787</v>
      </c>
      <c r="K570" s="72">
        <v>0</v>
      </c>
      <c r="L570" s="72">
        <v>0</v>
      </c>
      <c r="M570" s="72">
        <v>4402</v>
      </c>
      <c r="N570" s="72">
        <f>M570</f>
        <v>4402</v>
      </c>
      <c r="O570" s="72">
        <f>32713+7287</f>
        <v>40000</v>
      </c>
      <c r="P570" s="72">
        <v>4787</v>
      </c>
      <c r="Q570" s="72">
        <f>+G570-32713</f>
        <v>61378</v>
      </c>
      <c r="R570" s="72">
        <v>4787</v>
      </c>
      <c r="S570" s="72"/>
      <c r="T570" s="72">
        <v>28000</v>
      </c>
      <c r="U570" s="72"/>
      <c r="V570" s="72"/>
      <c r="W570" s="121" t="s">
        <v>1433</v>
      </c>
      <c r="X570" s="356"/>
      <c r="Y570" s="356"/>
      <c r="Z570" s="356"/>
      <c r="AA570" s="5"/>
    </row>
    <row r="571" spans="1:41" s="16" customFormat="1" ht="60">
      <c r="A571" s="138">
        <v>2</v>
      </c>
      <c r="B571" s="528" t="s">
        <v>1434</v>
      </c>
      <c r="C571" s="524" t="s">
        <v>1435</v>
      </c>
      <c r="D571" s="524" t="s">
        <v>1436</v>
      </c>
      <c r="E571" s="522" t="s">
        <v>1437</v>
      </c>
      <c r="F571" s="524" t="s">
        <v>1438</v>
      </c>
      <c r="G571" s="392">
        <v>70441</v>
      </c>
      <c r="H571" s="392">
        <v>70441</v>
      </c>
      <c r="I571" s="392">
        <v>40000</v>
      </c>
      <c r="J571" s="392">
        <v>40000</v>
      </c>
      <c r="K571" s="15"/>
      <c r="L571" s="15"/>
      <c r="M571" s="392">
        <v>4891</v>
      </c>
      <c r="N571" s="392">
        <v>4891</v>
      </c>
      <c r="O571" s="392">
        <f>+P571</f>
        <v>47327</v>
      </c>
      <c r="P571" s="392">
        <v>47327</v>
      </c>
      <c r="Q571" s="392">
        <f>+G571-17327</f>
        <v>53114</v>
      </c>
      <c r="R571" s="392">
        <f>+H571-17327</f>
        <v>53114</v>
      </c>
      <c r="S571" s="15"/>
      <c r="T571" s="392">
        <f>+U571</f>
        <v>7000</v>
      </c>
      <c r="U571" s="392">
        <v>7000</v>
      </c>
      <c r="V571" s="15"/>
      <c r="W571" s="379"/>
      <c r="X571" s="396">
        <f>+Y571</f>
        <v>7000</v>
      </c>
      <c r="Y571" s="396">
        <v>7000</v>
      </c>
      <c r="Z571" s="429"/>
      <c r="AA571" s="5"/>
      <c r="AD571" s="25">
        <v>1</v>
      </c>
      <c r="AE571" s="392">
        <v>7000</v>
      </c>
    </row>
    <row r="572" spans="1:41" s="31" customFormat="1" ht="15.75">
      <c r="A572" s="26" t="s">
        <v>273</v>
      </c>
      <c r="B572" s="27" t="s">
        <v>48</v>
      </c>
      <c r="C572" s="28"/>
      <c r="D572" s="28"/>
      <c r="E572" s="29"/>
      <c r="F572" s="28"/>
      <c r="G572" s="384">
        <f>SUM(G573:G576)</f>
        <v>67684</v>
      </c>
      <c r="H572" s="384">
        <f t="shared" ref="H572:Z572" si="519">SUM(H573:H576)</f>
        <v>22684</v>
      </c>
      <c r="I572" s="384">
        <f t="shared" si="519"/>
        <v>23000</v>
      </c>
      <c r="J572" s="384">
        <f t="shared" si="519"/>
        <v>8000</v>
      </c>
      <c r="K572" s="384">
        <f t="shared" si="519"/>
        <v>851</v>
      </c>
      <c r="L572" s="384">
        <f t="shared" si="519"/>
        <v>0</v>
      </c>
      <c r="M572" s="384">
        <f t="shared" si="519"/>
        <v>6502.76</v>
      </c>
      <c r="N572" s="384">
        <f t="shared" si="519"/>
        <v>453.76</v>
      </c>
      <c r="O572" s="384">
        <f t="shared" si="519"/>
        <v>41800</v>
      </c>
      <c r="P572" s="384">
        <f t="shared" si="519"/>
        <v>8200</v>
      </c>
      <c r="Q572" s="384">
        <f t="shared" si="519"/>
        <v>48884</v>
      </c>
      <c r="R572" s="384">
        <f t="shared" si="519"/>
        <v>43887</v>
      </c>
      <c r="S572" s="384">
        <f t="shared" si="519"/>
        <v>0</v>
      </c>
      <c r="T572" s="384">
        <f>SUM(T574:T576)</f>
        <v>9469</v>
      </c>
      <c r="U572" s="384">
        <f t="shared" si="519"/>
        <v>14466</v>
      </c>
      <c r="V572" s="384">
        <f t="shared" si="519"/>
        <v>0</v>
      </c>
      <c r="W572" s="479"/>
      <c r="X572" s="386">
        <f t="shared" si="519"/>
        <v>25866</v>
      </c>
      <c r="Y572" s="386">
        <f t="shared" si="519"/>
        <v>14466</v>
      </c>
      <c r="Z572" s="386">
        <f t="shared" si="519"/>
        <v>0</v>
      </c>
      <c r="AA572" s="5"/>
      <c r="AB572" s="384">
        <f t="shared" ref="AB572:AK572" si="520">SUM(AB573:AB576)</f>
        <v>0</v>
      </c>
      <c r="AC572" s="384">
        <f t="shared" si="520"/>
        <v>0</v>
      </c>
      <c r="AD572" s="384">
        <f t="shared" si="520"/>
        <v>4</v>
      </c>
      <c r="AE572" s="384">
        <f t="shared" si="520"/>
        <v>14581</v>
      </c>
      <c r="AF572" s="384">
        <f t="shared" si="520"/>
        <v>0</v>
      </c>
      <c r="AG572" s="384">
        <f t="shared" si="520"/>
        <v>0</v>
      </c>
      <c r="AH572" s="384">
        <f t="shared" si="520"/>
        <v>0</v>
      </c>
      <c r="AI572" s="384">
        <f t="shared" si="520"/>
        <v>0</v>
      </c>
      <c r="AJ572" s="384">
        <f t="shared" si="520"/>
        <v>0</v>
      </c>
      <c r="AK572" s="384">
        <f t="shared" si="520"/>
        <v>0</v>
      </c>
      <c r="AL572" s="384">
        <f>SUM(AL573:AL576)</f>
        <v>0</v>
      </c>
      <c r="AM572" s="384">
        <f>SUM(AM573:AM576)</f>
        <v>0</v>
      </c>
      <c r="AN572" s="384">
        <f>SUM(AN573:AN576)</f>
        <v>0</v>
      </c>
      <c r="AO572" s="384">
        <f>SUM(AO573:AO576)</f>
        <v>0</v>
      </c>
    </row>
    <row r="573" spans="1:41" s="25" customFormat="1" ht="60">
      <c r="A573" s="138">
        <v>1</v>
      </c>
      <c r="B573" s="528" t="s">
        <v>1439</v>
      </c>
      <c r="C573" s="524" t="s">
        <v>1435</v>
      </c>
      <c r="D573" s="403" t="s">
        <v>1440</v>
      </c>
      <c r="E573" s="522" t="s">
        <v>87</v>
      </c>
      <c r="F573" s="524" t="s">
        <v>1441</v>
      </c>
      <c r="G573" s="392">
        <v>49997</v>
      </c>
      <c r="H573" s="392">
        <v>4997</v>
      </c>
      <c r="I573" s="392">
        <v>15000</v>
      </c>
      <c r="J573" s="392"/>
      <c r="K573" s="23">
        <v>851</v>
      </c>
      <c r="L573" s="23"/>
      <c r="M573" s="23">
        <v>6049</v>
      </c>
      <c r="N573" s="23"/>
      <c r="O573" s="392">
        <v>33600</v>
      </c>
      <c r="P573" s="392"/>
      <c r="Q573" s="392">
        <v>31397</v>
      </c>
      <c r="R573" s="392">
        <v>26400</v>
      </c>
      <c r="S573" s="392"/>
      <c r="T573" s="392">
        <v>16397</v>
      </c>
      <c r="U573" s="392">
        <v>4997</v>
      </c>
      <c r="V573" s="23"/>
      <c r="W573" s="24"/>
      <c r="X573" s="396">
        <v>16397</v>
      </c>
      <c r="Y573" s="396">
        <v>4997</v>
      </c>
      <c r="Z573" s="371"/>
      <c r="AA573" s="5"/>
      <c r="AD573" s="25">
        <v>1</v>
      </c>
      <c r="AE573" s="392">
        <v>4997</v>
      </c>
    </row>
    <row r="574" spans="1:41" s="16" customFormat="1" ht="31.5">
      <c r="A574" s="138">
        <v>2</v>
      </c>
      <c r="B574" s="528" t="s">
        <v>1442</v>
      </c>
      <c r="C574" s="524" t="s">
        <v>5</v>
      </c>
      <c r="D574" s="403">
        <v>40000</v>
      </c>
      <c r="E574" s="522" t="s">
        <v>1443</v>
      </c>
      <c r="F574" s="524" t="s">
        <v>1444</v>
      </c>
      <c r="G574" s="392">
        <v>5669</v>
      </c>
      <c r="H574" s="392">
        <v>5669</v>
      </c>
      <c r="I574" s="392">
        <v>3000</v>
      </c>
      <c r="J574" s="392">
        <v>3000</v>
      </c>
      <c r="K574" s="15"/>
      <c r="L574" s="15"/>
      <c r="M574" s="15"/>
      <c r="N574" s="15"/>
      <c r="O574" s="392">
        <v>3200</v>
      </c>
      <c r="P574" s="392">
        <v>3200</v>
      </c>
      <c r="Q574" s="392">
        <v>5469</v>
      </c>
      <c r="R574" s="392">
        <v>5469</v>
      </c>
      <c r="S574" s="392"/>
      <c r="T574" s="392">
        <f>+G574-O574</f>
        <v>2469</v>
      </c>
      <c r="U574" s="392">
        <f>+H574-P574</f>
        <v>2469</v>
      </c>
      <c r="V574" s="15"/>
      <c r="W574" s="379"/>
      <c r="X574" s="396">
        <v>2469</v>
      </c>
      <c r="Y574" s="396">
        <v>2469</v>
      </c>
      <c r="Z574" s="429"/>
      <c r="AA574" s="5"/>
      <c r="AD574" s="25">
        <v>1</v>
      </c>
      <c r="AE574" s="392">
        <f>$R$33</f>
        <v>2584</v>
      </c>
    </row>
    <row r="575" spans="1:41" s="16" customFormat="1" ht="31.5">
      <c r="A575" s="138">
        <v>3</v>
      </c>
      <c r="B575" s="528" t="s">
        <v>1445</v>
      </c>
      <c r="C575" s="524" t="s">
        <v>43</v>
      </c>
      <c r="D575" s="524">
        <v>2000</v>
      </c>
      <c r="E575" s="522" t="s">
        <v>1443</v>
      </c>
      <c r="F575" s="524" t="s">
        <v>1446</v>
      </c>
      <c r="G575" s="392">
        <v>6518</v>
      </c>
      <c r="H575" s="392">
        <v>6518</v>
      </c>
      <c r="I575" s="392">
        <v>3000</v>
      </c>
      <c r="J575" s="392">
        <v>3000</v>
      </c>
      <c r="K575" s="15"/>
      <c r="L575" s="15"/>
      <c r="M575" s="392">
        <v>337</v>
      </c>
      <c r="N575" s="392">
        <v>337</v>
      </c>
      <c r="O575" s="392">
        <v>3000</v>
      </c>
      <c r="P575" s="392">
        <v>3000</v>
      </c>
      <c r="Q575" s="392">
        <v>6518</v>
      </c>
      <c r="R575" s="392">
        <v>6518</v>
      </c>
      <c r="S575" s="15"/>
      <c r="T575" s="392">
        <v>3500</v>
      </c>
      <c r="U575" s="392">
        <v>3500</v>
      </c>
      <c r="V575" s="15"/>
      <c r="W575" s="379"/>
      <c r="X575" s="396">
        <v>3500</v>
      </c>
      <c r="Y575" s="396">
        <v>3500</v>
      </c>
      <c r="Z575" s="429"/>
      <c r="AA575" s="5"/>
      <c r="AD575" s="25">
        <v>1</v>
      </c>
      <c r="AE575" s="392">
        <v>3500</v>
      </c>
    </row>
    <row r="576" spans="1:41" s="25" customFormat="1" ht="45">
      <c r="A576" s="138">
        <v>4</v>
      </c>
      <c r="B576" s="212" t="s">
        <v>1447</v>
      </c>
      <c r="C576" s="19" t="s">
        <v>29</v>
      </c>
      <c r="D576" s="19" t="s">
        <v>1448</v>
      </c>
      <c r="E576" s="70" t="s">
        <v>30</v>
      </c>
      <c r="F576" s="19" t="s">
        <v>1449</v>
      </c>
      <c r="G576" s="392">
        <f>H576</f>
        <v>5500</v>
      </c>
      <c r="H576" s="392">
        <v>5500</v>
      </c>
      <c r="I576" s="392">
        <f>J576</f>
        <v>2000</v>
      </c>
      <c r="J576" s="392">
        <v>2000</v>
      </c>
      <c r="K576" s="392">
        <f>L576</f>
        <v>0</v>
      </c>
      <c r="L576" s="392">
        <v>0</v>
      </c>
      <c r="M576" s="392">
        <f>N576</f>
        <v>116.76</v>
      </c>
      <c r="N576" s="392">
        <v>116.76</v>
      </c>
      <c r="O576" s="392">
        <f>P576</f>
        <v>2000</v>
      </c>
      <c r="P576" s="392">
        <v>2000</v>
      </c>
      <c r="Q576" s="392">
        <f>R576</f>
        <v>5500</v>
      </c>
      <c r="R576" s="392">
        <v>5500</v>
      </c>
      <c r="S576" s="392"/>
      <c r="T576" s="392">
        <v>3500</v>
      </c>
      <c r="U576" s="392">
        <v>3500</v>
      </c>
      <c r="V576" s="392"/>
      <c r="W576" s="395"/>
      <c r="X576" s="396">
        <v>3500</v>
      </c>
      <c r="Y576" s="396">
        <v>3500</v>
      </c>
      <c r="Z576" s="396"/>
      <c r="AA576" s="5"/>
      <c r="AD576" s="25">
        <v>1</v>
      </c>
      <c r="AE576" s="392">
        <v>3500</v>
      </c>
    </row>
    <row r="577" spans="1:41" s="16" customFormat="1" ht="31.5">
      <c r="A577" s="11" t="s">
        <v>116</v>
      </c>
      <c r="B577" s="12" t="s">
        <v>117</v>
      </c>
      <c r="C577" s="13"/>
      <c r="D577" s="13"/>
      <c r="E577" s="14"/>
      <c r="F577" s="13"/>
      <c r="G577" s="362">
        <f>SUM(G578,G581)</f>
        <v>303231</v>
      </c>
      <c r="H577" s="362">
        <f t="shared" ref="H577:V577" si="521">SUM(H578,H581)</f>
        <v>223231</v>
      </c>
      <c r="I577" s="362">
        <f t="shared" si="521"/>
        <v>22130</v>
      </c>
      <c r="J577" s="362">
        <f t="shared" si="521"/>
        <v>14630</v>
      </c>
      <c r="K577" s="362">
        <f t="shared" si="521"/>
        <v>0</v>
      </c>
      <c r="L577" s="362">
        <f t="shared" si="521"/>
        <v>0</v>
      </c>
      <c r="M577" s="362">
        <f t="shared" si="521"/>
        <v>7255.6</v>
      </c>
      <c r="N577" s="362">
        <f t="shared" si="521"/>
        <v>7255.6</v>
      </c>
      <c r="O577" s="362">
        <f t="shared" si="521"/>
        <v>85130</v>
      </c>
      <c r="P577" s="362">
        <f t="shared" si="521"/>
        <v>77630</v>
      </c>
      <c r="Q577" s="362">
        <f t="shared" si="521"/>
        <v>240231</v>
      </c>
      <c r="R577" s="362">
        <f t="shared" si="521"/>
        <v>160231</v>
      </c>
      <c r="S577" s="362">
        <f t="shared" si="521"/>
        <v>0</v>
      </c>
      <c r="T577" s="362">
        <f t="shared" si="521"/>
        <v>32000</v>
      </c>
      <c r="U577" s="362">
        <f t="shared" si="521"/>
        <v>22000</v>
      </c>
      <c r="V577" s="362">
        <f t="shared" si="521"/>
        <v>0</v>
      </c>
      <c r="W577" s="379"/>
      <c r="X577" s="364">
        <f t="shared" ref="X577:Z577" si="522">SUM(X578,X581)</f>
        <v>23000</v>
      </c>
      <c r="Y577" s="364">
        <f t="shared" si="522"/>
        <v>20000</v>
      </c>
      <c r="Z577" s="364">
        <f t="shared" si="522"/>
        <v>0</v>
      </c>
      <c r="AA577" s="5"/>
      <c r="AB577" s="362">
        <f t="shared" ref="AB577:AK577" si="523">SUM(AB578,AB581)</f>
        <v>0</v>
      </c>
      <c r="AC577" s="362">
        <f t="shared" si="523"/>
        <v>0</v>
      </c>
      <c r="AD577" s="362">
        <f t="shared" si="523"/>
        <v>0</v>
      </c>
      <c r="AE577" s="362">
        <f t="shared" si="523"/>
        <v>0</v>
      </c>
      <c r="AF577" s="362">
        <f t="shared" si="523"/>
        <v>0</v>
      </c>
      <c r="AG577" s="362">
        <f t="shared" si="523"/>
        <v>0</v>
      </c>
      <c r="AH577" s="362">
        <f t="shared" si="523"/>
        <v>2</v>
      </c>
      <c r="AI577" s="362">
        <f t="shared" si="523"/>
        <v>20000</v>
      </c>
      <c r="AJ577" s="362">
        <f t="shared" si="523"/>
        <v>0</v>
      </c>
      <c r="AK577" s="362">
        <f t="shared" si="523"/>
        <v>0</v>
      </c>
      <c r="AL577" s="362">
        <f>SUM(AL578,AL581)</f>
        <v>0</v>
      </c>
      <c r="AM577" s="362">
        <f>SUM(AM578,AM581)</f>
        <v>0</v>
      </c>
      <c r="AN577" s="362">
        <f>SUM(AN578,AN581)</f>
        <v>0</v>
      </c>
      <c r="AO577" s="362">
        <f>SUM(AO578,AO581)</f>
        <v>0</v>
      </c>
    </row>
    <row r="578" spans="1:41" s="31" customFormat="1" ht="15.75">
      <c r="A578" s="26" t="s">
        <v>47</v>
      </c>
      <c r="B578" s="27" t="s">
        <v>35</v>
      </c>
      <c r="C578" s="28"/>
      <c r="D578" s="28"/>
      <c r="E578" s="29"/>
      <c r="F578" s="28"/>
      <c r="G578" s="384">
        <f>SUM(G579:G580)</f>
        <v>278521</v>
      </c>
      <c r="H578" s="384">
        <f t="shared" ref="H578:V578" si="524">SUM(H579:H580)</f>
        <v>198521</v>
      </c>
      <c r="I578" s="384">
        <f t="shared" si="524"/>
        <v>18530</v>
      </c>
      <c r="J578" s="384">
        <f t="shared" si="524"/>
        <v>11030</v>
      </c>
      <c r="K578" s="384">
        <f t="shared" si="524"/>
        <v>0</v>
      </c>
      <c r="L578" s="384">
        <f t="shared" si="524"/>
        <v>0</v>
      </c>
      <c r="M578" s="384">
        <f t="shared" si="524"/>
        <v>7143</v>
      </c>
      <c r="N578" s="384">
        <f t="shared" si="524"/>
        <v>7143</v>
      </c>
      <c r="O578" s="384">
        <f t="shared" si="524"/>
        <v>81530</v>
      </c>
      <c r="P578" s="384">
        <f t="shared" si="524"/>
        <v>74030</v>
      </c>
      <c r="Q578" s="384">
        <f t="shared" si="524"/>
        <v>215521</v>
      </c>
      <c r="R578" s="384">
        <f t="shared" si="524"/>
        <v>135521</v>
      </c>
      <c r="S578" s="384">
        <f t="shared" si="524"/>
        <v>0</v>
      </c>
      <c r="T578" s="384">
        <f t="shared" si="524"/>
        <v>22000</v>
      </c>
      <c r="U578" s="384">
        <f t="shared" si="524"/>
        <v>12000</v>
      </c>
      <c r="V578" s="384">
        <f t="shared" si="524"/>
        <v>0</v>
      </c>
      <c r="W578" s="479"/>
      <c r="X578" s="386">
        <f t="shared" ref="X578:Z578" si="525">SUM(X579:X580)</f>
        <v>13000</v>
      </c>
      <c r="Y578" s="386">
        <f t="shared" si="525"/>
        <v>10000</v>
      </c>
      <c r="Z578" s="386">
        <f t="shared" si="525"/>
        <v>0</v>
      </c>
      <c r="AA578" s="5"/>
      <c r="AB578" s="384">
        <f t="shared" ref="AB578:AK578" si="526">SUM(AB579:AB580)</f>
        <v>0</v>
      </c>
      <c r="AC578" s="384">
        <f t="shared" si="526"/>
        <v>0</v>
      </c>
      <c r="AD578" s="384">
        <f t="shared" si="526"/>
        <v>0</v>
      </c>
      <c r="AE578" s="384">
        <f t="shared" si="526"/>
        <v>0</v>
      </c>
      <c r="AF578" s="384">
        <f t="shared" si="526"/>
        <v>0</v>
      </c>
      <c r="AG578" s="384">
        <f t="shared" si="526"/>
        <v>0</v>
      </c>
      <c r="AH578" s="384">
        <f t="shared" si="526"/>
        <v>1</v>
      </c>
      <c r="AI578" s="384">
        <f t="shared" si="526"/>
        <v>10000</v>
      </c>
      <c r="AJ578" s="384">
        <f t="shared" si="526"/>
        <v>0</v>
      </c>
      <c r="AK578" s="384">
        <f t="shared" si="526"/>
        <v>0</v>
      </c>
      <c r="AL578" s="384">
        <f>SUM(AL579:AL580)</f>
        <v>0</v>
      </c>
      <c r="AM578" s="384">
        <f>SUM(AM579:AM580)</f>
        <v>0</v>
      </c>
      <c r="AN578" s="384">
        <f>SUM(AN579:AN580)</f>
        <v>0</v>
      </c>
      <c r="AO578" s="384">
        <f>SUM(AO579:AO580)</f>
        <v>0</v>
      </c>
    </row>
    <row r="579" spans="1:41" s="375" customFormat="1" ht="31.5">
      <c r="A579" s="529">
        <v>1</v>
      </c>
      <c r="B579" s="229" t="s">
        <v>1450</v>
      </c>
      <c r="C579" s="41" t="s">
        <v>60</v>
      </c>
      <c r="D579" s="41"/>
      <c r="E579" s="523" t="s">
        <v>1451</v>
      </c>
      <c r="F579" s="41" t="s">
        <v>1452</v>
      </c>
      <c r="G579" s="392">
        <v>174945</v>
      </c>
      <c r="H579" s="392">
        <v>174945</v>
      </c>
      <c r="I579" s="392">
        <v>11030</v>
      </c>
      <c r="J579" s="392">
        <v>11030</v>
      </c>
      <c r="K579" s="530"/>
      <c r="L579" s="530"/>
      <c r="M579" s="392">
        <v>7143</v>
      </c>
      <c r="N579" s="392">
        <v>7143</v>
      </c>
      <c r="O579" s="392">
        <f>63000+11030</f>
        <v>74030</v>
      </c>
      <c r="P579" s="392">
        <f>63000+11030</f>
        <v>74030</v>
      </c>
      <c r="Q579" s="392">
        <f>174945-63000</f>
        <v>111945</v>
      </c>
      <c r="R579" s="392">
        <f>174945-63000</f>
        <v>111945</v>
      </c>
      <c r="S579" s="530"/>
      <c r="T579" s="392">
        <f>+U579</f>
        <v>12000</v>
      </c>
      <c r="U579" s="392">
        <v>12000</v>
      </c>
      <c r="V579" s="530"/>
      <c r="W579" s="449"/>
      <c r="X579" s="396">
        <f>+Y579</f>
        <v>10000</v>
      </c>
      <c r="Y579" s="396">
        <v>10000</v>
      </c>
      <c r="Z579" s="531"/>
      <c r="AA579" s="5"/>
      <c r="AH579" s="25">
        <v>1</v>
      </c>
      <c r="AI579" s="392">
        <v>10000</v>
      </c>
    </row>
    <row r="580" spans="1:41" s="25" customFormat="1" ht="45">
      <c r="A580" s="529">
        <v>2</v>
      </c>
      <c r="B580" s="507" t="s">
        <v>1453</v>
      </c>
      <c r="C580" s="532" t="s">
        <v>143</v>
      </c>
      <c r="D580" s="509" t="s">
        <v>1454</v>
      </c>
      <c r="E580" s="526" t="s">
        <v>1455</v>
      </c>
      <c r="F580" s="509" t="s">
        <v>1456</v>
      </c>
      <c r="G580" s="527">
        <v>103576</v>
      </c>
      <c r="H580" s="392">
        <f>G580-80000</f>
        <v>23576</v>
      </c>
      <c r="I580" s="392">
        <v>7500</v>
      </c>
      <c r="J580" s="23">
        <v>0</v>
      </c>
      <c r="K580" s="23">
        <v>0</v>
      </c>
      <c r="L580" s="23">
        <v>0</v>
      </c>
      <c r="M580" s="23">
        <v>0</v>
      </c>
      <c r="N580" s="23">
        <v>0</v>
      </c>
      <c r="O580" s="392">
        <v>7500</v>
      </c>
      <c r="P580" s="23">
        <v>0</v>
      </c>
      <c r="Q580" s="392">
        <f>G580</f>
        <v>103576</v>
      </c>
      <c r="R580" s="392">
        <f>H580</f>
        <v>23576</v>
      </c>
      <c r="S580" s="23"/>
      <c r="T580" s="392">
        <v>10000</v>
      </c>
      <c r="U580" s="392"/>
      <c r="V580" s="23"/>
      <c r="W580" s="24"/>
      <c r="X580" s="396">
        <v>3000</v>
      </c>
      <c r="Y580" s="396"/>
      <c r="Z580" s="371"/>
      <c r="AA580" s="5"/>
      <c r="AI580" s="392"/>
    </row>
    <row r="581" spans="1:41" s="31" customFormat="1" ht="15.75">
      <c r="A581" s="26" t="s">
        <v>273</v>
      </c>
      <c r="B581" s="27" t="s">
        <v>48</v>
      </c>
      <c r="C581" s="28"/>
      <c r="D581" s="28"/>
      <c r="E581" s="29"/>
      <c r="F581" s="28"/>
      <c r="G581" s="384">
        <f>G582</f>
        <v>24710</v>
      </c>
      <c r="H581" s="384">
        <f t="shared" ref="H581:Z581" si="527">H582</f>
        <v>24710</v>
      </c>
      <c r="I581" s="384">
        <f t="shared" si="527"/>
        <v>3600</v>
      </c>
      <c r="J581" s="384">
        <f t="shared" si="527"/>
        <v>3600</v>
      </c>
      <c r="K581" s="384">
        <f t="shared" si="527"/>
        <v>0</v>
      </c>
      <c r="L581" s="384">
        <f t="shared" si="527"/>
        <v>0</v>
      </c>
      <c r="M581" s="384">
        <f t="shared" si="527"/>
        <v>112.6</v>
      </c>
      <c r="N581" s="384">
        <f t="shared" si="527"/>
        <v>112.6</v>
      </c>
      <c r="O581" s="384">
        <f t="shared" si="527"/>
        <v>3600</v>
      </c>
      <c r="P581" s="384">
        <f t="shared" si="527"/>
        <v>3600</v>
      </c>
      <c r="Q581" s="384">
        <f t="shared" si="527"/>
        <v>24710</v>
      </c>
      <c r="R581" s="384">
        <f t="shared" si="527"/>
        <v>24710</v>
      </c>
      <c r="S581" s="384">
        <f t="shared" si="527"/>
        <v>0</v>
      </c>
      <c r="T581" s="384">
        <f t="shared" si="527"/>
        <v>10000</v>
      </c>
      <c r="U581" s="384">
        <f t="shared" si="527"/>
        <v>10000</v>
      </c>
      <c r="V581" s="384">
        <f t="shared" si="527"/>
        <v>0</v>
      </c>
      <c r="W581" s="479"/>
      <c r="X581" s="386">
        <f t="shared" si="527"/>
        <v>10000</v>
      </c>
      <c r="Y581" s="386">
        <f t="shared" si="527"/>
        <v>10000</v>
      </c>
      <c r="Z581" s="386">
        <f t="shared" si="527"/>
        <v>0</v>
      </c>
      <c r="AA581" s="5"/>
      <c r="AB581" s="384">
        <f t="shared" ref="AB581:AK581" si="528">AB582</f>
        <v>0</v>
      </c>
      <c r="AC581" s="384">
        <f t="shared" si="528"/>
        <v>0</v>
      </c>
      <c r="AD581" s="384">
        <f t="shared" si="528"/>
        <v>0</v>
      </c>
      <c r="AE581" s="384">
        <f t="shared" si="528"/>
        <v>0</v>
      </c>
      <c r="AF581" s="384">
        <f t="shared" si="528"/>
        <v>0</v>
      </c>
      <c r="AG581" s="384">
        <f t="shared" si="528"/>
        <v>0</v>
      </c>
      <c r="AH581" s="384">
        <f t="shared" si="528"/>
        <v>1</v>
      </c>
      <c r="AI581" s="384">
        <f t="shared" si="528"/>
        <v>10000</v>
      </c>
      <c r="AJ581" s="384">
        <f t="shared" si="528"/>
        <v>0</v>
      </c>
      <c r="AK581" s="384">
        <f t="shared" si="528"/>
        <v>0</v>
      </c>
      <c r="AL581" s="384">
        <f>AL582</f>
        <v>0</v>
      </c>
      <c r="AM581" s="384">
        <f>AM582</f>
        <v>0</v>
      </c>
      <c r="AN581" s="384">
        <f>AN582</f>
        <v>0</v>
      </c>
      <c r="AO581" s="384">
        <f>AO582</f>
        <v>0</v>
      </c>
    </row>
    <row r="582" spans="1:41" s="25" customFormat="1" ht="31.5">
      <c r="A582" s="97" t="s">
        <v>27</v>
      </c>
      <c r="B582" s="212" t="s">
        <v>1457</v>
      </c>
      <c r="C582" s="19" t="s">
        <v>173</v>
      </c>
      <c r="D582" s="19"/>
      <c r="E582" s="70" t="s">
        <v>30</v>
      </c>
      <c r="F582" s="19" t="s">
        <v>1458</v>
      </c>
      <c r="G582" s="392">
        <f>H582</f>
        <v>24710</v>
      </c>
      <c r="H582" s="392">
        <v>24710</v>
      </c>
      <c r="I582" s="392">
        <f>J582</f>
        <v>3600</v>
      </c>
      <c r="J582" s="392">
        <v>3600</v>
      </c>
      <c r="K582" s="392">
        <f>L582</f>
        <v>0</v>
      </c>
      <c r="L582" s="392">
        <v>0</v>
      </c>
      <c r="M582" s="392">
        <f>N582</f>
        <v>112.6</v>
      </c>
      <c r="N582" s="392">
        <v>112.6</v>
      </c>
      <c r="O582" s="392">
        <f>P582</f>
        <v>3600</v>
      </c>
      <c r="P582" s="392">
        <v>3600</v>
      </c>
      <c r="Q582" s="392">
        <f>R582</f>
        <v>24710</v>
      </c>
      <c r="R582" s="392">
        <v>24710</v>
      </c>
      <c r="S582" s="392"/>
      <c r="T582" s="392">
        <f>+U582</f>
        <v>10000</v>
      </c>
      <c r="U582" s="392">
        <v>10000</v>
      </c>
      <c r="V582" s="392"/>
      <c r="W582" s="395"/>
      <c r="X582" s="396">
        <f>+Y582</f>
        <v>10000</v>
      </c>
      <c r="Y582" s="396">
        <v>10000</v>
      </c>
      <c r="Z582" s="396"/>
      <c r="AA582" s="5"/>
      <c r="AH582" s="25">
        <v>1</v>
      </c>
      <c r="AI582" s="392">
        <v>10000</v>
      </c>
    </row>
    <row r="583" spans="1:41" s="16" customFormat="1" ht="31.5">
      <c r="A583" s="11" t="s">
        <v>150</v>
      </c>
      <c r="B583" s="12" t="s">
        <v>151</v>
      </c>
      <c r="C583" s="13"/>
      <c r="D583" s="13"/>
      <c r="E583" s="14"/>
      <c r="F583" s="13"/>
      <c r="G583" s="45">
        <f>G584+G589</f>
        <v>885233</v>
      </c>
      <c r="H583" s="45">
        <f t="shared" ref="H583:V583" si="529">H584+H589</f>
        <v>400233</v>
      </c>
      <c r="I583" s="45">
        <f t="shared" si="529"/>
        <v>1010</v>
      </c>
      <c r="J583" s="45">
        <f t="shared" si="529"/>
        <v>1010</v>
      </c>
      <c r="K583" s="45">
        <f t="shared" si="529"/>
        <v>169</v>
      </c>
      <c r="L583" s="45">
        <f t="shared" si="529"/>
        <v>169</v>
      </c>
      <c r="M583" s="45">
        <f t="shared" si="529"/>
        <v>0</v>
      </c>
      <c r="N583" s="45">
        <f t="shared" si="529"/>
        <v>0</v>
      </c>
      <c r="O583" s="45">
        <f t="shared" si="529"/>
        <v>1179</v>
      </c>
      <c r="P583" s="45">
        <f t="shared" si="529"/>
        <v>1179</v>
      </c>
      <c r="Q583" s="45">
        <f t="shared" si="529"/>
        <v>885064</v>
      </c>
      <c r="R583" s="45">
        <f t="shared" si="529"/>
        <v>400064</v>
      </c>
      <c r="S583" s="45">
        <f t="shared" si="529"/>
        <v>0</v>
      </c>
      <c r="T583" s="45">
        <f t="shared" si="529"/>
        <v>55893</v>
      </c>
      <c r="U583" s="45">
        <f t="shared" si="529"/>
        <v>42762</v>
      </c>
      <c r="V583" s="45">
        <f t="shared" si="529"/>
        <v>0</v>
      </c>
      <c r="W583" s="379"/>
      <c r="X583" s="347">
        <f t="shared" ref="X583:Z583" si="530">X584+X589</f>
        <v>30000</v>
      </c>
      <c r="Y583" s="347">
        <f t="shared" si="530"/>
        <v>42762</v>
      </c>
      <c r="Z583" s="347">
        <f t="shared" si="530"/>
        <v>0</v>
      </c>
      <c r="AA583" s="5"/>
      <c r="AB583" s="45">
        <f t="shared" ref="AB583:AK583" si="531">AB584+AB589</f>
        <v>0</v>
      </c>
      <c r="AC583" s="45">
        <f t="shared" si="531"/>
        <v>0</v>
      </c>
      <c r="AD583" s="45">
        <f t="shared" si="531"/>
        <v>0</v>
      </c>
      <c r="AE583" s="45">
        <f t="shared" si="531"/>
        <v>0</v>
      </c>
      <c r="AF583" s="45">
        <f t="shared" si="531"/>
        <v>0</v>
      </c>
      <c r="AG583" s="45">
        <f t="shared" si="531"/>
        <v>0</v>
      </c>
      <c r="AH583" s="45">
        <f t="shared" si="531"/>
        <v>0</v>
      </c>
      <c r="AI583" s="45">
        <f t="shared" si="531"/>
        <v>0</v>
      </c>
      <c r="AJ583" s="45">
        <f t="shared" si="531"/>
        <v>0</v>
      </c>
      <c r="AK583" s="45">
        <f t="shared" si="531"/>
        <v>0</v>
      </c>
      <c r="AL583" s="45">
        <f>AL584+AL589</f>
        <v>6</v>
      </c>
      <c r="AM583" s="45">
        <f>AM584+AM589</f>
        <v>55045</v>
      </c>
      <c r="AN583" s="45">
        <f>AN584+AN589</f>
        <v>0</v>
      </c>
      <c r="AO583" s="45">
        <f>AO584+AO589</f>
        <v>0</v>
      </c>
    </row>
    <row r="584" spans="1:41" s="31" customFormat="1" ht="24" customHeight="1">
      <c r="A584" s="26" t="s">
        <v>47</v>
      </c>
      <c r="B584" s="27" t="s">
        <v>35</v>
      </c>
      <c r="C584" s="28"/>
      <c r="D584" s="28"/>
      <c r="E584" s="29"/>
      <c r="F584" s="28"/>
      <c r="G584" s="533">
        <f>SUM(G585:G588)</f>
        <v>854171</v>
      </c>
      <c r="H584" s="533">
        <f t="shared" ref="H584:V584" si="532">SUM(H585:H588)</f>
        <v>369171</v>
      </c>
      <c r="I584" s="533">
        <f t="shared" si="532"/>
        <v>810</v>
      </c>
      <c r="J584" s="533">
        <f t="shared" si="532"/>
        <v>810</v>
      </c>
      <c r="K584" s="533">
        <f t="shared" si="532"/>
        <v>0</v>
      </c>
      <c r="L584" s="533">
        <f t="shared" si="532"/>
        <v>0</v>
      </c>
      <c r="M584" s="533">
        <f t="shared" si="532"/>
        <v>0</v>
      </c>
      <c r="N584" s="533">
        <f t="shared" si="532"/>
        <v>0</v>
      </c>
      <c r="O584" s="533">
        <f t="shared" si="532"/>
        <v>810</v>
      </c>
      <c r="P584" s="533">
        <f t="shared" si="532"/>
        <v>810</v>
      </c>
      <c r="Q584" s="533">
        <f t="shared" si="532"/>
        <v>854171</v>
      </c>
      <c r="R584" s="533">
        <f t="shared" si="532"/>
        <v>369171</v>
      </c>
      <c r="S584" s="533">
        <f t="shared" si="532"/>
        <v>0</v>
      </c>
      <c r="T584" s="533">
        <f t="shared" si="532"/>
        <v>28000</v>
      </c>
      <c r="U584" s="533">
        <f t="shared" si="532"/>
        <v>28000</v>
      </c>
      <c r="V584" s="533">
        <f t="shared" si="532"/>
        <v>0</v>
      </c>
      <c r="W584" s="479"/>
      <c r="X584" s="534">
        <f t="shared" ref="X584:Z584" si="533">SUM(X585:X588)</f>
        <v>28000</v>
      </c>
      <c r="Y584" s="534">
        <f t="shared" si="533"/>
        <v>28000</v>
      </c>
      <c r="Z584" s="534">
        <f t="shared" si="533"/>
        <v>0</v>
      </c>
      <c r="AA584" s="5"/>
      <c r="AB584" s="533">
        <f t="shared" ref="AB584:AK584" si="534">SUM(AB585:AB588)</f>
        <v>0</v>
      </c>
      <c r="AC584" s="533">
        <f t="shared" si="534"/>
        <v>0</v>
      </c>
      <c r="AD584" s="533">
        <f t="shared" si="534"/>
        <v>0</v>
      </c>
      <c r="AE584" s="533">
        <f t="shared" si="534"/>
        <v>0</v>
      </c>
      <c r="AF584" s="533">
        <f t="shared" si="534"/>
        <v>0</v>
      </c>
      <c r="AG584" s="533">
        <f t="shared" si="534"/>
        <v>0</v>
      </c>
      <c r="AH584" s="533">
        <f t="shared" si="534"/>
        <v>0</v>
      </c>
      <c r="AI584" s="533">
        <f t="shared" si="534"/>
        <v>0</v>
      </c>
      <c r="AJ584" s="533">
        <f t="shared" si="534"/>
        <v>0</v>
      </c>
      <c r="AK584" s="533">
        <f t="shared" si="534"/>
        <v>0</v>
      </c>
      <c r="AL584" s="533">
        <f>SUM(AL585:AL588)</f>
        <v>4</v>
      </c>
      <c r="AM584" s="533">
        <f>SUM(AM585:AM588)</f>
        <v>40000</v>
      </c>
      <c r="AN584" s="533">
        <f>SUM(AN585:AN588)</f>
        <v>0</v>
      </c>
      <c r="AO584" s="533">
        <f>SUM(AO585:AO588)</f>
        <v>0</v>
      </c>
    </row>
    <row r="585" spans="1:41" s="5" customFormat="1" ht="30">
      <c r="A585" s="138">
        <v>1</v>
      </c>
      <c r="B585" s="528" t="s">
        <v>1459</v>
      </c>
      <c r="C585" s="524" t="s">
        <v>260</v>
      </c>
      <c r="D585" s="403">
        <v>10000</v>
      </c>
      <c r="E585" s="535" t="s">
        <v>355</v>
      </c>
      <c r="F585" s="43" t="s">
        <v>1460</v>
      </c>
      <c r="G585" s="72">
        <v>109954</v>
      </c>
      <c r="H585" s="72">
        <v>109954</v>
      </c>
      <c r="I585" s="404"/>
      <c r="J585" s="404"/>
      <c r="K585" s="72"/>
      <c r="L585" s="72"/>
      <c r="M585" s="72"/>
      <c r="N585" s="72"/>
      <c r="O585" s="72"/>
      <c r="P585" s="72"/>
      <c r="Q585" s="72">
        <v>109954</v>
      </c>
      <c r="R585" s="72">
        <v>109954</v>
      </c>
      <c r="S585" s="72"/>
      <c r="T585" s="72">
        <f>+U585</f>
        <v>10000</v>
      </c>
      <c r="U585" s="72">
        <v>10000</v>
      </c>
      <c r="V585" s="72"/>
      <c r="W585" s="269"/>
      <c r="X585" s="356">
        <f>+Y585</f>
        <v>10000</v>
      </c>
      <c r="Y585" s="356">
        <v>10000</v>
      </c>
      <c r="Z585" s="356"/>
      <c r="AL585" s="25">
        <v>1</v>
      </c>
      <c r="AM585" s="72">
        <v>20000</v>
      </c>
    </row>
    <row r="586" spans="1:41" s="5" customFormat="1" ht="47.25">
      <c r="A586" s="138">
        <v>2</v>
      </c>
      <c r="B586" s="212" t="s">
        <v>1461</v>
      </c>
      <c r="C586" s="43" t="s">
        <v>278</v>
      </c>
      <c r="D586" s="43"/>
      <c r="E586" s="44" t="s">
        <v>355</v>
      </c>
      <c r="F586" s="43" t="s">
        <v>1462</v>
      </c>
      <c r="G586" s="72">
        <f>H586</f>
        <v>49590</v>
      </c>
      <c r="H586" s="72">
        <v>49590</v>
      </c>
      <c r="I586" s="72">
        <f>J586</f>
        <v>100</v>
      </c>
      <c r="J586" s="72">
        <v>100</v>
      </c>
      <c r="K586" s="72">
        <v>0</v>
      </c>
      <c r="L586" s="72">
        <v>0</v>
      </c>
      <c r="M586" s="72">
        <v>0</v>
      </c>
      <c r="N586" s="72">
        <v>0</v>
      </c>
      <c r="O586" s="72">
        <f>P586</f>
        <v>100</v>
      </c>
      <c r="P586" s="72">
        <v>100</v>
      </c>
      <c r="Q586" s="72">
        <f>R586</f>
        <v>49590</v>
      </c>
      <c r="R586" s="72">
        <v>49590</v>
      </c>
      <c r="S586" s="72">
        <v>0</v>
      </c>
      <c r="T586" s="72">
        <f>U586</f>
        <v>16000</v>
      </c>
      <c r="U586" s="72">
        <v>16000</v>
      </c>
      <c r="V586" s="72"/>
      <c r="W586" s="269"/>
      <c r="X586" s="356">
        <f>Y586</f>
        <v>16000</v>
      </c>
      <c r="Y586" s="356">
        <v>16000</v>
      </c>
      <c r="Z586" s="356"/>
      <c r="AL586" s="25">
        <v>1</v>
      </c>
      <c r="AM586" s="72">
        <v>5000</v>
      </c>
    </row>
    <row r="587" spans="1:41" s="5" customFormat="1" ht="45">
      <c r="A587" s="138">
        <v>3</v>
      </c>
      <c r="B587" s="212" t="s">
        <v>1463</v>
      </c>
      <c r="C587" s="43" t="s">
        <v>1464</v>
      </c>
      <c r="D587" s="43"/>
      <c r="E587" s="44" t="s">
        <v>355</v>
      </c>
      <c r="F587" s="43"/>
      <c r="G587" s="72">
        <f>H587</f>
        <v>59627</v>
      </c>
      <c r="H587" s="72">
        <v>59627</v>
      </c>
      <c r="I587" s="72">
        <f>J587</f>
        <v>100</v>
      </c>
      <c r="J587" s="72">
        <v>100</v>
      </c>
      <c r="K587" s="72">
        <v>0</v>
      </c>
      <c r="L587" s="72">
        <v>0</v>
      </c>
      <c r="M587" s="72">
        <v>0</v>
      </c>
      <c r="N587" s="72">
        <v>0</v>
      </c>
      <c r="O587" s="72">
        <f>P587</f>
        <v>100</v>
      </c>
      <c r="P587" s="72">
        <v>100</v>
      </c>
      <c r="Q587" s="72">
        <f>R587</f>
        <v>59627</v>
      </c>
      <c r="R587" s="72">
        <v>59627</v>
      </c>
      <c r="S587" s="72">
        <v>0</v>
      </c>
      <c r="T587" s="72">
        <f t="shared" ref="T587:T588" si="535">U587</f>
        <v>1000</v>
      </c>
      <c r="U587" s="72">
        <v>1000</v>
      </c>
      <c r="V587" s="72"/>
      <c r="W587" s="269"/>
      <c r="X587" s="356">
        <f t="shared" ref="X587:X588" si="536">Y587</f>
        <v>1000</v>
      </c>
      <c r="Y587" s="356">
        <v>1000</v>
      </c>
      <c r="Z587" s="356"/>
      <c r="AL587" s="25">
        <v>1</v>
      </c>
      <c r="AM587" s="72">
        <v>5000</v>
      </c>
    </row>
    <row r="588" spans="1:41" s="5" customFormat="1" ht="27.75" customHeight="1">
      <c r="A588" s="138">
        <v>4</v>
      </c>
      <c r="B588" s="212" t="s">
        <v>1465</v>
      </c>
      <c r="C588" s="43" t="s">
        <v>29</v>
      </c>
      <c r="D588" s="43">
        <v>11.2</v>
      </c>
      <c r="E588" s="44" t="s">
        <v>355</v>
      </c>
      <c r="F588" s="43"/>
      <c r="G588" s="72">
        <v>635000</v>
      </c>
      <c r="H588" s="72">
        <v>150000</v>
      </c>
      <c r="I588" s="72">
        <f>J588</f>
        <v>610</v>
      </c>
      <c r="J588" s="72">
        <v>610</v>
      </c>
      <c r="K588" s="72"/>
      <c r="L588" s="72"/>
      <c r="M588" s="72"/>
      <c r="N588" s="72"/>
      <c r="O588" s="72">
        <f>P588</f>
        <v>610</v>
      </c>
      <c r="P588" s="72">
        <v>610</v>
      </c>
      <c r="Q588" s="72">
        <v>635000</v>
      </c>
      <c r="R588" s="72">
        <v>150000</v>
      </c>
      <c r="S588" s="72"/>
      <c r="T588" s="72">
        <f t="shared" si="535"/>
        <v>1000</v>
      </c>
      <c r="U588" s="72">
        <v>1000</v>
      </c>
      <c r="V588" s="72"/>
      <c r="W588" s="269"/>
      <c r="X588" s="356">
        <f t="shared" si="536"/>
        <v>1000</v>
      </c>
      <c r="Y588" s="356">
        <v>1000</v>
      </c>
      <c r="Z588" s="356"/>
      <c r="AL588" s="25">
        <v>1</v>
      </c>
      <c r="AM588" s="72">
        <v>10000</v>
      </c>
    </row>
    <row r="589" spans="1:41" s="31" customFormat="1" ht="24" customHeight="1">
      <c r="A589" s="26" t="s">
        <v>273</v>
      </c>
      <c r="B589" s="27" t="s">
        <v>48</v>
      </c>
      <c r="C589" s="28"/>
      <c r="D589" s="28"/>
      <c r="E589" s="29"/>
      <c r="F589" s="28"/>
      <c r="G589" s="533">
        <f>SUM(G590:G591)</f>
        <v>31062</v>
      </c>
      <c r="H589" s="533">
        <f t="shared" ref="H589:V589" si="537">SUM(H590:H591)</f>
        <v>31062</v>
      </c>
      <c r="I589" s="533">
        <f t="shared" si="537"/>
        <v>200</v>
      </c>
      <c r="J589" s="533">
        <f t="shared" si="537"/>
        <v>200</v>
      </c>
      <c r="K589" s="533">
        <f t="shared" si="537"/>
        <v>169</v>
      </c>
      <c r="L589" s="533">
        <f t="shared" si="537"/>
        <v>169</v>
      </c>
      <c r="M589" s="533">
        <f t="shared" si="537"/>
        <v>0</v>
      </c>
      <c r="N589" s="533">
        <f t="shared" si="537"/>
        <v>0</v>
      </c>
      <c r="O589" s="533">
        <f t="shared" si="537"/>
        <v>369</v>
      </c>
      <c r="P589" s="533">
        <f t="shared" si="537"/>
        <v>369</v>
      </c>
      <c r="Q589" s="533">
        <f t="shared" si="537"/>
        <v>30893</v>
      </c>
      <c r="R589" s="533">
        <f t="shared" si="537"/>
        <v>30893</v>
      </c>
      <c r="S589" s="533">
        <f t="shared" si="537"/>
        <v>0</v>
      </c>
      <c r="T589" s="533">
        <f t="shared" si="537"/>
        <v>27893</v>
      </c>
      <c r="U589" s="533">
        <f t="shared" si="537"/>
        <v>14762</v>
      </c>
      <c r="V589" s="533">
        <f t="shared" si="537"/>
        <v>0</v>
      </c>
      <c r="W589" s="479"/>
      <c r="X589" s="534">
        <f t="shared" ref="X589:Z589" si="538">SUM(X590:X591)</f>
        <v>2000</v>
      </c>
      <c r="Y589" s="534">
        <f t="shared" si="538"/>
        <v>14762</v>
      </c>
      <c r="Z589" s="534">
        <f t="shared" si="538"/>
        <v>0</v>
      </c>
      <c r="AA589" s="5"/>
      <c r="AB589" s="533">
        <f t="shared" ref="AB589:AK589" si="539">SUM(AB590:AB591)</f>
        <v>0</v>
      </c>
      <c r="AC589" s="533">
        <f t="shared" si="539"/>
        <v>0</v>
      </c>
      <c r="AD589" s="533">
        <f t="shared" si="539"/>
        <v>0</v>
      </c>
      <c r="AE589" s="533">
        <f t="shared" si="539"/>
        <v>0</v>
      </c>
      <c r="AF589" s="533">
        <f t="shared" si="539"/>
        <v>0</v>
      </c>
      <c r="AG589" s="533">
        <f t="shared" si="539"/>
        <v>0</v>
      </c>
      <c r="AH589" s="533">
        <f t="shared" si="539"/>
        <v>0</v>
      </c>
      <c r="AI589" s="533">
        <f t="shared" si="539"/>
        <v>0</v>
      </c>
      <c r="AJ589" s="533">
        <f t="shared" si="539"/>
        <v>0</v>
      </c>
      <c r="AK589" s="533">
        <f t="shared" si="539"/>
        <v>0</v>
      </c>
      <c r="AL589" s="533">
        <f>SUM(AL590:AL591)</f>
        <v>2</v>
      </c>
      <c r="AM589" s="533">
        <f t="shared" ref="AM589" si="540">SUM(AM590:AM591)</f>
        <v>15045</v>
      </c>
      <c r="AN589" s="533">
        <f>SUM(AN590:AN591)</f>
        <v>0</v>
      </c>
      <c r="AO589" s="533">
        <f>SUM(AO590:AO591)</f>
        <v>0</v>
      </c>
    </row>
    <row r="590" spans="1:41" s="16" customFormat="1" ht="31.5">
      <c r="A590" s="138">
        <v>1</v>
      </c>
      <c r="B590" s="214" t="s">
        <v>1466</v>
      </c>
      <c r="C590" s="94" t="s">
        <v>60</v>
      </c>
      <c r="D590" s="101" t="s">
        <v>1467</v>
      </c>
      <c r="E590" s="137">
        <v>2017</v>
      </c>
      <c r="F590" s="101" t="s">
        <v>1468</v>
      </c>
      <c r="G590" s="104">
        <v>26062</v>
      </c>
      <c r="H590" s="72">
        <f>G590</f>
        <v>26062</v>
      </c>
      <c r="I590" s="72">
        <v>100</v>
      </c>
      <c r="J590" s="72">
        <v>100</v>
      </c>
      <c r="K590" s="72">
        <v>169</v>
      </c>
      <c r="L590" s="72">
        <v>169</v>
      </c>
      <c r="M590" s="72">
        <v>0</v>
      </c>
      <c r="N590" s="72">
        <v>0</v>
      </c>
      <c r="O590" s="72">
        <v>269</v>
      </c>
      <c r="P590" s="72">
        <f>O590</f>
        <v>269</v>
      </c>
      <c r="Q590" s="72">
        <f>+G590-169</f>
        <v>25893</v>
      </c>
      <c r="R590" s="72">
        <f>+H590-169</f>
        <v>25893</v>
      </c>
      <c r="S590" s="72"/>
      <c r="T590" s="72">
        <f>R590</f>
        <v>25893</v>
      </c>
      <c r="U590" s="72">
        <f>13031-269</f>
        <v>12762</v>
      </c>
      <c r="V590" s="72"/>
      <c r="W590" s="269"/>
      <c r="X590" s="356">
        <f>V590</f>
        <v>0</v>
      </c>
      <c r="Y590" s="356">
        <f>13031-269</f>
        <v>12762</v>
      </c>
      <c r="Z590" s="356"/>
      <c r="AA590" s="5"/>
      <c r="AL590" s="25">
        <v>1</v>
      </c>
      <c r="AM590" s="72">
        <v>13045</v>
      </c>
    </row>
    <row r="591" spans="1:41" s="5" customFormat="1" ht="30">
      <c r="A591" s="138">
        <v>2</v>
      </c>
      <c r="B591" s="212" t="s">
        <v>1469</v>
      </c>
      <c r="C591" s="43" t="s">
        <v>278</v>
      </c>
      <c r="D591" s="43"/>
      <c r="E591" s="44" t="s">
        <v>355</v>
      </c>
      <c r="F591" s="43" t="s">
        <v>1470</v>
      </c>
      <c r="G591" s="72">
        <f>H591</f>
        <v>5000</v>
      </c>
      <c r="H591" s="72">
        <v>5000</v>
      </c>
      <c r="I591" s="72">
        <f>J591</f>
        <v>100</v>
      </c>
      <c r="J591" s="72">
        <v>100</v>
      </c>
      <c r="K591" s="72">
        <v>0</v>
      </c>
      <c r="L591" s="72">
        <v>0</v>
      </c>
      <c r="M591" s="72">
        <v>0</v>
      </c>
      <c r="N591" s="72">
        <v>0</v>
      </c>
      <c r="O591" s="72">
        <f>P591</f>
        <v>100</v>
      </c>
      <c r="P591" s="72">
        <v>100</v>
      </c>
      <c r="Q591" s="72">
        <f>R591</f>
        <v>5000</v>
      </c>
      <c r="R591" s="72">
        <v>5000</v>
      </c>
      <c r="S591" s="72"/>
      <c r="T591" s="72">
        <f>U591</f>
        <v>2000</v>
      </c>
      <c r="U591" s="72">
        <v>2000</v>
      </c>
      <c r="V591" s="72"/>
      <c r="W591" s="269"/>
      <c r="X591" s="356">
        <f>Y591</f>
        <v>2000</v>
      </c>
      <c r="Y591" s="356">
        <v>2000</v>
      </c>
      <c r="Z591" s="356"/>
      <c r="AL591" s="25">
        <v>1</v>
      </c>
      <c r="AM591" s="72">
        <v>2000</v>
      </c>
    </row>
    <row r="592" spans="1:41" s="208" customFormat="1" ht="24.75" customHeight="1">
      <c r="A592" s="147" t="s">
        <v>1471</v>
      </c>
      <c r="B592" s="209" t="s">
        <v>1472</v>
      </c>
      <c r="C592" s="126"/>
      <c r="D592" s="126"/>
      <c r="E592" s="127"/>
      <c r="F592" s="126"/>
      <c r="G592" s="63"/>
      <c r="H592" s="63"/>
      <c r="I592" s="63">
        <f>+J592</f>
        <v>3500</v>
      </c>
      <c r="J592" s="63">
        <v>3500</v>
      </c>
      <c r="K592" s="63"/>
      <c r="L592" s="63"/>
      <c r="M592" s="63">
        <v>884</v>
      </c>
      <c r="N592" s="63">
        <v>884</v>
      </c>
      <c r="O592" s="63"/>
      <c r="P592" s="63"/>
      <c r="Q592" s="63">
        <f>+R592</f>
        <v>15000</v>
      </c>
      <c r="R592" s="63">
        <v>15000</v>
      </c>
      <c r="S592" s="63"/>
      <c r="T592" s="63">
        <f>+U592</f>
        <v>3000</v>
      </c>
      <c r="U592" s="63">
        <v>3000</v>
      </c>
      <c r="V592" s="63"/>
      <c r="W592" s="410"/>
      <c r="X592" s="347">
        <f>+Y592</f>
        <v>3000</v>
      </c>
      <c r="Y592" s="347">
        <v>3000</v>
      </c>
      <c r="Z592" s="347"/>
      <c r="AA592" s="5"/>
      <c r="AE592" s="63">
        <v>3000</v>
      </c>
      <c r="AM592" s="63"/>
    </row>
    <row r="593" spans="1:35" s="208" customFormat="1" ht="51">
      <c r="A593" s="147" t="s">
        <v>1473</v>
      </c>
      <c r="B593" s="209" t="s">
        <v>1474</v>
      </c>
      <c r="C593" s="126"/>
      <c r="D593" s="126"/>
      <c r="E593" s="127"/>
      <c r="F593" s="126"/>
      <c r="G593" s="63"/>
      <c r="H593" s="63"/>
      <c r="I593" s="63">
        <f>SUM(I594:I595)</f>
        <v>250000</v>
      </c>
      <c r="J593" s="63">
        <f>SUM(J594:J595)</f>
        <v>250000</v>
      </c>
      <c r="K593" s="63"/>
      <c r="L593" s="63"/>
      <c r="M593" s="63">
        <v>85969</v>
      </c>
      <c r="N593" s="63">
        <v>85969</v>
      </c>
      <c r="O593" s="63"/>
      <c r="P593" s="63"/>
      <c r="Q593" s="63">
        <v>1143000</v>
      </c>
      <c r="R593" s="63">
        <v>1143000</v>
      </c>
      <c r="S593" s="63"/>
      <c r="T593" s="63">
        <v>300000</v>
      </c>
      <c r="U593" s="63">
        <v>300000</v>
      </c>
      <c r="V593" s="63"/>
      <c r="W593" s="503" t="s">
        <v>1475</v>
      </c>
      <c r="X593" s="347">
        <v>300000</v>
      </c>
      <c r="Y593" s="347">
        <v>300000</v>
      </c>
      <c r="Z593" s="347"/>
      <c r="AA593" s="5"/>
      <c r="AE593" s="63">
        <f t="shared" ref="AE593" si="541">SUM(AE594:AE595)</f>
        <v>220000</v>
      </c>
    </row>
    <row r="594" spans="1:35" s="5" customFormat="1" ht="15.75">
      <c r="A594" s="138"/>
      <c r="B594" s="528" t="s">
        <v>1476</v>
      </c>
      <c r="C594" s="524"/>
      <c r="D594" s="403"/>
      <c r="E594" s="535"/>
      <c r="F594" s="43"/>
      <c r="G594" s="72"/>
      <c r="H594" s="72"/>
      <c r="I594" s="404">
        <v>158500</v>
      </c>
      <c r="J594" s="404">
        <v>158500</v>
      </c>
      <c r="K594" s="72"/>
      <c r="L594" s="72"/>
      <c r="M594" s="72"/>
      <c r="N594" s="72"/>
      <c r="O594" s="72"/>
      <c r="P594" s="72"/>
      <c r="Q594" s="404"/>
      <c r="R594" s="404"/>
      <c r="S594" s="72"/>
      <c r="T594" s="404">
        <v>180000</v>
      </c>
      <c r="U594" s="404">
        <v>180000</v>
      </c>
      <c r="V594" s="72"/>
      <c r="W594" s="269"/>
      <c r="X594" s="536">
        <v>180000</v>
      </c>
      <c r="Y594" s="536">
        <v>180000</v>
      </c>
      <c r="Z594" s="356"/>
      <c r="AE594" s="404">
        <v>132000</v>
      </c>
    </row>
    <row r="595" spans="1:35" s="5" customFormat="1" ht="15.75">
      <c r="A595" s="138"/>
      <c r="B595" s="528" t="s">
        <v>1477</v>
      </c>
      <c r="C595" s="524"/>
      <c r="D595" s="403"/>
      <c r="E595" s="535"/>
      <c r="F595" s="43"/>
      <c r="G595" s="72"/>
      <c r="H595" s="72"/>
      <c r="I595" s="404">
        <v>91500</v>
      </c>
      <c r="J595" s="404">
        <v>91500</v>
      </c>
      <c r="K595" s="72"/>
      <c r="L595" s="72"/>
      <c r="M595" s="72"/>
      <c r="N595" s="72"/>
      <c r="O595" s="72"/>
      <c r="P595" s="72"/>
      <c r="Q595" s="404"/>
      <c r="R595" s="404"/>
      <c r="S595" s="72"/>
      <c r="T595" s="404">
        <v>120000</v>
      </c>
      <c r="U595" s="404">
        <v>120000</v>
      </c>
      <c r="V595" s="72"/>
      <c r="W595" s="269"/>
      <c r="X595" s="536">
        <v>120000</v>
      </c>
      <c r="Y595" s="536">
        <v>120000</v>
      </c>
      <c r="Z595" s="356"/>
      <c r="AE595" s="404">
        <v>88000</v>
      </c>
    </row>
    <row r="596" spans="1:35" s="208" customFormat="1" ht="63.75">
      <c r="A596" s="147" t="s">
        <v>1473</v>
      </c>
      <c r="B596" s="209" t="s">
        <v>1478</v>
      </c>
      <c r="C596" s="126"/>
      <c r="D596" s="126"/>
      <c r="E596" s="127"/>
      <c r="F596" s="126"/>
      <c r="G596" s="63"/>
      <c r="H596" s="63"/>
      <c r="I596" s="63">
        <v>234920</v>
      </c>
      <c r="J596" s="63">
        <v>234920</v>
      </c>
      <c r="K596" s="63"/>
      <c r="L596" s="63"/>
      <c r="M596" s="63">
        <v>45872</v>
      </c>
      <c r="N596" s="63">
        <v>45872</v>
      </c>
      <c r="O596" s="63"/>
      <c r="P596" s="63"/>
      <c r="Q596" s="63">
        <f>+I596*6.1051</f>
        <v>1434210.0919999999</v>
      </c>
      <c r="R596" s="63">
        <f>+J596*6.1051</f>
        <v>1434210.0919999999</v>
      </c>
      <c r="S596" s="63"/>
      <c r="T596" s="63">
        <f>+I596*1.1</f>
        <v>258412.00000000003</v>
      </c>
      <c r="U596" s="63">
        <f>+J596*1.1</f>
        <v>258412.00000000003</v>
      </c>
      <c r="V596" s="63"/>
      <c r="W596" s="503" t="s">
        <v>1479</v>
      </c>
      <c r="X596" s="347">
        <v>258412.00000000003</v>
      </c>
      <c r="Y596" s="347">
        <v>258412.00000000003</v>
      </c>
      <c r="Z596" s="347"/>
      <c r="AA596" s="5"/>
      <c r="AI596" s="63">
        <v>258412</v>
      </c>
    </row>
    <row r="597" spans="1:35" s="16" customFormat="1" ht="15.75">
      <c r="A597" s="46"/>
      <c r="B597" s="47"/>
      <c r="C597" s="48"/>
      <c r="D597" s="48"/>
      <c r="E597" s="48"/>
      <c r="F597" s="48"/>
      <c r="G597" s="49"/>
      <c r="H597" s="49"/>
      <c r="I597" s="49"/>
      <c r="J597" s="49"/>
      <c r="K597" s="49"/>
      <c r="L597" s="49"/>
      <c r="M597" s="49"/>
      <c r="N597" s="49"/>
      <c r="O597" s="49"/>
      <c r="P597" s="49"/>
      <c r="Q597" s="49"/>
      <c r="R597" s="49"/>
      <c r="S597" s="49"/>
      <c r="T597" s="49"/>
      <c r="U597" s="49"/>
      <c r="V597" s="49"/>
      <c r="W597" s="50"/>
      <c r="X597" s="537"/>
      <c r="Y597" s="537"/>
      <c r="Z597" s="537"/>
    </row>
    <row r="598" spans="1:35" s="51" customFormat="1">
      <c r="A598" s="538"/>
      <c r="B598" s="539"/>
      <c r="C598" s="540"/>
      <c r="D598" s="540"/>
      <c r="E598" s="540"/>
      <c r="F598" s="540"/>
      <c r="G598" s="541"/>
      <c r="H598" s="541"/>
      <c r="I598" s="541"/>
      <c r="J598" s="541"/>
      <c r="K598" s="541"/>
      <c r="L598" s="541"/>
      <c r="M598" s="541"/>
      <c r="N598" s="541"/>
      <c r="O598" s="541"/>
      <c r="P598" s="541"/>
      <c r="Q598" s="541"/>
      <c r="R598" s="541"/>
      <c r="S598" s="541"/>
      <c r="T598" s="541"/>
      <c r="U598" s="541"/>
      <c r="V598" s="541"/>
      <c r="W598" s="542"/>
      <c r="X598" s="543"/>
      <c r="Y598" s="543"/>
      <c r="Z598" s="543"/>
    </row>
    <row r="599" spans="1:35" ht="27" customHeight="1">
      <c r="B599" s="1272" t="s">
        <v>1480</v>
      </c>
      <c r="C599" s="1272"/>
      <c r="D599" s="1272"/>
      <c r="E599" s="1272"/>
      <c r="F599" s="1272"/>
      <c r="G599" s="1272"/>
      <c r="H599" s="1272"/>
      <c r="I599" s="1272"/>
      <c r="J599" s="1272"/>
      <c r="K599" s="1272"/>
      <c r="L599" s="1272"/>
      <c r="M599" s="1272"/>
      <c r="N599" s="1272"/>
      <c r="O599" s="1272"/>
      <c r="P599" s="1272"/>
      <c r="Q599" s="53"/>
      <c r="R599" s="53"/>
      <c r="S599" s="53"/>
      <c r="T599" s="53"/>
      <c r="U599" s="53"/>
      <c r="V599" s="53"/>
      <c r="X599" s="544"/>
      <c r="Y599" s="544"/>
      <c r="Z599" s="544"/>
    </row>
    <row r="600" spans="1:35" ht="29.25" customHeight="1">
      <c r="B600" s="545" t="s">
        <v>1481</v>
      </c>
      <c r="G600" s="53"/>
      <c r="H600" s="53"/>
      <c r="I600" s="53"/>
      <c r="J600" s="53"/>
      <c r="K600" s="53"/>
      <c r="L600" s="53"/>
      <c r="M600" s="53"/>
      <c r="N600" s="53"/>
      <c r="O600" s="53"/>
      <c r="P600" s="53"/>
      <c r="Q600" s="53"/>
      <c r="R600" s="53"/>
      <c r="S600" s="53"/>
      <c r="T600" s="53"/>
      <c r="U600" s="53"/>
      <c r="V600" s="53"/>
      <c r="X600" s="544"/>
      <c r="Y600" s="544"/>
      <c r="Z600" s="544"/>
    </row>
    <row r="601" spans="1:35">
      <c r="A601" s="2"/>
      <c r="C601" s="546"/>
      <c r="E601" s="546"/>
      <c r="F601" s="546"/>
      <c r="G601" s="2"/>
      <c r="H601" s="2"/>
      <c r="I601" s="2"/>
      <c r="J601" s="2"/>
      <c r="K601" s="2"/>
      <c r="L601" s="2"/>
      <c r="M601" s="2"/>
      <c r="N601" s="2"/>
      <c r="O601" s="2"/>
      <c r="P601" s="2"/>
      <c r="Q601" s="2"/>
      <c r="R601" s="2"/>
      <c r="S601" s="2"/>
      <c r="T601" s="2"/>
      <c r="U601" s="2"/>
      <c r="V601" s="2"/>
      <c r="X601" s="547"/>
      <c r="Y601" s="547"/>
      <c r="Z601" s="547"/>
    </row>
    <row r="602" spans="1:35">
      <c r="A602" s="2"/>
      <c r="C602" s="546"/>
      <c r="E602" s="546"/>
      <c r="F602" s="546"/>
      <c r="G602" s="2"/>
      <c r="H602" s="2"/>
      <c r="I602" s="2"/>
      <c r="J602" s="2"/>
      <c r="K602" s="2"/>
      <c r="L602" s="2"/>
      <c r="M602" s="2"/>
      <c r="N602" s="2"/>
      <c r="O602" s="2"/>
      <c r="P602" s="2"/>
      <c r="Q602" s="2"/>
      <c r="R602" s="2"/>
      <c r="S602" s="2"/>
      <c r="T602" s="2"/>
      <c r="U602" s="2"/>
      <c r="V602" s="2"/>
      <c r="X602" s="547"/>
      <c r="Y602" s="547"/>
      <c r="Z602" s="547"/>
    </row>
    <row r="603" spans="1:35">
      <c r="A603" s="2"/>
      <c r="C603" s="546"/>
      <c r="E603" s="546"/>
      <c r="F603" s="546"/>
      <c r="G603" s="2"/>
      <c r="H603" s="2"/>
      <c r="I603" s="2"/>
      <c r="J603" s="2"/>
      <c r="K603" s="2"/>
      <c r="L603" s="2"/>
      <c r="M603" s="2"/>
      <c r="N603" s="2"/>
      <c r="O603" s="2"/>
      <c r="P603" s="2"/>
      <c r="Q603" s="2"/>
      <c r="R603" s="2"/>
      <c r="S603" s="2"/>
      <c r="T603" s="2"/>
      <c r="U603" s="2"/>
      <c r="V603" s="2"/>
      <c r="X603" s="547"/>
      <c r="Y603" s="547"/>
      <c r="Z603" s="547"/>
    </row>
    <row r="604" spans="1:35">
      <c r="A604" s="2"/>
      <c r="C604" s="546"/>
      <c r="E604" s="546"/>
      <c r="F604" s="546"/>
      <c r="G604" s="2"/>
      <c r="H604" s="2"/>
      <c r="I604" s="2"/>
      <c r="J604" s="2"/>
      <c r="K604" s="2"/>
      <c r="L604" s="2"/>
      <c r="M604" s="2"/>
      <c r="N604" s="2"/>
      <c r="O604" s="2"/>
      <c r="P604" s="2"/>
      <c r="Q604" s="2"/>
      <c r="R604" s="2"/>
      <c r="S604" s="2"/>
      <c r="T604" s="2"/>
      <c r="U604" s="2"/>
      <c r="V604" s="2"/>
      <c r="X604" s="547"/>
      <c r="Y604" s="547"/>
      <c r="Z604" s="547"/>
    </row>
    <row r="605" spans="1:35">
      <c r="A605" s="2"/>
      <c r="C605" s="546"/>
      <c r="E605" s="546"/>
      <c r="F605" s="546"/>
      <c r="G605" s="2"/>
      <c r="H605" s="2"/>
      <c r="I605" s="2"/>
      <c r="J605" s="2"/>
      <c r="K605" s="2"/>
      <c r="L605" s="2"/>
      <c r="M605" s="2"/>
      <c r="N605" s="2"/>
      <c r="O605" s="2"/>
      <c r="P605" s="2"/>
      <c r="Q605" s="2"/>
      <c r="R605" s="2"/>
      <c r="S605" s="2"/>
      <c r="T605" s="2"/>
      <c r="U605" s="2"/>
      <c r="V605" s="2"/>
      <c r="X605" s="547"/>
      <c r="Y605" s="547"/>
      <c r="Z605" s="547"/>
    </row>
    <row r="606" spans="1:35">
      <c r="A606" s="2"/>
      <c r="C606" s="546"/>
      <c r="E606" s="546"/>
      <c r="F606" s="546"/>
      <c r="G606" s="2"/>
      <c r="H606" s="2"/>
      <c r="I606" s="2"/>
      <c r="J606" s="2"/>
      <c r="K606" s="2"/>
      <c r="L606" s="2"/>
      <c r="M606" s="2"/>
      <c r="N606" s="2"/>
      <c r="O606" s="2"/>
      <c r="P606" s="2"/>
      <c r="Q606" s="2"/>
      <c r="R606" s="2"/>
      <c r="S606" s="2"/>
      <c r="T606" s="2"/>
      <c r="U606" s="2"/>
      <c r="V606" s="2"/>
      <c r="X606" s="547"/>
      <c r="Y606" s="547"/>
      <c r="Z606" s="547"/>
    </row>
    <row r="607" spans="1:35">
      <c r="A607" s="2"/>
      <c r="C607" s="546"/>
      <c r="E607" s="546"/>
      <c r="F607" s="546"/>
      <c r="G607" s="2"/>
      <c r="H607" s="2"/>
      <c r="I607" s="2"/>
      <c r="J607" s="2"/>
      <c r="K607" s="2"/>
      <c r="L607" s="2"/>
      <c r="M607" s="2"/>
      <c r="N607" s="2"/>
      <c r="O607" s="2"/>
      <c r="P607" s="2"/>
      <c r="Q607" s="2"/>
      <c r="R607" s="2"/>
      <c r="S607" s="2"/>
      <c r="T607" s="2"/>
      <c r="U607" s="2"/>
      <c r="V607" s="2"/>
      <c r="X607" s="547"/>
      <c r="Y607" s="547"/>
      <c r="Z607" s="547"/>
    </row>
    <row r="608" spans="1:35">
      <c r="A608" s="2"/>
      <c r="C608" s="546"/>
      <c r="E608" s="546"/>
      <c r="F608" s="546"/>
      <c r="G608" s="2"/>
      <c r="H608" s="2"/>
      <c r="I608" s="2"/>
      <c r="J608" s="2"/>
      <c r="K608" s="2"/>
      <c r="L608" s="2"/>
      <c r="M608" s="2"/>
      <c r="N608" s="2"/>
      <c r="O608" s="2"/>
      <c r="P608" s="2"/>
      <c r="Q608" s="2"/>
      <c r="R608" s="2"/>
      <c r="S608" s="2"/>
      <c r="T608" s="2"/>
      <c r="U608" s="2"/>
      <c r="V608" s="2"/>
      <c r="X608" s="547"/>
      <c r="Y608" s="547"/>
      <c r="Z608" s="547"/>
    </row>
    <row r="609" spans="1:26">
      <c r="A609" s="2"/>
      <c r="C609" s="546"/>
      <c r="E609" s="546"/>
      <c r="F609" s="546"/>
      <c r="G609" s="2"/>
      <c r="H609" s="2"/>
      <c r="I609" s="2"/>
      <c r="J609" s="2"/>
      <c r="K609" s="2"/>
      <c r="L609" s="2"/>
      <c r="M609" s="2"/>
      <c r="N609" s="2"/>
      <c r="O609" s="2"/>
      <c r="P609" s="2"/>
      <c r="Q609" s="2"/>
      <c r="R609" s="2"/>
      <c r="S609" s="2"/>
      <c r="T609" s="2"/>
      <c r="U609" s="2"/>
      <c r="V609" s="2"/>
      <c r="X609" s="547"/>
      <c r="Y609" s="547"/>
      <c r="Z609" s="547"/>
    </row>
    <row r="610" spans="1:26">
      <c r="A610" s="2"/>
      <c r="C610" s="546"/>
      <c r="E610" s="546"/>
      <c r="F610" s="546"/>
      <c r="G610" s="2"/>
      <c r="H610" s="2"/>
      <c r="I610" s="2"/>
      <c r="J610" s="2"/>
      <c r="K610" s="2"/>
      <c r="L610" s="2"/>
      <c r="M610" s="2"/>
      <c r="N610" s="2"/>
      <c r="O610" s="2"/>
      <c r="P610" s="2"/>
      <c r="Q610" s="2"/>
      <c r="R610" s="2"/>
      <c r="S610" s="2"/>
      <c r="T610" s="2"/>
      <c r="U610" s="2"/>
      <c r="V610" s="2"/>
      <c r="X610" s="547"/>
      <c r="Y610" s="547"/>
      <c r="Z610" s="547"/>
    </row>
    <row r="611" spans="1:26">
      <c r="A611" s="2"/>
      <c r="C611" s="546"/>
      <c r="E611" s="546"/>
      <c r="F611" s="546"/>
      <c r="G611" s="2"/>
      <c r="H611" s="2"/>
      <c r="I611" s="2"/>
      <c r="J611" s="2"/>
      <c r="K611" s="2"/>
      <c r="L611" s="2"/>
      <c r="M611" s="2"/>
      <c r="N611" s="2"/>
      <c r="O611" s="2"/>
      <c r="P611" s="2"/>
      <c r="Q611" s="2"/>
      <c r="R611" s="2"/>
      <c r="S611" s="2"/>
      <c r="T611" s="2"/>
      <c r="U611" s="2"/>
      <c r="V611" s="2"/>
      <c r="X611" s="547"/>
      <c r="Y611" s="547"/>
      <c r="Z611" s="547"/>
    </row>
    <row r="612" spans="1:26">
      <c r="A612" s="2"/>
      <c r="C612" s="546"/>
      <c r="E612" s="546"/>
      <c r="F612" s="546"/>
      <c r="G612" s="2"/>
      <c r="H612" s="2"/>
      <c r="I612" s="2"/>
      <c r="J612" s="2"/>
      <c r="K612" s="2"/>
      <c r="L612" s="2"/>
      <c r="M612" s="2"/>
      <c r="N612" s="2"/>
      <c r="O612" s="2"/>
      <c r="P612" s="2"/>
      <c r="Q612" s="2"/>
      <c r="R612" s="2"/>
      <c r="S612" s="2"/>
      <c r="T612" s="2"/>
      <c r="U612" s="2"/>
      <c r="V612" s="2"/>
      <c r="X612" s="547"/>
      <c r="Y612" s="547"/>
      <c r="Z612" s="547"/>
    </row>
    <row r="613" spans="1:26">
      <c r="A613" s="2"/>
      <c r="C613" s="546"/>
      <c r="E613" s="546"/>
      <c r="F613" s="546"/>
      <c r="G613" s="2"/>
      <c r="H613" s="2"/>
      <c r="I613" s="2"/>
      <c r="J613" s="2"/>
      <c r="K613" s="2"/>
      <c r="L613" s="2"/>
      <c r="M613" s="2"/>
      <c r="N613" s="2"/>
      <c r="O613" s="2"/>
      <c r="P613" s="2"/>
      <c r="Q613" s="2"/>
      <c r="R613" s="2"/>
      <c r="S613" s="2"/>
      <c r="T613" s="2"/>
      <c r="U613" s="2"/>
      <c r="V613" s="2"/>
      <c r="X613" s="547"/>
      <c r="Y613" s="547"/>
      <c r="Z613" s="547"/>
    </row>
    <row r="614" spans="1:26">
      <c r="A614" s="2"/>
      <c r="C614" s="546"/>
      <c r="E614" s="546"/>
      <c r="F614" s="546"/>
      <c r="G614" s="2"/>
      <c r="H614" s="2"/>
      <c r="I614" s="2"/>
      <c r="J614" s="2"/>
      <c r="K614" s="2"/>
      <c r="L614" s="2"/>
      <c r="M614" s="2"/>
      <c r="N614" s="2"/>
      <c r="O614" s="2"/>
      <c r="P614" s="2"/>
      <c r="Q614" s="2"/>
      <c r="R614" s="2"/>
      <c r="S614" s="2"/>
      <c r="T614" s="2"/>
      <c r="U614" s="2"/>
      <c r="V614" s="2"/>
      <c r="X614" s="547"/>
      <c r="Y614" s="547"/>
      <c r="Z614" s="547"/>
    </row>
    <row r="615" spans="1:26">
      <c r="A615" s="2"/>
      <c r="C615" s="546"/>
      <c r="E615" s="546"/>
      <c r="F615" s="546"/>
      <c r="G615" s="2"/>
      <c r="H615" s="2"/>
      <c r="I615" s="2"/>
      <c r="J615" s="2"/>
      <c r="K615" s="2"/>
      <c r="L615" s="2"/>
      <c r="M615" s="2"/>
      <c r="N615" s="2"/>
      <c r="O615" s="2"/>
      <c r="P615" s="2"/>
      <c r="Q615" s="2"/>
      <c r="R615" s="2"/>
      <c r="S615" s="2"/>
      <c r="T615" s="2"/>
      <c r="U615" s="2"/>
      <c r="V615" s="2"/>
      <c r="X615" s="547"/>
      <c r="Y615" s="547"/>
      <c r="Z615" s="547"/>
    </row>
    <row r="616" spans="1:26">
      <c r="A616" s="2"/>
      <c r="C616" s="546"/>
      <c r="E616" s="546"/>
      <c r="F616" s="546"/>
      <c r="G616" s="2"/>
      <c r="H616" s="2"/>
      <c r="I616" s="2"/>
      <c r="J616" s="2"/>
      <c r="K616" s="2"/>
      <c r="L616" s="2"/>
      <c r="M616" s="2"/>
      <c r="N616" s="2"/>
      <c r="O616" s="2"/>
      <c r="P616" s="2"/>
      <c r="Q616" s="2"/>
      <c r="R616" s="2"/>
      <c r="S616" s="2"/>
      <c r="T616" s="2"/>
      <c r="U616" s="2"/>
      <c r="V616" s="2"/>
      <c r="X616" s="547"/>
      <c r="Y616" s="547"/>
      <c r="Z616" s="547"/>
    </row>
    <row r="617" spans="1:26">
      <c r="A617" s="2"/>
      <c r="C617" s="546"/>
      <c r="E617" s="546"/>
      <c r="F617" s="546"/>
      <c r="G617" s="2"/>
      <c r="H617" s="2"/>
      <c r="I617" s="2"/>
      <c r="J617" s="2"/>
      <c r="K617" s="2"/>
      <c r="L617" s="2"/>
      <c r="M617" s="2"/>
      <c r="N617" s="2"/>
      <c r="O617" s="2"/>
      <c r="P617" s="2"/>
      <c r="Q617" s="2"/>
      <c r="R617" s="2"/>
      <c r="S617" s="2"/>
      <c r="T617" s="2"/>
      <c r="U617" s="2"/>
      <c r="V617" s="2"/>
      <c r="X617" s="547"/>
      <c r="Y617" s="547"/>
      <c r="Z617" s="547"/>
    </row>
    <row r="618" spans="1:26">
      <c r="A618" s="2"/>
      <c r="C618" s="546"/>
      <c r="E618" s="546"/>
      <c r="F618" s="546"/>
      <c r="G618" s="2"/>
      <c r="H618" s="2"/>
      <c r="I618" s="2"/>
      <c r="J618" s="2"/>
      <c r="K618" s="2"/>
      <c r="L618" s="2"/>
      <c r="M618" s="2"/>
      <c r="N618" s="2"/>
      <c r="O618" s="2"/>
      <c r="P618" s="2"/>
      <c r="Q618" s="2"/>
      <c r="R618" s="2"/>
      <c r="S618" s="2"/>
      <c r="T618" s="2"/>
      <c r="U618" s="2"/>
      <c r="V618" s="2"/>
      <c r="X618" s="547"/>
      <c r="Y618" s="547"/>
      <c r="Z618" s="547"/>
    </row>
    <row r="619" spans="1:26">
      <c r="A619" s="2"/>
      <c r="C619" s="546"/>
      <c r="E619" s="546"/>
      <c r="F619" s="546"/>
      <c r="G619" s="2"/>
      <c r="H619" s="2"/>
      <c r="I619" s="2"/>
      <c r="J619" s="2"/>
      <c r="K619" s="2"/>
      <c r="L619" s="2"/>
      <c r="M619" s="2"/>
      <c r="N619" s="2"/>
      <c r="O619" s="2"/>
      <c r="P619" s="2"/>
      <c r="Q619" s="2"/>
      <c r="R619" s="2"/>
      <c r="S619" s="2"/>
      <c r="T619" s="2"/>
      <c r="U619" s="2"/>
      <c r="V619" s="2"/>
      <c r="X619" s="547"/>
      <c r="Y619" s="547"/>
      <c r="Z619" s="547"/>
    </row>
    <row r="620" spans="1:26">
      <c r="A620" s="2"/>
      <c r="C620" s="546"/>
      <c r="E620" s="546"/>
      <c r="F620" s="546"/>
      <c r="G620" s="2"/>
      <c r="H620" s="2"/>
      <c r="I620" s="2"/>
      <c r="J620" s="2"/>
      <c r="K620" s="2"/>
      <c r="L620" s="2"/>
      <c r="M620" s="2"/>
      <c r="N620" s="2"/>
      <c r="O620" s="2"/>
      <c r="P620" s="2"/>
      <c r="Q620" s="2"/>
      <c r="R620" s="2"/>
      <c r="S620" s="2"/>
      <c r="T620" s="2"/>
      <c r="U620" s="2"/>
      <c r="V620" s="2"/>
      <c r="X620" s="547"/>
      <c r="Y620" s="547"/>
      <c r="Z620" s="547"/>
    </row>
    <row r="621" spans="1:26">
      <c r="A621" s="2"/>
      <c r="C621" s="546"/>
      <c r="E621" s="546"/>
      <c r="F621" s="546"/>
      <c r="G621" s="2"/>
      <c r="H621" s="2"/>
      <c r="I621" s="2"/>
      <c r="J621" s="2"/>
      <c r="K621" s="2"/>
      <c r="L621" s="2"/>
      <c r="M621" s="2"/>
      <c r="N621" s="2"/>
      <c r="O621" s="2"/>
      <c r="P621" s="2"/>
      <c r="Q621" s="2"/>
      <c r="R621" s="2"/>
      <c r="S621" s="2"/>
      <c r="T621" s="2"/>
      <c r="U621" s="2"/>
      <c r="V621" s="2"/>
      <c r="X621" s="547"/>
      <c r="Y621" s="547"/>
      <c r="Z621" s="547"/>
    </row>
    <row r="622" spans="1:26">
      <c r="A622" s="2"/>
      <c r="C622" s="546"/>
      <c r="E622" s="546"/>
      <c r="F622" s="546"/>
      <c r="G622" s="2"/>
      <c r="H622" s="2"/>
      <c r="I622" s="2"/>
      <c r="J622" s="2"/>
      <c r="K622" s="2"/>
      <c r="L622" s="2"/>
      <c r="M622" s="2"/>
      <c r="N622" s="2"/>
      <c r="O622" s="2"/>
      <c r="P622" s="2"/>
      <c r="Q622" s="2"/>
      <c r="R622" s="2"/>
      <c r="S622" s="2"/>
      <c r="T622" s="2"/>
      <c r="U622" s="2"/>
      <c r="V622" s="2"/>
      <c r="X622" s="547"/>
      <c r="Y622" s="547"/>
      <c r="Z622" s="547"/>
    </row>
    <row r="623" spans="1:26">
      <c r="A623" s="2"/>
      <c r="C623" s="546"/>
      <c r="E623" s="546"/>
      <c r="F623" s="546"/>
      <c r="G623" s="2"/>
      <c r="H623" s="2"/>
      <c r="I623" s="2"/>
      <c r="J623" s="2"/>
      <c r="K623" s="2"/>
      <c r="L623" s="2"/>
      <c r="M623" s="2"/>
      <c r="N623" s="2"/>
      <c r="O623" s="2"/>
      <c r="P623" s="2"/>
      <c r="Q623" s="2"/>
      <c r="R623" s="2"/>
      <c r="S623" s="2"/>
      <c r="T623" s="2"/>
      <c r="U623" s="2"/>
      <c r="V623" s="2"/>
      <c r="X623" s="547"/>
      <c r="Y623" s="547"/>
      <c r="Z623" s="547"/>
    </row>
    <row r="624" spans="1:26">
      <c r="A624" s="2"/>
      <c r="C624" s="546"/>
      <c r="E624" s="546"/>
      <c r="F624" s="546"/>
      <c r="G624" s="2"/>
      <c r="H624" s="2"/>
      <c r="I624" s="2"/>
      <c r="J624" s="2"/>
      <c r="K624" s="2"/>
      <c r="L624" s="2"/>
      <c r="M624" s="2"/>
      <c r="N624" s="2"/>
      <c r="O624" s="2"/>
      <c r="P624" s="2"/>
      <c r="Q624" s="2"/>
      <c r="R624" s="2"/>
      <c r="S624" s="2"/>
      <c r="T624" s="2"/>
      <c r="U624" s="2"/>
      <c r="V624" s="2"/>
      <c r="X624" s="547"/>
      <c r="Y624" s="547"/>
      <c r="Z624" s="547"/>
    </row>
    <row r="625" spans="1:26">
      <c r="A625" s="2"/>
      <c r="C625" s="546"/>
      <c r="E625" s="546"/>
      <c r="F625" s="546"/>
      <c r="G625" s="2"/>
      <c r="H625" s="2"/>
      <c r="I625" s="2"/>
      <c r="J625" s="2"/>
      <c r="K625" s="2"/>
      <c r="L625" s="2"/>
      <c r="M625" s="2"/>
      <c r="N625" s="2"/>
      <c r="O625" s="2"/>
      <c r="P625" s="2"/>
      <c r="Q625" s="2"/>
      <c r="R625" s="2"/>
      <c r="S625" s="2"/>
      <c r="T625" s="2"/>
      <c r="U625" s="2"/>
      <c r="V625" s="2"/>
      <c r="X625" s="547"/>
      <c r="Y625" s="547"/>
      <c r="Z625" s="547"/>
    </row>
    <row r="626" spans="1:26">
      <c r="A626" s="2"/>
      <c r="C626" s="546"/>
      <c r="E626" s="546"/>
      <c r="F626" s="546"/>
      <c r="G626" s="2"/>
      <c r="H626" s="2"/>
      <c r="I626" s="2"/>
      <c r="J626" s="2"/>
      <c r="K626" s="2"/>
      <c r="L626" s="2"/>
      <c r="M626" s="2"/>
      <c r="N626" s="2"/>
      <c r="O626" s="2"/>
      <c r="P626" s="2"/>
      <c r="Q626" s="2"/>
      <c r="R626" s="2"/>
      <c r="S626" s="2"/>
      <c r="T626" s="2"/>
      <c r="U626" s="2"/>
      <c r="V626" s="2"/>
      <c r="X626" s="547"/>
      <c r="Y626" s="547"/>
      <c r="Z626" s="547"/>
    </row>
    <row r="627" spans="1:26">
      <c r="A627" s="2"/>
      <c r="C627" s="546"/>
      <c r="E627" s="546"/>
      <c r="F627" s="546"/>
      <c r="G627" s="2"/>
      <c r="H627" s="2"/>
      <c r="I627" s="2"/>
      <c r="J627" s="2"/>
      <c r="K627" s="2"/>
      <c r="L627" s="2"/>
      <c r="M627" s="2"/>
      <c r="N627" s="2"/>
      <c r="O627" s="2"/>
      <c r="P627" s="2"/>
      <c r="Q627" s="2"/>
      <c r="R627" s="2"/>
      <c r="S627" s="2"/>
      <c r="T627" s="2"/>
      <c r="U627" s="2"/>
      <c r="V627" s="2"/>
      <c r="X627" s="547"/>
      <c r="Y627" s="547"/>
      <c r="Z627" s="547"/>
    </row>
    <row r="628" spans="1:26">
      <c r="A628" s="2"/>
      <c r="C628" s="546"/>
      <c r="E628" s="546"/>
      <c r="F628" s="546"/>
      <c r="G628" s="2"/>
      <c r="H628" s="2"/>
      <c r="I628" s="2"/>
      <c r="J628" s="2"/>
      <c r="K628" s="2"/>
      <c r="L628" s="2"/>
      <c r="M628" s="2"/>
      <c r="N628" s="2"/>
      <c r="O628" s="2"/>
      <c r="P628" s="2"/>
      <c r="Q628" s="2"/>
      <c r="R628" s="2"/>
      <c r="S628" s="2"/>
      <c r="T628" s="2"/>
      <c r="U628" s="2"/>
      <c r="V628" s="2"/>
      <c r="X628" s="547"/>
      <c r="Y628" s="547"/>
      <c r="Z628" s="547"/>
    </row>
    <row r="629" spans="1:26">
      <c r="A629" s="2"/>
      <c r="C629" s="546"/>
      <c r="E629" s="546"/>
      <c r="F629" s="546"/>
      <c r="G629" s="2"/>
      <c r="H629" s="2"/>
      <c r="I629" s="2"/>
      <c r="J629" s="2"/>
      <c r="K629" s="2"/>
      <c r="L629" s="2"/>
      <c r="M629" s="2"/>
      <c r="N629" s="2"/>
      <c r="O629" s="2"/>
      <c r="P629" s="2"/>
      <c r="Q629" s="2"/>
      <c r="R629" s="2"/>
      <c r="S629" s="2"/>
      <c r="T629" s="2"/>
      <c r="U629" s="2"/>
      <c r="V629" s="2"/>
      <c r="X629" s="547"/>
      <c r="Y629" s="547"/>
      <c r="Z629" s="547"/>
    </row>
    <row r="630" spans="1:26">
      <c r="A630" s="2"/>
      <c r="C630" s="546"/>
      <c r="E630" s="546"/>
      <c r="F630" s="546"/>
      <c r="G630" s="2"/>
      <c r="H630" s="2"/>
      <c r="I630" s="2"/>
      <c r="J630" s="2"/>
      <c r="K630" s="2"/>
      <c r="L630" s="2"/>
      <c r="M630" s="2"/>
      <c r="N630" s="2"/>
      <c r="O630" s="2"/>
      <c r="P630" s="2"/>
      <c r="Q630" s="2"/>
      <c r="R630" s="2"/>
      <c r="S630" s="2"/>
      <c r="T630" s="2"/>
      <c r="U630" s="2"/>
      <c r="V630" s="2"/>
      <c r="X630" s="547"/>
      <c r="Y630" s="547"/>
      <c r="Z630" s="547"/>
    </row>
    <row r="631" spans="1:26">
      <c r="A631" s="2"/>
      <c r="C631" s="546"/>
      <c r="E631" s="546"/>
      <c r="F631" s="546"/>
      <c r="G631" s="2"/>
      <c r="H631" s="2"/>
      <c r="I631" s="2"/>
      <c r="J631" s="2"/>
      <c r="K631" s="2"/>
      <c r="L631" s="2"/>
      <c r="M631" s="2"/>
      <c r="N631" s="2"/>
      <c r="O631" s="2"/>
      <c r="P631" s="2"/>
      <c r="Q631" s="2"/>
      <c r="R631" s="2"/>
      <c r="S631" s="2"/>
      <c r="T631" s="2"/>
      <c r="U631" s="2"/>
      <c r="V631" s="2"/>
      <c r="X631" s="547"/>
      <c r="Y631" s="547"/>
      <c r="Z631" s="547"/>
    </row>
    <row r="632" spans="1:26">
      <c r="A632" s="2"/>
      <c r="C632" s="546"/>
      <c r="E632" s="546"/>
      <c r="F632" s="546"/>
      <c r="G632" s="2"/>
      <c r="H632" s="2"/>
      <c r="I632" s="2"/>
      <c r="J632" s="2"/>
      <c r="K632" s="2"/>
      <c r="L632" s="2"/>
      <c r="M632" s="2"/>
      <c r="N632" s="2"/>
      <c r="O632" s="2"/>
      <c r="P632" s="2"/>
      <c r="Q632" s="2"/>
      <c r="R632" s="2"/>
      <c r="S632" s="2"/>
      <c r="T632" s="2"/>
      <c r="U632" s="2"/>
      <c r="V632" s="2"/>
      <c r="X632" s="547"/>
      <c r="Y632" s="547"/>
      <c r="Z632" s="547"/>
    </row>
    <row r="633" spans="1:26">
      <c r="A633" s="2"/>
      <c r="C633" s="546"/>
      <c r="E633" s="546"/>
      <c r="F633" s="546"/>
      <c r="G633" s="2"/>
      <c r="H633" s="2"/>
      <c r="I633" s="2"/>
      <c r="J633" s="2"/>
      <c r="K633" s="2"/>
      <c r="L633" s="2"/>
      <c r="M633" s="2"/>
      <c r="N633" s="2"/>
      <c r="O633" s="2"/>
      <c r="P633" s="2"/>
      <c r="Q633" s="2"/>
      <c r="R633" s="2"/>
      <c r="S633" s="2"/>
      <c r="T633" s="2"/>
      <c r="U633" s="2"/>
      <c r="V633" s="2"/>
      <c r="X633" s="547"/>
      <c r="Y633" s="547"/>
      <c r="Z633" s="547"/>
    </row>
    <row r="634" spans="1:26">
      <c r="A634" s="2"/>
      <c r="C634" s="546"/>
      <c r="E634" s="546"/>
      <c r="F634" s="546"/>
      <c r="G634" s="2"/>
      <c r="H634" s="2"/>
      <c r="I634" s="2"/>
      <c r="J634" s="2"/>
      <c r="K634" s="2"/>
      <c r="L634" s="2"/>
      <c r="M634" s="2"/>
      <c r="N634" s="2"/>
      <c r="O634" s="2"/>
      <c r="P634" s="2"/>
      <c r="Q634" s="2"/>
      <c r="R634" s="2"/>
      <c r="S634" s="2"/>
      <c r="T634" s="2"/>
      <c r="U634" s="2"/>
      <c r="V634" s="2"/>
      <c r="X634" s="547"/>
      <c r="Y634" s="547"/>
      <c r="Z634" s="547"/>
    </row>
    <row r="635" spans="1:26">
      <c r="A635" s="2"/>
      <c r="C635" s="546"/>
      <c r="E635" s="546"/>
      <c r="F635" s="546"/>
      <c r="G635" s="2"/>
      <c r="H635" s="2"/>
      <c r="I635" s="2"/>
      <c r="J635" s="2"/>
      <c r="K635" s="2"/>
      <c r="L635" s="2"/>
      <c r="M635" s="2"/>
      <c r="N635" s="2"/>
      <c r="O635" s="2"/>
      <c r="P635" s="2"/>
      <c r="Q635" s="2"/>
      <c r="R635" s="2"/>
      <c r="S635" s="2"/>
      <c r="T635" s="2"/>
      <c r="U635" s="2"/>
      <c r="V635" s="2"/>
      <c r="X635" s="547"/>
      <c r="Y635" s="547"/>
      <c r="Z635" s="547"/>
    </row>
    <row r="636" spans="1:26">
      <c r="A636" s="2"/>
      <c r="C636" s="546"/>
      <c r="E636" s="546"/>
      <c r="F636" s="546"/>
      <c r="G636" s="2"/>
      <c r="H636" s="2"/>
      <c r="I636" s="2"/>
      <c r="J636" s="2"/>
      <c r="K636" s="2"/>
      <c r="L636" s="2"/>
      <c r="M636" s="2"/>
      <c r="N636" s="2"/>
      <c r="O636" s="2"/>
      <c r="P636" s="2"/>
      <c r="Q636" s="2"/>
      <c r="R636" s="2"/>
      <c r="S636" s="2"/>
      <c r="T636" s="2"/>
      <c r="U636" s="2"/>
      <c r="V636" s="2"/>
      <c r="X636" s="547"/>
      <c r="Y636" s="547"/>
      <c r="Z636" s="547"/>
    </row>
    <row r="637" spans="1:26">
      <c r="A637" s="2"/>
      <c r="C637" s="546"/>
      <c r="E637" s="546"/>
      <c r="F637" s="546"/>
      <c r="G637" s="2"/>
      <c r="H637" s="2"/>
      <c r="I637" s="2"/>
      <c r="J637" s="2"/>
      <c r="K637" s="2"/>
      <c r="L637" s="2"/>
      <c r="M637" s="2"/>
      <c r="N637" s="2"/>
      <c r="O637" s="2"/>
      <c r="P637" s="2"/>
      <c r="Q637" s="2"/>
      <c r="R637" s="2"/>
      <c r="S637" s="2"/>
      <c r="T637" s="2"/>
      <c r="U637" s="2"/>
      <c r="V637" s="2"/>
      <c r="X637" s="547"/>
      <c r="Y637" s="547"/>
      <c r="Z637" s="547"/>
    </row>
    <row r="638" spans="1:26">
      <c r="A638" s="2"/>
      <c r="C638" s="546"/>
      <c r="E638" s="546"/>
      <c r="F638" s="546"/>
      <c r="G638" s="2"/>
      <c r="H638" s="2"/>
      <c r="I638" s="2"/>
      <c r="J638" s="2"/>
      <c r="K638" s="2"/>
      <c r="L638" s="2"/>
      <c r="M638" s="2"/>
      <c r="N638" s="2"/>
      <c r="O638" s="2"/>
      <c r="P638" s="2"/>
      <c r="Q638" s="2"/>
      <c r="R638" s="2"/>
      <c r="S638" s="2"/>
      <c r="T638" s="2"/>
      <c r="U638" s="2"/>
      <c r="V638" s="2"/>
      <c r="X638" s="547"/>
      <c r="Y638" s="547"/>
      <c r="Z638" s="547"/>
    </row>
    <row r="639" spans="1:26">
      <c r="A639" s="2"/>
      <c r="C639" s="546"/>
      <c r="E639" s="546"/>
      <c r="F639" s="546"/>
      <c r="G639" s="2"/>
      <c r="H639" s="2"/>
      <c r="I639" s="2"/>
      <c r="J639" s="2"/>
      <c r="K639" s="2"/>
      <c r="L639" s="2"/>
      <c r="M639" s="2"/>
      <c r="N639" s="2"/>
      <c r="O639" s="2"/>
      <c r="P639" s="2"/>
      <c r="Q639" s="2"/>
      <c r="R639" s="2"/>
      <c r="S639" s="2"/>
      <c r="T639" s="2"/>
      <c r="U639" s="2"/>
      <c r="V639" s="2"/>
      <c r="X639" s="547"/>
      <c r="Y639" s="547"/>
      <c r="Z639" s="547"/>
    </row>
    <row r="640" spans="1:26">
      <c r="A640" s="2"/>
      <c r="C640" s="546"/>
      <c r="E640" s="546"/>
      <c r="F640" s="546"/>
      <c r="G640" s="2"/>
      <c r="H640" s="2"/>
      <c r="I640" s="2"/>
      <c r="J640" s="2"/>
      <c r="K640" s="2"/>
      <c r="L640" s="2"/>
      <c r="M640" s="2"/>
      <c r="N640" s="2"/>
      <c r="O640" s="2"/>
      <c r="P640" s="2"/>
      <c r="Q640" s="2"/>
      <c r="R640" s="2"/>
      <c r="S640" s="2"/>
      <c r="T640" s="2"/>
      <c r="U640" s="2"/>
      <c r="V640" s="2"/>
      <c r="X640" s="547"/>
      <c r="Y640" s="547"/>
      <c r="Z640" s="547"/>
    </row>
    <row r="641" spans="1:26">
      <c r="A641" s="2"/>
      <c r="C641" s="546"/>
      <c r="E641" s="546"/>
      <c r="F641" s="546"/>
      <c r="G641" s="2"/>
      <c r="H641" s="2"/>
      <c r="I641" s="2"/>
      <c r="J641" s="2"/>
      <c r="K641" s="2"/>
      <c r="L641" s="2"/>
      <c r="M641" s="2"/>
      <c r="N641" s="2"/>
      <c r="O641" s="2"/>
      <c r="P641" s="2"/>
      <c r="Q641" s="2"/>
      <c r="R641" s="2"/>
      <c r="S641" s="2"/>
      <c r="T641" s="2"/>
      <c r="U641" s="2"/>
      <c r="V641" s="2"/>
      <c r="X641" s="547"/>
      <c r="Y641" s="547"/>
      <c r="Z641" s="547"/>
    </row>
    <row r="642" spans="1:26">
      <c r="A642" s="2"/>
      <c r="C642" s="546"/>
      <c r="E642" s="546"/>
      <c r="F642" s="546"/>
      <c r="G642" s="2"/>
      <c r="H642" s="2"/>
      <c r="I642" s="2"/>
      <c r="J642" s="2"/>
      <c r="K642" s="2"/>
      <c r="L642" s="2"/>
      <c r="M642" s="2"/>
      <c r="N642" s="2"/>
      <c r="O642" s="2"/>
      <c r="P642" s="2"/>
      <c r="Q642" s="2"/>
      <c r="R642" s="2"/>
      <c r="S642" s="2"/>
      <c r="T642" s="2"/>
      <c r="U642" s="2"/>
      <c r="V642" s="2"/>
      <c r="X642" s="547"/>
      <c r="Y642" s="547"/>
      <c r="Z642" s="547"/>
    </row>
    <row r="643" spans="1:26">
      <c r="A643" s="2"/>
      <c r="C643" s="546"/>
      <c r="E643" s="546"/>
      <c r="F643" s="546"/>
      <c r="G643" s="2"/>
      <c r="H643" s="2"/>
      <c r="I643" s="2"/>
      <c r="J643" s="2"/>
      <c r="K643" s="2"/>
      <c r="L643" s="2"/>
      <c r="M643" s="2"/>
      <c r="N643" s="2"/>
      <c r="O643" s="2"/>
      <c r="P643" s="2"/>
      <c r="Q643" s="2"/>
      <c r="R643" s="2"/>
      <c r="S643" s="2"/>
      <c r="T643" s="2"/>
      <c r="U643" s="2"/>
      <c r="V643" s="2"/>
      <c r="X643" s="547"/>
      <c r="Y643" s="547"/>
      <c r="Z643" s="547"/>
    </row>
    <row r="644" spans="1:26">
      <c r="A644" s="2"/>
      <c r="C644" s="546"/>
      <c r="E644" s="546"/>
      <c r="F644" s="546"/>
      <c r="G644" s="2"/>
      <c r="H644" s="2"/>
      <c r="I644" s="2"/>
      <c r="J644" s="2"/>
      <c r="K644" s="2"/>
      <c r="L644" s="2"/>
      <c r="M644" s="2"/>
      <c r="N644" s="2"/>
      <c r="O644" s="2"/>
      <c r="P644" s="2"/>
      <c r="Q644" s="2"/>
      <c r="R644" s="2"/>
      <c r="S644" s="2"/>
      <c r="T644" s="2"/>
      <c r="U644" s="2"/>
      <c r="V644" s="2"/>
      <c r="X644" s="547"/>
      <c r="Y644" s="547"/>
      <c r="Z644" s="547"/>
    </row>
    <row r="645" spans="1:26">
      <c r="A645" s="2"/>
      <c r="C645" s="546"/>
      <c r="E645" s="546"/>
      <c r="F645" s="546"/>
      <c r="G645" s="2"/>
      <c r="H645" s="2"/>
      <c r="I645" s="2"/>
      <c r="J645" s="2"/>
      <c r="K645" s="2"/>
      <c r="L645" s="2"/>
      <c r="M645" s="2"/>
      <c r="N645" s="2"/>
      <c r="O645" s="2"/>
      <c r="P645" s="2"/>
      <c r="Q645" s="2"/>
      <c r="R645" s="2"/>
      <c r="S645" s="2"/>
      <c r="T645" s="2"/>
      <c r="U645" s="2"/>
      <c r="V645" s="2"/>
      <c r="X645" s="547"/>
      <c r="Y645" s="547"/>
      <c r="Z645" s="547"/>
    </row>
    <row r="646" spans="1:26">
      <c r="A646" s="2"/>
      <c r="C646" s="546"/>
      <c r="E646" s="546"/>
      <c r="F646" s="546"/>
      <c r="G646" s="2"/>
      <c r="H646" s="2"/>
      <c r="I646" s="2"/>
      <c r="J646" s="2"/>
      <c r="K646" s="2"/>
      <c r="L646" s="2"/>
      <c r="M646" s="2"/>
      <c r="N646" s="2"/>
      <c r="O646" s="2"/>
      <c r="P646" s="2"/>
      <c r="Q646" s="2"/>
      <c r="R646" s="2"/>
      <c r="S646" s="2"/>
      <c r="T646" s="2"/>
      <c r="U646" s="2"/>
      <c r="V646" s="2"/>
      <c r="X646" s="547"/>
      <c r="Y646" s="547"/>
      <c r="Z646" s="547"/>
    </row>
    <row r="647" spans="1:26">
      <c r="A647" s="2"/>
      <c r="C647" s="546"/>
      <c r="E647" s="546"/>
      <c r="F647" s="546"/>
      <c r="G647" s="2"/>
      <c r="H647" s="2"/>
      <c r="I647" s="2"/>
      <c r="J647" s="2"/>
      <c r="K647" s="2"/>
      <c r="L647" s="2"/>
      <c r="M647" s="2"/>
      <c r="N647" s="2"/>
      <c r="O647" s="2"/>
      <c r="P647" s="2"/>
      <c r="Q647" s="2"/>
      <c r="R647" s="2"/>
      <c r="S647" s="2"/>
      <c r="T647" s="2"/>
      <c r="U647" s="2"/>
      <c r="V647" s="2"/>
      <c r="X647" s="547"/>
      <c r="Y647" s="547"/>
      <c r="Z647" s="547"/>
    </row>
    <row r="648" spans="1:26">
      <c r="A648" s="2"/>
      <c r="C648" s="546"/>
      <c r="E648" s="546"/>
      <c r="F648" s="546"/>
      <c r="G648" s="2"/>
      <c r="H648" s="2"/>
      <c r="I648" s="2"/>
      <c r="J648" s="2"/>
      <c r="K648" s="2"/>
      <c r="L648" s="2"/>
      <c r="M648" s="2"/>
      <c r="N648" s="2"/>
      <c r="O648" s="2"/>
      <c r="P648" s="2"/>
      <c r="Q648" s="2"/>
      <c r="R648" s="2"/>
      <c r="S648" s="2"/>
      <c r="T648" s="2"/>
      <c r="U648" s="2"/>
      <c r="V648" s="2"/>
      <c r="X648" s="547"/>
      <c r="Y648" s="547"/>
      <c r="Z648" s="547"/>
    </row>
    <row r="649" spans="1:26">
      <c r="A649" s="2"/>
      <c r="C649" s="546"/>
      <c r="E649" s="546"/>
      <c r="F649" s="546"/>
      <c r="G649" s="2"/>
      <c r="H649" s="2"/>
      <c r="I649" s="2"/>
      <c r="J649" s="2"/>
      <c r="K649" s="2"/>
      <c r="L649" s="2"/>
      <c r="M649" s="2"/>
      <c r="N649" s="2"/>
      <c r="O649" s="2"/>
      <c r="P649" s="2"/>
      <c r="Q649" s="2"/>
      <c r="R649" s="2"/>
      <c r="S649" s="2"/>
      <c r="T649" s="2"/>
      <c r="U649" s="2"/>
      <c r="V649" s="2"/>
      <c r="X649" s="547"/>
      <c r="Y649" s="547"/>
      <c r="Z649" s="547"/>
    </row>
    <row r="650" spans="1:26">
      <c r="A650" s="2"/>
      <c r="C650" s="546"/>
      <c r="E650" s="546"/>
      <c r="F650" s="546"/>
      <c r="G650" s="2"/>
      <c r="H650" s="2"/>
      <c r="I650" s="2"/>
      <c r="J650" s="2"/>
      <c r="K650" s="2"/>
      <c r="L650" s="2"/>
      <c r="M650" s="2"/>
      <c r="N650" s="2"/>
      <c r="O650" s="2"/>
      <c r="P650" s="2"/>
      <c r="Q650" s="2"/>
      <c r="R650" s="2"/>
      <c r="S650" s="2"/>
      <c r="T650" s="2"/>
      <c r="U650" s="2"/>
      <c r="V650" s="2"/>
      <c r="X650" s="547"/>
      <c r="Y650" s="547"/>
      <c r="Z650" s="547"/>
    </row>
    <row r="651" spans="1:26">
      <c r="A651" s="2"/>
      <c r="C651" s="546"/>
      <c r="E651" s="546"/>
      <c r="F651" s="546"/>
      <c r="G651" s="2"/>
      <c r="H651" s="2"/>
      <c r="I651" s="2"/>
      <c r="J651" s="2"/>
      <c r="K651" s="2"/>
      <c r="L651" s="2"/>
      <c r="M651" s="2"/>
      <c r="N651" s="2"/>
      <c r="O651" s="2"/>
      <c r="P651" s="2"/>
      <c r="Q651" s="2"/>
      <c r="R651" s="2"/>
      <c r="S651" s="2"/>
      <c r="T651" s="2"/>
      <c r="U651" s="2"/>
      <c r="V651" s="2"/>
      <c r="X651" s="547"/>
      <c r="Y651" s="547"/>
      <c r="Z651" s="547"/>
    </row>
    <row r="652" spans="1:26">
      <c r="A652" s="2"/>
      <c r="C652" s="546"/>
      <c r="E652" s="546"/>
      <c r="F652" s="546"/>
      <c r="G652" s="2"/>
      <c r="H652" s="2"/>
      <c r="I652" s="2"/>
      <c r="J652" s="2"/>
      <c r="K652" s="2"/>
      <c r="L652" s="2"/>
      <c r="M652" s="2"/>
      <c r="N652" s="2"/>
      <c r="O652" s="2"/>
      <c r="P652" s="2"/>
      <c r="Q652" s="2"/>
      <c r="R652" s="2"/>
      <c r="S652" s="2"/>
      <c r="T652" s="2"/>
      <c r="U652" s="2"/>
      <c r="V652" s="2"/>
      <c r="X652" s="547"/>
      <c r="Y652" s="547"/>
      <c r="Z652" s="547"/>
    </row>
    <row r="653" spans="1:26">
      <c r="A653" s="2"/>
      <c r="C653" s="546"/>
      <c r="E653" s="546"/>
      <c r="F653" s="546"/>
      <c r="G653" s="2"/>
      <c r="H653" s="2"/>
      <c r="I653" s="2"/>
      <c r="J653" s="2"/>
      <c r="K653" s="2"/>
      <c r="L653" s="2"/>
      <c r="M653" s="2"/>
      <c r="N653" s="2"/>
      <c r="O653" s="2"/>
      <c r="P653" s="2"/>
      <c r="Q653" s="2"/>
      <c r="R653" s="2"/>
      <c r="S653" s="2"/>
      <c r="T653" s="2"/>
      <c r="U653" s="2"/>
      <c r="V653" s="2"/>
      <c r="X653" s="547"/>
      <c r="Y653" s="547"/>
      <c r="Z653" s="547"/>
    </row>
    <row r="654" spans="1:26">
      <c r="A654" s="2"/>
      <c r="C654" s="546"/>
      <c r="E654" s="546"/>
      <c r="F654" s="546"/>
      <c r="G654" s="2"/>
      <c r="H654" s="2"/>
      <c r="I654" s="2"/>
      <c r="J654" s="2"/>
      <c r="K654" s="2"/>
      <c r="L654" s="2"/>
      <c r="M654" s="2"/>
      <c r="N654" s="2"/>
      <c r="O654" s="2"/>
      <c r="P654" s="2"/>
      <c r="Q654" s="2"/>
      <c r="R654" s="2"/>
      <c r="S654" s="2"/>
      <c r="T654" s="2"/>
      <c r="U654" s="2"/>
      <c r="V654" s="2"/>
      <c r="X654" s="547"/>
      <c r="Y654" s="547"/>
      <c r="Z654" s="547"/>
    </row>
    <row r="655" spans="1:26">
      <c r="A655" s="2"/>
      <c r="C655" s="546"/>
      <c r="E655" s="546"/>
      <c r="F655" s="546"/>
      <c r="G655" s="2"/>
      <c r="H655" s="2"/>
      <c r="I655" s="2"/>
      <c r="J655" s="2"/>
      <c r="K655" s="2"/>
      <c r="L655" s="2"/>
      <c r="M655" s="2"/>
      <c r="N655" s="2"/>
      <c r="O655" s="2"/>
      <c r="P655" s="2"/>
      <c r="Q655" s="2"/>
      <c r="R655" s="2"/>
      <c r="S655" s="2"/>
      <c r="T655" s="2"/>
      <c r="U655" s="2"/>
      <c r="V655" s="2"/>
      <c r="X655" s="547"/>
      <c r="Y655" s="547"/>
      <c r="Z655" s="547"/>
    </row>
    <row r="656" spans="1:26">
      <c r="A656" s="2"/>
      <c r="C656" s="546"/>
      <c r="E656" s="546"/>
      <c r="F656" s="546"/>
      <c r="G656" s="2"/>
      <c r="H656" s="2"/>
      <c r="I656" s="2"/>
      <c r="J656" s="2"/>
      <c r="K656" s="2"/>
      <c r="L656" s="2"/>
      <c r="M656" s="2"/>
      <c r="N656" s="2"/>
      <c r="O656" s="2"/>
      <c r="P656" s="2"/>
      <c r="Q656" s="2"/>
      <c r="R656" s="2"/>
      <c r="S656" s="2"/>
      <c r="T656" s="2"/>
      <c r="U656" s="2"/>
      <c r="V656" s="2"/>
      <c r="X656" s="547"/>
      <c r="Y656" s="547"/>
      <c r="Z656" s="547"/>
    </row>
    <row r="657" spans="1:26">
      <c r="A657" s="2"/>
      <c r="C657" s="546"/>
      <c r="E657" s="546"/>
      <c r="F657" s="546"/>
      <c r="G657" s="2"/>
      <c r="H657" s="2"/>
      <c r="I657" s="2"/>
      <c r="J657" s="2"/>
      <c r="K657" s="2"/>
      <c r="L657" s="2"/>
      <c r="M657" s="2"/>
      <c r="N657" s="2"/>
      <c r="O657" s="2"/>
      <c r="P657" s="2"/>
      <c r="Q657" s="2"/>
      <c r="R657" s="2"/>
      <c r="S657" s="2"/>
      <c r="T657" s="2"/>
      <c r="U657" s="2"/>
      <c r="V657" s="2"/>
      <c r="X657" s="547"/>
      <c r="Y657" s="547"/>
      <c r="Z657" s="547"/>
    </row>
    <row r="658" spans="1:26">
      <c r="A658" s="2"/>
      <c r="C658" s="546"/>
      <c r="E658" s="546"/>
      <c r="F658" s="546"/>
      <c r="G658" s="2"/>
      <c r="H658" s="2"/>
      <c r="I658" s="2"/>
      <c r="J658" s="2"/>
      <c r="K658" s="2"/>
      <c r="L658" s="2"/>
      <c r="M658" s="2"/>
      <c r="N658" s="2"/>
      <c r="O658" s="2"/>
      <c r="P658" s="2"/>
      <c r="Q658" s="2"/>
      <c r="R658" s="2"/>
      <c r="S658" s="2"/>
      <c r="T658" s="2"/>
      <c r="U658" s="2"/>
      <c r="V658" s="2"/>
      <c r="X658" s="547"/>
      <c r="Y658" s="547"/>
      <c r="Z658" s="547"/>
    </row>
    <row r="659" spans="1:26">
      <c r="A659" s="2"/>
      <c r="C659" s="546"/>
      <c r="E659" s="546"/>
      <c r="F659" s="546"/>
      <c r="G659" s="2"/>
      <c r="H659" s="2"/>
      <c r="I659" s="2"/>
      <c r="J659" s="2"/>
      <c r="K659" s="2"/>
      <c r="L659" s="2"/>
      <c r="M659" s="2"/>
      <c r="N659" s="2"/>
      <c r="O659" s="2"/>
      <c r="P659" s="2"/>
      <c r="Q659" s="2"/>
      <c r="R659" s="2"/>
      <c r="S659" s="2"/>
      <c r="T659" s="2"/>
      <c r="U659" s="2"/>
      <c r="V659" s="2"/>
      <c r="X659" s="547"/>
      <c r="Y659" s="547"/>
      <c r="Z659" s="547"/>
    </row>
    <row r="660" spans="1:26">
      <c r="A660" s="2"/>
      <c r="C660" s="546"/>
      <c r="E660" s="546"/>
      <c r="F660" s="546"/>
      <c r="G660" s="2"/>
      <c r="H660" s="2"/>
      <c r="I660" s="2"/>
      <c r="J660" s="2"/>
      <c r="K660" s="2"/>
      <c r="L660" s="2"/>
      <c r="M660" s="2"/>
      <c r="N660" s="2"/>
      <c r="O660" s="2"/>
      <c r="P660" s="2"/>
      <c r="Q660" s="2"/>
      <c r="R660" s="2"/>
      <c r="S660" s="2"/>
      <c r="T660" s="2"/>
      <c r="U660" s="2"/>
      <c r="V660" s="2"/>
      <c r="X660" s="547"/>
      <c r="Y660" s="547"/>
      <c r="Z660" s="547"/>
    </row>
    <row r="661" spans="1:26">
      <c r="A661" s="2"/>
      <c r="C661" s="546"/>
      <c r="E661" s="546"/>
      <c r="F661" s="546"/>
      <c r="G661" s="2"/>
      <c r="H661" s="2"/>
      <c r="I661" s="2"/>
      <c r="J661" s="2"/>
      <c r="K661" s="2"/>
      <c r="L661" s="2"/>
      <c r="M661" s="2"/>
      <c r="N661" s="2"/>
      <c r="O661" s="2"/>
      <c r="P661" s="2"/>
      <c r="Q661" s="2"/>
      <c r="R661" s="2"/>
      <c r="S661" s="2"/>
      <c r="T661" s="2"/>
      <c r="U661" s="2"/>
      <c r="V661" s="2"/>
      <c r="X661" s="547"/>
      <c r="Y661" s="547"/>
      <c r="Z661" s="547"/>
    </row>
    <row r="662" spans="1:26">
      <c r="A662" s="2"/>
      <c r="C662" s="546"/>
      <c r="E662" s="546"/>
      <c r="F662" s="546"/>
      <c r="G662" s="2"/>
      <c r="H662" s="2"/>
      <c r="I662" s="2"/>
      <c r="J662" s="2"/>
      <c r="K662" s="2"/>
      <c r="L662" s="2"/>
      <c r="M662" s="2"/>
      <c r="N662" s="2"/>
      <c r="O662" s="2"/>
      <c r="P662" s="2"/>
      <c r="Q662" s="2"/>
      <c r="R662" s="2"/>
      <c r="S662" s="2"/>
      <c r="T662" s="2"/>
      <c r="U662" s="2"/>
      <c r="V662" s="2"/>
      <c r="X662" s="547"/>
      <c r="Y662" s="547"/>
      <c r="Z662" s="547"/>
    </row>
    <row r="663" spans="1:26">
      <c r="A663" s="2"/>
      <c r="C663" s="546"/>
      <c r="E663" s="546"/>
      <c r="F663" s="546"/>
      <c r="G663" s="2"/>
      <c r="H663" s="2"/>
      <c r="I663" s="2"/>
      <c r="J663" s="2"/>
      <c r="K663" s="2"/>
      <c r="L663" s="2"/>
      <c r="M663" s="2"/>
      <c r="N663" s="2"/>
      <c r="O663" s="2"/>
      <c r="P663" s="2"/>
      <c r="Q663" s="2"/>
      <c r="R663" s="2"/>
      <c r="S663" s="2"/>
      <c r="T663" s="2"/>
      <c r="U663" s="2"/>
      <c r="V663" s="2"/>
      <c r="X663" s="547"/>
      <c r="Y663" s="547"/>
      <c r="Z663" s="547"/>
    </row>
    <row r="664" spans="1:26">
      <c r="A664" s="2"/>
      <c r="C664" s="546"/>
      <c r="E664" s="546"/>
      <c r="F664" s="546"/>
      <c r="G664" s="2"/>
      <c r="H664" s="2"/>
      <c r="I664" s="2"/>
      <c r="J664" s="2"/>
      <c r="K664" s="2"/>
      <c r="L664" s="2"/>
      <c r="M664" s="2"/>
      <c r="N664" s="2"/>
      <c r="O664" s="2"/>
      <c r="P664" s="2"/>
      <c r="Q664" s="2"/>
      <c r="R664" s="2"/>
      <c r="S664" s="2"/>
      <c r="T664" s="2"/>
      <c r="U664" s="2"/>
      <c r="V664" s="2"/>
      <c r="X664" s="547"/>
      <c r="Y664" s="547"/>
      <c r="Z664" s="547"/>
    </row>
    <row r="665" spans="1:26">
      <c r="A665" s="2"/>
      <c r="C665" s="546"/>
      <c r="E665" s="546"/>
      <c r="F665" s="546"/>
      <c r="G665" s="2"/>
      <c r="H665" s="2"/>
      <c r="I665" s="2"/>
      <c r="J665" s="2"/>
      <c r="K665" s="2"/>
      <c r="L665" s="2"/>
      <c r="M665" s="2"/>
      <c r="N665" s="2"/>
      <c r="O665" s="2"/>
      <c r="P665" s="2"/>
      <c r="Q665" s="2"/>
      <c r="R665" s="2"/>
      <c r="S665" s="2"/>
      <c r="T665" s="2"/>
      <c r="U665" s="2"/>
      <c r="V665" s="2"/>
      <c r="X665" s="547"/>
      <c r="Y665" s="547"/>
      <c r="Z665" s="547"/>
    </row>
    <row r="666" spans="1:26">
      <c r="A666" s="2"/>
      <c r="C666" s="546"/>
      <c r="E666" s="546"/>
      <c r="F666" s="546"/>
      <c r="G666" s="2"/>
      <c r="H666" s="2"/>
      <c r="I666" s="2"/>
      <c r="J666" s="2"/>
      <c r="K666" s="2"/>
      <c r="L666" s="2"/>
      <c r="M666" s="2"/>
      <c r="N666" s="2"/>
      <c r="O666" s="2"/>
      <c r="P666" s="2"/>
      <c r="Q666" s="2"/>
      <c r="R666" s="2"/>
      <c r="S666" s="2"/>
      <c r="T666" s="2"/>
      <c r="U666" s="2"/>
      <c r="V666" s="2"/>
      <c r="X666" s="547"/>
      <c r="Y666" s="547"/>
      <c r="Z666" s="547"/>
    </row>
    <row r="667" spans="1:26">
      <c r="A667" s="2"/>
      <c r="C667" s="546"/>
      <c r="E667" s="546"/>
      <c r="F667" s="546"/>
      <c r="G667" s="2"/>
      <c r="H667" s="2"/>
      <c r="I667" s="2"/>
      <c r="J667" s="2"/>
      <c r="K667" s="2"/>
      <c r="L667" s="2"/>
      <c r="M667" s="2"/>
      <c r="N667" s="2"/>
      <c r="O667" s="2"/>
      <c r="P667" s="2"/>
      <c r="Q667" s="2"/>
      <c r="R667" s="2"/>
      <c r="S667" s="2"/>
      <c r="T667" s="2"/>
      <c r="U667" s="2"/>
      <c r="V667" s="2"/>
      <c r="X667" s="547"/>
      <c r="Y667" s="547"/>
      <c r="Z667" s="547"/>
    </row>
    <row r="668" spans="1:26">
      <c r="A668" s="2"/>
      <c r="C668" s="546"/>
      <c r="E668" s="546"/>
      <c r="F668" s="546"/>
      <c r="G668" s="2"/>
      <c r="H668" s="2"/>
      <c r="I668" s="2"/>
      <c r="J668" s="2"/>
      <c r="K668" s="2"/>
      <c r="L668" s="2"/>
      <c r="M668" s="2"/>
      <c r="N668" s="2"/>
      <c r="O668" s="2"/>
      <c r="P668" s="2"/>
      <c r="Q668" s="2"/>
      <c r="R668" s="2"/>
      <c r="S668" s="2"/>
      <c r="T668" s="2"/>
      <c r="U668" s="2"/>
      <c r="V668" s="2"/>
      <c r="X668" s="547"/>
      <c r="Y668" s="547"/>
      <c r="Z668" s="547"/>
    </row>
    <row r="669" spans="1:26">
      <c r="A669" s="2"/>
      <c r="C669" s="546"/>
      <c r="E669" s="546"/>
      <c r="F669" s="546"/>
      <c r="G669" s="2"/>
      <c r="H669" s="2"/>
      <c r="I669" s="2"/>
      <c r="J669" s="2"/>
      <c r="K669" s="2"/>
      <c r="L669" s="2"/>
      <c r="M669" s="2"/>
      <c r="N669" s="2"/>
      <c r="O669" s="2"/>
      <c r="P669" s="2"/>
      <c r="Q669" s="2"/>
      <c r="R669" s="2"/>
      <c r="S669" s="2"/>
      <c r="T669" s="2"/>
      <c r="U669" s="2"/>
      <c r="V669" s="2"/>
      <c r="X669" s="547"/>
      <c r="Y669" s="547"/>
      <c r="Z669" s="547"/>
    </row>
    <row r="670" spans="1:26">
      <c r="A670" s="2"/>
      <c r="C670" s="546"/>
      <c r="E670" s="546"/>
      <c r="F670" s="546"/>
      <c r="G670" s="2"/>
      <c r="H670" s="2"/>
      <c r="I670" s="2"/>
      <c r="J670" s="2"/>
      <c r="K670" s="2"/>
      <c r="L670" s="2"/>
      <c r="M670" s="2"/>
      <c r="N670" s="2"/>
      <c r="O670" s="2"/>
      <c r="P670" s="2"/>
      <c r="Q670" s="2"/>
      <c r="R670" s="2"/>
      <c r="S670" s="2"/>
      <c r="T670" s="2"/>
      <c r="U670" s="2"/>
      <c r="V670" s="2"/>
      <c r="X670" s="547"/>
      <c r="Y670" s="547"/>
      <c r="Z670" s="547"/>
    </row>
    <row r="671" spans="1:26">
      <c r="A671" s="2"/>
      <c r="C671" s="546"/>
      <c r="E671" s="546"/>
      <c r="F671" s="546"/>
      <c r="G671" s="2"/>
      <c r="H671" s="2"/>
      <c r="I671" s="2"/>
      <c r="J671" s="2"/>
      <c r="K671" s="2"/>
      <c r="L671" s="2"/>
      <c r="M671" s="2"/>
      <c r="N671" s="2"/>
      <c r="O671" s="2"/>
      <c r="P671" s="2"/>
      <c r="Q671" s="2"/>
      <c r="R671" s="2"/>
      <c r="S671" s="2"/>
      <c r="T671" s="2"/>
      <c r="U671" s="2"/>
      <c r="V671" s="2"/>
      <c r="X671" s="547"/>
      <c r="Y671" s="547"/>
      <c r="Z671" s="547"/>
    </row>
    <row r="672" spans="1:26">
      <c r="A672" s="2"/>
      <c r="C672" s="546"/>
      <c r="E672" s="546"/>
      <c r="F672" s="546"/>
      <c r="G672" s="2"/>
      <c r="H672" s="2"/>
      <c r="I672" s="2"/>
      <c r="J672" s="2"/>
      <c r="K672" s="2"/>
      <c r="L672" s="2"/>
      <c r="M672" s="2"/>
      <c r="N672" s="2"/>
      <c r="O672" s="2"/>
      <c r="P672" s="2"/>
      <c r="Q672" s="2"/>
      <c r="R672" s="2"/>
      <c r="S672" s="2"/>
      <c r="T672" s="2"/>
      <c r="U672" s="2"/>
      <c r="V672" s="2"/>
      <c r="X672" s="547"/>
      <c r="Y672" s="547"/>
      <c r="Z672" s="547"/>
    </row>
    <row r="673" spans="1:26">
      <c r="A673" s="2"/>
      <c r="C673" s="546"/>
      <c r="E673" s="546"/>
      <c r="F673" s="546"/>
      <c r="G673" s="2"/>
      <c r="H673" s="2"/>
      <c r="I673" s="2"/>
      <c r="J673" s="2"/>
      <c r="K673" s="2"/>
      <c r="L673" s="2"/>
      <c r="M673" s="2"/>
      <c r="N673" s="2"/>
      <c r="O673" s="2"/>
      <c r="P673" s="2"/>
      <c r="Q673" s="2"/>
      <c r="R673" s="2"/>
      <c r="S673" s="2"/>
      <c r="T673" s="2"/>
      <c r="U673" s="2"/>
      <c r="V673" s="2"/>
      <c r="X673" s="547"/>
      <c r="Y673" s="547"/>
      <c r="Z673" s="547"/>
    </row>
    <row r="674" spans="1:26">
      <c r="A674" s="2"/>
      <c r="C674" s="546"/>
      <c r="E674" s="546"/>
      <c r="F674" s="546"/>
      <c r="G674" s="2"/>
      <c r="H674" s="2"/>
      <c r="I674" s="2"/>
      <c r="J674" s="2"/>
      <c r="K674" s="2"/>
      <c r="L674" s="2"/>
      <c r="M674" s="2"/>
      <c r="N674" s="2"/>
      <c r="O674" s="2"/>
      <c r="P674" s="2"/>
      <c r="Q674" s="2"/>
      <c r="R674" s="2"/>
      <c r="S674" s="2"/>
      <c r="T674" s="2"/>
      <c r="U674" s="2"/>
      <c r="V674" s="2"/>
      <c r="X674" s="547"/>
      <c r="Y674" s="547"/>
      <c r="Z674" s="547"/>
    </row>
    <row r="675" spans="1:26">
      <c r="A675" s="2"/>
      <c r="C675" s="546"/>
      <c r="E675" s="546"/>
      <c r="F675" s="546"/>
      <c r="G675" s="2"/>
      <c r="H675" s="2"/>
      <c r="I675" s="2"/>
      <c r="J675" s="2"/>
      <c r="K675" s="2"/>
      <c r="L675" s="2"/>
      <c r="M675" s="2"/>
      <c r="N675" s="2"/>
      <c r="O675" s="2"/>
      <c r="P675" s="2"/>
      <c r="Q675" s="2"/>
      <c r="R675" s="2"/>
      <c r="S675" s="2"/>
      <c r="T675" s="2"/>
      <c r="U675" s="2"/>
      <c r="V675" s="2"/>
      <c r="X675" s="547"/>
      <c r="Y675" s="547"/>
      <c r="Z675" s="547"/>
    </row>
    <row r="676" spans="1:26">
      <c r="A676" s="2"/>
      <c r="C676" s="546"/>
      <c r="E676" s="546"/>
      <c r="F676" s="546"/>
      <c r="G676" s="2"/>
      <c r="H676" s="2"/>
      <c r="I676" s="2"/>
      <c r="J676" s="2"/>
      <c r="K676" s="2"/>
      <c r="L676" s="2"/>
      <c r="M676" s="2"/>
      <c r="N676" s="2"/>
      <c r="O676" s="2"/>
      <c r="P676" s="2"/>
      <c r="Q676" s="2"/>
      <c r="R676" s="2"/>
      <c r="S676" s="2"/>
      <c r="T676" s="2"/>
      <c r="U676" s="2"/>
      <c r="V676" s="2"/>
      <c r="X676" s="547"/>
      <c r="Y676" s="547"/>
      <c r="Z676" s="547"/>
    </row>
    <row r="677" spans="1:26">
      <c r="A677" s="2"/>
      <c r="C677" s="546"/>
      <c r="E677" s="546"/>
      <c r="F677" s="546"/>
      <c r="G677" s="2"/>
      <c r="H677" s="2"/>
      <c r="I677" s="2"/>
      <c r="J677" s="2"/>
      <c r="K677" s="2"/>
      <c r="L677" s="2"/>
      <c r="M677" s="2"/>
      <c r="N677" s="2"/>
      <c r="O677" s="2"/>
      <c r="P677" s="2"/>
      <c r="Q677" s="2"/>
      <c r="R677" s="2"/>
      <c r="S677" s="2"/>
      <c r="T677" s="2"/>
      <c r="U677" s="2"/>
      <c r="V677" s="2"/>
      <c r="X677" s="547"/>
      <c r="Y677" s="547"/>
      <c r="Z677" s="547"/>
    </row>
    <row r="678" spans="1:26">
      <c r="A678" s="2"/>
      <c r="C678" s="546"/>
      <c r="E678" s="546"/>
      <c r="F678" s="546"/>
      <c r="G678" s="2"/>
      <c r="H678" s="2"/>
      <c r="I678" s="2"/>
      <c r="J678" s="2"/>
      <c r="K678" s="2"/>
      <c r="L678" s="2"/>
      <c r="M678" s="2"/>
      <c r="N678" s="2"/>
      <c r="O678" s="2"/>
      <c r="P678" s="2"/>
      <c r="Q678" s="2"/>
      <c r="R678" s="2"/>
      <c r="S678" s="2"/>
      <c r="T678" s="2"/>
      <c r="U678" s="2"/>
      <c r="V678" s="2"/>
      <c r="X678" s="547"/>
      <c r="Y678" s="547"/>
      <c r="Z678" s="547"/>
    </row>
    <row r="679" spans="1:26">
      <c r="A679" s="2"/>
      <c r="C679" s="546"/>
      <c r="E679" s="546"/>
      <c r="F679" s="546"/>
      <c r="G679" s="2"/>
      <c r="H679" s="2"/>
      <c r="I679" s="2"/>
      <c r="J679" s="2"/>
      <c r="K679" s="2"/>
      <c r="L679" s="2"/>
      <c r="M679" s="2"/>
      <c r="N679" s="2"/>
      <c r="O679" s="2"/>
      <c r="P679" s="2"/>
      <c r="Q679" s="2"/>
      <c r="R679" s="2"/>
      <c r="S679" s="2"/>
      <c r="T679" s="2"/>
      <c r="U679" s="2"/>
      <c r="V679" s="2"/>
      <c r="X679" s="547"/>
      <c r="Y679" s="547"/>
      <c r="Z679" s="547"/>
    </row>
    <row r="680" spans="1:26">
      <c r="A680" s="2"/>
      <c r="C680" s="546"/>
      <c r="E680" s="546"/>
      <c r="F680" s="546"/>
      <c r="G680" s="2"/>
      <c r="H680" s="2"/>
      <c r="I680" s="2"/>
      <c r="J680" s="2"/>
      <c r="K680" s="2"/>
      <c r="L680" s="2"/>
      <c r="M680" s="2"/>
      <c r="N680" s="2"/>
      <c r="O680" s="2"/>
      <c r="P680" s="2"/>
      <c r="Q680" s="2"/>
      <c r="R680" s="2"/>
      <c r="S680" s="2"/>
      <c r="T680" s="2"/>
      <c r="U680" s="2"/>
      <c r="V680" s="2"/>
      <c r="X680" s="547"/>
      <c r="Y680" s="547"/>
      <c r="Z680" s="547"/>
    </row>
    <row r="681" spans="1:26">
      <c r="A681" s="2"/>
      <c r="C681" s="546"/>
      <c r="E681" s="546"/>
      <c r="F681" s="546"/>
      <c r="G681" s="2"/>
      <c r="H681" s="2"/>
      <c r="I681" s="2"/>
      <c r="J681" s="2"/>
      <c r="K681" s="2"/>
      <c r="L681" s="2"/>
      <c r="M681" s="2"/>
      <c r="N681" s="2"/>
      <c r="O681" s="2"/>
      <c r="P681" s="2"/>
      <c r="Q681" s="2"/>
      <c r="R681" s="2"/>
      <c r="S681" s="2"/>
      <c r="T681" s="2"/>
      <c r="U681" s="2"/>
      <c r="V681" s="2"/>
      <c r="X681" s="547"/>
      <c r="Y681" s="547"/>
      <c r="Z681" s="547"/>
    </row>
    <row r="682" spans="1:26">
      <c r="A682" s="2"/>
      <c r="C682" s="546"/>
      <c r="E682" s="546"/>
      <c r="F682" s="546"/>
      <c r="G682" s="2"/>
      <c r="H682" s="2"/>
      <c r="I682" s="2"/>
      <c r="J682" s="2"/>
      <c r="K682" s="2"/>
      <c r="L682" s="2"/>
      <c r="M682" s="2"/>
      <c r="N682" s="2"/>
      <c r="O682" s="2"/>
      <c r="P682" s="2"/>
      <c r="Q682" s="2"/>
      <c r="R682" s="2"/>
      <c r="S682" s="2"/>
      <c r="T682" s="2"/>
      <c r="U682" s="2"/>
      <c r="V682" s="2"/>
      <c r="X682" s="547"/>
      <c r="Y682" s="547"/>
      <c r="Z682" s="547"/>
    </row>
    <row r="683" spans="1:26">
      <c r="A683" s="2"/>
      <c r="C683" s="546"/>
      <c r="E683" s="546"/>
      <c r="F683" s="546"/>
      <c r="G683" s="2"/>
      <c r="H683" s="2"/>
      <c r="I683" s="2"/>
      <c r="J683" s="2"/>
      <c r="K683" s="2"/>
      <c r="L683" s="2"/>
      <c r="M683" s="2"/>
      <c r="N683" s="2"/>
      <c r="O683" s="2"/>
      <c r="P683" s="2"/>
      <c r="Q683" s="2"/>
      <c r="R683" s="2"/>
      <c r="S683" s="2"/>
      <c r="T683" s="2"/>
      <c r="U683" s="2"/>
      <c r="V683" s="2"/>
      <c r="X683" s="547"/>
      <c r="Y683" s="547"/>
      <c r="Z683" s="547"/>
    </row>
    <row r="684" spans="1:26">
      <c r="A684" s="2"/>
      <c r="C684" s="546"/>
      <c r="E684" s="546"/>
      <c r="F684" s="546"/>
      <c r="G684" s="2"/>
      <c r="H684" s="2"/>
      <c r="I684" s="2"/>
      <c r="J684" s="2"/>
      <c r="K684" s="2"/>
      <c r="L684" s="2"/>
      <c r="M684" s="2"/>
      <c r="N684" s="2"/>
      <c r="O684" s="2"/>
      <c r="P684" s="2"/>
      <c r="Q684" s="2"/>
      <c r="R684" s="2"/>
      <c r="S684" s="2"/>
      <c r="T684" s="2"/>
      <c r="U684" s="2"/>
      <c r="V684" s="2"/>
      <c r="X684" s="547"/>
      <c r="Y684" s="547"/>
      <c r="Z684" s="547"/>
    </row>
    <row r="685" spans="1:26">
      <c r="A685" s="2"/>
      <c r="C685" s="546"/>
      <c r="E685" s="546"/>
      <c r="F685" s="546"/>
      <c r="G685" s="2"/>
      <c r="H685" s="2"/>
      <c r="I685" s="2"/>
      <c r="J685" s="2"/>
      <c r="K685" s="2"/>
      <c r="L685" s="2"/>
      <c r="M685" s="2"/>
      <c r="N685" s="2"/>
      <c r="O685" s="2"/>
      <c r="P685" s="2"/>
      <c r="Q685" s="2"/>
      <c r="R685" s="2"/>
      <c r="S685" s="2"/>
      <c r="T685" s="2"/>
      <c r="U685" s="2"/>
      <c r="V685" s="2"/>
      <c r="X685" s="547"/>
      <c r="Y685" s="547"/>
      <c r="Z685" s="547"/>
    </row>
    <row r="686" spans="1:26">
      <c r="A686" s="2"/>
      <c r="C686" s="546"/>
      <c r="E686" s="546"/>
      <c r="F686" s="546"/>
      <c r="G686" s="2"/>
      <c r="H686" s="2"/>
      <c r="I686" s="2"/>
      <c r="J686" s="2"/>
      <c r="K686" s="2"/>
      <c r="L686" s="2"/>
      <c r="M686" s="2"/>
      <c r="N686" s="2"/>
      <c r="O686" s="2"/>
      <c r="P686" s="2"/>
      <c r="Q686" s="2"/>
      <c r="R686" s="2"/>
      <c r="S686" s="2"/>
      <c r="T686" s="2"/>
      <c r="U686" s="2"/>
      <c r="V686" s="2"/>
      <c r="X686" s="547"/>
      <c r="Y686" s="547"/>
      <c r="Z686" s="547"/>
    </row>
    <row r="687" spans="1:26">
      <c r="A687" s="2"/>
      <c r="C687" s="546"/>
      <c r="E687" s="546"/>
      <c r="F687" s="546"/>
      <c r="G687" s="2"/>
      <c r="H687" s="2"/>
      <c r="I687" s="2"/>
      <c r="J687" s="2"/>
      <c r="K687" s="2"/>
      <c r="L687" s="2"/>
      <c r="M687" s="2"/>
      <c r="N687" s="2"/>
      <c r="O687" s="2"/>
      <c r="P687" s="2"/>
      <c r="Q687" s="2"/>
      <c r="R687" s="2"/>
      <c r="S687" s="2"/>
      <c r="T687" s="2"/>
      <c r="U687" s="2"/>
      <c r="V687" s="2"/>
      <c r="X687" s="547"/>
      <c r="Y687" s="547"/>
      <c r="Z687" s="547"/>
    </row>
    <row r="688" spans="1:26">
      <c r="A688" s="2"/>
      <c r="C688" s="546"/>
      <c r="E688" s="546"/>
      <c r="F688" s="546"/>
      <c r="G688" s="2"/>
      <c r="H688" s="2"/>
      <c r="I688" s="2"/>
      <c r="J688" s="2"/>
      <c r="K688" s="2"/>
      <c r="L688" s="2"/>
      <c r="M688" s="2"/>
      <c r="N688" s="2"/>
      <c r="O688" s="2"/>
      <c r="P688" s="2"/>
      <c r="Q688" s="2"/>
      <c r="R688" s="2"/>
      <c r="S688" s="2"/>
      <c r="T688" s="2"/>
      <c r="U688" s="2"/>
      <c r="V688" s="2"/>
      <c r="X688" s="547"/>
      <c r="Y688" s="547"/>
      <c r="Z688" s="547"/>
    </row>
    <row r="689" spans="1:26">
      <c r="A689" s="2"/>
      <c r="C689" s="546"/>
      <c r="E689" s="546"/>
      <c r="F689" s="546"/>
      <c r="G689" s="2"/>
      <c r="H689" s="2"/>
      <c r="I689" s="2"/>
      <c r="J689" s="2"/>
      <c r="K689" s="2"/>
      <c r="L689" s="2"/>
      <c r="M689" s="2"/>
      <c r="N689" s="2"/>
      <c r="O689" s="2"/>
      <c r="P689" s="2"/>
      <c r="Q689" s="2"/>
      <c r="R689" s="2"/>
      <c r="S689" s="2"/>
      <c r="T689" s="2"/>
      <c r="U689" s="2"/>
      <c r="V689" s="2"/>
      <c r="X689" s="547"/>
      <c r="Y689" s="547"/>
      <c r="Z689" s="547"/>
    </row>
    <row r="690" spans="1:26">
      <c r="A690" s="2"/>
      <c r="C690" s="546"/>
      <c r="E690" s="546"/>
      <c r="F690" s="546"/>
      <c r="G690" s="2"/>
      <c r="H690" s="2"/>
      <c r="I690" s="2"/>
      <c r="J690" s="2"/>
      <c r="K690" s="2"/>
      <c r="L690" s="2"/>
      <c r="M690" s="2"/>
      <c r="N690" s="2"/>
      <c r="O690" s="2"/>
      <c r="P690" s="2"/>
      <c r="Q690" s="2"/>
      <c r="R690" s="2"/>
      <c r="S690" s="2"/>
      <c r="T690" s="2"/>
      <c r="U690" s="2"/>
      <c r="V690" s="2"/>
      <c r="X690" s="547"/>
      <c r="Y690" s="547"/>
      <c r="Z690" s="547"/>
    </row>
    <row r="691" spans="1:26">
      <c r="A691" s="2"/>
      <c r="C691" s="546"/>
      <c r="E691" s="546"/>
      <c r="F691" s="546"/>
      <c r="G691" s="2"/>
      <c r="H691" s="2"/>
      <c r="I691" s="2"/>
      <c r="J691" s="2"/>
      <c r="K691" s="2"/>
      <c r="L691" s="2"/>
      <c r="M691" s="2"/>
      <c r="N691" s="2"/>
      <c r="O691" s="2"/>
      <c r="P691" s="2"/>
      <c r="Q691" s="2"/>
      <c r="R691" s="2"/>
      <c r="S691" s="2"/>
      <c r="T691" s="2"/>
      <c r="U691" s="2"/>
      <c r="V691" s="2"/>
      <c r="X691" s="547"/>
      <c r="Y691" s="547"/>
      <c r="Z691" s="547"/>
    </row>
    <row r="692" spans="1:26">
      <c r="A692" s="2"/>
      <c r="C692" s="546"/>
      <c r="E692" s="546"/>
      <c r="F692" s="546"/>
      <c r="G692" s="2"/>
      <c r="H692" s="2"/>
      <c r="I692" s="2"/>
      <c r="J692" s="2"/>
      <c r="K692" s="2"/>
      <c r="L692" s="2"/>
      <c r="M692" s="2"/>
      <c r="N692" s="2"/>
      <c r="O692" s="2"/>
      <c r="P692" s="2"/>
      <c r="Q692" s="2"/>
      <c r="R692" s="2"/>
      <c r="S692" s="2"/>
      <c r="T692" s="2"/>
      <c r="U692" s="2"/>
      <c r="V692" s="2"/>
      <c r="X692" s="547"/>
      <c r="Y692" s="547"/>
      <c r="Z692" s="547"/>
    </row>
    <row r="693" spans="1:26">
      <c r="A693" s="2"/>
      <c r="C693" s="546"/>
      <c r="E693" s="546"/>
      <c r="F693" s="546"/>
      <c r="G693" s="2"/>
      <c r="H693" s="2"/>
      <c r="I693" s="2"/>
      <c r="J693" s="2"/>
      <c r="K693" s="2"/>
      <c r="L693" s="2"/>
      <c r="M693" s="2"/>
      <c r="N693" s="2"/>
      <c r="O693" s="2"/>
      <c r="P693" s="2"/>
      <c r="Q693" s="2"/>
      <c r="R693" s="2"/>
      <c r="S693" s="2"/>
      <c r="T693" s="2"/>
      <c r="U693" s="2"/>
      <c r="V693" s="2"/>
      <c r="X693" s="547"/>
      <c r="Y693" s="547"/>
      <c r="Z693" s="547"/>
    </row>
    <row r="694" spans="1:26">
      <c r="A694" s="2"/>
      <c r="C694" s="546"/>
      <c r="E694" s="546"/>
      <c r="F694" s="546"/>
      <c r="G694" s="2"/>
      <c r="H694" s="2"/>
      <c r="I694" s="2"/>
      <c r="J694" s="2"/>
      <c r="K694" s="2"/>
      <c r="L694" s="2"/>
      <c r="M694" s="2"/>
      <c r="N694" s="2"/>
      <c r="O694" s="2"/>
      <c r="P694" s="2"/>
      <c r="Q694" s="2"/>
      <c r="R694" s="2"/>
      <c r="S694" s="2"/>
      <c r="T694" s="2"/>
      <c r="U694" s="2"/>
      <c r="V694" s="2"/>
      <c r="X694" s="547"/>
      <c r="Y694" s="547"/>
      <c r="Z694" s="547"/>
    </row>
    <row r="695" spans="1:26">
      <c r="A695" s="2"/>
      <c r="C695" s="546"/>
      <c r="E695" s="546"/>
      <c r="F695" s="546"/>
      <c r="G695" s="2"/>
      <c r="H695" s="2"/>
      <c r="I695" s="2"/>
      <c r="J695" s="2"/>
      <c r="K695" s="2"/>
      <c r="L695" s="2"/>
      <c r="M695" s="2"/>
      <c r="N695" s="2"/>
      <c r="O695" s="2"/>
      <c r="P695" s="2"/>
      <c r="Q695" s="2"/>
      <c r="R695" s="2"/>
      <c r="S695" s="2"/>
      <c r="T695" s="2"/>
      <c r="U695" s="2"/>
      <c r="V695" s="2"/>
      <c r="X695" s="547"/>
      <c r="Y695" s="547"/>
      <c r="Z695" s="547"/>
    </row>
    <row r="696" spans="1:26">
      <c r="A696" s="2"/>
      <c r="C696" s="546"/>
      <c r="E696" s="546"/>
      <c r="F696" s="546"/>
      <c r="G696" s="2"/>
      <c r="H696" s="2"/>
      <c r="I696" s="2"/>
      <c r="J696" s="2"/>
      <c r="K696" s="2"/>
      <c r="L696" s="2"/>
      <c r="M696" s="2"/>
      <c r="N696" s="2"/>
      <c r="O696" s="2"/>
      <c r="P696" s="2"/>
      <c r="Q696" s="2"/>
      <c r="R696" s="2"/>
      <c r="S696" s="2"/>
      <c r="T696" s="2"/>
      <c r="U696" s="2"/>
      <c r="V696" s="2"/>
      <c r="X696" s="547"/>
      <c r="Y696" s="547"/>
      <c r="Z696" s="547"/>
    </row>
    <row r="697" spans="1:26">
      <c r="A697" s="2"/>
      <c r="C697" s="546"/>
      <c r="E697" s="546"/>
      <c r="F697" s="546"/>
      <c r="G697" s="2"/>
      <c r="H697" s="2"/>
      <c r="I697" s="2"/>
      <c r="J697" s="2"/>
      <c r="K697" s="2"/>
      <c r="L697" s="2"/>
      <c r="M697" s="2"/>
      <c r="N697" s="2"/>
      <c r="O697" s="2"/>
      <c r="P697" s="2"/>
      <c r="Q697" s="2"/>
      <c r="R697" s="2"/>
      <c r="S697" s="2"/>
      <c r="T697" s="2"/>
      <c r="U697" s="2"/>
      <c r="V697" s="2"/>
      <c r="X697" s="547"/>
      <c r="Y697" s="547"/>
      <c r="Z697" s="547"/>
    </row>
    <row r="698" spans="1:26">
      <c r="A698" s="2"/>
      <c r="C698" s="546"/>
      <c r="E698" s="546"/>
      <c r="F698" s="546"/>
      <c r="G698" s="2"/>
      <c r="H698" s="2"/>
      <c r="I698" s="2"/>
      <c r="J698" s="2"/>
      <c r="K698" s="2"/>
      <c r="L698" s="2"/>
      <c r="M698" s="2"/>
      <c r="N698" s="2"/>
      <c r="O698" s="2"/>
      <c r="P698" s="2"/>
      <c r="Q698" s="2"/>
      <c r="R698" s="2"/>
      <c r="S698" s="2"/>
      <c r="T698" s="2"/>
      <c r="U698" s="2"/>
      <c r="V698" s="2"/>
      <c r="X698" s="547"/>
      <c r="Y698" s="547"/>
      <c r="Z698" s="547"/>
    </row>
    <row r="699" spans="1:26">
      <c r="A699" s="2"/>
      <c r="C699" s="546"/>
      <c r="E699" s="546"/>
      <c r="F699" s="546"/>
      <c r="G699" s="2"/>
      <c r="H699" s="2"/>
      <c r="I699" s="2"/>
      <c r="J699" s="2"/>
      <c r="K699" s="2"/>
      <c r="L699" s="2"/>
      <c r="M699" s="2"/>
      <c r="N699" s="2"/>
      <c r="O699" s="2"/>
      <c r="P699" s="2"/>
      <c r="Q699" s="2"/>
      <c r="R699" s="2"/>
      <c r="S699" s="2"/>
      <c r="T699" s="2"/>
      <c r="U699" s="2"/>
      <c r="V699" s="2"/>
      <c r="X699" s="547"/>
      <c r="Y699" s="547"/>
      <c r="Z699" s="547"/>
    </row>
    <row r="700" spans="1:26">
      <c r="A700" s="2"/>
      <c r="C700" s="546"/>
      <c r="E700" s="546"/>
      <c r="F700" s="546"/>
      <c r="G700" s="2"/>
      <c r="H700" s="2"/>
      <c r="I700" s="2"/>
      <c r="J700" s="2"/>
      <c r="K700" s="2"/>
      <c r="L700" s="2"/>
      <c r="M700" s="2"/>
      <c r="N700" s="2"/>
      <c r="O700" s="2"/>
      <c r="P700" s="2"/>
      <c r="Q700" s="2"/>
      <c r="R700" s="2"/>
      <c r="S700" s="2"/>
      <c r="T700" s="2"/>
      <c r="U700" s="2"/>
      <c r="V700" s="2"/>
      <c r="X700" s="547"/>
      <c r="Y700" s="547"/>
      <c r="Z700" s="547"/>
    </row>
    <row r="701" spans="1:26">
      <c r="A701" s="2"/>
      <c r="C701" s="546"/>
      <c r="E701" s="546"/>
      <c r="F701" s="546"/>
      <c r="G701" s="2"/>
      <c r="H701" s="2"/>
      <c r="I701" s="2"/>
      <c r="J701" s="2"/>
      <c r="K701" s="2"/>
      <c r="L701" s="2"/>
      <c r="M701" s="2"/>
      <c r="N701" s="2"/>
      <c r="O701" s="2"/>
      <c r="P701" s="2"/>
      <c r="Q701" s="2"/>
      <c r="R701" s="2"/>
      <c r="S701" s="2"/>
      <c r="T701" s="2"/>
      <c r="U701" s="2"/>
      <c r="V701" s="2"/>
      <c r="X701" s="547"/>
      <c r="Y701" s="547"/>
      <c r="Z701" s="547"/>
    </row>
    <row r="702" spans="1:26">
      <c r="A702" s="2"/>
      <c r="C702" s="546"/>
      <c r="E702" s="546"/>
      <c r="F702" s="546"/>
      <c r="G702" s="2"/>
      <c r="H702" s="2"/>
      <c r="I702" s="2"/>
      <c r="J702" s="2"/>
      <c r="K702" s="2"/>
      <c r="L702" s="2"/>
      <c r="M702" s="2"/>
      <c r="N702" s="2"/>
      <c r="O702" s="2"/>
      <c r="P702" s="2"/>
      <c r="Q702" s="2"/>
      <c r="R702" s="2"/>
      <c r="S702" s="2"/>
      <c r="T702" s="2"/>
      <c r="U702" s="2"/>
      <c r="V702" s="2"/>
      <c r="X702" s="547"/>
      <c r="Y702" s="547"/>
      <c r="Z702" s="547"/>
    </row>
    <row r="703" spans="1:26">
      <c r="A703" s="2"/>
      <c r="C703" s="546"/>
      <c r="E703" s="546"/>
      <c r="F703" s="546"/>
      <c r="G703" s="2"/>
      <c r="H703" s="2"/>
      <c r="I703" s="2"/>
      <c r="J703" s="2"/>
      <c r="K703" s="2"/>
      <c r="L703" s="2"/>
      <c r="M703" s="2"/>
      <c r="N703" s="2"/>
      <c r="O703" s="2"/>
      <c r="P703" s="2"/>
      <c r="Q703" s="2"/>
      <c r="R703" s="2"/>
      <c r="S703" s="2"/>
      <c r="T703" s="2"/>
      <c r="U703" s="2"/>
      <c r="V703" s="2"/>
      <c r="X703" s="547"/>
      <c r="Y703" s="547"/>
      <c r="Z703" s="547"/>
    </row>
    <row r="704" spans="1:26">
      <c r="A704" s="2"/>
      <c r="C704" s="546"/>
      <c r="E704" s="546"/>
      <c r="F704" s="546"/>
      <c r="G704" s="2"/>
      <c r="H704" s="2"/>
      <c r="I704" s="2"/>
      <c r="J704" s="2"/>
      <c r="K704" s="2"/>
      <c r="L704" s="2"/>
      <c r="M704" s="2"/>
      <c r="N704" s="2"/>
      <c r="O704" s="2"/>
      <c r="P704" s="2"/>
      <c r="Q704" s="2"/>
      <c r="R704" s="2"/>
      <c r="S704" s="2"/>
      <c r="T704" s="2"/>
      <c r="U704" s="2"/>
      <c r="V704" s="2"/>
      <c r="X704" s="547"/>
      <c r="Y704" s="547"/>
      <c r="Z704" s="547"/>
    </row>
    <row r="705" spans="1:26">
      <c r="A705" s="2"/>
      <c r="C705" s="546"/>
      <c r="E705" s="546"/>
      <c r="F705" s="546"/>
      <c r="G705" s="2"/>
      <c r="H705" s="2"/>
      <c r="I705" s="2"/>
      <c r="J705" s="2"/>
      <c r="K705" s="2"/>
      <c r="L705" s="2"/>
      <c r="M705" s="2"/>
      <c r="N705" s="2"/>
      <c r="O705" s="2"/>
      <c r="P705" s="2"/>
      <c r="Q705" s="2"/>
      <c r="R705" s="2"/>
      <c r="S705" s="2"/>
      <c r="T705" s="2"/>
      <c r="U705" s="2"/>
      <c r="V705" s="2"/>
      <c r="X705" s="547"/>
      <c r="Y705" s="547"/>
      <c r="Z705" s="547"/>
    </row>
    <row r="706" spans="1:26">
      <c r="A706" s="2"/>
      <c r="C706" s="546"/>
      <c r="E706" s="546"/>
      <c r="F706" s="546"/>
      <c r="G706" s="2"/>
      <c r="H706" s="2"/>
      <c r="I706" s="2"/>
      <c r="J706" s="2"/>
      <c r="K706" s="2"/>
      <c r="L706" s="2"/>
      <c r="M706" s="2"/>
      <c r="N706" s="2"/>
      <c r="O706" s="2"/>
      <c r="P706" s="2"/>
      <c r="Q706" s="2"/>
      <c r="R706" s="2"/>
      <c r="S706" s="2"/>
      <c r="T706" s="2"/>
      <c r="U706" s="2"/>
      <c r="V706" s="2"/>
      <c r="X706" s="547"/>
      <c r="Y706" s="547"/>
      <c r="Z706" s="547"/>
    </row>
    <row r="707" spans="1:26">
      <c r="A707" s="2"/>
      <c r="C707" s="546"/>
      <c r="E707" s="546"/>
      <c r="F707" s="546"/>
      <c r="G707" s="2"/>
      <c r="H707" s="2"/>
      <c r="I707" s="2"/>
      <c r="J707" s="2"/>
      <c r="K707" s="2"/>
      <c r="L707" s="2"/>
      <c r="M707" s="2"/>
      <c r="N707" s="2"/>
      <c r="O707" s="2"/>
      <c r="P707" s="2"/>
      <c r="Q707" s="2"/>
      <c r="R707" s="2"/>
      <c r="S707" s="2"/>
      <c r="T707" s="2"/>
      <c r="U707" s="2"/>
      <c r="V707" s="2"/>
      <c r="X707" s="547"/>
      <c r="Y707" s="547"/>
      <c r="Z707" s="547"/>
    </row>
    <row r="708" spans="1:26">
      <c r="A708" s="2"/>
      <c r="C708" s="546"/>
      <c r="E708" s="546"/>
      <c r="F708" s="546"/>
      <c r="G708" s="2"/>
      <c r="H708" s="2"/>
      <c r="I708" s="2"/>
      <c r="J708" s="2"/>
      <c r="K708" s="2"/>
      <c r="L708" s="2"/>
      <c r="M708" s="2"/>
      <c r="N708" s="2"/>
      <c r="O708" s="2"/>
      <c r="P708" s="2"/>
      <c r="Q708" s="2"/>
      <c r="R708" s="2"/>
      <c r="S708" s="2"/>
      <c r="T708" s="2"/>
      <c r="U708" s="2"/>
      <c r="V708" s="2"/>
      <c r="X708" s="547"/>
      <c r="Y708" s="547"/>
      <c r="Z708" s="547"/>
    </row>
    <row r="709" spans="1:26">
      <c r="A709" s="2"/>
      <c r="C709" s="546"/>
      <c r="E709" s="546"/>
      <c r="F709" s="546"/>
      <c r="G709" s="2"/>
      <c r="H709" s="2"/>
      <c r="I709" s="2"/>
      <c r="J709" s="2"/>
      <c r="K709" s="2"/>
      <c r="L709" s="2"/>
      <c r="M709" s="2"/>
      <c r="N709" s="2"/>
      <c r="O709" s="2"/>
      <c r="P709" s="2"/>
      <c r="Q709" s="2"/>
      <c r="R709" s="2"/>
      <c r="S709" s="2"/>
      <c r="T709" s="2"/>
      <c r="U709" s="2"/>
      <c r="V709" s="2"/>
      <c r="X709" s="547"/>
      <c r="Y709" s="547"/>
      <c r="Z709" s="547"/>
    </row>
    <row r="710" spans="1:26">
      <c r="A710" s="2"/>
      <c r="C710" s="546"/>
      <c r="E710" s="546"/>
      <c r="F710" s="546"/>
      <c r="G710" s="2"/>
      <c r="H710" s="2"/>
      <c r="I710" s="2"/>
      <c r="J710" s="2"/>
      <c r="K710" s="2"/>
      <c r="L710" s="2"/>
      <c r="M710" s="2"/>
      <c r="N710" s="2"/>
      <c r="O710" s="2"/>
      <c r="P710" s="2"/>
      <c r="Q710" s="2"/>
      <c r="R710" s="2"/>
      <c r="S710" s="2"/>
      <c r="T710" s="2"/>
      <c r="U710" s="2"/>
      <c r="V710" s="2"/>
      <c r="X710" s="547"/>
      <c r="Y710" s="547"/>
      <c r="Z710" s="547"/>
    </row>
    <row r="711" spans="1:26">
      <c r="A711" s="2"/>
      <c r="C711" s="546"/>
      <c r="E711" s="546"/>
      <c r="F711" s="546"/>
      <c r="G711" s="2"/>
      <c r="H711" s="2"/>
      <c r="I711" s="2"/>
      <c r="J711" s="2"/>
      <c r="K711" s="2"/>
      <c r="L711" s="2"/>
      <c r="M711" s="2"/>
      <c r="N711" s="2"/>
      <c r="O711" s="2"/>
      <c r="P711" s="2"/>
      <c r="Q711" s="2"/>
      <c r="R711" s="2"/>
      <c r="S711" s="2"/>
      <c r="T711" s="2"/>
      <c r="U711" s="2"/>
      <c r="V711" s="2"/>
      <c r="X711" s="547"/>
      <c r="Y711" s="547"/>
      <c r="Z711" s="547"/>
    </row>
    <row r="712" spans="1:26">
      <c r="A712" s="2"/>
      <c r="C712" s="546"/>
      <c r="E712" s="546"/>
      <c r="F712" s="546"/>
      <c r="G712" s="2"/>
      <c r="H712" s="2"/>
      <c r="I712" s="2"/>
      <c r="J712" s="2"/>
      <c r="K712" s="2"/>
      <c r="L712" s="2"/>
      <c r="M712" s="2"/>
      <c r="N712" s="2"/>
      <c r="O712" s="2"/>
      <c r="P712" s="2"/>
      <c r="Q712" s="2"/>
      <c r="R712" s="2"/>
      <c r="S712" s="2"/>
      <c r="T712" s="2"/>
      <c r="U712" s="2"/>
      <c r="V712" s="2"/>
      <c r="X712" s="547"/>
      <c r="Y712" s="547"/>
      <c r="Z712" s="547"/>
    </row>
    <row r="713" spans="1:26">
      <c r="A713" s="2"/>
      <c r="C713" s="546"/>
      <c r="E713" s="546"/>
      <c r="F713" s="546"/>
      <c r="G713" s="2"/>
      <c r="H713" s="2"/>
      <c r="I713" s="2"/>
      <c r="J713" s="2"/>
      <c r="K713" s="2"/>
      <c r="L713" s="2"/>
      <c r="M713" s="2"/>
      <c r="N713" s="2"/>
      <c r="O713" s="2"/>
      <c r="P713" s="2"/>
      <c r="Q713" s="2"/>
      <c r="R713" s="2"/>
      <c r="S713" s="2"/>
      <c r="T713" s="2"/>
      <c r="U713" s="2"/>
      <c r="V713" s="2"/>
      <c r="X713" s="547"/>
      <c r="Y713" s="547"/>
      <c r="Z713" s="547"/>
    </row>
    <row r="714" spans="1:26">
      <c r="A714" s="2"/>
      <c r="C714" s="546"/>
      <c r="E714" s="546"/>
      <c r="F714" s="546"/>
      <c r="G714" s="2"/>
      <c r="H714" s="2"/>
      <c r="I714" s="2"/>
      <c r="J714" s="2"/>
      <c r="K714" s="2"/>
      <c r="L714" s="2"/>
      <c r="M714" s="2"/>
      <c r="N714" s="2"/>
      <c r="O714" s="2"/>
      <c r="P714" s="2"/>
      <c r="Q714" s="2"/>
      <c r="R714" s="2"/>
      <c r="S714" s="2"/>
      <c r="T714" s="2"/>
      <c r="U714" s="2"/>
      <c r="V714" s="2"/>
      <c r="X714" s="547"/>
      <c r="Y714" s="547"/>
      <c r="Z714" s="547"/>
    </row>
    <row r="715" spans="1:26">
      <c r="A715" s="2"/>
      <c r="C715" s="546"/>
      <c r="E715" s="546"/>
      <c r="F715" s="546"/>
      <c r="G715" s="2"/>
      <c r="H715" s="2"/>
      <c r="I715" s="2"/>
      <c r="J715" s="2"/>
      <c r="K715" s="2"/>
      <c r="L715" s="2"/>
      <c r="M715" s="2"/>
      <c r="N715" s="2"/>
      <c r="O715" s="2"/>
      <c r="P715" s="2"/>
      <c r="Q715" s="2"/>
      <c r="R715" s="2"/>
      <c r="S715" s="2"/>
      <c r="T715" s="2"/>
      <c r="U715" s="2"/>
      <c r="V715" s="2"/>
      <c r="X715" s="547"/>
      <c r="Y715" s="547"/>
      <c r="Z715" s="547"/>
    </row>
    <row r="716" spans="1:26">
      <c r="A716" s="2"/>
      <c r="C716" s="546"/>
      <c r="E716" s="546"/>
      <c r="F716" s="546"/>
      <c r="G716" s="2"/>
      <c r="H716" s="2"/>
      <c r="I716" s="2"/>
      <c r="J716" s="2"/>
      <c r="K716" s="2"/>
      <c r="L716" s="2"/>
      <c r="M716" s="2"/>
      <c r="N716" s="2"/>
      <c r="O716" s="2"/>
      <c r="P716" s="2"/>
      <c r="Q716" s="2"/>
      <c r="R716" s="2"/>
      <c r="S716" s="2"/>
      <c r="T716" s="2"/>
      <c r="U716" s="2"/>
      <c r="V716" s="2"/>
      <c r="X716" s="547"/>
      <c r="Y716" s="547"/>
      <c r="Z716" s="547"/>
    </row>
    <row r="717" spans="1:26">
      <c r="A717" s="2"/>
      <c r="C717" s="546"/>
      <c r="E717" s="546"/>
      <c r="F717" s="546"/>
      <c r="G717" s="2"/>
      <c r="H717" s="2"/>
      <c r="I717" s="2"/>
      <c r="J717" s="2"/>
      <c r="K717" s="2"/>
      <c r="L717" s="2"/>
      <c r="M717" s="2"/>
      <c r="N717" s="2"/>
      <c r="O717" s="2"/>
      <c r="P717" s="2"/>
      <c r="Q717" s="2"/>
      <c r="R717" s="2"/>
      <c r="S717" s="2"/>
      <c r="T717" s="2"/>
      <c r="U717" s="2"/>
      <c r="V717" s="2"/>
      <c r="X717" s="547"/>
      <c r="Y717" s="547"/>
      <c r="Z717" s="547"/>
    </row>
    <row r="718" spans="1:26">
      <c r="A718" s="2"/>
      <c r="C718" s="546"/>
      <c r="E718" s="546"/>
      <c r="F718" s="546"/>
      <c r="G718" s="2"/>
      <c r="H718" s="2"/>
      <c r="I718" s="2"/>
      <c r="J718" s="2"/>
      <c r="K718" s="2"/>
      <c r="L718" s="2"/>
      <c r="M718" s="2"/>
      <c r="N718" s="2"/>
      <c r="O718" s="2"/>
      <c r="P718" s="2"/>
      <c r="Q718" s="2"/>
      <c r="R718" s="2"/>
      <c r="S718" s="2"/>
      <c r="T718" s="2"/>
      <c r="U718" s="2"/>
      <c r="V718" s="2"/>
      <c r="X718" s="547"/>
      <c r="Y718" s="547"/>
      <c r="Z718" s="547"/>
    </row>
    <row r="719" spans="1:26">
      <c r="A719" s="2"/>
      <c r="C719" s="546"/>
      <c r="E719" s="546"/>
      <c r="F719" s="546"/>
      <c r="G719" s="2"/>
      <c r="H719" s="2"/>
      <c r="I719" s="2"/>
      <c r="J719" s="2"/>
      <c r="K719" s="2"/>
      <c r="L719" s="2"/>
      <c r="M719" s="2"/>
      <c r="N719" s="2"/>
      <c r="O719" s="2"/>
      <c r="P719" s="2"/>
      <c r="Q719" s="2"/>
      <c r="R719" s="2"/>
      <c r="S719" s="2"/>
      <c r="T719" s="2"/>
      <c r="U719" s="2"/>
      <c r="V719" s="2"/>
      <c r="X719" s="547"/>
      <c r="Y719" s="547"/>
      <c r="Z719" s="547"/>
    </row>
    <row r="720" spans="1:26">
      <c r="A720" s="2"/>
      <c r="C720" s="546"/>
      <c r="E720" s="546"/>
      <c r="F720" s="546"/>
      <c r="G720" s="2"/>
      <c r="H720" s="2"/>
      <c r="I720" s="2"/>
      <c r="J720" s="2"/>
      <c r="K720" s="2"/>
      <c r="L720" s="2"/>
      <c r="M720" s="2"/>
      <c r="N720" s="2"/>
      <c r="O720" s="2"/>
      <c r="P720" s="2"/>
      <c r="Q720" s="2"/>
      <c r="R720" s="2"/>
      <c r="S720" s="2"/>
      <c r="T720" s="2"/>
      <c r="U720" s="2"/>
      <c r="V720" s="2"/>
      <c r="X720" s="547"/>
      <c r="Y720" s="547"/>
      <c r="Z720" s="547"/>
    </row>
    <row r="721" spans="1:26">
      <c r="A721" s="2"/>
      <c r="C721" s="546"/>
      <c r="E721" s="546"/>
      <c r="F721" s="546"/>
      <c r="G721" s="2"/>
      <c r="H721" s="2"/>
      <c r="I721" s="2"/>
      <c r="J721" s="2"/>
      <c r="K721" s="2"/>
      <c r="L721" s="2"/>
      <c r="M721" s="2"/>
      <c r="N721" s="2"/>
      <c r="O721" s="2"/>
      <c r="P721" s="2"/>
      <c r="Q721" s="2"/>
      <c r="R721" s="2"/>
      <c r="S721" s="2"/>
      <c r="T721" s="2"/>
      <c r="U721" s="2"/>
      <c r="V721" s="2"/>
      <c r="X721" s="547"/>
      <c r="Y721" s="547"/>
      <c r="Z721" s="547"/>
    </row>
    <row r="722" spans="1:26">
      <c r="A722" s="2"/>
      <c r="C722" s="546"/>
      <c r="E722" s="546"/>
      <c r="F722" s="546"/>
      <c r="G722" s="2"/>
      <c r="H722" s="2"/>
      <c r="I722" s="2"/>
      <c r="J722" s="2"/>
      <c r="K722" s="2"/>
      <c r="L722" s="2"/>
      <c r="M722" s="2"/>
      <c r="N722" s="2"/>
      <c r="O722" s="2"/>
      <c r="P722" s="2"/>
      <c r="Q722" s="2"/>
      <c r="R722" s="2"/>
      <c r="S722" s="2"/>
      <c r="T722" s="2"/>
      <c r="U722" s="2"/>
      <c r="V722" s="2"/>
      <c r="X722" s="547"/>
      <c r="Y722" s="547"/>
      <c r="Z722" s="547"/>
    </row>
    <row r="723" spans="1:26">
      <c r="A723" s="2"/>
      <c r="C723" s="546"/>
      <c r="E723" s="546"/>
      <c r="F723" s="546"/>
      <c r="G723" s="2"/>
      <c r="H723" s="2"/>
      <c r="I723" s="2"/>
      <c r="J723" s="2"/>
      <c r="K723" s="2"/>
      <c r="L723" s="2"/>
      <c r="M723" s="2"/>
      <c r="N723" s="2"/>
      <c r="O723" s="2"/>
      <c r="P723" s="2"/>
      <c r="Q723" s="2"/>
      <c r="R723" s="2"/>
      <c r="S723" s="2"/>
      <c r="T723" s="2"/>
      <c r="U723" s="2"/>
      <c r="V723" s="2"/>
      <c r="X723" s="547"/>
      <c r="Y723" s="547"/>
      <c r="Z723" s="547"/>
    </row>
    <row r="724" spans="1:26">
      <c r="A724" s="2"/>
      <c r="C724" s="546"/>
      <c r="E724" s="546"/>
      <c r="F724" s="546"/>
      <c r="G724" s="2"/>
      <c r="H724" s="2"/>
      <c r="I724" s="2"/>
      <c r="J724" s="2"/>
      <c r="K724" s="2"/>
      <c r="L724" s="2"/>
      <c r="M724" s="2"/>
      <c r="N724" s="2"/>
      <c r="O724" s="2"/>
      <c r="P724" s="2"/>
      <c r="Q724" s="2"/>
      <c r="R724" s="2"/>
      <c r="S724" s="2"/>
      <c r="T724" s="2"/>
      <c r="U724" s="2"/>
      <c r="V724" s="2"/>
      <c r="X724" s="547"/>
      <c r="Y724" s="547"/>
      <c r="Z724" s="547"/>
    </row>
    <row r="725" spans="1:26">
      <c r="A725" s="2"/>
      <c r="C725" s="546"/>
      <c r="E725" s="546"/>
      <c r="F725" s="546"/>
      <c r="G725" s="2"/>
      <c r="H725" s="2"/>
      <c r="I725" s="2"/>
      <c r="J725" s="2"/>
      <c r="K725" s="2"/>
      <c r="L725" s="2"/>
      <c r="M725" s="2"/>
      <c r="N725" s="2"/>
      <c r="O725" s="2"/>
      <c r="P725" s="2"/>
      <c r="Q725" s="2"/>
      <c r="R725" s="2"/>
      <c r="S725" s="2"/>
      <c r="T725" s="2"/>
      <c r="U725" s="2"/>
      <c r="V725" s="2"/>
      <c r="X725" s="547"/>
      <c r="Y725" s="547"/>
      <c r="Z725" s="547"/>
    </row>
    <row r="726" spans="1:26">
      <c r="A726" s="2"/>
      <c r="C726" s="546"/>
      <c r="E726" s="546"/>
      <c r="F726" s="546"/>
      <c r="G726" s="2"/>
      <c r="H726" s="2"/>
      <c r="I726" s="2"/>
      <c r="J726" s="2"/>
      <c r="K726" s="2"/>
      <c r="L726" s="2"/>
      <c r="M726" s="2"/>
      <c r="N726" s="2"/>
      <c r="O726" s="2"/>
      <c r="P726" s="2"/>
      <c r="Q726" s="2"/>
      <c r="R726" s="2"/>
      <c r="S726" s="2"/>
      <c r="T726" s="2"/>
      <c r="U726" s="2"/>
      <c r="V726" s="2"/>
      <c r="X726" s="547"/>
      <c r="Y726" s="547"/>
      <c r="Z726" s="547"/>
    </row>
    <row r="727" spans="1:26">
      <c r="A727" s="2"/>
      <c r="C727" s="546"/>
      <c r="E727" s="546"/>
      <c r="F727" s="546"/>
      <c r="G727" s="2"/>
      <c r="H727" s="2"/>
      <c r="I727" s="2"/>
      <c r="J727" s="2"/>
      <c r="K727" s="2"/>
      <c r="L727" s="2"/>
      <c r="M727" s="2"/>
      <c r="N727" s="2"/>
      <c r="O727" s="2"/>
      <c r="P727" s="2"/>
      <c r="Q727" s="2"/>
      <c r="R727" s="2"/>
      <c r="S727" s="2"/>
      <c r="T727" s="2"/>
      <c r="U727" s="2"/>
      <c r="V727" s="2"/>
      <c r="X727" s="547"/>
      <c r="Y727" s="547"/>
      <c r="Z727" s="547"/>
    </row>
    <row r="728" spans="1:26">
      <c r="A728" s="2"/>
      <c r="C728" s="546"/>
      <c r="E728" s="546"/>
      <c r="F728" s="546"/>
      <c r="G728" s="2"/>
      <c r="H728" s="2"/>
      <c r="I728" s="2"/>
      <c r="J728" s="2"/>
      <c r="K728" s="2"/>
      <c r="L728" s="2"/>
      <c r="M728" s="2"/>
      <c r="N728" s="2"/>
      <c r="O728" s="2"/>
      <c r="P728" s="2"/>
      <c r="Q728" s="2"/>
      <c r="R728" s="2"/>
      <c r="S728" s="2"/>
      <c r="T728" s="2"/>
      <c r="U728" s="2"/>
      <c r="V728" s="2"/>
      <c r="X728" s="547"/>
      <c r="Y728" s="547"/>
      <c r="Z728" s="547"/>
    </row>
    <row r="729" spans="1:26">
      <c r="A729" s="2"/>
      <c r="C729" s="546"/>
      <c r="E729" s="546"/>
      <c r="F729" s="546"/>
      <c r="G729" s="2"/>
      <c r="H729" s="2"/>
      <c r="I729" s="2"/>
      <c r="J729" s="2"/>
      <c r="K729" s="2"/>
      <c r="L729" s="2"/>
      <c r="M729" s="2"/>
      <c r="N729" s="2"/>
      <c r="O729" s="2"/>
      <c r="P729" s="2"/>
      <c r="Q729" s="2"/>
      <c r="R729" s="2"/>
      <c r="S729" s="2"/>
      <c r="T729" s="2"/>
      <c r="U729" s="2"/>
      <c r="V729" s="2"/>
      <c r="X729" s="547"/>
      <c r="Y729" s="547"/>
      <c r="Z729" s="547"/>
    </row>
    <row r="730" spans="1:26">
      <c r="A730" s="2"/>
      <c r="C730" s="546"/>
      <c r="E730" s="546"/>
      <c r="F730" s="546"/>
      <c r="G730" s="2"/>
      <c r="H730" s="2"/>
      <c r="I730" s="2"/>
      <c r="J730" s="2"/>
      <c r="K730" s="2"/>
      <c r="L730" s="2"/>
      <c r="M730" s="2"/>
      <c r="N730" s="2"/>
      <c r="O730" s="2"/>
      <c r="P730" s="2"/>
      <c r="Q730" s="2"/>
      <c r="R730" s="2"/>
      <c r="S730" s="2"/>
      <c r="T730" s="2"/>
      <c r="U730" s="2"/>
      <c r="V730" s="2"/>
      <c r="X730" s="547"/>
      <c r="Y730" s="547"/>
      <c r="Z730" s="547"/>
    </row>
    <row r="731" spans="1:26">
      <c r="A731" s="2"/>
      <c r="C731" s="546"/>
      <c r="E731" s="546"/>
      <c r="F731" s="546"/>
      <c r="G731" s="2"/>
      <c r="H731" s="2"/>
      <c r="I731" s="2"/>
      <c r="J731" s="2"/>
      <c r="K731" s="2"/>
      <c r="L731" s="2"/>
      <c r="M731" s="2"/>
      <c r="N731" s="2"/>
      <c r="O731" s="2"/>
      <c r="P731" s="2"/>
      <c r="Q731" s="2"/>
      <c r="R731" s="2"/>
      <c r="S731" s="2"/>
      <c r="T731" s="2"/>
      <c r="U731" s="2"/>
      <c r="V731" s="2"/>
      <c r="X731" s="547"/>
      <c r="Y731" s="547"/>
      <c r="Z731" s="547"/>
    </row>
    <row r="732" spans="1:26">
      <c r="A732" s="2"/>
      <c r="C732" s="546"/>
      <c r="E732" s="546"/>
      <c r="F732" s="546"/>
      <c r="G732" s="2"/>
      <c r="H732" s="2"/>
      <c r="I732" s="2"/>
      <c r="J732" s="2"/>
      <c r="K732" s="2"/>
      <c r="L732" s="2"/>
      <c r="M732" s="2"/>
      <c r="N732" s="2"/>
      <c r="O732" s="2"/>
      <c r="P732" s="2"/>
      <c r="Q732" s="2"/>
      <c r="R732" s="2"/>
      <c r="S732" s="2"/>
      <c r="T732" s="2"/>
      <c r="U732" s="2"/>
      <c r="V732" s="2"/>
      <c r="X732" s="547"/>
      <c r="Y732" s="547"/>
      <c r="Z732" s="547"/>
    </row>
    <row r="733" spans="1:26">
      <c r="A733" s="2"/>
      <c r="C733" s="546"/>
      <c r="E733" s="546"/>
      <c r="F733" s="546"/>
      <c r="G733" s="2"/>
      <c r="H733" s="2"/>
      <c r="I733" s="2"/>
      <c r="J733" s="2"/>
      <c r="K733" s="2"/>
      <c r="L733" s="2"/>
      <c r="M733" s="2"/>
      <c r="N733" s="2"/>
      <c r="O733" s="2"/>
      <c r="P733" s="2"/>
      <c r="Q733" s="2"/>
      <c r="R733" s="2"/>
      <c r="S733" s="2"/>
      <c r="T733" s="2"/>
      <c r="U733" s="2"/>
      <c r="V733" s="2"/>
      <c r="X733" s="547"/>
      <c r="Y733" s="547"/>
      <c r="Z733" s="547"/>
    </row>
    <row r="734" spans="1:26">
      <c r="A734" s="2"/>
      <c r="C734" s="546"/>
      <c r="E734" s="546"/>
      <c r="F734" s="546"/>
      <c r="G734" s="2"/>
      <c r="H734" s="2"/>
      <c r="I734" s="2"/>
      <c r="J734" s="2"/>
      <c r="K734" s="2"/>
      <c r="L734" s="2"/>
      <c r="M734" s="2"/>
      <c r="N734" s="2"/>
      <c r="O734" s="2"/>
      <c r="P734" s="2"/>
      <c r="Q734" s="2"/>
      <c r="R734" s="2"/>
      <c r="S734" s="2"/>
      <c r="T734" s="2"/>
      <c r="U734" s="2"/>
      <c r="V734" s="2"/>
      <c r="X734" s="547"/>
      <c r="Y734" s="547"/>
      <c r="Z734" s="547"/>
    </row>
    <row r="735" spans="1:26">
      <c r="A735" s="2"/>
      <c r="C735" s="546"/>
      <c r="E735" s="546"/>
      <c r="F735" s="546"/>
      <c r="G735" s="2"/>
      <c r="H735" s="2"/>
      <c r="I735" s="2"/>
      <c r="J735" s="2"/>
      <c r="K735" s="2"/>
      <c r="L735" s="2"/>
      <c r="M735" s="2"/>
      <c r="N735" s="2"/>
      <c r="O735" s="2"/>
      <c r="P735" s="2"/>
      <c r="Q735" s="2"/>
      <c r="R735" s="2"/>
      <c r="S735" s="2"/>
      <c r="T735" s="2"/>
      <c r="U735" s="2"/>
      <c r="V735" s="2"/>
      <c r="X735" s="547"/>
      <c r="Y735" s="547"/>
      <c r="Z735" s="547"/>
    </row>
    <row r="736" spans="1:26">
      <c r="A736" s="2"/>
      <c r="C736" s="546"/>
      <c r="E736" s="546"/>
      <c r="F736" s="546"/>
      <c r="G736" s="2"/>
      <c r="H736" s="2"/>
      <c r="I736" s="2"/>
      <c r="J736" s="2"/>
      <c r="K736" s="2"/>
      <c r="L736" s="2"/>
      <c r="M736" s="2"/>
      <c r="N736" s="2"/>
      <c r="O736" s="2"/>
      <c r="P736" s="2"/>
      <c r="Q736" s="2"/>
      <c r="R736" s="2"/>
      <c r="S736" s="2"/>
      <c r="T736" s="2"/>
      <c r="U736" s="2"/>
      <c r="V736" s="2"/>
      <c r="X736" s="547"/>
      <c r="Y736" s="547"/>
      <c r="Z736" s="547"/>
    </row>
    <row r="737" spans="1:26">
      <c r="A737" s="2"/>
      <c r="C737" s="546"/>
      <c r="E737" s="546"/>
      <c r="F737" s="546"/>
      <c r="G737" s="2"/>
      <c r="H737" s="2"/>
      <c r="I737" s="2"/>
      <c r="J737" s="2"/>
      <c r="K737" s="2"/>
      <c r="L737" s="2"/>
      <c r="M737" s="2"/>
      <c r="N737" s="2"/>
      <c r="O737" s="2"/>
      <c r="P737" s="2"/>
      <c r="Q737" s="2"/>
      <c r="R737" s="2"/>
      <c r="S737" s="2"/>
      <c r="T737" s="2"/>
      <c r="U737" s="2"/>
      <c r="V737" s="2"/>
      <c r="X737" s="547"/>
      <c r="Y737" s="547"/>
      <c r="Z737" s="547"/>
    </row>
    <row r="738" spans="1:26">
      <c r="A738" s="2"/>
      <c r="C738" s="546"/>
      <c r="E738" s="546"/>
      <c r="F738" s="546"/>
      <c r="G738" s="2"/>
      <c r="H738" s="2"/>
      <c r="I738" s="2"/>
      <c r="J738" s="2"/>
      <c r="K738" s="2"/>
      <c r="L738" s="2"/>
      <c r="M738" s="2"/>
      <c r="N738" s="2"/>
      <c r="O738" s="2"/>
      <c r="P738" s="2"/>
      <c r="Q738" s="2"/>
      <c r="R738" s="2"/>
      <c r="S738" s="2"/>
      <c r="T738" s="2"/>
      <c r="U738" s="2"/>
      <c r="V738" s="2"/>
      <c r="X738" s="547"/>
      <c r="Y738" s="547"/>
      <c r="Z738" s="547"/>
    </row>
    <row r="739" spans="1:26">
      <c r="A739" s="2"/>
      <c r="C739" s="546"/>
      <c r="E739" s="546"/>
      <c r="F739" s="546"/>
      <c r="G739" s="2"/>
      <c r="H739" s="2"/>
      <c r="I739" s="2"/>
      <c r="J739" s="2"/>
      <c r="K739" s="2"/>
      <c r="L739" s="2"/>
      <c r="M739" s="2"/>
      <c r="N739" s="2"/>
      <c r="O739" s="2"/>
      <c r="P739" s="2"/>
      <c r="Q739" s="2"/>
      <c r="R739" s="2"/>
      <c r="S739" s="2"/>
      <c r="T739" s="2"/>
      <c r="U739" s="2"/>
      <c r="V739" s="2"/>
      <c r="X739" s="547"/>
      <c r="Y739" s="547"/>
      <c r="Z739" s="547"/>
    </row>
    <row r="740" spans="1:26">
      <c r="A740" s="2"/>
      <c r="C740" s="546"/>
      <c r="E740" s="546"/>
      <c r="F740" s="546"/>
      <c r="G740" s="2"/>
      <c r="H740" s="2"/>
      <c r="I740" s="2"/>
      <c r="J740" s="2"/>
      <c r="K740" s="2"/>
      <c r="L740" s="2"/>
      <c r="M740" s="2"/>
      <c r="N740" s="2"/>
      <c r="O740" s="2"/>
      <c r="P740" s="2"/>
      <c r="Q740" s="2"/>
      <c r="R740" s="2"/>
      <c r="S740" s="2"/>
      <c r="T740" s="2"/>
      <c r="U740" s="2"/>
      <c r="V740" s="2"/>
      <c r="X740" s="547"/>
      <c r="Y740" s="547"/>
      <c r="Z740" s="547"/>
    </row>
    <row r="741" spans="1:26">
      <c r="A741" s="2"/>
      <c r="C741" s="546"/>
      <c r="E741" s="546"/>
      <c r="F741" s="546"/>
      <c r="G741" s="2"/>
      <c r="H741" s="2"/>
      <c r="I741" s="2"/>
      <c r="J741" s="2"/>
      <c r="K741" s="2"/>
      <c r="L741" s="2"/>
      <c r="M741" s="2"/>
      <c r="N741" s="2"/>
      <c r="O741" s="2"/>
      <c r="P741" s="2"/>
      <c r="Q741" s="2"/>
      <c r="R741" s="2"/>
      <c r="S741" s="2"/>
      <c r="T741" s="2"/>
      <c r="U741" s="2"/>
      <c r="V741" s="2"/>
      <c r="X741" s="547"/>
      <c r="Y741" s="547"/>
      <c r="Z741" s="547"/>
    </row>
    <row r="742" spans="1:26">
      <c r="A742" s="2"/>
      <c r="C742" s="546"/>
      <c r="E742" s="546"/>
      <c r="F742" s="546"/>
      <c r="G742" s="2"/>
      <c r="H742" s="2"/>
      <c r="I742" s="2"/>
      <c r="J742" s="2"/>
      <c r="K742" s="2"/>
      <c r="L742" s="2"/>
      <c r="M742" s="2"/>
      <c r="N742" s="2"/>
      <c r="O742" s="2"/>
      <c r="P742" s="2"/>
      <c r="Q742" s="2"/>
      <c r="R742" s="2"/>
      <c r="S742" s="2"/>
      <c r="T742" s="2"/>
      <c r="U742" s="2"/>
      <c r="V742" s="2"/>
      <c r="X742" s="547"/>
      <c r="Y742" s="547"/>
      <c r="Z742" s="547"/>
    </row>
    <row r="743" spans="1:26">
      <c r="A743" s="2"/>
      <c r="C743" s="546"/>
      <c r="E743" s="546"/>
      <c r="F743" s="546"/>
      <c r="G743" s="2"/>
      <c r="H743" s="2"/>
      <c r="I743" s="2"/>
      <c r="J743" s="2"/>
      <c r="K743" s="2"/>
      <c r="L743" s="2"/>
      <c r="M743" s="2"/>
      <c r="N743" s="2"/>
      <c r="O743" s="2"/>
      <c r="P743" s="2"/>
      <c r="Q743" s="2"/>
      <c r="R743" s="2"/>
      <c r="S743" s="2"/>
      <c r="T743" s="2"/>
      <c r="U743" s="2"/>
      <c r="V743" s="2"/>
      <c r="X743" s="547"/>
      <c r="Y743" s="547"/>
      <c r="Z743" s="547"/>
    </row>
    <row r="744" spans="1:26">
      <c r="A744" s="2"/>
      <c r="C744" s="546"/>
      <c r="E744" s="546"/>
      <c r="F744" s="546"/>
      <c r="G744" s="2"/>
      <c r="H744" s="2"/>
      <c r="I744" s="2"/>
      <c r="J744" s="2"/>
      <c r="K744" s="2"/>
      <c r="L744" s="2"/>
      <c r="M744" s="2"/>
      <c r="N744" s="2"/>
      <c r="O744" s="2"/>
      <c r="P744" s="2"/>
      <c r="Q744" s="2"/>
      <c r="R744" s="2"/>
      <c r="S744" s="2"/>
      <c r="T744" s="2"/>
      <c r="U744" s="2"/>
      <c r="V744" s="2"/>
      <c r="X744" s="547"/>
      <c r="Y744" s="547"/>
      <c r="Z744" s="547"/>
    </row>
    <row r="745" spans="1:26">
      <c r="A745" s="2"/>
      <c r="C745" s="546"/>
      <c r="E745" s="546"/>
      <c r="F745" s="546"/>
      <c r="G745" s="2"/>
      <c r="H745" s="2"/>
      <c r="I745" s="2"/>
      <c r="J745" s="2"/>
      <c r="K745" s="2"/>
      <c r="L745" s="2"/>
      <c r="M745" s="2"/>
      <c r="N745" s="2"/>
      <c r="O745" s="2"/>
      <c r="P745" s="2"/>
      <c r="Q745" s="2"/>
      <c r="R745" s="2"/>
      <c r="S745" s="2"/>
      <c r="T745" s="2"/>
      <c r="U745" s="2"/>
      <c r="V745" s="2"/>
      <c r="X745" s="547"/>
      <c r="Y745" s="547"/>
      <c r="Z745" s="547"/>
    </row>
    <row r="746" spans="1:26">
      <c r="A746" s="2"/>
      <c r="C746" s="546"/>
      <c r="E746" s="546"/>
      <c r="F746" s="546"/>
      <c r="G746" s="2"/>
      <c r="H746" s="2"/>
      <c r="I746" s="2"/>
      <c r="J746" s="2"/>
      <c r="K746" s="2"/>
      <c r="L746" s="2"/>
      <c r="M746" s="2"/>
      <c r="N746" s="2"/>
      <c r="O746" s="2"/>
      <c r="P746" s="2"/>
      <c r="Q746" s="2"/>
      <c r="R746" s="2"/>
      <c r="S746" s="2"/>
      <c r="T746" s="2"/>
      <c r="U746" s="2"/>
      <c r="V746" s="2"/>
      <c r="X746" s="547"/>
      <c r="Y746" s="547"/>
      <c r="Z746" s="547"/>
    </row>
    <row r="747" spans="1:26">
      <c r="A747" s="2"/>
      <c r="C747" s="546"/>
      <c r="E747" s="546"/>
      <c r="F747" s="546"/>
      <c r="G747" s="2"/>
      <c r="H747" s="2"/>
      <c r="I747" s="2"/>
      <c r="J747" s="2"/>
      <c r="K747" s="2"/>
      <c r="L747" s="2"/>
      <c r="M747" s="2"/>
      <c r="N747" s="2"/>
      <c r="O747" s="2"/>
      <c r="P747" s="2"/>
      <c r="Q747" s="2"/>
      <c r="R747" s="2"/>
      <c r="S747" s="2"/>
      <c r="T747" s="2"/>
      <c r="U747" s="2"/>
      <c r="V747" s="2"/>
      <c r="X747" s="547"/>
      <c r="Y747" s="547"/>
      <c r="Z747" s="547"/>
    </row>
    <row r="748" spans="1:26">
      <c r="A748" s="2"/>
      <c r="C748" s="546"/>
      <c r="E748" s="546"/>
      <c r="F748" s="546"/>
      <c r="G748" s="2"/>
      <c r="H748" s="2"/>
      <c r="I748" s="2"/>
      <c r="J748" s="2"/>
      <c r="K748" s="2"/>
      <c r="L748" s="2"/>
      <c r="M748" s="2"/>
      <c r="N748" s="2"/>
      <c r="O748" s="2"/>
      <c r="P748" s="2"/>
      <c r="Q748" s="2"/>
      <c r="R748" s="2"/>
      <c r="S748" s="2"/>
      <c r="T748" s="2"/>
      <c r="U748" s="2"/>
      <c r="V748" s="2"/>
      <c r="X748" s="547"/>
      <c r="Y748" s="547"/>
      <c r="Z748" s="547"/>
    </row>
    <row r="749" spans="1:26">
      <c r="A749" s="2"/>
      <c r="C749" s="546"/>
      <c r="E749" s="546"/>
      <c r="F749" s="546"/>
      <c r="G749" s="2"/>
      <c r="H749" s="2"/>
      <c r="I749" s="2"/>
      <c r="J749" s="2"/>
      <c r="K749" s="2"/>
      <c r="L749" s="2"/>
      <c r="M749" s="2"/>
      <c r="N749" s="2"/>
      <c r="O749" s="2"/>
      <c r="P749" s="2"/>
      <c r="Q749" s="2"/>
      <c r="R749" s="2"/>
      <c r="S749" s="2"/>
      <c r="T749" s="2"/>
      <c r="U749" s="2"/>
      <c r="V749" s="2"/>
      <c r="X749" s="547"/>
      <c r="Y749" s="547"/>
      <c r="Z749" s="547"/>
    </row>
    <row r="750" spans="1:26">
      <c r="A750" s="2"/>
      <c r="C750" s="546"/>
      <c r="E750" s="546"/>
      <c r="F750" s="546"/>
      <c r="G750" s="2"/>
      <c r="H750" s="2"/>
      <c r="I750" s="2"/>
      <c r="J750" s="2"/>
      <c r="K750" s="2"/>
      <c r="L750" s="2"/>
      <c r="M750" s="2"/>
      <c r="N750" s="2"/>
      <c r="O750" s="2"/>
      <c r="P750" s="2"/>
      <c r="Q750" s="2"/>
      <c r="R750" s="2"/>
      <c r="S750" s="2"/>
      <c r="T750" s="2"/>
      <c r="U750" s="2"/>
      <c r="V750" s="2"/>
      <c r="X750" s="547"/>
      <c r="Y750" s="547"/>
      <c r="Z750" s="547"/>
    </row>
    <row r="751" spans="1:26">
      <c r="A751" s="2"/>
      <c r="C751" s="546"/>
      <c r="E751" s="546"/>
      <c r="F751" s="546"/>
      <c r="G751" s="2"/>
      <c r="H751" s="2"/>
      <c r="I751" s="2"/>
      <c r="J751" s="2"/>
      <c r="K751" s="2"/>
      <c r="L751" s="2"/>
      <c r="M751" s="2"/>
      <c r="N751" s="2"/>
      <c r="O751" s="2"/>
      <c r="P751" s="2"/>
      <c r="Q751" s="2"/>
      <c r="R751" s="2"/>
      <c r="S751" s="2"/>
      <c r="T751" s="2"/>
      <c r="U751" s="2"/>
      <c r="V751" s="2"/>
      <c r="X751" s="547"/>
      <c r="Y751" s="547"/>
      <c r="Z751" s="547"/>
    </row>
    <row r="752" spans="1:26">
      <c r="A752" s="2"/>
      <c r="C752" s="546"/>
      <c r="E752" s="546"/>
      <c r="F752" s="546"/>
      <c r="G752" s="2"/>
      <c r="H752" s="2"/>
      <c r="I752" s="2"/>
      <c r="J752" s="2"/>
      <c r="K752" s="2"/>
      <c r="L752" s="2"/>
      <c r="M752" s="2"/>
      <c r="N752" s="2"/>
      <c r="O752" s="2"/>
      <c r="P752" s="2"/>
      <c r="Q752" s="2"/>
      <c r="R752" s="2"/>
      <c r="S752" s="2"/>
      <c r="T752" s="2"/>
      <c r="U752" s="2"/>
      <c r="V752" s="2"/>
      <c r="X752" s="547"/>
      <c r="Y752" s="547"/>
      <c r="Z752" s="547"/>
    </row>
    <row r="753" spans="1:26">
      <c r="A753" s="2"/>
      <c r="C753" s="546"/>
      <c r="E753" s="546"/>
      <c r="F753" s="546"/>
      <c r="G753" s="2"/>
      <c r="H753" s="2"/>
      <c r="I753" s="2"/>
      <c r="J753" s="2"/>
      <c r="K753" s="2"/>
      <c r="L753" s="2"/>
      <c r="M753" s="2"/>
      <c r="N753" s="2"/>
      <c r="O753" s="2"/>
      <c r="P753" s="2"/>
      <c r="Q753" s="2"/>
      <c r="R753" s="2"/>
      <c r="S753" s="2"/>
      <c r="T753" s="2"/>
      <c r="U753" s="2"/>
      <c r="V753" s="2"/>
      <c r="X753" s="547"/>
      <c r="Y753" s="547"/>
      <c r="Z753" s="547"/>
    </row>
    <row r="754" spans="1:26">
      <c r="A754" s="2"/>
      <c r="C754" s="546"/>
      <c r="E754" s="546"/>
      <c r="F754" s="546"/>
      <c r="G754" s="2"/>
      <c r="H754" s="2"/>
      <c r="I754" s="2"/>
      <c r="J754" s="2"/>
      <c r="K754" s="2"/>
      <c r="L754" s="2"/>
      <c r="M754" s="2"/>
      <c r="N754" s="2"/>
      <c r="O754" s="2"/>
      <c r="P754" s="2"/>
      <c r="Q754" s="2"/>
      <c r="R754" s="2"/>
      <c r="S754" s="2"/>
      <c r="T754" s="2"/>
      <c r="U754" s="2"/>
      <c r="V754" s="2"/>
      <c r="X754" s="547"/>
      <c r="Y754" s="547"/>
      <c r="Z754" s="547"/>
    </row>
    <row r="755" spans="1:26">
      <c r="A755" s="2"/>
      <c r="C755" s="546"/>
      <c r="E755" s="546"/>
      <c r="F755" s="546"/>
      <c r="G755" s="2"/>
      <c r="H755" s="2"/>
      <c r="I755" s="2"/>
      <c r="J755" s="2"/>
      <c r="K755" s="2"/>
      <c r="L755" s="2"/>
      <c r="M755" s="2"/>
      <c r="N755" s="2"/>
      <c r="O755" s="2"/>
      <c r="P755" s="2"/>
      <c r="Q755" s="2"/>
      <c r="R755" s="2"/>
      <c r="S755" s="2"/>
      <c r="T755" s="2"/>
      <c r="U755" s="2"/>
      <c r="V755" s="2"/>
      <c r="X755" s="547"/>
      <c r="Y755" s="547"/>
      <c r="Z755" s="547"/>
    </row>
    <row r="756" spans="1:26">
      <c r="A756" s="2"/>
      <c r="C756" s="546"/>
      <c r="E756" s="546"/>
      <c r="F756" s="546"/>
      <c r="G756" s="2"/>
      <c r="H756" s="2"/>
      <c r="I756" s="2"/>
      <c r="J756" s="2"/>
      <c r="K756" s="2"/>
      <c r="L756" s="2"/>
      <c r="M756" s="2"/>
      <c r="N756" s="2"/>
      <c r="O756" s="2"/>
      <c r="P756" s="2"/>
      <c r="Q756" s="2"/>
      <c r="R756" s="2"/>
      <c r="S756" s="2"/>
      <c r="T756" s="2"/>
      <c r="U756" s="2"/>
      <c r="V756" s="2"/>
      <c r="X756" s="547"/>
      <c r="Y756" s="547"/>
      <c r="Z756" s="547"/>
    </row>
    <row r="757" spans="1:26">
      <c r="A757" s="2"/>
      <c r="C757" s="546"/>
      <c r="E757" s="546"/>
      <c r="F757" s="546"/>
      <c r="G757" s="2"/>
      <c r="H757" s="2"/>
      <c r="I757" s="2"/>
      <c r="J757" s="2"/>
      <c r="K757" s="2"/>
      <c r="L757" s="2"/>
      <c r="M757" s="2"/>
      <c r="N757" s="2"/>
      <c r="O757" s="2"/>
      <c r="P757" s="2"/>
      <c r="Q757" s="2"/>
      <c r="R757" s="2"/>
      <c r="S757" s="2"/>
      <c r="T757" s="2"/>
      <c r="U757" s="2"/>
      <c r="V757" s="2"/>
      <c r="X757" s="547"/>
      <c r="Y757" s="547"/>
      <c r="Z757" s="547"/>
    </row>
    <row r="758" spans="1:26">
      <c r="A758" s="2"/>
      <c r="C758" s="546"/>
      <c r="E758" s="546"/>
      <c r="F758" s="546"/>
      <c r="G758" s="2"/>
      <c r="H758" s="2"/>
      <c r="I758" s="2"/>
      <c r="J758" s="2"/>
      <c r="K758" s="2"/>
      <c r="L758" s="2"/>
      <c r="M758" s="2"/>
      <c r="N758" s="2"/>
      <c r="O758" s="2"/>
      <c r="P758" s="2"/>
      <c r="Q758" s="2"/>
      <c r="R758" s="2"/>
      <c r="S758" s="2"/>
      <c r="T758" s="2"/>
      <c r="U758" s="2"/>
      <c r="V758" s="2"/>
      <c r="X758" s="547"/>
      <c r="Y758" s="547"/>
      <c r="Z758" s="547"/>
    </row>
    <row r="759" spans="1:26">
      <c r="A759" s="2"/>
      <c r="C759" s="546"/>
      <c r="E759" s="546"/>
      <c r="F759" s="546"/>
      <c r="G759" s="2"/>
      <c r="H759" s="2"/>
      <c r="I759" s="2"/>
      <c r="J759" s="2"/>
      <c r="K759" s="2"/>
      <c r="L759" s="2"/>
      <c r="M759" s="2"/>
      <c r="N759" s="2"/>
      <c r="O759" s="2"/>
      <c r="P759" s="2"/>
      <c r="Q759" s="2"/>
      <c r="R759" s="2"/>
      <c r="S759" s="2"/>
      <c r="T759" s="2"/>
      <c r="U759" s="2"/>
      <c r="V759" s="2"/>
      <c r="X759" s="547"/>
      <c r="Y759" s="547"/>
      <c r="Z759" s="547"/>
    </row>
    <row r="760" spans="1:26">
      <c r="A760" s="2"/>
      <c r="C760" s="546"/>
      <c r="E760" s="546"/>
      <c r="F760" s="546"/>
      <c r="G760" s="2"/>
      <c r="H760" s="2"/>
      <c r="I760" s="2"/>
      <c r="J760" s="2"/>
      <c r="K760" s="2"/>
      <c r="L760" s="2"/>
      <c r="M760" s="2"/>
      <c r="N760" s="2"/>
      <c r="O760" s="2"/>
      <c r="P760" s="2"/>
      <c r="Q760" s="2"/>
      <c r="R760" s="2"/>
      <c r="S760" s="2"/>
      <c r="T760" s="2"/>
      <c r="U760" s="2"/>
      <c r="V760" s="2"/>
      <c r="X760" s="547"/>
      <c r="Y760" s="547"/>
      <c r="Z760" s="547"/>
    </row>
    <row r="761" spans="1:26">
      <c r="A761" s="2"/>
      <c r="C761" s="546"/>
      <c r="E761" s="546"/>
      <c r="F761" s="546"/>
      <c r="G761" s="2"/>
      <c r="H761" s="2"/>
      <c r="I761" s="2"/>
      <c r="J761" s="2"/>
      <c r="K761" s="2"/>
      <c r="L761" s="2"/>
      <c r="M761" s="2"/>
      <c r="N761" s="2"/>
      <c r="O761" s="2"/>
      <c r="P761" s="2"/>
      <c r="Q761" s="2"/>
      <c r="R761" s="2"/>
      <c r="S761" s="2"/>
      <c r="T761" s="2"/>
      <c r="U761" s="2"/>
      <c r="V761" s="2"/>
      <c r="X761" s="547"/>
      <c r="Y761" s="547"/>
      <c r="Z761" s="547"/>
    </row>
    <row r="762" spans="1:26">
      <c r="A762" s="2"/>
      <c r="C762" s="546"/>
      <c r="E762" s="546"/>
      <c r="F762" s="546"/>
      <c r="G762" s="2"/>
      <c r="H762" s="2"/>
      <c r="I762" s="2"/>
      <c r="J762" s="2"/>
      <c r="K762" s="2"/>
      <c r="L762" s="2"/>
      <c r="M762" s="2"/>
      <c r="N762" s="2"/>
      <c r="O762" s="2"/>
      <c r="P762" s="2"/>
      <c r="Q762" s="2"/>
      <c r="R762" s="2"/>
      <c r="S762" s="2"/>
      <c r="T762" s="2"/>
      <c r="U762" s="2"/>
      <c r="V762" s="2"/>
      <c r="X762" s="547"/>
      <c r="Y762" s="547"/>
      <c r="Z762" s="547"/>
    </row>
    <row r="763" spans="1:26">
      <c r="A763" s="2"/>
      <c r="C763" s="546"/>
      <c r="E763" s="546"/>
      <c r="F763" s="546"/>
      <c r="G763" s="2"/>
      <c r="H763" s="2"/>
      <c r="I763" s="2"/>
      <c r="J763" s="2"/>
      <c r="K763" s="2"/>
      <c r="L763" s="2"/>
      <c r="M763" s="2"/>
      <c r="N763" s="2"/>
      <c r="O763" s="2"/>
      <c r="P763" s="2"/>
      <c r="Q763" s="2"/>
      <c r="R763" s="2"/>
      <c r="S763" s="2"/>
      <c r="T763" s="2"/>
      <c r="U763" s="2"/>
      <c r="V763" s="2"/>
      <c r="X763" s="547"/>
      <c r="Y763" s="547"/>
      <c r="Z763" s="547"/>
    </row>
    <row r="764" spans="1:26">
      <c r="A764" s="2"/>
      <c r="C764" s="546"/>
      <c r="E764" s="546"/>
      <c r="F764" s="546"/>
      <c r="G764" s="2"/>
      <c r="H764" s="2"/>
      <c r="I764" s="2"/>
      <c r="J764" s="2"/>
      <c r="K764" s="2"/>
      <c r="L764" s="2"/>
      <c r="M764" s="2"/>
      <c r="N764" s="2"/>
      <c r="O764" s="2"/>
      <c r="P764" s="2"/>
      <c r="Q764" s="2"/>
      <c r="R764" s="2"/>
      <c r="S764" s="2"/>
      <c r="T764" s="2"/>
      <c r="U764" s="2"/>
      <c r="V764" s="2"/>
      <c r="X764" s="547"/>
      <c r="Y764" s="547"/>
      <c r="Z764" s="547"/>
    </row>
    <row r="765" spans="1:26">
      <c r="A765" s="2"/>
      <c r="C765" s="546"/>
      <c r="E765" s="546"/>
      <c r="F765" s="546"/>
      <c r="G765" s="2"/>
      <c r="H765" s="2"/>
      <c r="I765" s="2"/>
      <c r="J765" s="2"/>
      <c r="K765" s="2"/>
      <c r="L765" s="2"/>
      <c r="M765" s="2"/>
      <c r="N765" s="2"/>
      <c r="O765" s="2"/>
      <c r="P765" s="2"/>
      <c r="Q765" s="2"/>
      <c r="R765" s="2"/>
      <c r="S765" s="2"/>
      <c r="T765" s="2"/>
      <c r="U765" s="2"/>
      <c r="V765" s="2"/>
      <c r="X765" s="547"/>
      <c r="Y765" s="547"/>
      <c r="Z765" s="547"/>
    </row>
    <row r="766" spans="1:26">
      <c r="A766" s="2"/>
      <c r="C766" s="546"/>
      <c r="E766" s="546"/>
      <c r="F766" s="546"/>
      <c r="G766" s="2"/>
      <c r="H766" s="2"/>
      <c r="I766" s="2"/>
      <c r="J766" s="2"/>
      <c r="K766" s="2"/>
      <c r="L766" s="2"/>
      <c r="M766" s="2"/>
      <c r="N766" s="2"/>
      <c r="O766" s="2"/>
      <c r="P766" s="2"/>
      <c r="Q766" s="2"/>
      <c r="R766" s="2"/>
      <c r="S766" s="2"/>
      <c r="T766" s="2"/>
      <c r="U766" s="2"/>
      <c r="V766" s="2"/>
      <c r="X766" s="547"/>
      <c r="Y766" s="547"/>
      <c r="Z766" s="547"/>
    </row>
    <row r="767" spans="1:26">
      <c r="A767" s="2"/>
      <c r="C767" s="546"/>
      <c r="E767" s="546"/>
      <c r="F767" s="546"/>
      <c r="G767" s="2"/>
      <c r="H767" s="2"/>
      <c r="I767" s="2"/>
      <c r="J767" s="2"/>
      <c r="K767" s="2"/>
      <c r="L767" s="2"/>
      <c r="M767" s="2"/>
      <c r="N767" s="2"/>
      <c r="O767" s="2"/>
      <c r="P767" s="2"/>
      <c r="Q767" s="2"/>
      <c r="R767" s="2"/>
      <c r="S767" s="2"/>
      <c r="T767" s="2"/>
      <c r="U767" s="2"/>
      <c r="V767" s="2"/>
      <c r="X767" s="547"/>
      <c r="Y767" s="547"/>
      <c r="Z767" s="547"/>
    </row>
    <row r="768" spans="1:26">
      <c r="A768" s="2"/>
      <c r="C768" s="546"/>
      <c r="E768" s="546"/>
      <c r="F768" s="546"/>
      <c r="G768" s="2"/>
      <c r="H768" s="2"/>
      <c r="I768" s="2"/>
      <c r="J768" s="2"/>
      <c r="K768" s="2"/>
      <c r="L768" s="2"/>
      <c r="M768" s="2"/>
      <c r="N768" s="2"/>
      <c r="O768" s="2"/>
      <c r="P768" s="2"/>
      <c r="Q768" s="2"/>
      <c r="R768" s="2"/>
      <c r="S768" s="2"/>
      <c r="T768" s="2"/>
      <c r="U768" s="2"/>
      <c r="V768" s="2"/>
      <c r="X768" s="547"/>
      <c r="Y768" s="547"/>
      <c r="Z768" s="547"/>
    </row>
    <row r="769" spans="1:26">
      <c r="A769" s="2"/>
      <c r="C769" s="546"/>
      <c r="E769" s="546"/>
      <c r="F769" s="546"/>
      <c r="G769" s="2"/>
      <c r="H769" s="2"/>
      <c r="I769" s="2"/>
      <c r="J769" s="2"/>
      <c r="K769" s="2"/>
      <c r="L769" s="2"/>
      <c r="M769" s="2"/>
      <c r="N769" s="2"/>
      <c r="O769" s="2"/>
      <c r="P769" s="2"/>
      <c r="Q769" s="2"/>
      <c r="R769" s="2"/>
      <c r="S769" s="2"/>
      <c r="T769" s="2"/>
      <c r="U769" s="2"/>
      <c r="V769" s="2"/>
      <c r="X769" s="547"/>
      <c r="Y769" s="547"/>
      <c r="Z769" s="547"/>
    </row>
    <row r="770" spans="1:26">
      <c r="A770" s="2"/>
      <c r="C770" s="546"/>
      <c r="E770" s="546"/>
      <c r="F770" s="546"/>
      <c r="G770" s="2"/>
      <c r="H770" s="2"/>
      <c r="I770" s="2"/>
      <c r="J770" s="2"/>
      <c r="K770" s="2"/>
      <c r="L770" s="2"/>
      <c r="M770" s="2"/>
      <c r="N770" s="2"/>
      <c r="O770" s="2"/>
      <c r="P770" s="2"/>
      <c r="Q770" s="2"/>
      <c r="R770" s="2"/>
      <c r="S770" s="2"/>
      <c r="T770" s="2"/>
      <c r="U770" s="2"/>
      <c r="V770" s="2"/>
      <c r="X770" s="547"/>
      <c r="Y770" s="547"/>
      <c r="Z770" s="547"/>
    </row>
    <row r="771" spans="1:26">
      <c r="A771" s="2"/>
      <c r="C771" s="546"/>
      <c r="E771" s="546"/>
      <c r="F771" s="546"/>
      <c r="G771" s="2"/>
      <c r="H771" s="2"/>
      <c r="I771" s="2"/>
      <c r="J771" s="2"/>
      <c r="K771" s="2"/>
      <c r="L771" s="2"/>
      <c r="M771" s="2"/>
      <c r="N771" s="2"/>
      <c r="O771" s="2"/>
      <c r="P771" s="2"/>
      <c r="Q771" s="2"/>
      <c r="R771" s="2"/>
      <c r="S771" s="2"/>
      <c r="T771" s="2"/>
      <c r="U771" s="2"/>
      <c r="V771" s="2"/>
      <c r="X771" s="547"/>
      <c r="Y771" s="547"/>
      <c r="Z771" s="547"/>
    </row>
    <row r="772" spans="1:26">
      <c r="A772" s="2"/>
      <c r="C772" s="546"/>
      <c r="E772" s="546"/>
      <c r="F772" s="546"/>
      <c r="G772" s="2"/>
      <c r="H772" s="2"/>
      <c r="I772" s="2"/>
      <c r="J772" s="2"/>
      <c r="K772" s="2"/>
      <c r="L772" s="2"/>
      <c r="M772" s="2"/>
      <c r="N772" s="2"/>
      <c r="O772" s="2"/>
      <c r="P772" s="2"/>
      <c r="Q772" s="2"/>
      <c r="R772" s="2"/>
      <c r="S772" s="2"/>
      <c r="T772" s="2"/>
      <c r="U772" s="2"/>
      <c r="V772" s="2"/>
      <c r="X772" s="547"/>
      <c r="Y772" s="547"/>
      <c r="Z772" s="547"/>
    </row>
    <row r="773" spans="1:26">
      <c r="A773" s="2"/>
      <c r="C773" s="546"/>
      <c r="E773" s="546"/>
      <c r="F773" s="546"/>
      <c r="G773" s="2"/>
      <c r="H773" s="2"/>
      <c r="I773" s="2"/>
      <c r="J773" s="2"/>
      <c r="K773" s="2"/>
      <c r="L773" s="2"/>
      <c r="M773" s="2"/>
      <c r="N773" s="2"/>
      <c r="O773" s="2"/>
      <c r="P773" s="2"/>
      <c r="Q773" s="2"/>
      <c r="R773" s="2"/>
      <c r="S773" s="2"/>
      <c r="T773" s="2"/>
      <c r="U773" s="2"/>
      <c r="V773" s="2"/>
      <c r="X773" s="547"/>
      <c r="Y773" s="547"/>
      <c r="Z773" s="547"/>
    </row>
    <row r="774" spans="1:26">
      <c r="A774" s="2"/>
      <c r="C774" s="546"/>
      <c r="E774" s="546"/>
      <c r="F774" s="546"/>
      <c r="G774" s="2"/>
      <c r="H774" s="2"/>
      <c r="I774" s="2"/>
      <c r="J774" s="2"/>
      <c r="K774" s="2"/>
      <c r="L774" s="2"/>
      <c r="M774" s="2"/>
      <c r="N774" s="2"/>
      <c r="O774" s="2"/>
      <c r="P774" s="2"/>
      <c r="Q774" s="2"/>
      <c r="R774" s="2"/>
      <c r="S774" s="2"/>
      <c r="T774" s="2"/>
      <c r="U774" s="2"/>
      <c r="V774" s="2"/>
      <c r="X774" s="547"/>
      <c r="Y774" s="547"/>
      <c r="Z774" s="547"/>
    </row>
    <row r="775" spans="1:26">
      <c r="A775" s="2"/>
      <c r="C775" s="546"/>
      <c r="E775" s="546"/>
      <c r="F775" s="546"/>
      <c r="G775" s="2"/>
      <c r="H775" s="2"/>
      <c r="I775" s="2"/>
      <c r="J775" s="2"/>
      <c r="K775" s="2"/>
      <c r="L775" s="2"/>
      <c r="M775" s="2"/>
      <c r="N775" s="2"/>
      <c r="O775" s="2"/>
      <c r="P775" s="2"/>
      <c r="Q775" s="2"/>
      <c r="R775" s="2"/>
      <c r="S775" s="2"/>
      <c r="T775" s="2"/>
      <c r="U775" s="2"/>
      <c r="V775" s="2"/>
      <c r="X775" s="547"/>
      <c r="Y775" s="547"/>
      <c r="Z775" s="547"/>
    </row>
    <row r="776" spans="1:26">
      <c r="A776" s="2"/>
      <c r="C776" s="546"/>
      <c r="E776" s="546"/>
      <c r="F776" s="546"/>
      <c r="G776" s="2"/>
      <c r="H776" s="2"/>
      <c r="I776" s="2"/>
      <c r="J776" s="2"/>
      <c r="K776" s="2"/>
      <c r="L776" s="2"/>
      <c r="M776" s="2"/>
      <c r="N776" s="2"/>
      <c r="O776" s="2"/>
      <c r="P776" s="2"/>
      <c r="Q776" s="2"/>
      <c r="R776" s="2"/>
      <c r="S776" s="2"/>
      <c r="T776" s="2"/>
      <c r="U776" s="2"/>
      <c r="V776" s="2"/>
      <c r="X776" s="547"/>
      <c r="Y776" s="547"/>
      <c r="Z776" s="547"/>
    </row>
    <row r="777" spans="1:26">
      <c r="A777" s="2"/>
      <c r="C777" s="546"/>
      <c r="E777" s="546"/>
      <c r="F777" s="546"/>
      <c r="G777" s="2"/>
      <c r="H777" s="2"/>
      <c r="I777" s="2"/>
      <c r="J777" s="2"/>
      <c r="K777" s="2"/>
      <c r="L777" s="2"/>
      <c r="M777" s="2"/>
      <c r="N777" s="2"/>
      <c r="O777" s="2"/>
      <c r="P777" s="2"/>
      <c r="Q777" s="2"/>
      <c r="R777" s="2"/>
      <c r="S777" s="2"/>
      <c r="T777" s="2"/>
      <c r="U777" s="2"/>
      <c r="V777" s="2"/>
      <c r="X777" s="547"/>
      <c r="Y777" s="547"/>
      <c r="Z777" s="547"/>
    </row>
    <row r="778" spans="1:26">
      <c r="A778" s="2"/>
      <c r="C778" s="546"/>
      <c r="E778" s="546"/>
      <c r="F778" s="546"/>
      <c r="G778" s="2"/>
      <c r="H778" s="2"/>
      <c r="I778" s="2"/>
      <c r="J778" s="2"/>
      <c r="K778" s="2"/>
      <c r="L778" s="2"/>
      <c r="M778" s="2"/>
      <c r="N778" s="2"/>
      <c r="O778" s="2"/>
      <c r="P778" s="2"/>
      <c r="Q778" s="2"/>
      <c r="R778" s="2"/>
      <c r="S778" s="2"/>
      <c r="T778" s="2"/>
      <c r="U778" s="2"/>
      <c r="V778" s="2"/>
      <c r="X778" s="547"/>
      <c r="Y778" s="547"/>
      <c r="Z778" s="547"/>
    </row>
    <row r="779" spans="1:26">
      <c r="A779" s="2"/>
      <c r="C779" s="546"/>
      <c r="E779" s="546"/>
      <c r="F779" s="546"/>
      <c r="G779" s="2"/>
      <c r="H779" s="2"/>
      <c r="I779" s="2"/>
      <c r="J779" s="2"/>
      <c r="K779" s="2"/>
      <c r="L779" s="2"/>
      <c r="M779" s="2"/>
      <c r="N779" s="2"/>
      <c r="O779" s="2"/>
      <c r="P779" s="2"/>
      <c r="Q779" s="2"/>
      <c r="R779" s="2"/>
      <c r="S779" s="2"/>
      <c r="T779" s="2"/>
      <c r="U779" s="2"/>
      <c r="V779" s="2"/>
      <c r="X779" s="547"/>
      <c r="Y779" s="547"/>
      <c r="Z779" s="547"/>
    </row>
    <row r="780" spans="1:26">
      <c r="A780" s="2"/>
      <c r="C780" s="546"/>
      <c r="E780" s="546"/>
      <c r="F780" s="546"/>
      <c r="G780" s="2"/>
      <c r="H780" s="2"/>
      <c r="I780" s="2"/>
      <c r="J780" s="2"/>
      <c r="K780" s="2"/>
      <c r="L780" s="2"/>
      <c r="M780" s="2"/>
      <c r="N780" s="2"/>
      <c r="O780" s="2"/>
      <c r="P780" s="2"/>
      <c r="Q780" s="2"/>
      <c r="R780" s="2"/>
      <c r="S780" s="2"/>
      <c r="T780" s="2"/>
      <c r="U780" s="2"/>
      <c r="V780" s="2"/>
      <c r="X780" s="547"/>
      <c r="Y780" s="547"/>
      <c r="Z780" s="547"/>
    </row>
    <row r="781" spans="1:26">
      <c r="A781" s="2"/>
      <c r="C781" s="546"/>
      <c r="E781" s="546"/>
      <c r="F781" s="546"/>
      <c r="G781" s="2"/>
      <c r="H781" s="2"/>
      <c r="I781" s="2"/>
      <c r="J781" s="2"/>
      <c r="K781" s="2"/>
      <c r="L781" s="2"/>
      <c r="M781" s="2"/>
      <c r="N781" s="2"/>
      <c r="O781" s="2"/>
      <c r="P781" s="2"/>
      <c r="Q781" s="2"/>
      <c r="R781" s="2"/>
      <c r="S781" s="2"/>
      <c r="T781" s="2"/>
      <c r="U781" s="2"/>
      <c r="V781" s="2"/>
      <c r="X781" s="547"/>
      <c r="Y781" s="547"/>
      <c r="Z781" s="547"/>
    </row>
    <row r="782" spans="1:26">
      <c r="A782" s="2"/>
      <c r="C782" s="546"/>
      <c r="E782" s="546"/>
      <c r="F782" s="546"/>
      <c r="G782" s="2"/>
      <c r="H782" s="2"/>
      <c r="I782" s="2"/>
      <c r="J782" s="2"/>
      <c r="K782" s="2"/>
      <c r="L782" s="2"/>
      <c r="M782" s="2"/>
      <c r="N782" s="2"/>
      <c r="O782" s="2"/>
      <c r="P782" s="2"/>
      <c r="Q782" s="2"/>
      <c r="R782" s="2"/>
      <c r="S782" s="2"/>
      <c r="T782" s="2"/>
      <c r="U782" s="2"/>
      <c r="V782" s="2"/>
      <c r="X782" s="547"/>
      <c r="Y782" s="547"/>
      <c r="Z782" s="547"/>
    </row>
    <row r="783" spans="1:26">
      <c r="A783" s="2"/>
      <c r="C783" s="546"/>
      <c r="E783" s="546"/>
      <c r="F783" s="546"/>
      <c r="G783" s="2"/>
      <c r="H783" s="2"/>
      <c r="I783" s="2"/>
      <c r="J783" s="2"/>
      <c r="K783" s="2"/>
      <c r="L783" s="2"/>
      <c r="M783" s="2"/>
      <c r="N783" s="2"/>
      <c r="O783" s="2"/>
      <c r="P783" s="2"/>
      <c r="Q783" s="2"/>
      <c r="R783" s="2"/>
      <c r="S783" s="2"/>
      <c r="T783" s="2"/>
      <c r="U783" s="2"/>
      <c r="V783" s="2"/>
      <c r="X783" s="547"/>
      <c r="Y783" s="547"/>
      <c r="Z783" s="547"/>
    </row>
    <row r="784" spans="1:26">
      <c r="A784" s="2"/>
      <c r="C784" s="546"/>
      <c r="E784" s="546"/>
      <c r="F784" s="546"/>
      <c r="G784" s="2"/>
      <c r="H784" s="2"/>
      <c r="I784" s="2"/>
      <c r="J784" s="2"/>
      <c r="K784" s="2"/>
      <c r="L784" s="2"/>
      <c r="M784" s="2"/>
      <c r="N784" s="2"/>
      <c r="O784" s="2"/>
      <c r="P784" s="2"/>
      <c r="Q784" s="2"/>
      <c r="R784" s="2"/>
      <c r="S784" s="2"/>
      <c r="T784" s="2"/>
      <c r="U784" s="2"/>
      <c r="V784" s="2"/>
      <c r="X784" s="547"/>
      <c r="Y784" s="547"/>
      <c r="Z784" s="547"/>
    </row>
    <row r="785" spans="1:26">
      <c r="A785" s="2"/>
      <c r="C785" s="546"/>
      <c r="E785" s="546"/>
      <c r="F785" s="546"/>
      <c r="G785" s="2"/>
      <c r="H785" s="2"/>
      <c r="I785" s="2"/>
      <c r="J785" s="2"/>
      <c r="K785" s="2"/>
      <c r="L785" s="2"/>
      <c r="M785" s="2"/>
      <c r="N785" s="2"/>
      <c r="O785" s="2"/>
      <c r="P785" s="2"/>
      <c r="Q785" s="2"/>
      <c r="R785" s="2"/>
      <c r="S785" s="2"/>
      <c r="T785" s="2"/>
      <c r="U785" s="2"/>
      <c r="V785" s="2"/>
      <c r="X785" s="547"/>
      <c r="Y785" s="547"/>
      <c r="Z785" s="547"/>
    </row>
    <row r="786" spans="1:26">
      <c r="A786" s="2"/>
      <c r="C786" s="546"/>
      <c r="E786" s="546"/>
      <c r="F786" s="546"/>
      <c r="G786" s="2"/>
      <c r="H786" s="2"/>
      <c r="I786" s="2"/>
      <c r="J786" s="2"/>
      <c r="K786" s="2"/>
      <c r="L786" s="2"/>
      <c r="M786" s="2"/>
      <c r="N786" s="2"/>
      <c r="O786" s="2"/>
      <c r="P786" s="2"/>
      <c r="Q786" s="2"/>
      <c r="R786" s="2"/>
      <c r="S786" s="2"/>
      <c r="T786" s="2"/>
      <c r="U786" s="2"/>
      <c r="V786" s="2"/>
      <c r="X786" s="547"/>
      <c r="Y786" s="547"/>
      <c r="Z786" s="547"/>
    </row>
    <row r="787" spans="1:26">
      <c r="A787" s="2"/>
      <c r="C787" s="546"/>
      <c r="E787" s="546"/>
      <c r="F787" s="546"/>
      <c r="G787" s="2"/>
      <c r="H787" s="2"/>
      <c r="I787" s="2"/>
      <c r="J787" s="2"/>
      <c r="K787" s="2"/>
      <c r="L787" s="2"/>
      <c r="M787" s="2"/>
      <c r="N787" s="2"/>
      <c r="O787" s="2"/>
      <c r="P787" s="2"/>
      <c r="Q787" s="2"/>
      <c r="R787" s="2"/>
      <c r="S787" s="2"/>
      <c r="T787" s="2"/>
      <c r="U787" s="2"/>
      <c r="V787" s="2"/>
      <c r="X787" s="547"/>
      <c r="Y787" s="547"/>
      <c r="Z787" s="547"/>
    </row>
    <row r="788" spans="1:26">
      <c r="A788" s="2"/>
      <c r="C788" s="546"/>
      <c r="E788" s="546"/>
      <c r="F788" s="546"/>
      <c r="G788" s="2"/>
      <c r="H788" s="2"/>
      <c r="I788" s="2"/>
      <c r="J788" s="2"/>
      <c r="K788" s="2"/>
      <c r="L788" s="2"/>
      <c r="M788" s="2"/>
      <c r="N788" s="2"/>
      <c r="O788" s="2"/>
      <c r="P788" s="2"/>
      <c r="Q788" s="2"/>
      <c r="R788" s="2"/>
      <c r="S788" s="2"/>
      <c r="T788" s="2"/>
      <c r="U788" s="2"/>
      <c r="V788" s="2"/>
      <c r="X788" s="547"/>
      <c r="Y788" s="547"/>
      <c r="Z788" s="547"/>
    </row>
    <row r="789" spans="1:26">
      <c r="A789" s="2"/>
      <c r="C789" s="546"/>
      <c r="E789" s="546"/>
      <c r="F789" s="546"/>
      <c r="G789" s="2"/>
      <c r="H789" s="2"/>
      <c r="I789" s="2"/>
      <c r="J789" s="2"/>
      <c r="K789" s="2"/>
      <c r="L789" s="2"/>
      <c r="M789" s="2"/>
      <c r="N789" s="2"/>
      <c r="O789" s="2"/>
      <c r="P789" s="2"/>
      <c r="Q789" s="2"/>
      <c r="R789" s="2"/>
      <c r="S789" s="2"/>
      <c r="T789" s="2"/>
      <c r="U789" s="2"/>
      <c r="V789" s="2"/>
      <c r="X789" s="547"/>
      <c r="Y789" s="547"/>
      <c r="Z789" s="547"/>
    </row>
    <row r="790" spans="1:26">
      <c r="A790" s="2"/>
      <c r="C790" s="546"/>
      <c r="E790" s="546"/>
      <c r="F790" s="546"/>
      <c r="G790" s="2"/>
      <c r="H790" s="2"/>
      <c r="I790" s="2"/>
      <c r="J790" s="2"/>
      <c r="K790" s="2"/>
      <c r="L790" s="2"/>
      <c r="M790" s="2"/>
      <c r="N790" s="2"/>
      <c r="O790" s="2"/>
      <c r="P790" s="2"/>
      <c r="Q790" s="2"/>
      <c r="R790" s="2"/>
      <c r="S790" s="2"/>
      <c r="T790" s="2"/>
      <c r="U790" s="2"/>
      <c r="V790" s="2"/>
      <c r="X790" s="547"/>
      <c r="Y790" s="547"/>
      <c r="Z790" s="547"/>
    </row>
    <row r="791" spans="1:26">
      <c r="A791" s="2"/>
      <c r="C791" s="546"/>
      <c r="E791" s="546"/>
      <c r="F791" s="546"/>
      <c r="G791" s="2"/>
      <c r="H791" s="2"/>
      <c r="I791" s="2"/>
      <c r="J791" s="2"/>
      <c r="K791" s="2"/>
      <c r="L791" s="2"/>
      <c r="M791" s="2"/>
      <c r="N791" s="2"/>
      <c r="O791" s="2"/>
      <c r="P791" s="2"/>
      <c r="Q791" s="2"/>
      <c r="R791" s="2"/>
      <c r="S791" s="2"/>
      <c r="T791" s="2"/>
      <c r="U791" s="2"/>
      <c r="V791" s="2"/>
      <c r="X791" s="547"/>
      <c r="Y791" s="547"/>
      <c r="Z791" s="547"/>
    </row>
    <row r="792" spans="1:26">
      <c r="A792" s="2"/>
      <c r="C792" s="546"/>
      <c r="E792" s="546"/>
      <c r="F792" s="546"/>
      <c r="G792" s="2"/>
      <c r="H792" s="2"/>
      <c r="I792" s="2"/>
      <c r="J792" s="2"/>
      <c r="K792" s="2"/>
      <c r="L792" s="2"/>
      <c r="M792" s="2"/>
      <c r="N792" s="2"/>
      <c r="O792" s="2"/>
      <c r="P792" s="2"/>
      <c r="Q792" s="2"/>
      <c r="R792" s="2"/>
      <c r="S792" s="2"/>
      <c r="T792" s="2"/>
      <c r="U792" s="2"/>
      <c r="V792" s="2"/>
      <c r="X792" s="547"/>
      <c r="Y792" s="547"/>
      <c r="Z792" s="547"/>
    </row>
    <row r="793" spans="1:26">
      <c r="A793" s="2"/>
      <c r="C793" s="546"/>
      <c r="E793" s="546"/>
      <c r="F793" s="546"/>
      <c r="G793" s="2"/>
      <c r="H793" s="2"/>
      <c r="I793" s="2"/>
      <c r="J793" s="2"/>
      <c r="K793" s="2"/>
      <c r="L793" s="2"/>
      <c r="M793" s="2"/>
      <c r="N793" s="2"/>
      <c r="O793" s="2"/>
      <c r="P793" s="2"/>
      <c r="Q793" s="2"/>
      <c r="R793" s="2"/>
      <c r="S793" s="2"/>
      <c r="T793" s="2"/>
      <c r="U793" s="2"/>
      <c r="V793" s="2"/>
      <c r="X793" s="547"/>
      <c r="Y793" s="547"/>
      <c r="Z793" s="547"/>
    </row>
    <row r="794" spans="1:26">
      <c r="A794" s="2"/>
      <c r="C794" s="546"/>
      <c r="E794" s="546"/>
      <c r="F794" s="546"/>
      <c r="G794" s="2"/>
      <c r="H794" s="2"/>
      <c r="I794" s="2"/>
      <c r="J794" s="2"/>
      <c r="K794" s="2"/>
      <c r="L794" s="2"/>
      <c r="M794" s="2"/>
      <c r="N794" s="2"/>
      <c r="O794" s="2"/>
      <c r="P794" s="2"/>
      <c r="Q794" s="2"/>
      <c r="R794" s="2"/>
      <c r="S794" s="2"/>
      <c r="T794" s="2"/>
      <c r="U794" s="2"/>
      <c r="V794" s="2"/>
      <c r="X794" s="547"/>
      <c r="Y794" s="547"/>
      <c r="Z794" s="547"/>
    </row>
    <row r="795" spans="1:26">
      <c r="A795" s="2"/>
      <c r="C795" s="546"/>
      <c r="E795" s="546"/>
      <c r="F795" s="546"/>
      <c r="G795" s="2"/>
      <c r="H795" s="2"/>
      <c r="I795" s="2"/>
      <c r="J795" s="2"/>
      <c r="K795" s="2"/>
      <c r="L795" s="2"/>
      <c r="M795" s="2"/>
      <c r="N795" s="2"/>
      <c r="O795" s="2"/>
      <c r="P795" s="2"/>
      <c r="Q795" s="2"/>
      <c r="R795" s="2"/>
      <c r="S795" s="2"/>
      <c r="T795" s="2"/>
      <c r="U795" s="2"/>
      <c r="V795" s="2"/>
      <c r="X795" s="547"/>
      <c r="Y795" s="547"/>
      <c r="Z795" s="547"/>
    </row>
    <row r="796" spans="1:26">
      <c r="A796" s="2"/>
      <c r="C796" s="546"/>
      <c r="E796" s="546"/>
      <c r="F796" s="546"/>
      <c r="G796" s="2"/>
      <c r="H796" s="2"/>
      <c r="I796" s="2"/>
      <c r="J796" s="2"/>
      <c r="K796" s="2"/>
      <c r="L796" s="2"/>
      <c r="M796" s="2"/>
      <c r="N796" s="2"/>
      <c r="O796" s="2"/>
      <c r="P796" s="2"/>
      <c r="Q796" s="2"/>
      <c r="R796" s="2"/>
      <c r="S796" s="2"/>
      <c r="T796" s="2"/>
      <c r="U796" s="2"/>
      <c r="V796" s="2"/>
      <c r="X796" s="547"/>
      <c r="Y796" s="547"/>
      <c r="Z796" s="547"/>
    </row>
    <row r="797" spans="1:26">
      <c r="A797" s="2"/>
      <c r="C797" s="546"/>
      <c r="E797" s="546"/>
      <c r="F797" s="546"/>
      <c r="G797" s="2"/>
      <c r="H797" s="2"/>
      <c r="I797" s="2"/>
      <c r="J797" s="2"/>
      <c r="K797" s="2"/>
      <c r="L797" s="2"/>
      <c r="M797" s="2"/>
      <c r="N797" s="2"/>
      <c r="O797" s="2"/>
      <c r="P797" s="2"/>
      <c r="Q797" s="2"/>
      <c r="R797" s="2"/>
      <c r="S797" s="2"/>
      <c r="T797" s="2"/>
      <c r="U797" s="2"/>
      <c r="V797" s="2"/>
      <c r="X797" s="547"/>
      <c r="Y797" s="547"/>
      <c r="Z797" s="547"/>
    </row>
    <row r="798" spans="1:26">
      <c r="A798" s="2"/>
      <c r="C798" s="546"/>
      <c r="E798" s="546"/>
      <c r="F798" s="546"/>
      <c r="G798" s="2"/>
      <c r="H798" s="2"/>
      <c r="I798" s="2"/>
      <c r="J798" s="2"/>
      <c r="K798" s="2"/>
      <c r="L798" s="2"/>
      <c r="M798" s="2"/>
      <c r="N798" s="2"/>
      <c r="O798" s="2"/>
      <c r="P798" s="2"/>
      <c r="Q798" s="2"/>
      <c r="R798" s="2"/>
      <c r="S798" s="2"/>
      <c r="T798" s="2"/>
      <c r="U798" s="2"/>
      <c r="V798" s="2"/>
      <c r="X798" s="547"/>
      <c r="Y798" s="547"/>
      <c r="Z798" s="547"/>
    </row>
    <row r="799" spans="1:26">
      <c r="A799" s="2"/>
      <c r="C799" s="546"/>
      <c r="E799" s="546"/>
      <c r="F799" s="546"/>
      <c r="G799" s="2"/>
      <c r="H799" s="2"/>
      <c r="I799" s="2"/>
      <c r="J799" s="2"/>
      <c r="K799" s="2"/>
      <c r="L799" s="2"/>
      <c r="M799" s="2"/>
      <c r="N799" s="2"/>
      <c r="O799" s="2"/>
      <c r="P799" s="2"/>
      <c r="Q799" s="2"/>
      <c r="R799" s="2"/>
      <c r="S799" s="2"/>
      <c r="T799" s="2"/>
      <c r="U799" s="2"/>
      <c r="V799" s="2"/>
      <c r="X799" s="547"/>
      <c r="Y799" s="547"/>
      <c r="Z799" s="547"/>
    </row>
    <row r="800" spans="1:26">
      <c r="A800" s="2"/>
      <c r="C800" s="546"/>
      <c r="E800" s="546"/>
      <c r="F800" s="546"/>
      <c r="G800" s="2"/>
      <c r="H800" s="2"/>
      <c r="I800" s="2"/>
      <c r="J800" s="2"/>
      <c r="K800" s="2"/>
      <c r="L800" s="2"/>
      <c r="M800" s="2"/>
      <c r="N800" s="2"/>
      <c r="O800" s="2"/>
      <c r="P800" s="2"/>
      <c r="Q800" s="2"/>
      <c r="R800" s="2"/>
      <c r="S800" s="2"/>
      <c r="T800" s="2"/>
      <c r="U800" s="2"/>
      <c r="V800" s="2"/>
      <c r="X800" s="547"/>
      <c r="Y800" s="547"/>
      <c r="Z800" s="547"/>
    </row>
    <row r="801" spans="1:26">
      <c r="A801" s="2"/>
      <c r="C801" s="546"/>
      <c r="E801" s="546"/>
      <c r="F801" s="546"/>
      <c r="G801" s="2"/>
      <c r="H801" s="2"/>
      <c r="I801" s="2"/>
      <c r="J801" s="2"/>
      <c r="K801" s="2"/>
      <c r="L801" s="2"/>
      <c r="M801" s="2"/>
      <c r="N801" s="2"/>
      <c r="O801" s="2"/>
      <c r="P801" s="2"/>
      <c r="Q801" s="2"/>
      <c r="R801" s="2"/>
      <c r="S801" s="2"/>
      <c r="T801" s="2"/>
      <c r="U801" s="2"/>
      <c r="V801" s="2"/>
      <c r="X801" s="547"/>
      <c r="Y801" s="547"/>
      <c r="Z801" s="547"/>
    </row>
    <row r="802" spans="1:26">
      <c r="A802" s="2"/>
      <c r="C802" s="546"/>
      <c r="E802" s="546"/>
      <c r="F802" s="546"/>
      <c r="G802" s="2"/>
      <c r="H802" s="2"/>
      <c r="I802" s="2"/>
      <c r="J802" s="2"/>
      <c r="K802" s="2"/>
      <c r="L802" s="2"/>
      <c r="M802" s="2"/>
      <c r="N802" s="2"/>
      <c r="O802" s="2"/>
      <c r="P802" s="2"/>
      <c r="Q802" s="2"/>
      <c r="R802" s="2"/>
      <c r="S802" s="2"/>
      <c r="T802" s="2"/>
      <c r="U802" s="2"/>
      <c r="V802" s="2"/>
      <c r="X802" s="547"/>
      <c r="Y802" s="547"/>
      <c r="Z802" s="547"/>
    </row>
    <row r="803" spans="1:26">
      <c r="A803" s="2"/>
      <c r="C803" s="546"/>
      <c r="E803" s="546"/>
      <c r="F803" s="546"/>
      <c r="G803" s="2"/>
      <c r="H803" s="2"/>
      <c r="I803" s="2"/>
      <c r="J803" s="2"/>
      <c r="K803" s="2"/>
      <c r="L803" s="2"/>
      <c r="M803" s="2"/>
      <c r="N803" s="2"/>
      <c r="O803" s="2"/>
      <c r="P803" s="2"/>
      <c r="Q803" s="2"/>
      <c r="R803" s="2"/>
      <c r="S803" s="2"/>
      <c r="T803" s="2"/>
      <c r="U803" s="2"/>
      <c r="V803" s="2"/>
      <c r="X803" s="547"/>
      <c r="Y803" s="547"/>
      <c r="Z803" s="547"/>
    </row>
    <row r="804" spans="1:26">
      <c r="A804" s="2"/>
      <c r="C804" s="546"/>
      <c r="E804" s="546"/>
      <c r="F804" s="546"/>
      <c r="G804" s="2"/>
      <c r="H804" s="2"/>
      <c r="I804" s="2"/>
      <c r="J804" s="2"/>
      <c r="K804" s="2"/>
      <c r="L804" s="2"/>
      <c r="M804" s="2"/>
      <c r="N804" s="2"/>
      <c r="O804" s="2"/>
      <c r="P804" s="2"/>
      <c r="Q804" s="2"/>
      <c r="R804" s="2"/>
      <c r="S804" s="2"/>
      <c r="T804" s="2"/>
      <c r="U804" s="2"/>
      <c r="V804" s="2"/>
      <c r="X804" s="547"/>
      <c r="Y804" s="547"/>
      <c r="Z804" s="547"/>
    </row>
    <row r="805" spans="1:26">
      <c r="A805" s="2"/>
      <c r="C805" s="546"/>
      <c r="E805" s="546"/>
      <c r="F805" s="546"/>
      <c r="G805" s="2"/>
      <c r="H805" s="2"/>
      <c r="I805" s="2"/>
      <c r="J805" s="2"/>
      <c r="K805" s="2"/>
      <c r="L805" s="2"/>
      <c r="M805" s="2"/>
      <c r="N805" s="2"/>
      <c r="O805" s="2"/>
      <c r="P805" s="2"/>
      <c r="Q805" s="2"/>
      <c r="R805" s="2"/>
      <c r="S805" s="2"/>
      <c r="T805" s="2"/>
      <c r="U805" s="2"/>
      <c r="V805" s="2"/>
      <c r="X805" s="547"/>
      <c r="Y805" s="547"/>
      <c r="Z805" s="547"/>
    </row>
    <row r="806" spans="1:26">
      <c r="A806" s="2"/>
      <c r="C806" s="546"/>
      <c r="E806" s="546"/>
      <c r="F806" s="546"/>
      <c r="G806" s="2"/>
      <c r="H806" s="2"/>
      <c r="I806" s="2"/>
      <c r="J806" s="2"/>
      <c r="K806" s="2"/>
      <c r="L806" s="2"/>
      <c r="M806" s="2"/>
      <c r="N806" s="2"/>
      <c r="O806" s="2"/>
      <c r="P806" s="2"/>
      <c r="Q806" s="2"/>
      <c r="R806" s="2"/>
      <c r="S806" s="2"/>
      <c r="T806" s="2"/>
      <c r="U806" s="2"/>
      <c r="V806" s="2"/>
      <c r="X806" s="547"/>
      <c r="Y806" s="547"/>
      <c r="Z806" s="547"/>
    </row>
    <row r="807" spans="1:26">
      <c r="A807" s="2"/>
      <c r="C807" s="546"/>
      <c r="E807" s="546"/>
      <c r="F807" s="546"/>
      <c r="G807" s="2"/>
      <c r="H807" s="2"/>
      <c r="I807" s="2"/>
      <c r="J807" s="2"/>
      <c r="K807" s="2"/>
      <c r="L807" s="2"/>
      <c r="M807" s="2"/>
      <c r="N807" s="2"/>
      <c r="O807" s="2"/>
      <c r="P807" s="2"/>
      <c r="Q807" s="2"/>
      <c r="R807" s="2"/>
      <c r="S807" s="2"/>
      <c r="T807" s="2"/>
      <c r="U807" s="2"/>
      <c r="V807" s="2"/>
      <c r="X807" s="547"/>
      <c r="Y807" s="547"/>
      <c r="Z807" s="547"/>
    </row>
    <row r="808" spans="1:26">
      <c r="A808" s="2"/>
      <c r="C808" s="546"/>
      <c r="E808" s="546"/>
      <c r="F808" s="546"/>
      <c r="G808" s="2"/>
      <c r="H808" s="2"/>
      <c r="I808" s="2"/>
      <c r="J808" s="2"/>
      <c r="K808" s="2"/>
      <c r="L808" s="2"/>
      <c r="M808" s="2"/>
      <c r="N808" s="2"/>
      <c r="O808" s="2"/>
      <c r="P808" s="2"/>
      <c r="Q808" s="2"/>
      <c r="R808" s="2"/>
      <c r="S808" s="2"/>
      <c r="T808" s="2"/>
      <c r="U808" s="2"/>
      <c r="V808" s="2"/>
      <c r="X808" s="547"/>
      <c r="Y808" s="547"/>
      <c r="Z808" s="547"/>
    </row>
    <row r="809" spans="1:26">
      <c r="A809" s="2"/>
      <c r="C809" s="546"/>
      <c r="E809" s="546"/>
      <c r="F809" s="546"/>
      <c r="G809" s="2"/>
      <c r="H809" s="2"/>
      <c r="I809" s="2"/>
      <c r="J809" s="2"/>
      <c r="K809" s="2"/>
      <c r="L809" s="2"/>
      <c r="M809" s="2"/>
      <c r="N809" s="2"/>
      <c r="O809" s="2"/>
      <c r="P809" s="2"/>
      <c r="Q809" s="2"/>
      <c r="R809" s="2"/>
      <c r="S809" s="2"/>
      <c r="T809" s="2"/>
      <c r="U809" s="2"/>
      <c r="V809" s="2"/>
      <c r="X809" s="547"/>
      <c r="Y809" s="547"/>
      <c r="Z809" s="547"/>
    </row>
    <row r="810" spans="1:26">
      <c r="A810" s="2"/>
      <c r="C810" s="546"/>
      <c r="E810" s="546"/>
      <c r="F810" s="546"/>
      <c r="G810" s="2"/>
      <c r="H810" s="2"/>
      <c r="I810" s="2"/>
      <c r="J810" s="2"/>
      <c r="K810" s="2"/>
      <c r="L810" s="2"/>
      <c r="M810" s="2"/>
      <c r="N810" s="2"/>
      <c r="O810" s="2"/>
      <c r="P810" s="2"/>
      <c r="Q810" s="2"/>
      <c r="R810" s="2"/>
      <c r="S810" s="2"/>
      <c r="T810" s="2"/>
      <c r="U810" s="2"/>
      <c r="V810" s="2"/>
      <c r="X810" s="547"/>
      <c r="Y810" s="547"/>
      <c r="Z810" s="547"/>
    </row>
    <row r="811" spans="1:26">
      <c r="A811" s="2"/>
      <c r="C811" s="546"/>
      <c r="E811" s="546"/>
      <c r="F811" s="546"/>
      <c r="G811" s="2"/>
      <c r="H811" s="2"/>
      <c r="I811" s="2"/>
      <c r="J811" s="2"/>
      <c r="K811" s="2"/>
      <c r="L811" s="2"/>
      <c r="M811" s="2"/>
      <c r="N811" s="2"/>
      <c r="O811" s="2"/>
      <c r="P811" s="2"/>
      <c r="Q811" s="2"/>
      <c r="R811" s="2"/>
      <c r="S811" s="2"/>
      <c r="T811" s="2"/>
      <c r="U811" s="2"/>
      <c r="V811" s="2"/>
      <c r="X811" s="547"/>
      <c r="Y811" s="547"/>
      <c r="Z811" s="547"/>
    </row>
    <row r="812" spans="1:26">
      <c r="A812" s="2"/>
      <c r="C812" s="546"/>
      <c r="E812" s="546"/>
      <c r="F812" s="546"/>
      <c r="G812" s="2"/>
      <c r="H812" s="2"/>
      <c r="I812" s="2"/>
      <c r="J812" s="2"/>
      <c r="K812" s="2"/>
      <c r="L812" s="2"/>
      <c r="M812" s="2"/>
      <c r="N812" s="2"/>
      <c r="O812" s="2"/>
      <c r="P812" s="2"/>
      <c r="Q812" s="2"/>
      <c r="R812" s="2"/>
      <c r="S812" s="2"/>
      <c r="T812" s="2"/>
      <c r="U812" s="2"/>
      <c r="V812" s="2"/>
      <c r="X812" s="547"/>
      <c r="Y812" s="547"/>
      <c r="Z812" s="547"/>
    </row>
    <row r="813" spans="1:26">
      <c r="A813" s="2"/>
      <c r="C813" s="546"/>
      <c r="E813" s="546"/>
      <c r="F813" s="546"/>
      <c r="G813" s="2"/>
      <c r="H813" s="2"/>
      <c r="I813" s="2"/>
      <c r="J813" s="2"/>
      <c r="K813" s="2"/>
      <c r="L813" s="2"/>
      <c r="M813" s="2"/>
      <c r="N813" s="2"/>
      <c r="O813" s="2"/>
      <c r="P813" s="2"/>
      <c r="Q813" s="2"/>
      <c r="R813" s="2"/>
      <c r="S813" s="2"/>
      <c r="T813" s="2"/>
      <c r="U813" s="2"/>
      <c r="V813" s="2"/>
      <c r="X813" s="547"/>
      <c r="Y813" s="547"/>
      <c r="Z813" s="547"/>
    </row>
    <row r="814" spans="1:26">
      <c r="A814" s="2"/>
      <c r="C814" s="546"/>
      <c r="E814" s="546"/>
      <c r="F814" s="546"/>
      <c r="G814" s="2"/>
      <c r="H814" s="2"/>
      <c r="I814" s="2"/>
      <c r="J814" s="2"/>
      <c r="K814" s="2"/>
      <c r="L814" s="2"/>
      <c r="M814" s="2"/>
      <c r="N814" s="2"/>
      <c r="O814" s="2"/>
      <c r="P814" s="2"/>
      <c r="Q814" s="2"/>
      <c r="R814" s="2"/>
      <c r="S814" s="2"/>
      <c r="T814" s="2"/>
      <c r="U814" s="2"/>
      <c r="V814" s="2"/>
      <c r="X814" s="547"/>
      <c r="Y814" s="547"/>
      <c r="Z814" s="547"/>
    </row>
    <row r="815" spans="1:26">
      <c r="A815" s="2"/>
      <c r="C815" s="546"/>
      <c r="E815" s="546"/>
      <c r="F815" s="546"/>
      <c r="G815" s="2"/>
      <c r="H815" s="2"/>
      <c r="I815" s="2"/>
      <c r="J815" s="2"/>
      <c r="K815" s="2"/>
      <c r="L815" s="2"/>
      <c r="M815" s="2"/>
      <c r="N815" s="2"/>
      <c r="O815" s="2"/>
      <c r="P815" s="2"/>
      <c r="Q815" s="2"/>
      <c r="R815" s="2"/>
      <c r="S815" s="2"/>
      <c r="T815" s="2"/>
      <c r="U815" s="2"/>
      <c r="V815" s="2"/>
      <c r="X815" s="547"/>
      <c r="Y815" s="547"/>
      <c r="Z815" s="547"/>
    </row>
    <row r="816" spans="1:26">
      <c r="A816" s="2"/>
      <c r="C816" s="546"/>
      <c r="E816" s="546"/>
      <c r="F816" s="546"/>
      <c r="G816" s="2"/>
      <c r="H816" s="2"/>
      <c r="I816" s="2"/>
      <c r="J816" s="2"/>
      <c r="K816" s="2"/>
      <c r="L816" s="2"/>
      <c r="M816" s="2"/>
      <c r="N816" s="2"/>
      <c r="O816" s="2"/>
      <c r="P816" s="2"/>
      <c r="Q816" s="2"/>
      <c r="R816" s="2"/>
      <c r="S816" s="2"/>
      <c r="T816" s="2"/>
      <c r="U816" s="2"/>
      <c r="V816" s="2"/>
      <c r="X816" s="547"/>
      <c r="Y816" s="547"/>
      <c r="Z816" s="547"/>
    </row>
    <row r="817" spans="1:26">
      <c r="A817" s="2"/>
      <c r="C817" s="546"/>
      <c r="E817" s="546"/>
      <c r="F817" s="546"/>
      <c r="G817" s="2"/>
      <c r="H817" s="2"/>
      <c r="I817" s="2"/>
      <c r="J817" s="2"/>
      <c r="K817" s="2"/>
      <c r="L817" s="2"/>
      <c r="M817" s="2"/>
      <c r="N817" s="2"/>
      <c r="O817" s="2"/>
      <c r="P817" s="2"/>
      <c r="Q817" s="2"/>
      <c r="R817" s="2"/>
      <c r="S817" s="2"/>
      <c r="T817" s="2"/>
      <c r="U817" s="2"/>
      <c r="V817" s="2"/>
      <c r="X817" s="547"/>
      <c r="Y817" s="547"/>
      <c r="Z817" s="547"/>
    </row>
    <row r="818" spans="1:26">
      <c r="A818" s="2"/>
      <c r="C818" s="546"/>
      <c r="E818" s="546"/>
      <c r="F818" s="546"/>
      <c r="G818" s="2"/>
      <c r="H818" s="2"/>
      <c r="I818" s="2"/>
      <c r="J818" s="2"/>
      <c r="K818" s="2"/>
      <c r="L818" s="2"/>
      <c r="M818" s="2"/>
      <c r="N818" s="2"/>
      <c r="O818" s="2"/>
      <c r="P818" s="2"/>
      <c r="Q818" s="2"/>
      <c r="R818" s="2"/>
      <c r="S818" s="2"/>
      <c r="T818" s="2"/>
      <c r="U818" s="2"/>
      <c r="V818" s="2"/>
      <c r="X818" s="547"/>
      <c r="Y818" s="547"/>
      <c r="Z818" s="547"/>
    </row>
    <row r="819" spans="1:26">
      <c r="A819" s="2"/>
      <c r="C819" s="546"/>
      <c r="E819" s="546"/>
      <c r="F819" s="546"/>
      <c r="G819" s="2"/>
      <c r="H819" s="2"/>
      <c r="I819" s="2"/>
      <c r="J819" s="2"/>
      <c r="K819" s="2"/>
      <c r="L819" s="2"/>
      <c r="M819" s="2"/>
      <c r="N819" s="2"/>
      <c r="O819" s="2"/>
      <c r="P819" s="2"/>
      <c r="Q819" s="2"/>
      <c r="R819" s="2"/>
      <c r="S819" s="2"/>
      <c r="T819" s="2"/>
      <c r="U819" s="2"/>
      <c r="V819" s="2"/>
      <c r="X819" s="547"/>
      <c r="Y819" s="547"/>
      <c r="Z819" s="547"/>
    </row>
    <row r="820" spans="1:26">
      <c r="A820" s="2"/>
      <c r="C820" s="546"/>
      <c r="E820" s="546"/>
      <c r="F820" s="546"/>
      <c r="G820" s="2"/>
      <c r="H820" s="2"/>
      <c r="I820" s="2"/>
      <c r="J820" s="2"/>
      <c r="K820" s="2"/>
      <c r="L820" s="2"/>
      <c r="M820" s="2"/>
      <c r="N820" s="2"/>
      <c r="O820" s="2"/>
      <c r="P820" s="2"/>
      <c r="Q820" s="2"/>
      <c r="R820" s="2"/>
      <c r="S820" s="2"/>
      <c r="T820" s="2"/>
      <c r="U820" s="2"/>
      <c r="V820" s="2"/>
      <c r="X820" s="547"/>
      <c r="Y820" s="547"/>
      <c r="Z820" s="547"/>
    </row>
    <row r="821" spans="1:26">
      <c r="A821" s="2"/>
      <c r="C821" s="546"/>
      <c r="E821" s="546"/>
      <c r="F821" s="546"/>
      <c r="G821" s="2"/>
      <c r="H821" s="2"/>
      <c r="I821" s="2"/>
      <c r="J821" s="2"/>
      <c r="K821" s="2"/>
      <c r="L821" s="2"/>
      <c r="M821" s="2"/>
      <c r="N821" s="2"/>
      <c r="O821" s="2"/>
      <c r="P821" s="2"/>
      <c r="Q821" s="2"/>
      <c r="R821" s="2"/>
      <c r="S821" s="2"/>
      <c r="T821" s="2"/>
      <c r="U821" s="2"/>
      <c r="V821" s="2"/>
      <c r="X821" s="547"/>
      <c r="Y821" s="547"/>
      <c r="Z821" s="547"/>
    </row>
    <row r="822" spans="1:26">
      <c r="A822" s="2"/>
      <c r="C822" s="546"/>
      <c r="E822" s="546"/>
      <c r="F822" s="546"/>
      <c r="G822" s="2"/>
      <c r="H822" s="2"/>
      <c r="I822" s="2"/>
      <c r="J822" s="2"/>
      <c r="K822" s="2"/>
      <c r="L822" s="2"/>
      <c r="M822" s="2"/>
      <c r="N822" s="2"/>
      <c r="O822" s="2"/>
      <c r="P822" s="2"/>
      <c r="Q822" s="2"/>
      <c r="R822" s="2"/>
      <c r="S822" s="2"/>
      <c r="T822" s="2"/>
      <c r="U822" s="2"/>
      <c r="V822" s="2"/>
      <c r="X822" s="547"/>
      <c r="Y822" s="547"/>
      <c r="Z822" s="547"/>
    </row>
    <row r="823" spans="1:26">
      <c r="A823" s="2"/>
      <c r="C823" s="546"/>
      <c r="E823" s="546"/>
      <c r="F823" s="546"/>
      <c r="G823" s="2"/>
      <c r="H823" s="2"/>
      <c r="I823" s="2"/>
      <c r="J823" s="2"/>
      <c r="K823" s="2"/>
      <c r="L823" s="2"/>
      <c r="M823" s="2"/>
      <c r="N823" s="2"/>
      <c r="O823" s="2"/>
      <c r="P823" s="2"/>
      <c r="Q823" s="2"/>
      <c r="R823" s="2"/>
      <c r="S823" s="2"/>
      <c r="T823" s="2"/>
      <c r="U823" s="2"/>
      <c r="V823" s="2"/>
      <c r="X823" s="547"/>
      <c r="Y823" s="547"/>
      <c r="Z823" s="547"/>
    </row>
    <row r="824" spans="1:26">
      <c r="A824" s="2"/>
      <c r="C824" s="546"/>
      <c r="E824" s="546"/>
      <c r="F824" s="546"/>
      <c r="G824" s="2"/>
      <c r="H824" s="2"/>
      <c r="I824" s="2"/>
      <c r="J824" s="2"/>
      <c r="K824" s="2"/>
      <c r="L824" s="2"/>
      <c r="M824" s="2"/>
      <c r="N824" s="2"/>
      <c r="O824" s="2"/>
      <c r="P824" s="2"/>
      <c r="Q824" s="2"/>
      <c r="R824" s="2"/>
      <c r="S824" s="2"/>
      <c r="T824" s="2"/>
      <c r="U824" s="2"/>
      <c r="V824" s="2"/>
      <c r="X824" s="547"/>
      <c r="Y824" s="547"/>
      <c r="Z824" s="547"/>
    </row>
    <row r="825" spans="1:26">
      <c r="A825" s="2"/>
      <c r="C825" s="546"/>
      <c r="E825" s="546"/>
      <c r="F825" s="546"/>
      <c r="G825" s="2"/>
      <c r="H825" s="2"/>
      <c r="I825" s="2"/>
      <c r="J825" s="2"/>
      <c r="K825" s="2"/>
      <c r="L825" s="2"/>
      <c r="M825" s="2"/>
      <c r="N825" s="2"/>
      <c r="O825" s="2"/>
      <c r="P825" s="2"/>
      <c r="Q825" s="2"/>
      <c r="R825" s="2"/>
      <c r="S825" s="2"/>
      <c r="T825" s="2"/>
      <c r="U825" s="2"/>
      <c r="V825" s="2"/>
      <c r="X825" s="547"/>
      <c r="Y825" s="547"/>
      <c r="Z825" s="547"/>
    </row>
    <row r="826" spans="1:26">
      <c r="A826" s="2"/>
      <c r="C826" s="546"/>
      <c r="E826" s="546"/>
      <c r="F826" s="546"/>
      <c r="G826" s="2"/>
      <c r="H826" s="2"/>
      <c r="I826" s="2"/>
      <c r="J826" s="2"/>
      <c r="K826" s="2"/>
      <c r="L826" s="2"/>
      <c r="M826" s="2"/>
      <c r="N826" s="2"/>
      <c r="O826" s="2"/>
      <c r="P826" s="2"/>
      <c r="Q826" s="2"/>
      <c r="R826" s="2"/>
      <c r="S826" s="2"/>
      <c r="T826" s="2"/>
      <c r="U826" s="2"/>
      <c r="V826" s="2"/>
      <c r="X826" s="547"/>
      <c r="Y826" s="547"/>
      <c r="Z826" s="547"/>
    </row>
    <row r="827" spans="1:26">
      <c r="A827" s="2"/>
      <c r="C827" s="546"/>
      <c r="E827" s="546"/>
      <c r="F827" s="546"/>
      <c r="G827" s="2"/>
      <c r="H827" s="2"/>
      <c r="I827" s="2"/>
      <c r="J827" s="2"/>
      <c r="K827" s="2"/>
      <c r="L827" s="2"/>
      <c r="M827" s="2"/>
      <c r="N827" s="2"/>
      <c r="O827" s="2"/>
      <c r="P827" s="2"/>
      <c r="Q827" s="2"/>
      <c r="R827" s="2"/>
      <c r="S827" s="2"/>
      <c r="T827" s="2"/>
      <c r="U827" s="2"/>
      <c r="V827" s="2"/>
      <c r="X827" s="547"/>
      <c r="Y827" s="547"/>
      <c r="Z827" s="547"/>
    </row>
    <row r="828" spans="1:26">
      <c r="A828" s="2"/>
      <c r="C828" s="546"/>
      <c r="E828" s="546"/>
      <c r="F828" s="546"/>
      <c r="G828" s="2"/>
      <c r="H828" s="2"/>
      <c r="I828" s="2"/>
      <c r="J828" s="2"/>
      <c r="K828" s="2"/>
      <c r="L828" s="2"/>
      <c r="M828" s="2"/>
      <c r="N828" s="2"/>
      <c r="O828" s="2"/>
      <c r="P828" s="2"/>
      <c r="Q828" s="2"/>
      <c r="R828" s="2"/>
      <c r="S828" s="2"/>
      <c r="T828" s="2"/>
      <c r="U828" s="2"/>
      <c r="V828" s="2"/>
      <c r="X828" s="547"/>
      <c r="Y828" s="547"/>
      <c r="Z828" s="547"/>
    </row>
    <row r="829" spans="1:26">
      <c r="A829" s="2"/>
      <c r="C829" s="546"/>
      <c r="E829" s="546"/>
      <c r="F829" s="546"/>
      <c r="G829" s="2"/>
      <c r="H829" s="2"/>
      <c r="I829" s="2"/>
      <c r="J829" s="2"/>
      <c r="K829" s="2"/>
      <c r="L829" s="2"/>
      <c r="M829" s="2"/>
      <c r="N829" s="2"/>
      <c r="O829" s="2"/>
      <c r="P829" s="2"/>
      <c r="Q829" s="2"/>
      <c r="R829" s="2"/>
      <c r="S829" s="2"/>
      <c r="T829" s="2"/>
      <c r="U829" s="2"/>
      <c r="V829" s="2"/>
      <c r="X829" s="547"/>
      <c r="Y829" s="547"/>
      <c r="Z829" s="547"/>
    </row>
    <row r="830" spans="1:26">
      <c r="A830" s="2"/>
      <c r="C830" s="546"/>
      <c r="E830" s="546"/>
      <c r="F830" s="546"/>
      <c r="G830" s="2"/>
      <c r="H830" s="2"/>
      <c r="I830" s="2"/>
      <c r="J830" s="2"/>
      <c r="K830" s="2"/>
      <c r="L830" s="2"/>
      <c r="M830" s="2"/>
      <c r="N830" s="2"/>
      <c r="O830" s="2"/>
      <c r="P830" s="2"/>
      <c r="Q830" s="2"/>
      <c r="R830" s="2"/>
      <c r="S830" s="2"/>
      <c r="T830" s="2"/>
      <c r="U830" s="2"/>
      <c r="V830" s="2"/>
      <c r="X830" s="547"/>
      <c r="Y830" s="547"/>
      <c r="Z830" s="547"/>
    </row>
    <row r="831" spans="1:26">
      <c r="A831" s="2"/>
      <c r="C831" s="546"/>
      <c r="E831" s="546"/>
      <c r="F831" s="546"/>
      <c r="G831" s="2"/>
      <c r="H831" s="2"/>
      <c r="I831" s="2"/>
      <c r="J831" s="2"/>
      <c r="K831" s="2"/>
      <c r="L831" s="2"/>
      <c r="M831" s="2"/>
      <c r="N831" s="2"/>
      <c r="O831" s="2"/>
      <c r="P831" s="2"/>
      <c r="Q831" s="2"/>
      <c r="R831" s="2"/>
      <c r="S831" s="2"/>
      <c r="T831" s="2"/>
      <c r="U831" s="2"/>
      <c r="V831" s="2"/>
      <c r="X831" s="547"/>
      <c r="Y831" s="547"/>
      <c r="Z831" s="547"/>
    </row>
    <row r="832" spans="1:26">
      <c r="A832" s="2"/>
      <c r="C832" s="546"/>
      <c r="E832" s="546"/>
      <c r="F832" s="546"/>
      <c r="G832" s="2"/>
      <c r="H832" s="2"/>
      <c r="I832" s="2"/>
      <c r="J832" s="2"/>
      <c r="K832" s="2"/>
      <c r="L832" s="2"/>
      <c r="M832" s="2"/>
      <c r="N832" s="2"/>
      <c r="O832" s="2"/>
      <c r="P832" s="2"/>
      <c r="Q832" s="2"/>
      <c r="R832" s="2"/>
      <c r="S832" s="2"/>
      <c r="T832" s="2"/>
      <c r="U832" s="2"/>
      <c r="V832" s="2"/>
      <c r="X832" s="547"/>
      <c r="Y832" s="547"/>
      <c r="Z832" s="547"/>
    </row>
    <row r="833" spans="1:26">
      <c r="A833" s="2"/>
      <c r="C833" s="546"/>
      <c r="E833" s="546"/>
      <c r="F833" s="546"/>
      <c r="G833" s="2"/>
      <c r="H833" s="2"/>
      <c r="I833" s="2"/>
      <c r="J833" s="2"/>
      <c r="K833" s="2"/>
      <c r="L833" s="2"/>
      <c r="M833" s="2"/>
      <c r="N833" s="2"/>
      <c r="O833" s="2"/>
      <c r="P833" s="2"/>
      <c r="Q833" s="2"/>
      <c r="R833" s="2"/>
      <c r="S833" s="2"/>
      <c r="T833" s="2"/>
      <c r="U833" s="2"/>
      <c r="V833" s="2"/>
      <c r="X833" s="547"/>
      <c r="Y833" s="547"/>
      <c r="Z833" s="547"/>
    </row>
    <row r="834" spans="1:26">
      <c r="A834" s="2"/>
      <c r="C834" s="546"/>
      <c r="E834" s="546"/>
      <c r="F834" s="546"/>
      <c r="G834" s="2"/>
      <c r="H834" s="2"/>
      <c r="I834" s="2"/>
      <c r="J834" s="2"/>
      <c r="K834" s="2"/>
      <c r="L834" s="2"/>
      <c r="M834" s="2"/>
      <c r="N834" s="2"/>
      <c r="O834" s="2"/>
      <c r="P834" s="2"/>
      <c r="Q834" s="2"/>
      <c r="R834" s="2"/>
      <c r="S834" s="2"/>
      <c r="T834" s="2"/>
      <c r="U834" s="2"/>
      <c r="V834" s="2"/>
      <c r="X834" s="547"/>
      <c r="Y834" s="547"/>
      <c r="Z834" s="547"/>
    </row>
    <row r="835" spans="1:26">
      <c r="A835" s="2"/>
      <c r="C835" s="546"/>
      <c r="E835" s="546"/>
      <c r="F835" s="546"/>
      <c r="G835" s="2"/>
      <c r="H835" s="2"/>
      <c r="I835" s="2"/>
      <c r="J835" s="2"/>
      <c r="K835" s="2"/>
      <c r="L835" s="2"/>
      <c r="M835" s="2"/>
      <c r="N835" s="2"/>
      <c r="O835" s="2"/>
      <c r="P835" s="2"/>
      <c r="Q835" s="2"/>
      <c r="R835" s="2"/>
      <c r="S835" s="2"/>
      <c r="T835" s="2"/>
      <c r="U835" s="2"/>
      <c r="V835" s="2"/>
      <c r="X835" s="547"/>
      <c r="Y835" s="547"/>
      <c r="Z835" s="547"/>
    </row>
    <row r="836" spans="1:26">
      <c r="A836" s="2"/>
      <c r="C836" s="546"/>
      <c r="E836" s="546"/>
      <c r="F836" s="546"/>
      <c r="G836" s="2"/>
      <c r="H836" s="2"/>
      <c r="I836" s="2"/>
      <c r="J836" s="2"/>
      <c r="K836" s="2"/>
      <c r="L836" s="2"/>
      <c r="M836" s="2"/>
      <c r="N836" s="2"/>
      <c r="O836" s="2"/>
      <c r="P836" s="2"/>
      <c r="Q836" s="2"/>
      <c r="R836" s="2"/>
      <c r="S836" s="2"/>
      <c r="T836" s="2"/>
      <c r="U836" s="2"/>
      <c r="V836" s="2"/>
      <c r="X836" s="547"/>
      <c r="Y836" s="547"/>
      <c r="Z836" s="547"/>
    </row>
    <row r="837" spans="1:26">
      <c r="A837" s="2"/>
      <c r="C837" s="546"/>
      <c r="E837" s="546"/>
      <c r="F837" s="546"/>
      <c r="G837" s="2"/>
      <c r="H837" s="2"/>
      <c r="I837" s="2"/>
      <c r="J837" s="2"/>
      <c r="K837" s="2"/>
      <c r="L837" s="2"/>
      <c r="M837" s="2"/>
      <c r="N837" s="2"/>
      <c r="O837" s="2"/>
      <c r="P837" s="2"/>
      <c r="Q837" s="2"/>
      <c r="R837" s="2"/>
      <c r="S837" s="2"/>
      <c r="T837" s="2"/>
      <c r="U837" s="2"/>
      <c r="V837" s="2"/>
      <c r="X837" s="547"/>
      <c r="Y837" s="547"/>
      <c r="Z837" s="547"/>
    </row>
    <row r="838" spans="1:26">
      <c r="A838" s="2"/>
      <c r="C838" s="546"/>
      <c r="E838" s="546"/>
      <c r="F838" s="546"/>
      <c r="G838" s="2"/>
      <c r="H838" s="2"/>
      <c r="I838" s="2"/>
      <c r="J838" s="2"/>
      <c r="K838" s="2"/>
      <c r="L838" s="2"/>
      <c r="M838" s="2"/>
      <c r="N838" s="2"/>
      <c r="O838" s="2"/>
      <c r="P838" s="2"/>
      <c r="Q838" s="2"/>
      <c r="R838" s="2"/>
      <c r="S838" s="2"/>
      <c r="T838" s="2"/>
      <c r="U838" s="2"/>
      <c r="V838" s="2"/>
      <c r="X838" s="547"/>
      <c r="Y838" s="547"/>
      <c r="Z838" s="547"/>
    </row>
    <row r="839" spans="1:26">
      <c r="A839" s="2"/>
      <c r="C839" s="546"/>
      <c r="E839" s="546"/>
      <c r="F839" s="546"/>
      <c r="G839" s="2"/>
      <c r="H839" s="2"/>
      <c r="I839" s="2"/>
      <c r="J839" s="2"/>
      <c r="K839" s="2"/>
      <c r="L839" s="2"/>
      <c r="M839" s="2"/>
      <c r="N839" s="2"/>
      <c r="O839" s="2"/>
      <c r="P839" s="2"/>
      <c r="Q839" s="2"/>
      <c r="R839" s="2"/>
      <c r="S839" s="2"/>
      <c r="T839" s="2"/>
      <c r="U839" s="2"/>
      <c r="V839" s="2"/>
      <c r="X839" s="547"/>
      <c r="Y839" s="547"/>
      <c r="Z839" s="547"/>
    </row>
    <row r="840" spans="1:26">
      <c r="A840" s="2"/>
      <c r="C840" s="546"/>
      <c r="E840" s="546"/>
      <c r="F840" s="546"/>
      <c r="G840" s="2"/>
      <c r="H840" s="2"/>
      <c r="I840" s="2"/>
      <c r="J840" s="2"/>
      <c r="K840" s="2"/>
      <c r="L840" s="2"/>
      <c r="M840" s="2"/>
      <c r="N840" s="2"/>
      <c r="O840" s="2"/>
      <c r="P840" s="2"/>
      <c r="Q840" s="2"/>
      <c r="R840" s="2"/>
      <c r="S840" s="2"/>
      <c r="T840" s="2"/>
      <c r="U840" s="2"/>
      <c r="V840" s="2"/>
      <c r="X840" s="547"/>
      <c r="Y840" s="547"/>
      <c r="Z840" s="547"/>
    </row>
    <row r="841" spans="1:26">
      <c r="A841" s="2"/>
      <c r="C841" s="546"/>
      <c r="E841" s="546"/>
      <c r="F841" s="546"/>
      <c r="G841" s="2"/>
      <c r="H841" s="2"/>
      <c r="I841" s="2"/>
      <c r="J841" s="2"/>
      <c r="K841" s="2"/>
      <c r="L841" s="2"/>
      <c r="M841" s="2"/>
      <c r="N841" s="2"/>
      <c r="O841" s="2"/>
      <c r="P841" s="2"/>
      <c r="Q841" s="2"/>
      <c r="R841" s="2"/>
      <c r="S841" s="2"/>
      <c r="T841" s="2"/>
      <c r="U841" s="2"/>
      <c r="V841" s="2"/>
      <c r="X841" s="547"/>
      <c r="Y841" s="547"/>
      <c r="Z841" s="547"/>
    </row>
    <row r="842" spans="1:26">
      <c r="A842" s="2"/>
      <c r="C842" s="546"/>
      <c r="E842" s="546"/>
      <c r="F842" s="546"/>
      <c r="G842" s="2"/>
      <c r="H842" s="2"/>
      <c r="I842" s="2"/>
      <c r="J842" s="2"/>
      <c r="K842" s="2"/>
      <c r="L842" s="2"/>
      <c r="M842" s="2"/>
      <c r="N842" s="2"/>
      <c r="O842" s="2"/>
      <c r="P842" s="2"/>
      <c r="Q842" s="2"/>
      <c r="R842" s="2"/>
      <c r="S842" s="2"/>
      <c r="T842" s="2"/>
      <c r="U842" s="2"/>
      <c r="V842" s="2"/>
      <c r="X842" s="547"/>
      <c r="Y842" s="547"/>
      <c r="Z842" s="547"/>
    </row>
    <row r="843" spans="1:26">
      <c r="A843" s="2"/>
      <c r="C843" s="546"/>
      <c r="E843" s="546"/>
      <c r="F843" s="546"/>
      <c r="G843" s="2"/>
      <c r="H843" s="2"/>
      <c r="I843" s="2"/>
      <c r="J843" s="2"/>
      <c r="K843" s="2"/>
      <c r="L843" s="2"/>
      <c r="M843" s="2"/>
      <c r="N843" s="2"/>
      <c r="O843" s="2"/>
      <c r="P843" s="2"/>
      <c r="Q843" s="2"/>
      <c r="R843" s="2"/>
      <c r="S843" s="2"/>
      <c r="T843" s="2"/>
      <c r="U843" s="2"/>
      <c r="V843" s="2"/>
      <c r="X843" s="547"/>
      <c r="Y843" s="547"/>
      <c r="Z843" s="547"/>
    </row>
    <row r="844" spans="1:26">
      <c r="A844" s="2"/>
      <c r="C844" s="546"/>
      <c r="E844" s="546"/>
      <c r="F844" s="546"/>
      <c r="G844" s="2"/>
      <c r="H844" s="2"/>
      <c r="I844" s="2"/>
      <c r="J844" s="2"/>
      <c r="K844" s="2"/>
      <c r="L844" s="2"/>
      <c r="M844" s="2"/>
      <c r="N844" s="2"/>
      <c r="O844" s="2"/>
      <c r="P844" s="2"/>
      <c r="Q844" s="2"/>
      <c r="R844" s="2"/>
      <c r="S844" s="2"/>
      <c r="T844" s="2"/>
      <c r="U844" s="2"/>
      <c r="V844" s="2"/>
      <c r="X844" s="547"/>
      <c r="Y844" s="547"/>
      <c r="Z844" s="547"/>
    </row>
    <row r="845" spans="1:26">
      <c r="A845" s="2"/>
      <c r="C845" s="546"/>
      <c r="E845" s="546"/>
      <c r="F845" s="546"/>
      <c r="G845" s="2"/>
      <c r="H845" s="2"/>
      <c r="I845" s="2"/>
      <c r="J845" s="2"/>
      <c r="K845" s="2"/>
      <c r="L845" s="2"/>
      <c r="M845" s="2"/>
      <c r="N845" s="2"/>
      <c r="O845" s="2"/>
      <c r="P845" s="2"/>
      <c r="Q845" s="2"/>
      <c r="R845" s="2"/>
      <c r="S845" s="2"/>
      <c r="T845" s="2"/>
      <c r="U845" s="2"/>
      <c r="V845" s="2"/>
      <c r="X845" s="547"/>
      <c r="Y845" s="547"/>
      <c r="Z845" s="547"/>
    </row>
    <row r="846" spans="1:26">
      <c r="A846" s="2"/>
      <c r="C846" s="546"/>
      <c r="E846" s="546"/>
      <c r="F846" s="546"/>
      <c r="G846" s="2"/>
      <c r="H846" s="2"/>
      <c r="I846" s="2"/>
      <c r="J846" s="2"/>
      <c r="K846" s="2"/>
      <c r="L846" s="2"/>
      <c r="M846" s="2"/>
      <c r="N846" s="2"/>
      <c r="O846" s="2"/>
      <c r="P846" s="2"/>
      <c r="Q846" s="2"/>
      <c r="R846" s="2"/>
      <c r="S846" s="2"/>
      <c r="T846" s="2"/>
      <c r="U846" s="2"/>
      <c r="V846" s="2"/>
      <c r="X846" s="547"/>
      <c r="Y846" s="547"/>
      <c r="Z846" s="547"/>
    </row>
    <row r="847" spans="1:26">
      <c r="A847" s="2"/>
      <c r="C847" s="546"/>
      <c r="E847" s="546"/>
      <c r="F847" s="546"/>
      <c r="G847" s="2"/>
      <c r="H847" s="2"/>
      <c r="I847" s="2"/>
      <c r="J847" s="2"/>
      <c r="K847" s="2"/>
      <c r="L847" s="2"/>
      <c r="M847" s="2"/>
      <c r="N847" s="2"/>
      <c r="O847" s="2"/>
      <c r="P847" s="2"/>
      <c r="Q847" s="2"/>
      <c r="R847" s="2"/>
      <c r="S847" s="2"/>
      <c r="T847" s="2"/>
      <c r="U847" s="2"/>
      <c r="V847" s="2"/>
      <c r="X847" s="547"/>
      <c r="Y847" s="547"/>
      <c r="Z847" s="547"/>
    </row>
    <row r="848" spans="1:26">
      <c r="A848" s="2"/>
      <c r="C848" s="546"/>
      <c r="E848" s="546"/>
      <c r="F848" s="546"/>
      <c r="G848" s="2"/>
      <c r="H848" s="2"/>
      <c r="I848" s="2"/>
      <c r="J848" s="2"/>
      <c r="K848" s="2"/>
      <c r="L848" s="2"/>
      <c r="M848" s="2"/>
      <c r="N848" s="2"/>
      <c r="O848" s="2"/>
      <c r="P848" s="2"/>
      <c r="Q848" s="2"/>
      <c r="R848" s="2"/>
      <c r="S848" s="2"/>
      <c r="T848" s="2"/>
      <c r="U848" s="2"/>
      <c r="V848" s="2"/>
      <c r="X848" s="547"/>
      <c r="Y848" s="547"/>
      <c r="Z848" s="547"/>
    </row>
    <row r="849" spans="1:26">
      <c r="A849" s="2"/>
      <c r="C849" s="546"/>
      <c r="E849" s="546"/>
      <c r="F849" s="546"/>
      <c r="G849" s="2"/>
      <c r="H849" s="2"/>
      <c r="I849" s="2"/>
      <c r="J849" s="2"/>
      <c r="K849" s="2"/>
      <c r="L849" s="2"/>
      <c r="M849" s="2"/>
      <c r="N849" s="2"/>
      <c r="O849" s="2"/>
      <c r="P849" s="2"/>
      <c r="Q849" s="2"/>
      <c r="R849" s="2"/>
      <c r="S849" s="2"/>
      <c r="T849" s="2"/>
      <c r="U849" s="2"/>
      <c r="V849" s="2"/>
      <c r="X849" s="547"/>
      <c r="Y849" s="547"/>
      <c r="Z849" s="547"/>
    </row>
    <row r="850" spans="1:26">
      <c r="A850" s="2"/>
      <c r="C850" s="546"/>
      <c r="E850" s="546"/>
      <c r="F850" s="546"/>
      <c r="G850" s="2"/>
      <c r="H850" s="2"/>
      <c r="I850" s="2"/>
      <c r="J850" s="2"/>
      <c r="K850" s="2"/>
      <c r="L850" s="2"/>
      <c r="M850" s="2"/>
      <c r="N850" s="2"/>
      <c r="O850" s="2"/>
      <c r="P850" s="2"/>
      <c r="Q850" s="2"/>
      <c r="R850" s="2"/>
      <c r="S850" s="2"/>
      <c r="T850" s="2"/>
      <c r="U850" s="2"/>
      <c r="V850" s="2"/>
      <c r="X850" s="547"/>
      <c r="Y850" s="547"/>
      <c r="Z850" s="547"/>
    </row>
    <row r="851" spans="1:26">
      <c r="A851" s="2"/>
      <c r="C851" s="546"/>
      <c r="E851" s="546"/>
      <c r="F851" s="546"/>
      <c r="G851" s="2"/>
      <c r="H851" s="2"/>
      <c r="I851" s="2"/>
      <c r="J851" s="2"/>
      <c r="K851" s="2"/>
      <c r="L851" s="2"/>
      <c r="M851" s="2"/>
      <c r="N851" s="2"/>
      <c r="O851" s="2"/>
      <c r="P851" s="2"/>
      <c r="Q851" s="2"/>
      <c r="R851" s="2"/>
      <c r="S851" s="2"/>
      <c r="T851" s="2"/>
      <c r="U851" s="2"/>
      <c r="V851" s="2"/>
      <c r="X851" s="547"/>
      <c r="Y851" s="547"/>
      <c r="Z851" s="547"/>
    </row>
    <row r="852" spans="1:26">
      <c r="A852" s="2"/>
      <c r="C852" s="546"/>
      <c r="E852" s="546"/>
      <c r="F852" s="546"/>
      <c r="G852" s="2"/>
      <c r="H852" s="2"/>
      <c r="I852" s="2"/>
      <c r="J852" s="2"/>
      <c r="K852" s="2"/>
      <c r="L852" s="2"/>
      <c r="M852" s="2"/>
      <c r="N852" s="2"/>
      <c r="O852" s="2"/>
      <c r="P852" s="2"/>
      <c r="Q852" s="2"/>
      <c r="R852" s="2"/>
      <c r="S852" s="2"/>
      <c r="T852" s="2"/>
      <c r="U852" s="2"/>
      <c r="V852" s="2"/>
      <c r="X852" s="547"/>
      <c r="Y852" s="547"/>
      <c r="Z852" s="547"/>
    </row>
    <row r="853" spans="1:26">
      <c r="A853" s="2"/>
      <c r="C853" s="546"/>
      <c r="E853" s="546"/>
      <c r="F853" s="546"/>
      <c r="G853" s="2"/>
      <c r="H853" s="2"/>
      <c r="I853" s="2"/>
      <c r="J853" s="2"/>
      <c r="K853" s="2"/>
      <c r="L853" s="2"/>
      <c r="M853" s="2"/>
      <c r="N853" s="2"/>
      <c r="O853" s="2"/>
      <c r="P853" s="2"/>
      <c r="Q853" s="2"/>
      <c r="R853" s="2"/>
      <c r="S853" s="2"/>
      <c r="T853" s="2"/>
      <c r="U853" s="2"/>
      <c r="V853" s="2"/>
      <c r="X853" s="547"/>
      <c r="Y853" s="547"/>
      <c r="Z853" s="547"/>
    </row>
    <row r="854" spans="1:26">
      <c r="A854" s="2"/>
      <c r="C854" s="546"/>
      <c r="E854" s="546"/>
      <c r="F854" s="546"/>
      <c r="G854" s="2"/>
      <c r="H854" s="2"/>
      <c r="I854" s="2"/>
      <c r="J854" s="2"/>
      <c r="K854" s="2"/>
      <c r="L854" s="2"/>
      <c r="M854" s="2"/>
      <c r="N854" s="2"/>
      <c r="O854" s="2"/>
      <c r="P854" s="2"/>
      <c r="Q854" s="2"/>
      <c r="R854" s="2"/>
      <c r="S854" s="2"/>
      <c r="T854" s="2"/>
      <c r="U854" s="2"/>
      <c r="V854" s="2"/>
      <c r="X854" s="547"/>
      <c r="Y854" s="547"/>
      <c r="Z854" s="547"/>
    </row>
    <row r="855" spans="1:26">
      <c r="A855" s="2"/>
      <c r="C855" s="546"/>
      <c r="E855" s="546"/>
      <c r="F855" s="546"/>
      <c r="G855" s="2"/>
      <c r="H855" s="2"/>
      <c r="I855" s="2"/>
      <c r="J855" s="2"/>
      <c r="K855" s="2"/>
      <c r="L855" s="2"/>
      <c r="M855" s="2"/>
      <c r="N855" s="2"/>
      <c r="O855" s="2"/>
      <c r="P855" s="2"/>
      <c r="Q855" s="2"/>
      <c r="R855" s="2"/>
      <c r="S855" s="2"/>
      <c r="T855" s="2"/>
      <c r="U855" s="2"/>
      <c r="V855" s="2"/>
      <c r="X855" s="547"/>
      <c r="Y855" s="547"/>
      <c r="Z855" s="547"/>
    </row>
    <row r="856" spans="1:26">
      <c r="A856" s="2"/>
      <c r="C856" s="546"/>
      <c r="E856" s="546"/>
      <c r="F856" s="546"/>
      <c r="G856" s="2"/>
      <c r="H856" s="2"/>
      <c r="I856" s="2"/>
      <c r="J856" s="2"/>
      <c r="K856" s="2"/>
      <c r="L856" s="2"/>
      <c r="M856" s="2"/>
      <c r="N856" s="2"/>
      <c r="O856" s="2"/>
      <c r="P856" s="2"/>
      <c r="Q856" s="2"/>
      <c r="R856" s="2"/>
      <c r="S856" s="2"/>
      <c r="T856" s="2"/>
      <c r="U856" s="2"/>
      <c r="V856" s="2"/>
      <c r="X856" s="547"/>
      <c r="Y856" s="547"/>
      <c r="Z856" s="547"/>
    </row>
    <row r="857" spans="1:26">
      <c r="A857" s="2"/>
      <c r="C857" s="546"/>
      <c r="E857" s="546"/>
      <c r="F857" s="546"/>
      <c r="G857" s="2"/>
      <c r="H857" s="2"/>
      <c r="I857" s="2"/>
      <c r="J857" s="2"/>
      <c r="K857" s="2"/>
      <c r="L857" s="2"/>
      <c r="M857" s="2"/>
      <c r="N857" s="2"/>
      <c r="O857" s="2"/>
      <c r="P857" s="2"/>
      <c r="Q857" s="2"/>
      <c r="R857" s="2"/>
      <c r="S857" s="2"/>
      <c r="T857" s="2"/>
      <c r="U857" s="2"/>
      <c r="V857" s="2"/>
      <c r="X857" s="547"/>
      <c r="Y857" s="547"/>
      <c r="Z857" s="547"/>
    </row>
    <row r="858" spans="1:26">
      <c r="A858" s="2"/>
      <c r="C858" s="546"/>
      <c r="E858" s="546"/>
      <c r="F858" s="546"/>
      <c r="G858" s="2"/>
      <c r="H858" s="2"/>
      <c r="I858" s="2"/>
      <c r="J858" s="2"/>
      <c r="K858" s="2"/>
      <c r="L858" s="2"/>
      <c r="M858" s="2"/>
      <c r="N858" s="2"/>
      <c r="O858" s="2"/>
      <c r="P858" s="2"/>
      <c r="Q858" s="2"/>
      <c r="R858" s="2"/>
      <c r="S858" s="2"/>
      <c r="T858" s="2"/>
      <c r="U858" s="2"/>
      <c r="V858" s="2"/>
      <c r="X858" s="547"/>
      <c r="Y858" s="547"/>
      <c r="Z858" s="547"/>
    </row>
    <row r="859" spans="1:26">
      <c r="A859" s="2"/>
      <c r="C859" s="546"/>
      <c r="E859" s="546"/>
      <c r="F859" s="546"/>
      <c r="G859" s="2"/>
      <c r="H859" s="2"/>
      <c r="I859" s="2"/>
      <c r="J859" s="2"/>
      <c r="K859" s="2"/>
      <c r="L859" s="2"/>
      <c r="M859" s="2"/>
      <c r="N859" s="2"/>
      <c r="O859" s="2"/>
      <c r="P859" s="2"/>
      <c r="Q859" s="2"/>
      <c r="R859" s="2"/>
      <c r="S859" s="2"/>
      <c r="T859" s="2"/>
      <c r="U859" s="2"/>
      <c r="V859" s="2"/>
      <c r="X859" s="547"/>
      <c r="Y859" s="547"/>
      <c r="Z859" s="547"/>
    </row>
    <row r="860" spans="1:26">
      <c r="A860" s="2"/>
      <c r="C860" s="546"/>
      <c r="E860" s="546"/>
      <c r="F860" s="546"/>
      <c r="G860" s="2"/>
      <c r="H860" s="2"/>
      <c r="I860" s="2"/>
      <c r="J860" s="2"/>
      <c r="K860" s="2"/>
      <c r="L860" s="2"/>
      <c r="M860" s="2"/>
      <c r="N860" s="2"/>
      <c r="O860" s="2"/>
      <c r="P860" s="2"/>
      <c r="Q860" s="2"/>
      <c r="R860" s="2"/>
      <c r="S860" s="2"/>
      <c r="T860" s="2"/>
      <c r="U860" s="2"/>
      <c r="V860" s="2"/>
      <c r="X860" s="547"/>
      <c r="Y860" s="547"/>
      <c r="Z860" s="547"/>
    </row>
    <row r="861" spans="1:26">
      <c r="A861" s="2"/>
      <c r="C861" s="546"/>
      <c r="E861" s="546"/>
      <c r="F861" s="546"/>
      <c r="G861" s="2"/>
      <c r="H861" s="2"/>
      <c r="I861" s="2"/>
      <c r="J861" s="2"/>
      <c r="K861" s="2"/>
      <c r="L861" s="2"/>
      <c r="M861" s="2"/>
      <c r="N861" s="2"/>
      <c r="O861" s="2"/>
      <c r="P861" s="2"/>
      <c r="Q861" s="2"/>
      <c r="R861" s="2"/>
      <c r="S861" s="2"/>
      <c r="T861" s="2"/>
      <c r="U861" s="2"/>
      <c r="V861" s="2"/>
      <c r="X861" s="547"/>
      <c r="Y861" s="547"/>
      <c r="Z861" s="547"/>
    </row>
    <row r="862" spans="1:26">
      <c r="A862" s="2"/>
      <c r="C862" s="546"/>
      <c r="E862" s="546"/>
      <c r="F862" s="546"/>
      <c r="G862" s="2"/>
      <c r="H862" s="2"/>
      <c r="I862" s="2"/>
      <c r="J862" s="2"/>
      <c r="K862" s="2"/>
      <c r="L862" s="2"/>
      <c r="M862" s="2"/>
      <c r="N862" s="2"/>
      <c r="O862" s="2"/>
      <c r="P862" s="2"/>
      <c r="Q862" s="2"/>
      <c r="R862" s="2"/>
      <c r="S862" s="2"/>
      <c r="T862" s="2"/>
      <c r="U862" s="2"/>
      <c r="V862" s="2"/>
      <c r="X862" s="547"/>
      <c r="Y862" s="547"/>
      <c r="Z862" s="547"/>
    </row>
    <row r="863" spans="1:26">
      <c r="A863" s="2"/>
      <c r="C863" s="546"/>
      <c r="E863" s="546"/>
      <c r="F863" s="546"/>
      <c r="G863" s="2"/>
      <c r="H863" s="2"/>
      <c r="I863" s="2"/>
      <c r="J863" s="2"/>
      <c r="K863" s="2"/>
      <c r="L863" s="2"/>
      <c r="M863" s="2"/>
      <c r="N863" s="2"/>
      <c r="O863" s="2"/>
      <c r="P863" s="2"/>
      <c r="Q863" s="2"/>
      <c r="R863" s="2"/>
      <c r="S863" s="2"/>
      <c r="T863" s="2"/>
      <c r="U863" s="2"/>
      <c r="V863" s="2"/>
      <c r="X863" s="547"/>
      <c r="Y863" s="547"/>
      <c r="Z863" s="547"/>
    </row>
    <row r="864" spans="1:26">
      <c r="A864" s="2"/>
      <c r="C864" s="546"/>
      <c r="E864" s="546"/>
      <c r="F864" s="546"/>
      <c r="G864" s="2"/>
      <c r="H864" s="2"/>
      <c r="I864" s="2"/>
      <c r="J864" s="2"/>
      <c r="K864" s="2"/>
      <c r="L864" s="2"/>
      <c r="M864" s="2"/>
      <c r="N864" s="2"/>
      <c r="O864" s="2"/>
      <c r="P864" s="2"/>
      <c r="Q864" s="2"/>
      <c r="R864" s="2"/>
      <c r="S864" s="2"/>
      <c r="T864" s="2"/>
      <c r="U864" s="2"/>
      <c r="V864" s="2"/>
      <c r="X864" s="547"/>
      <c r="Y864" s="547"/>
      <c r="Z864" s="547"/>
    </row>
    <row r="865" spans="1:26">
      <c r="A865" s="2"/>
      <c r="C865" s="546"/>
      <c r="E865" s="546"/>
      <c r="F865" s="546"/>
      <c r="G865" s="2"/>
      <c r="H865" s="2"/>
      <c r="I865" s="2"/>
      <c r="J865" s="2"/>
      <c r="K865" s="2"/>
      <c r="L865" s="2"/>
      <c r="M865" s="2"/>
      <c r="N865" s="2"/>
      <c r="O865" s="2"/>
      <c r="P865" s="2"/>
      <c r="Q865" s="2"/>
      <c r="R865" s="2"/>
      <c r="S865" s="2"/>
      <c r="T865" s="2"/>
      <c r="U865" s="2"/>
      <c r="V865" s="2"/>
      <c r="X865" s="547"/>
      <c r="Y865" s="547"/>
      <c r="Z865" s="547"/>
    </row>
    <row r="866" spans="1:26">
      <c r="A866" s="2"/>
      <c r="C866" s="546"/>
      <c r="E866" s="546"/>
      <c r="F866" s="546"/>
      <c r="G866" s="2"/>
      <c r="H866" s="2"/>
      <c r="I866" s="2"/>
      <c r="J866" s="2"/>
      <c r="K866" s="2"/>
      <c r="L866" s="2"/>
      <c r="M866" s="2"/>
      <c r="N866" s="2"/>
      <c r="O866" s="2"/>
      <c r="P866" s="2"/>
      <c r="Q866" s="2"/>
      <c r="R866" s="2"/>
      <c r="S866" s="2"/>
      <c r="T866" s="2"/>
      <c r="U866" s="2"/>
      <c r="V866" s="2"/>
      <c r="X866" s="547"/>
      <c r="Y866" s="547"/>
      <c r="Z866" s="547"/>
    </row>
    <row r="867" spans="1:26">
      <c r="A867" s="2"/>
      <c r="C867" s="546"/>
      <c r="E867" s="546"/>
      <c r="F867" s="546"/>
      <c r="G867" s="2"/>
      <c r="H867" s="2"/>
      <c r="I867" s="2"/>
      <c r="J867" s="2"/>
      <c r="K867" s="2"/>
      <c r="L867" s="2"/>
      <c r="M867" s="2"/>
      <c r="N867" s="2"/>
      <c r="O867" s="2"/>
      <c r="P867" s="2"/>
      <c r="Q867" s="2"/>
      <c r="R867" s="2"/>
      <c r="S867" s="2"/>
      <c r="T867" s="2"/>
      <c r="U867" s="2"/>
      <c r="V867" s="2"/>
      <c r="X867" s="547"/>
      <c r="Y867" s="547"/>
      <c r="Z867" s="547"/>
    </row>
    <row r="868" spans="1:26">
      <c r="A868" s="2"/>
      <c r="C868" s="546"/>
      <c r="E868" s="546"/>
      <c r="F868" s="546"/>
      <c r="G868" s="2"/>
      <c r="H868" s="2"/>
      <c r="I868" s="2"/>
      <c r="J868" s="2"/>
      <c r="K868" s="2"/>
      <c r="L868" s="2"/>
      <c r="M868" s="2"/>
      <c r="N868" s="2"/>
      <c r="O868" s="2"/>
      <c r="P868" s="2"/>
      <c r="Q868" s="2"/>
      <c r="R868" s="2"/>
      <c r="S868" s="2"/>
      <c r="T868" s="2"/>
      <c r="U868" s="2"/>
      <c r="V868" s="2"/>
      <c r="X868" s="547"/>
      <c r="Y868" s="547"/>
      <c r="Z868" s="547"/>
    </row>
    <row r="869" spans="1:26">
      <c r="A869" s="2"/>
      <c r="C869" s="546"/>
      <c r="E869" s="546"/>
      <c r="F869" s="546"/>
      <c r="G869" s="2"/>
      <c r="H869" s="2"/>
      <c r="I869" s="2"/>
      <c r="J869" s="2"/>
      <c r="K869" s="2"/>
      <c r="L869" s="2"/>
      <c r="M869" s="2"/>
      <c r="N869" s="2"/>
      <c r="O869" s="2"/>
      <c r="P869" s="2"/>
      <c r="Q869" s="2"/>
      <c r="R869" s="2"/>
      <c r="S869" s="2"/>
      <c r="T869" s="2"/>
      <c r="U869" s="2"/>
      <c r="V869" s="2"/>
      <c r="X869" s="547"/>
      <c r="Y869" s="547"/>
      <c r="Z869" s="547"/>
    </row>
    <row r="870" spans="1:26">
      <c r="A870" s="2"/>
      <c r="C870" s="546"/>
      <c r="E870" s="546"/>
      <c r="F870" s="546"/>
      <c r="G870" s="2"/>
      <c r="H870" s="2"/>
      <c r="I870" s="2"/>
      <c r="J870" s="2"/>
      <c r="K870" s="2"/>
      <c r="L870" s="2"/>
      <c r="M870" s="2"/>
      <c r="N870" s="2"/>
      <c r="O870" s="2"/>
      <c r="P870" s="2"/>
      <c r="Q870" s="2"/>
      <c r="R870" s="2"/>
      <c r="S870" s="2"/>
      <c r="T870" s="2"/>
      <c r="U870" s="2"/>
      <c r="V870" s="2"/>
      <c r="X870" s="547"/>
      <c r="Y870" s="547"/>
      <c r="Z870" s="547"/>
    </row>
    <row r="871" spans="1:26">
      <c r="A871" s="2"/>
      <c r="C871" s="546"/>
      <c r="E871" s="546"/>
      <c r="F871" s="546"/>
      <c r="G871" s="2"/>
      <c r="H871" s="2"/>
      <c r="I871" s="2"/>
      <c r="J871" s="2"/>
      <c r="K871" s="2"/>
      <c r="L871" s="2"/>
      <c r="M871" s="2"/>
      <c r="N871" s="2"/>
      <c r="O871" s="2"/>
      <c r="P871" s="2"/>
      <c r="Q871" s="2"/>
      <c r="R871" s="2"/>
      <c r="S871" s="2"/>
      <c r="T871" s="2"/>
      <c r="U871" s="2"/>
      <c r="V871" s="2"/>
      <c r="X871" s="547"/>
      <c r="Y871" s="547"/>
      <c r="Z871" s="547"/>
    </row>
    <row r="872" spans="1:26">
      <c r="A872" s="2"/>
      <c r="C872" s="546"/>
      <c r="E872" s="546"/>
      <c r="F872" s="546"/>
      <c r="G872" s="2"/>
      <c r="H872" s="2"/>
      <c r="I872" s="2"/>
      <c r="J872" s="2"/>
      <c r="K872" s="2"/>
      <c r="L872" s="2"/>
      <c r="M872" s="2"/>
      <c r="N872" s="2"/>
      <c r="O872" s="2"/>
      <c r="P872" s="2"/>
      <c r="Q872" s="2"/>
      <c r="R872" s="2"/>
      <c r="S872" s="2"/>
      <c r="T872" s="2"/>
      <c r="U872" s="2"/>
      <c r="V872" s="2"/>
      <c r="X872" s="547"/>
      <c r="Y872" s="547"/>
      <c r="Z872" s="547"/>
    </row>
    <row r="873" spans="1:26">
      <c r="A873" s="2"/>
      <c r="C873" s="546"/>
      <c r="E873" s="546"/>
      <c r="F873" s="546"/>
      <c r="G873" s="2"/>
      <c r="H873" s="2"/>
      <c r="I873" s="2"/>
      <c r="J873" s="2"/>
      <c r="K873" s="2"/>
      <c r="L873" s="2"/>
      <c r="M873" s="2"/>
      <c r="N873" s="2"/>
      <c r="O873" s="2"/>
      <c r="P873" s="2"/>
      <c r="Q873" s="2"/>
      <c r="R873" s="2"/>
      <c r="S873" s="2"/>
      <c r="T873" s="2"/>
      <c r="U873" s="2"/>
      <c r="V873" s="2"/>
      <c r="X873" s="547"/>
      <c r="Y873" s="547"/>
      <c r="Z873" s="547"/>
    </row>
    <row r="874" spans="1:26">
      <c r="A874" s="2"/>
      <c r="C874" s="546"/>
      <c r="E874" s="546"/>
      <c r="F874" s="546"/>
      <c r="G874" s="2"/>
      <c r="H874" s="2"/>
      <c r="I874" s="2"/>
      <c r="J874" s="2"/>
      <c r="K874" s="2"/>
      <c r="L874" s="2"/>
      <c r="M874" s="2"/>
      <c r="N874" s="2"/>
      <c r="O874" s="2"/>
      <c r="P874" s="2"/>
      <c r="Q874" s="2"/>
      <c r="R874" s="2"/>
      <c r="S874" s="2"/>
      <c r="T874" s="2"/>
      <c r="U874" s="2"/>
      <c r="V874" s="2"/>
      <c r="X874" s="547"/>
      <c r="Y874" s="547"/>
      <c r="Z874" s="547"/>
    </row>
    <row r="875" spans="1:26">
      <c r="A875" s="2"/>
      <c r="C875" s="546"/>
      <c r="E875" s="546"/>
      <c r="F875" s="546"/>
      <c r="G875" s="2"/>
      <c r="H875" s="2"/>
      <c r="I875" s="2"/>
      <c r="J875" s="2"/>
      <c r="K875" s="2"/>
      <c r="L875" s="2"/>
      <c r="M875" s="2"/>
      <c r="N875" s="2"/>
      <c r="O875" s="2"/>
      <c r="P875" s="2"/>
      <c r="Q875" s="2"/>
      <c r="R875" s="2"/>
      <c r="S875" s="2"/>
      <c r="T875" s="2"/>
      <c r="U875" s="2"/>
      <c r="V875" s="2"/>
      <c r="X875" s="547"/>
      <c r="Y875" s="547"/>
      <c r="Z875" s="547"/>
    </row>
    <row r="876" spans="1:26">
      <c r="A876" s="2"/>
      <c r="C876" s="546"/>
      <c r="E876" s="546"/>
      <c r="F876" s="546"/>
      <c r="G876" s="2"/>
      <c r="H876" s="2"/>
      <c r="I876" s="2"/>
      <c r="J876" s="2"/>
      <c r="K876" s="2"/>
      <c r="L876" s="2"/>
      <c r="M876" s="2"/>
      <c r="N876" s="2"/>
      <c r="O876" s="2"/>
      <c r="P876" s="2"/>
      <c r="Q876" s="2"/>
      <c r="R876" s="2"/>
      <c r="S876" s="2"/>
      <c r="T876" s="2"/>
      <c r="U876" s="2"/>
      <c r="V876" s="2"/>
      <c r="X876" s="547"/>
      <c r="Y876" s="547"/>
      <c r="Z876" s="547"/>
    </row>
    <row r="877" spans="1:26">
      <c r="A877" s="2"/>
      <c r="C877" s="546"/>
      <c r="E877" s="546"/>
      <c r="F877" s="546"/>
      <c r="G877" s="2"/>
      <c r="H877" s="2"/>
      <c r="I877" s="2"/>
      <c r="J877" s="2"/>
      <c r="K877" s="2"/>
      <c r="L877" s="2"/>
      <c r="M877" s="2"/>
      <c r="N877" s="2"/>
      <c r="O877" s="2"/>
      <c r="P877" s="2"/>
      <c r="Q877" s="2"/>
      <c r="R877" s="2"/>
      <c r="S877" s="2"/>
      <c r="T877" s="2"/>
      <c r="U877" s="2"/>
      <c r="V877" s="2"/>
      <c r="X877" s="547"/>
      <c r="Y877" s="547"/>
      <c r="Z877" s="547"/>
    </row>
    <row r="878" spans="1:26">
      <c r="A878" s="2"/>
      <c r="C878" s="546"/>
      <c r="E878" s="546"/>
      <c r="F878" s="546"/>
      <c r="G878" s="2"/>
      <c r="H878" s="2"/>
      <c r="I878" s="2"/>
      <c r="J878" s="2"/>
      <c r="K878" s="2"/>
      <c r="L878" s="2"/>
      <c r="M878" s="2"/>
      <c r="N878" s="2"/>
      <c r="O878" s="2"/>
      <c r="P878" s="2"/>
      <c r="Q878" s="2"/>
      <c r="R878" s="2"/>
      <c r="S878" s="2"/>
      <c r="T878" s="2"/>
      <c r="U878" s="2"/>
      <c r="V878" s="2"/>
      <c r="X878" s="547"/>
      <c r="Y878" s="547"/>
      <c r="Z878" s="547"/>
    </row>
    <row r="879" spans="1:26">
      <c r="A879" s="2"/>
      <c r="C879" s="546"/>
      <c r="E879" s="546"/>
      <c r="F879" s="546"/>
      <c r="G879" s="2"/>
      <c r="H879" s="2"/>
      <c r="I879" s="2"/>
      <c r="J879" s="2"/>
      <c r="K879" s="2"/>
      <c r="L879" s="2"/>
      <c r="M879" s="2"/>
      <c r="N879" s="2"/>
      <c r="O879" s="2"/>
      <c r="P879" s="2"/>
      <c r="Q879" s="2"/>
      <c r="R879" s="2"/>
      <c r="S879" s="2"/>
      <c r="T879" s="2"/>
      <c r="U879" s="2"/>
      <c r="V879" s="2"/>
      <c r="X879" s="547"/>
      <c r="Y879" s="547"/>
      <c r="Z879" s="547"/>
    </row>
    <row r="880" spans="1:26">
      <c r="A880" s="2"/>
      <c r="C880" s="546"/>
      <c r="E880" s="546"/>
      <c r="F880" s="546"/>
      <c r="G880" s="2"/>
      <c r="H880" s="2"/>
      <c r="I880" s="2"/>
      <c r="J880" s="2"/>
      <c r="K880" s="2"/>
      <c r="L880" s="2"/>
      <c r="M880" s="2"/>
      <c r="N880" s="2"/>
      <c r="O880" s="2"/>
      <c r="P880" s="2"/>
      <c r="Q880" s="2"/>
      <c r="R880" s="2"/>
      <c r="S880" s="2"/>
      <c r="T880" s="2"/>
      <c r="U880" s="2"/>
      <c r="V880" s="2"/>
      <c r="X880" s="547"/>
      <c r="Y880" s="547"/>
      <c r="Z880" s="547"/>
    </row>
    <row r="881" spans="1:26">
      <c r="A881" s="2"/>
      <c r="C881" s="546"/>
      <c r="E881" s="546"/>
      <c r="F881" s="546"/>
      <c r="G881" s="2"/>
      <c r="H881" s="2"/>
      <c r="I881" s="2"/>
      <c r="J881" s="2"/>
      <c r="K881" s="2"/>
      <c r="L881" s="2"/>
      <c r="M881" s="2"/>
      <c r="N881" s="2"/>
      <c r="O881" s="2"/>
      <c r="P881" s="2"/>
      <c r="Q881" s="2"/>
      <c r="R881" s="2"/>
      <c r="S881" s="2"/>
      <c r="T881" s="2"/>
      <c r="U881" s="2"/>
      <c r="V881" s="2"/>
      <c r="X881" s="547"/>
      <c r="Y881" s="547"/>
      <c r="Z881" s="547"/>
    </row>
    <row r="882" spans="1:26">
      <c r="A882" s="2"/>
      <c r="C882" s="546"/>
      <c r="E882" s="546"/>
      <c r="F882" s="546"/>
      <c r="G882" s="2"/>
      <c r="H882" s="2"/>
      <c r="I882" s="2"/>
      <c r="J882" s="2"/>
      <c r="K882" s="2"/>
      <c r="L882" s="2"/>
      <c r="M882" s="2"/>
      <c r="N882" s="2"/>
      <c r="O882" s="2"/>
      <c r="P882" s="2"/>
      <c r="Q882" s="2"/>
      <c r="R882" s="2"/>
      <c r="S882" s="2"/>
      <c r="T882" s="2"/>
      <c r="U882" s="2"/>
      <c r="V882" s="2"/>
      <c r="X882" s="547"/>
      <c r="Y882" s="547"/>
      <c r="Z882" s="547"/>
    </row>
    <row r="883" spans="1:26">
      <c r="A883" s="2"/>
      <c r="C883" s="546"/>
      <c r="E883" s="546"/>
      <c r="F883" s="546"/>
      <c r="G883" s="2"/>
      <c r="H883" s="2"/>
      <c r="I883" s="2"/>
      <c r="J883" s="2"/>
      <c r="K883" s="2"/>
      <c r="L883" s="2"/>
      <c r="M883" s="2"/>
      <c r="N883" s="2"/>
      <c r="O883" s="2"/>
      <c r="P883" s="2"/>
      <c r="Q883" s="2"/>
      <c r="R883" s="2"/>
      <c r="S883" s="2"/>
      <c r="T883" s="2"/>
      <c r="U883" s="2"/>
      <c r="V883" s="2"/>
      <c r="X883" s="547"/>
      <c r="Y883" s="547"/>
      <c r="Z883" s="547"/>
    </row>
    <row r="884" spans="1:26">
      <c r="A884" s="2"/>
      <c r="C884" s="546"/>
      <c r="E884" s="546"/>
      <c r="F884" s="546"/>
      <c r="G884" s="2"/>
      <c r="H884" s="2"/>
      <c r="I884" s="2"/>
      <c r="J884" s="2"/>
      <c r="K884" s="2"/>
      <c r="L884" s="2"/>
      <c r="M884" s="2"/>
      <c r="N884" s="2"/>
      <c r="O884" s="2"/>
      <c r="P884" s="2"/>
      <c r="Q884" s="2"/>
      <c r="R884" s="2"/>
      <c r="S884" s="2"/>
      <c r="T884" s="2"/>
      <c r="U884" s="2"/>
      <c r="V884" s="2"/>
      <c r="X884" s="547"/>
      <c r="Y884" s="547"/>
      <c r="Z884" s="547"/>
    </row>
    <row r="885" spans="1:26">
      <c r="A885" s="2"/>
      <c r="C885" s="546"/>
      <c r="E885" s="546"/>
      <c r="F885" s="546"/>
      <c r="G885" s="2"/>
      <c r="H885" s="2"/>
      <c r="I885" s="2"/>
      <c r="J885" s="2"/>
      <c r="K885" s="2"/>
      <c r="L885" s="2"/>
      <c r="M885" s="2"/>
      <c r="N885" s="2"/>
      <c r="O885" s="2"/>
      <c r="P885" s="2"/>
      <c r="Q885" s="2"/>
      <c r="R885" s="2"/>
      <c r="S885" s="2"/>
      <c r="T885" s="2"/>
      <c r="U885" s="2"/>
      <c r="V885" s="2"/>
      <c r="X885" s="547"/>
      <c r="Y885" s="547"/>
      <c r="Z885" s="547"/>
    </row>
    <row r="886" spans="1:26">
      <c r="A886" s="2"/>
      <c r="C886" s="546"/>
      <c r="E886" s="546"/>
      <c r="F886" s="546"/>
      <c r="G886" s="2"/>
      <c r="H886" s="2"/>
      <c r="I886" s="2"/>
      <c r="J886" s="2"/>
      <c r="K886" s="2"/>
      <c r="L886" s="2"/>
      <c r="M886" s="2"/>
      <c r="N886" s="2"/>
      <c r="O886" s="2"/>
      <c r="P886" s="2"/>
      <c r="Q886" s="2"/>
      <c r="R886" s="2"/>
      <c r="S886" s="2"/>
      <c r="T886" s="2"/>
      <c r="U886" s="2"/>
      <c r="V886" s="2"/>
      <c r="X886" s="547"/>
      <c r="Y886" s="547"/>
      <c r="Z886" s="547"/>
    </row>
    <row r="887" spans="1:26">
      <c r="A887" s="2"/>
      <c r="C887" s="546"/>
      <c r="E887" s="546"/>
      <c r="F887" s="546"/>
      <c r="G887" s="2"/>
      <c r="H887" s="2"/>
      <c r="I887" s="2"/>
      <c r="J887" s="2"/>
      <c r="K887" s="2"/>
      <c r="L887" s="2"/>
      <c r="M887" s="2"/>
      <c r="N887" s="2"/>
      <c r="O887" s="2"/>
      <c r="P887" s="2"/>
      <c r="Q887" s="2"/>
      <c r="R887" s="2"/>
      <c r="S887" s="2"/>
      <c r="T887" s="2"/>
      <c r="U887" s="2"/>
      <c r="V887" s="2"/>
      <c r="X887" s="547"/>
      <c r="Y887" s="547"/>
      <c r="Z887" s="547"/>
    </row>
  </sheetData>
  <autoFilter ref="A11:W597"/>
  <mergeCells count="71">
    <mergeCell ref="AL8:AM10"/>
    <mergeCell ref="AN8:AO10"/>
    <mergeCell ref="O9:O10"/>
    <mergeCell ref="P9:P10"/>
    <mergeCell ref="R9:R10"/>
    <mergeCell ref="S9:S10"/>
    <mergeCell ref="U9:U10"/>
    <mergeCell ref="AF8:AG10"/>
    <mergeCell ref="AH8:AI10"/>
    <mergeCell ref="AJ8:AK10"/>
    <mergeCell ref="T8:T10"/>
    <mergeCell ref="U8:V8"/>
    <mergeCell ref="X8:X10"/>
    <mergeCell ref="Y8:Z8"/>
    <mergeCell ref="AB8:AC10"/>
    <mergeCell ref="AD8:AE10"/>
    <mergeCell ref="AN11:AN12"/>
    <mergeCell ref="AO11:AO12"/>
    <mergeCell ref="AK11:AK12"/>
    <mergeCell ref="AL11:AL12"/>
    <mergeCell ref="AM11:AM12"/>
    <mergeCell ref="W95:W96"/>
    <mergeCell ref="B599:P599"/>
    <mergeCell ref="AH11:AH12"/>
    <mergeCell ref="AI11:AI12"/>
    <mergeCell ref="AJ11:AJ12"/>
    <mergeCell ref="AB11:AB12"/>
    <mergeCell ref="AC11:AC12"/>
    <mergeCell ref="AD11:AD12"/>
    <mergeCell ref="AE11:AE12"/>
    <mergeCell ref="AF11:AF12"/>
    <mergeCell ref="AG11:AG12"/>
    <mergeCell ref="K7:L8"/>
    <mergeCell ref="M7:N8"/>
    <mergeCell ref="AH6:AK7"/>
    <mergeCell ref="AL6:AO7"/>
    <mergeCell ref="F6:H6"/>
    <mergeCell ref="I6:N6"/>
    <mergeCell ref="O6:P8"/>
    <mergeCell ref="Q6:S7"/>
    <mergeCell ref="T6:V7"/>
    <mergeCell ref="G8:G10"/>
    <mergeCell ref="H8:H10"/>
    <mergeCell ref="Q8:Q10"/>
    <mergeCell ref="R8:S8"/>
    <mergeCell ref="F7:F10"/>
    <mergeCell ref="G7:H7"/>
    <mergeCell ref="I7:J8"/>
    <mergeCell ref="N9:N10"/>
    <mergeCell ref="AB6:AC7"/>
    <mergeCell ref="AD6:AG7"/>
    <mergeCell ref="W6:W10"/>
    <mergeCell ref="X6:Z7"/>
    <mergeCell ref="Y9:Y10"/>
    <mergeCell ref="Z9:Z10"/>
    <mergeCell ref="J9:J10"/>
    <mergeCell ref="I9:I10"/>
    <mergeCell ref="A1:W1"/>
    <mergeCell ref="A2:W2"/>
    <mergeCell ref="A3:W3"/>
    <mergeCell ref="A4:W4"/>
    <mergeCell ref="A5:W5"/>
    <mergeCell ref="A6:A10"/>
    <mergeCell ref="B6:B10"/>
    <mergeCell ref="C6:C10"/>
    <mergeCell ref="D6:D10"/>
    <mergeCell ref="E6:E10"/>
    <mergeCell ref="M9:M10"/>
    <mergeCell ref="L9:L10"/>
    <mergeCell ref="V9:V10"/>
    <mergeCell ref="K9:K10"/>
  </mergeCells>
  <printOptions horizontalCentered="1"/>
  <pageMargins left="0" right="0" top="0.39370078740157499" bottom="0.39370078740157499" header="0.196850393700787" footer="0.196850393700787"/>
  <pageSetup paperSize="9" scale="55" fitToHeight="0" orientation="landscape" useFirstPageNumber="1" r:id="rId1"/>
  <headerFooter>
    <oddFooter>&amp;R&amp;12&amp;P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Tong hop</vt:lpstr>
      <vt:lpstr>DM 2017 (UBND)</vt:lpstr>
      <vt:lpstr>DM 2017 (SKH)</vt:lpstr>
      <vt:lpstr>DM GD+YT+NTM</vt:lpstr>
      <vt:lpstr>DM bo</vt:lpstr>
      <vt:lpstr>B19.NSDP</vt:lpstr>
      <vt:lpstr>B19.NSDP!Print_Area</vt:lpstr>
      <vt:lpstr>'DM 2017 (SKH)'!Print_Area</vt:lpstr>
      <vt:lpstr>'DM 2017 (UBND)'!Print_Area</vt:lpstr>
      <vt:lpstr>'DM GD+YT+NTM'!Print_Area</vt:lpstr>
      <vt:lpstr>'Tong hop'!Print_Area</vt:lpstr>
      <vt:lpstr>B19.NSDP!Print_Titles</vt:lpstr>
      <vt:lpstr>'DM 2017 (SKH)'!Print_Titles</vt:lpstr>
      <vt:lpstr>'DM 2017 (UBND)'!Print_Titles</vt:lpstr>
      <vt:lpstr>'DM GD+YT+NTM'!Print_Titles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cuong-pdtxd</dc:creator>
  <cp:lastModifiedBy>CongNguyen</cp:lastModifiedBy>
  <cp:lastPrinted>2016-11-22T03:48:39Z</cp:lastPrinted>
  <dcterms:created xsi:type="dcterms:W3CDTF">2016-11-09T00:36:07Z</dcterms:created>
  <dcterms:modified xsi:type="dcterms:W3CDTF">2016-11-22T10:20:01Z</dcterms:modified>
</cp:coreProperties>
</file>